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AC0C994C-1A0C-4B59-AEF8-EF8590B5482D}" xr6:coauthVersionLast="47" xr6:coauthVersionMax="47" xr10:uidLastSave="{00000000-0000-0000-0000-000000000000}"/>
  <bookViews>
    <workbookView xWindow="-110" yWindow="-110" windowWidth="19420" windowHeight="10300" firstSheet="2" activeTab="4" xr2:uid="{00000000-000D-0000-FFFF-FFFF00000000}"/>
  </bookViews>
  <sheets>
    <sheet name="My Worksheet" sheetId="1" r:id="rId1"/>
    <sheet name="aktif_ubah" sheetId="2" r:id="rId2"/>
    <sheet name="aktif" sheetId="6" r:id="rId3"/>
    <sheet name="ubah" sheetId="7" r:id="rId4"/>
    <sheet name="baru" sheetId="3" r:id="rId5"/>
    <sheet name="tms4_kab_tegal" sheetId="4" r:id="rId6"/>
    <sheet name="tms2_kab_tegal" sheetId="5" r:id="rId7"/>
    <sheet name="ganda_aktif_dg_aktif" sheetId="8" r:id="rId8"/>
    <sheet name="ganda_aktif_dg_ubah" sheetId="9" r:id="rId9"/>
  </sheets>
  <definedNames>
    <definedName name="_xlnm._FilterDatabase" localSheetId="2" hidden="1">aktif!$A$1:$N$2768</definedName>
    <definedName name="_xlnm._FilterDatabase" localSheetId="1" hidden="1">aktif_ubah!$A$1:$L$3001</definedName>
    <definedName name="_xlnm._FilterDatabase" localSheetId="0" hidden="1">'My Worksheet'!$A$1:$I$5271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9" l="1"/>
  <c r="N12" i="9" s="1"/>
  <c r="N11" i="9"/>
  <c r="M11" i="9"/>
  <c r="B11" i="9"/>
  <c r="L11" i="9" s="1"/>
  <c r="N10" i="9"/>
  <c r="M10" i="9"/>
  <c r="L10" i="9"/>
  <c r="B10" i="9"/>
  <c r="C10" i="9" s="1"/>
  <c r="B9" i="9"/>
  <c r="C9" i="9" s="1"/>
  <c r="B8" i="9"/>
  <c r="N8" i="9" s="1"/>
  <c r="N7" i="9"/>
  <c r="M7" i="9"/>
  <c r="B7" i="9"/>
  <c r="L7" i="9" s="1"/>
  <c r="N6" i="9"/>
  <c r="M6" i="9"/>
  <c r="L6" i="9"/>
  <c r="B6" i="9"/>
  <c r="C6" i="9" s="1"/>
  <c r="B5" i="9"/>
  <c r="C5" i="9" s="1"/>
  <c r="B4" i="9"/>
  <c r="N4" i="9" s="1"/>
  <c r="N3" i="9"/>
  <c r="M3" i="9"/>
  <c r="B3" i="9"/>
  <c r="L3" i="9" s="1"/>
  <c r="N2" i="9"/>
  <c r="M2" i="9"/>
  <c r="L2" i="9"/>
  <c r="B2" i="9"/>
  <c r="C2" i="9" s="1"/>
  <c r="N2755" i="6"/>
  <c r="N2754" i="6"/>
  <c r="N2753" i="6"/>
  <c r="N2750" i="6"/>
  <c r="N2749" i="6"/>
  <c r="N2743" i="6"/>
  <c r="N2742" i="6"/>
  <c r="N2736" i="6"/>
  <c r="N2733" i="6"/>
  <c r="N2725" i="6"/>
  <c r="N2721" i="6"/>
  <c r="N2717" i="6"/>
  <c r="N2714" i="6"/>
  <c r="N2712" i="6"/>
  <c r="N2711" i="6"/>
  <c r="N2708" i="6"/>
  <c r="N2707" i="6"/>
  <c r="N2700" i="6"/>
  <c r="N2698" i="6"/>
  <c r="N2693" i="6"/>
  <c r="N2691" i="6"/>
  <c r="N2686" i="6"/>
  <c r="N2684" i="6"/>
  <c r="N2680" i="6"/>
  <c r="N2679" i="6"/>
  <c r="N2676" i="6"/>
  <c r="N2671" i="6"/>
  <c r="N2670" i="6"/>
  <c r="N2653" i="6"/>
  <c r="N2646" i="6"/>
  <c r="N2643" i="6"/>
  <c r="N2641" i="6"/>
  <c r="N2638" i="6"/>
  <c r="N2637" i="6"/>
  <c r="N2633" i="6"/>
  <c r="N2631" i="6"/>
  <c r="N2630" i="6"/>
  <c r="N2628" i="6"/>
  <c r="N2627" i="6"/>
  <c r="N2624" i="6"/>
  <c r="N2623" i="6"/>
  <c r="N2622" i="6"/>
  <c r="N2620" i="6"/>
  <c r="N2618" i="6"/>
  <c r="N2616" i="6"/>
  <c r="N2613" i="6"/>
  <c r="N2612" i="6"/>
  <c r="N2610" i="6"/>
  <c r="N2608" i="6"/>
  <c r="N2606" i="6"/>
  <c r="N2603" i="6"/>
  <c r="N2602" i="6"/>
  <c r="N2601" i="6"/>
  <c r="N2599" i="6"/>
  <c r="N2596" i="6"/>
  <c r="N2595" i="6"/>
  <c r="N2590" i="6"/>
  <c r="N2588" i="6"/>
  <c r="N2585" i="6"/>
  <c r="N2584" i="6"/>
  <c r="N2583" i="6"/>
  <c r="N2580" i="6"/>
  <c r="N2579" i="6"/>
  <c r="N2577" i="6"/>
  <c r="N2576" i="6"/>
  <c r="N2568" i="6"/>
  <c r="N2558" i="6"/>
  <c r="N2554" i="6"/>
  <c r="N2553" i="6"/>
  <c r="N2546" i="6"/>
  <c r="N2545" i="6"/>
  <c r="N2544" i="6"/>
  <c r="N2539" i="6"/>
  <c r="N2536" i="6"/>
  <c r="N2534" i="6"/>
  <c r="N2529" i="6"/>
  <c r="N2527" i="6"/>
  <c r="N2525" i="6"/>
  <c r="N2523" i="6"/>
  <c r="N2522" i="6"/>
  <c r="N2521" i="6"/>
  <c r="N2519" i="6"/>
  <c r="N2516" i="6"/>
  <c r="N2515" i="6"/>
  <c r="N2514" i="6"/>
  <c r="N2513" i="6"/>
  <c r="N2509" i="6"/>
  <c r="N2507" i="6"/>
  <c r="N2506" i="6"/>
  <c r="N2503" i="6"/>
  <c r="N2499" i="6"/>
  <c r="N2498" i="6"/>
  <c r="N2495" i="6"/>
  <c r="N2487" i="6"/>
  <c r="N2486" i="6"/>
  <c r="N2485" i="6"/>
  <c r="N2483" i="6"/>
  <c r="N2465" i="6"/>
  <c r="N2457" i="6"/>
  <c r="N2428" i="6"/>
  <c r="N2412" i="6"/>
  <c r="N2401" i="6"/>
  <c r="N2399" i="6"/>
  <c r="N2383" i="6"/>
  <c r="N2381" i="6"/>
  <c r="N2378" i="6"/>
  <c r="N2376" i="6"/>
  <c r="N2375" i="6"/>
  <c r="N2371" i="6"/>
  <c r="N2366" i="6"/>
  <c r="N2363" i="6"/>
  <c r="N2360" i="6"/>
  <c r="N2357" i="6"/>
  <c r="N2338" i="6"/>
  <c r="N2334" i="6"/>
  <c r="N2332" i="6"/>
  <c r="N2327" i="6"/>
  <c r="N2318" i="6"/>
  <c r="N2316" i="6"/>
  <c r="N2311" i="6"/>
  <c r="N2310" i="6"/>
  <c r="N2309" i="6"/>
  <c r="N2307" i="6"/>
  <c r="N2305" i="6"/>
  <c r="N2303" i="6"/>
  <c r="N2296" i="6"/>
  <c r="N2294" i="6"/>
  <c r="N2292" i="6"/>
  <c r="N2288" i="6"/>
  <c r="N2287" i="6"/>
  <c r="N2281" i="6"/>
  <c r="N2275" i="6"/>
  <c r="N2274" i="6"/>
  <c r="N2267" i="6"/>
  <c r="N2258" i="6"/>
  <c r="N2254" i="6"/>
  <c r="N2253" i="6"/>
  <c r="N2250" i="6"/>
  <c r="N2242" i="6"/>
  <c r="N2231" i="6"/>
  <c r="N2224" i="6"/>
  <c r="N2188" i="6"/>
  <c r="N2186" i="6"/>
  <c r="N2183" i="6"/>
  <c r="N2181" i="6"/>
  <c r="N2180" i="6"/>
  <c r="N2176" i="6"/>
  <c r="N2174" i="6"/>
  <c r="N2167" i="6"/>
  <c r="N2166" i="6"/>
  <c r="N2164" i="6"/>
  <c r="N2162" i="6"/>
  <c r="N2159" i="6"/>
  <c r="N2158" i="6"/>
  <c r="N2154" i="6"/>
  <c r="N2152" i="6"/>
  <c r="N2150" i="6"/>
  <c r="N2147" i="6"/>
  <c r="N2145" i="6"/>
  <c r="N2144" i="6"/>
  <c r="N2143" i="6"/>
  <c r="N2141" i="6"/>
  <c r="N2138" i="6"/>
  <c r="N2133" i="6"/>
  <c r="N2132" i="6"/>
  <c r="N2131" i="6"/>
  <c r="N2130" i="6"/>
  <c r="N2128" i="6"/>
  <c r="N2127" i="6"/>
  <c r="N2126" i="6"/>
  <c r="N2125" i="6"/>
  <c r="N2121" i="6"/>
  <c r="N2120" i="6"/>
  <c r="N2119" i="6"/>
  <c r="N2117" i="6"/>
  <c r="N2116" i="6"/>
  <c r="N2115" i="6"/>
  <c r="N2114" i="6"/>
  <c r="N2112" i="6"/>
  <c r="N2110" i="6"/>
  <c r="N2109" i="6"/>
  <c r="N2105" i="6"/>
  <c r="N2103" i="6"/>
  <c r="N2100" i="6"/>
  <c r="N2097" i="6"/>
  <c r="N2096" i="6"/>
  <c r="N2092" i="6"/>
  <c r="N2091" i="6"/>
  <c r="N2090" i="6"/>
  <c r="N2089" i="6"/>
  <c r="N2088" i="6"/>
  <c r="N2087" i="6"/>
  <c r="N2085" i="6"/>
  <c r="N2084" i="6"/>
  <c r="N2083" i="6"/>
  <c r="N2082" i="6"/>
  <c r="N2081" i="6"/>
  <c r="N2080" i="6"/>
  <c r="N2078" i="6"/>
  <c r="N2076" i="6"/>
  <c r="N2075" i="6"/>
  <c r="N2074" i="6"/>
  <c r="N2073" i="6"/>
  <c r="N2072" i="6"/>
  <c r="N2071" i="6"/>
  <c r="N2070" i="6"/>
  <c r="N2068" i="6"/>
  <c r="N2066" i="6"/>
  <c r="N2065" i="6"/>
  <c r="N2063" i="6"/>
  <c r="N2062" i="6"/>
  <c r="N2061" i="6"/>
  <c r="N2060" i="6"/>
  <c r="N2058" i="6"/>
  <c r="N2057" i="6"/>
  <c r="N2056" i="6"/>
  <c r="N2055" i="6"/>
  <c r="N2054" i="6"/>
  <c r="N2053" i="6"/>
  <c r="N2051" i="6"/>
  <c r="N2050" i="6"/>
  <c r="N2049" i="6"/>
  <c r="N2048" i="6"/>
  <c r="N2047" i="6"/>
  <c r="N2044" i="6"/>
  <c r="N2042" i="6"/>
  <c r="N2041" i="6"/>
  <c r="N2039" i="6"/>
  <c r="N2036" i="6"/>
  <c r="N2034" i="6"/>
  <c r="N2033" i="6"/>
  <c r="N2031" i="6"/>
  <c r="N2025" i="6"/>
  <c r="N2023" i="6"/>
  <c r="N2020" i="6"/>
  <c r="N2019" i="6"/>
  <c r="N2018" i="6"/>
  <c r="N2017" i="6"/>
  <c r="N2013" i="6"/>
  <c r="N2012" i="6"/>
  <c r="N2011" i="6"/>
  <c r="N2007" i="6"/>
  <c r="N2006" i="6"/>
  <c r="N2005" i="6"/>
  <c r="N2003" i="6"/>
  <c r="N1999" i="6"/>
  <c r="N1987" i="6"/>
  <c r="N1983" i="6"/>
  <c r="N1981" i="6"/>
  <c r="N1977" i="6"/>
  <c r="N1974" i="6"/>
  <c r="N1969" i="6"/>
  <c r="N1966" i="6"/>
  <c r="N1962" i="6"/>
  <c r="N1953" i="6"/>
  <c r="N1930" i="6"/>
  <c r="N1928" i="6"/>
  <c r="N1925" i="6"/>
  <c r="N1924" i="6"/>
  <c r="N1923" i="6"/>
  <c r="N1922" i="6"/>
  <c r="N1920" i="6"/>
  <c r="N1919" i="6"/>
  <c r="N1916" i="6"/>
  <c r="N1914" i="6"/>
  <c r="N1913" i="6"/>
  <c r="N1912" i="6"/>
  <c r="N1907" i="6"/>
  <c r="N1905" i="6"/>
  <c r="N1902" i="6"/>
  <c r="N1901" i="6"/>
  <c r="N1899" i="6"/>
  <c r="N1894" i="6"/>
  <c r="N1893" i="6"/>
  <c r="N1886" i="6"/>
  <c r="N1884" i="6"/>
  <c r="N1883" i="6"/>
  <c r="N1881" i="6"/>
  <c r="N1878" i="6"/>
  <c r="N1877" i="6"/>
  <c r="N1874" i="6"/>
  <c r="N1872" i="6"/>
  <c r="N1869" i="6"/>
  <c r="N1867" i="6"/>
  <c r="N1864" i="6"/>
  <c r="N1861" i="6"/>
  <c r="N1859" i="6"/>
  <c r="N1855" i="6"/>
  <c r="N1854" i="6"/>
  <c r="N1852" i="6"/>
  <c r="N1850" i="6"/>
  <c r="N1848" i="6"/>
  <c r="N1846" i="6"/>
  <c r="N1842" i="6"/>
  <c r="N1840" i="6"/>
  <c r="N1839" i="6"/>
  <c r="N1838" i="6"/>
  <c r="N1836" i="6"/>
  <c r="N1813" i="6"/>
  <c r="N1788" i="6"/>
  <c r="N1786" i="6"/>
  <c r="N1784" i="6"/>
  <c r="N1782" i="6"/>
  <c r="N1779" i="6"/>
  <c r="N1777" i="6"/>
  <c r="N1775" i="6"/>
  <c r="N1773" i="6"/>
  <c r="N1768" i="6"/>
  <c r="N1767" i="6"/>
  <c r="N1765" i="6"/>
  <c r="N1763" i="6"/>
  <c r="N1761" i="6"/>
  <c r="N1760" i="6"/>
  <c r="N1759" i="6"/>
  <c r="N1757" i="6"/>
  <c r="N1755" i="6"/>
  <c r="N1754" i="6"/>
  <c r="N1749" i="6"/>
  <c r="N1746" i="6"/>
  <c r="N1743" i="6"/>
  <c r="N1742" i="6"/>
  <c r="N1740" i="6"/>
  <c r="N1739" i="6"/>
  <c r="N1738" i="6"/>
  <c r="N1737" i="6"/>
  <c r="N1736" i="6"/>
  <c r="N1735" i="6"/>
  <c r="N1734" i="6"/>
  <c r="N1733" i="6"/>
  <c r="N1732" i="6"/>
  <c r="N1730" i="6"/>
  <c r="N1727" i="6"/>
  <c r="N1724" i="6"/>
  <c r="N1721" i="6"/>
  <c r="N1718" i="6"/>
  <c r="N1716" i="6"/>
  <c r="N1713" i="6"/>
  <c r="N1711" i="6"/>
  <c r="N1704" i="6"/>
  <c r="N1703" i="6"/>
  <c r="N1702" i="6"/>
  <c r="N1699" i="6"/>
  <c r="N1694" i="6"/>
  <c r="N1692" i="6"/>
  <c r="N1689" i="6"/>
  <c r="N1688" i="6"/>
  <c r="N1686" i="6"/>
  <c r="N1685" i="6"/>
  <c r="N1681" i="6"/>
  <c r="N1679" i="6"/>
  <c r="N1677" i="6"/>
  <c r="N1675" i="6"/>
  <c r="N1673" i="6"/>
  <c r="N1671" i="6"/>
  <c r="N1666" i="6"/>
  <c r="N1665" i="6"/>
  <c r="N1662" i="6"/>
  <c r="N1657" i="6"/>
  <c r="N1656" i="6"/>
  <c r="N1655" i="6"/>
  <c r="N1652" i="6"/>
  <c r="N1649" i="6"/>
  <c r="N1647" i="6"/>
  <c r="N1641" i="6"/>
  <c r="N1639" i="6"/>
  <c r="N1637" i="6"/>
  <c r="N1621" i="6"/>
  <c r="N1613" i="6"/>
  <c r="N1602" i="6"/>
  <c r="N1594" i="6"/>
  <c r="N1592" i="6"/>
  <c r="N1590" i="6"/>
  <c r="N1589" i="6"/>
  <c r="N1587" i="6"/>
  <c r="N1585" i="6"/>
  <c r="N1584" i="6"/>
  <c r="N1581" i="6"/>
  <c r="N1580" i="6"/>
  <c r="N1579" i="6"/>
  <c r="N1578" i="6"/>
  <c r="N1576" i="6"/>
  <c r="N1575" i="6"/>
  <c r="N1574" i="6"/>
  <c r="N1573" i="6"/>
  <c r="N1570" i="6"/>
  <c r="N1564" i="6"/>
  <c r="N1562" i="6"/>
  <c r="N1560" i="6"/>
  <c r="N1559" i="6"/>
  <c r="N1558" i="6"/>
  <c r="N1557" i="6"/>
  <c r="N1556" i="6"/>
  <c r="N1554" i="6"/>
  <c r="N1553" i="6"/>
  <c r="N1552" i="6"/>
  <c r="N1550" i="6"/>
  <c r="N1549" i="6"/>
  <c r="N1548" i="6"/>
  <c r="N1546" i="6"/>
  <c r="N1544" i="6"/>
  <c r="N1539" i="6"/>
  <c r="N1538" i="6"/>
  <c r="N1534" i="6"/>
  <c r="N1532" i="6"/>
  <c r="N1531" i="6"/>
  <c r="N1530" i="6"/>
  <c r="N1505" i="6"/>
  <c r="N1501" i="6"/>
  <c r="N1482" i="6"/>
  <c r="N1480" i="6"/>
  <c r="N1479" i="6"/>
  <c r="N1478" i="6"/>
  <c r="N1477" i="6"/>
  <c r="N1472" i="6"/>
  <c r="N1465" i="6"/>
  <c r="N1462" i="6"/>
  <c r="N1459" i="6"/>
  <c r="N1453" i="6"/>
  <c r="N1452" i="6"/>
  <c r="N1441" i="6"/>
  <c r="N1433" i="6"/>
  <c r="N1429" i="6"/>
  <c r="N1428" i="6"/>
  <c r="N1383" i="6"/>
  <c r="N1370" i="6"/>
  <c r="N1369" i="6"/>
  <c r="N1368" i="6"/>
  <c r="N1356" i="6"/>
  <c r="N1348" i="6"/>
  <c r="N1342" i="6"/>
  <c r="N1308" i="6"/>
  <c r="N1305" i="6"/>
  <c r="N1288" i="6"/>
  <c r="N1286" i="6"/>
  <c r="N1281" i="6"/>
  <c r="N1272" i="6"/>
  <c r="N1249" i="6"/>
  <c r="N1246" i="6"/>
  <c r="N1239" i="6"/>
  <c r="N1237" i="6"/>
  <c r="N1236" i="6"/>
  <c r="N1234" i="6"/>
  <c r="N1232" i="6"/>
  <c r="N1229" i="6"/>
  <c r="N1227" i="6"/>
  <c r="N1225" i="6"/>
  <c r="N1222" i="6"/>
  <c r="N1220" i="6"/>
  <c r="N1217" i="6"/>
  <c r="N1214" i="6"/>
  <c r="N1211" i="6"/>
  <c r="N1209" i="6"/>
  <c r="N1207" i="6"/>
  <c r="N1205" i="6"/>
  <c r="N1203" i="6"/>
  <c r="N1201" i="6"/>
  <c r="N1199" i="6"/>
  <c r="N1198" i="6"/>
  <c r="N1196" i="6"/>
  <c r="N1194" i="6"/>
  <c r="N1192" i="6"/>
  <c r="N1190" i="6"/>
  <c r="N1187" i="6"/>
  <c r="N1185" i="6"/>
  <c r="N1182" i="6"/>
  <c r="N1180" i="6"/>
  <c r="N1178" i="6"/>
  <c r="N1176" i="6"/>
  <c r="N1171" i="6"/>
  <c r="N1169" i="6"/>
  <c r="N1167" i="6"/>
  <c r="N1166" i="6"/>
  <c r="N1164" i="6"/>
  <c r="N1162" i="6"/>
  <c r="N1160" i="6"/>
  <c r="N1158" i="6"/>
  <c r="N1156" i="6"/>
  <c r="N1154" i="6"/>
  <c r="N1152" i="6"/>
  <c r="N1150" i="6"/>
  <c r="N1149" i="6"/>
  <c r="N1148" i="6"/>
  <c r="N1146" i="6"/>
  <c r="N1145" i="6"/>
  <c r="N1142" i="6"/>
  <c r="N1139" i="6"/>
  <c r="N1136" i="6"/>
  <c r="N1134" i="6"/>
  <c r="N1132" i="6"/>
  <c r="N1130" i="6"/>
  <c r="N1129" i="6"/>
  <c r="N1128" i="6"/>
  <c r="N1126" i="6"/>
  <c r="N1124" i="6"/>
  <c r="N1122" i="6"/>
  <c r="N1119" i="6"/>
  <c r="N1118" i="6"/>
  <c r="N1117" i="6"/>
  <c r="N1115" i="6"/>
  <c r="N1113" i="6"/>
  <c r="N1106" i="6"/>
  <c r="N1104" i="6"/>
  <c r="N1103" i="6"/>
  <c r="N1102" i="6"/>
  <c r="N1097" i="6"/>
  <c r="N1088" i="6"/>
  <c r="N1085" i="6"/>
  <c r="N1074" i="6"/>
  <c r="N1073" i="6"/>
  <c r="N1069" i="6"/>
  <c r="N1067" i="6"/>
  <c r="N1064" i="6"/>
  <c r="N1061" i="6"/>
  <c r="N1059" i="6"/>
  <c r="N1057" i="6"/>
  <c r="N1055" i="6"/>
  <c r="N1053" i="6"/>
  <c r="N1051" i="6"/>
  <c r="N1050" i="6"/>
  <c r="N1048" i="6"/>
  <c r="N1046" i="6"/>
  <c r="N1044" i="6"/>
  <c r="N1042" i="6"/>
  <c r="N1040" i="6"/>
  <c r="N1039" i="6"/>
  <c r="N1038" i="6"/>
  <c r="N1037" i="6"/>
  <c r="N1036" i="6"/>
  <c r="N1035" i="6"/>
  <c r="N1034" i="6"/>
  <c r="N1032" i="6"/>
  <c r="N1030" i="6"/>
  <c r="N1028" i="6"/>
  <c r="N1026" i="6"/>
  <c r="N1025" i="6"/>
  <c r="N1024" i="6"/>
  <c r="N1022" i="6"/>
  <c r="N1020" i="6"/>
  <c r="N1018" i="6"/>
  <c r="N1017" i="6"/>
  <c r="N1015" i="6"/>
  <c r="N1013" i="6"/>
  <c r="N1011" i="6"/>
  <c r="N1010" i="6"/>
  <c r="N1008" i="6"/>
  <c r="N1006" i="6"/>
  <c r="N1004" i="6"/>
  <c r="N1002" i="6"/>
  <c r="N1000" i="6"/>
  <c r="N999" i="6"/>
  <c r="N997" i="6"/>
  <c r="N994" i="6"/>
  <c r="N991" i="6"/>
  <c r="N989" i="6"/>
  <c r="N987" i="6"/>
  <c r="N983" i="6"/>
  <c r="N977" i="6"/>
  <c r="N974" i="6"/>
  <c r="N972" i="6"/>
  <c r="N970" i="6"/>
  <c r="N968" i="6"/>
  <c r="N966" i="6"/>
  <c r="N964" i="6"/>
  <c r="N962" i="6"/>
  <c r="N960" i="6"/>
  <c r="N953" i="6"/>
  <c r="N948" i="6"/>
  <c r="N946" i="6"/>
  <c r="N936" i="6"/>
  <c r="N924" i="6"/>
  <c r="N913" i="6"/>
  <c r="N906" i="6"/>
  <c r="N904" i="6"/>
  <c r="N899" i="6"/>
  <c r="N897" i="6"/>
  <c r="N895" i="6"/>
  <c r="N893" i="6"/>
  <c r="N886" i="6"/>
  <c r="N884" i="6"/>
  <c r="N882" i="6"/>
  <c r="N879" i="6"/>
  <c r="N875" i="6"/>
  <c r="N874" i="6"/>
  <c r="N872" i="6"/>
  <c r="N870" i="6"/>
  <c r="N869" i="6"/>
  <c r="N867" i="6"/>
  <c r="N864" i="6"/>
  <c r="N860" i="6"/>
  <c r="N857" i="6"/>
  <c r="N852" i="6"/>
  <c r="N851" i="6"/>
  <c r="N848" i="6"/>
  <c r="N847" i="6"/>
  <c r="N842" i="6"/>
  <c r="N838" i="6"/>
  <c r="N834" i="6"/>
  <c r="N830" i="6"/>
  <c r="N829" i="6"/>
  <c r="N823" i="6"/>
  <c r="N822" i="6"/>
  <c r="N821" i="6"/>
  <c r="N819" i="6"/>
  <c r="N817" i="6"/>
  <c r="N816" i="6"/>
  <c r="N813" i="6"/>
  <c r="N811" i="6"/>
  <c r="N810" i="6"/>
  <c r="N806" i="6"/>
  <c r="N805" i="6"/>
  <c r="N804" i="6"/>
  <c r="N798" i="6"/>
  <c r="N797" i="6"/>
  <c r="N796" i="6"/>
  <c r="N795" i="6"/>
  <c r="N794" i="6"/>
  <c r="N793" i="6"/>
  <c r="N790" i="6"/>
  <c r="N789" i="6"/>
  <c r="N787" i="6"/>
  <c r="N786" i="6"/>
  <c r="N785" i="6"/>
  <c r="N782" i="6"/>
  <c r="N781" i="6"/>
  <c r="N780" i="6"/>
  <c r="N778" i="6"/>
  <c r="N775" i="6"/>
  <c r="N774" i="6"/>
  <c r="N772" i="6"/>
  <c r="N771" i="6"/>
  <c r="N770" i="6"/>
  <c r="N768" i="6"/>
  <c r="N767" i="6"/>
  <c r="N765" i="6"/>
  <c r="N762" i="6"/>
  <c r="N761" i="6"/>
  <c r="N759" i="6"/>
  <c r="N758" i="6"/>
  <c r="N754" i="6"/>
  <c r="N751" i="6"/>
  <c r="N750" i="6"/>
  <c r="N749" i="6"/>
  <c r="N746" i="6"/>
  <c r="N744" i="6"/>
  <c r="N741" i="6"/>
  <c r="N739" i="6"/>
  <c r="N736" i="6"/>
  <c r="N733" i="6"/>
  <c r="N732" i="6"/>
  <c r="N729" i="6"/>
  <c r="N725" i="6"/>
  <c r="N724" i="6"/>
  <c r="N723" i="6"/>
  <c r="N721" i="6"/>
  <c r="N720" i="6"/>
  <c r="N718" i="6"/>
  <c r="N716" i="6"/>
  <c r="N715" i="6"/>
  <c r="N712" i="6"/>
  <c r="N709" i="6"/>
  <c r="N700" i="6"/>
  <c r="N683" i="6"/>
  <c r="N679" i="6"/>
  <c r="N672" i="6"/>
  <c r="N659" i="6"/>
  <c r="N658" i="6"/>
  <c r="N654" i="6"/>
  <c r="N642" i="6"/>
  <c r="N638" i="6"/>
  <c r="N636" i="6"/>
  <c r="N633" i="6"/>
  <c r="N632" i="6"/>
  <c r="N628" i="6"/>
  <c r="N627" i="6"/>
  <c r="N626" i="6"/>
  <c r="N625" i="6"/>
  <c r="N623" i="6"/>
  <c r="N622" i="6"/>
  <c r="N617" i="6"/>
  <c r="N615" i="6"/>
  <c r="N613" i="6"/>
  <c r="N609" i="6"/>
  <c r="N603" i="6"/>
  <c r="N600" i="6"/>
  <c r="N599" i="6"/>
  <c r="N598" i="6"/>
  <c r="N596" i="6"/>
  <c r="N594" i="6"/>
  <c r="N592" i="6"/>
  <c r="N590" i="6"/>
  <c r="N587" i="6"/>
  <c r="N584" i="6"/>
  <c r="N577" i="6"/>
  <c r="N575" i="6"/>
  <c r="N571" i="6"/>
  <c r="N569" i="6"/>
  <c r="N567" i="6"/>
  <c r="N562" i="6"/>
  <c r="N560" i="6"/>
  <c r="N559" i="6"/>
  <c r="N558" i="6"/>
  <c r="N555" i="6"/>
  <c r="N554" i="6"/>
  <c r="N552" i="6"/>
  <c r="N549" i="6"/>
  <c r="N545" i="6"/>
  <c r="N541" i="6"/>
  <c r="N540" i="6"/>
  <c r="N539" i="6"/>
  <c r="N536" i="6"/>
  <c r="N535" i="6"/>
  <c r="N529" i="6"/>
  <c r="N524" i="6"/>
  <c r="N521" i="6"/>
  <c r="N512" i="6"/>
  <c r="N502" i="6"/>
  <c r="N477" i="6"/>
  <c r="N476" i="6"/>
  <c r="N466" i="6"/>
  <c r="N465" i="6"/>
  <c r="N463" i="6"/>
  <c r="N459" i="6"/>
  <c r="N454" i="6"/>
  <c r="N451" i="6"/>
  <c r="N448" i="6"/>
  <c r="N444" i="6"/>
  <c r="N442" i="6"/>
  <c r="N440" i="6"/>
  <c r="N438" i="6"/>
  <c r="N436" i="6"/>
  <c r="N433" i="6"/>
  <c r="N431" i="6"/>
  <c r="N430" i="6"/>
  <c r="N428" i="6"/>
  <c r="N426" i="6"/>
  <c r="N421" i="6"/>
  <c r="N416" i="6"/>
  <c r="N413" i="6"/>
  <c r="N411" i="6"/>
  <c r="N406" i="6"/>
  <c r="N404" i="6"/>
  <c r="N402" i="6"/>
  <c r="N399" i="6"/>
  <c r="N397" i="6"/>
  <c r="N395" i="6"/>
  <c r="N393" i="6"/>
  <c r="N390" i="6"/>
  <c r="N389" i="6"/>
  <c r="N387" i="6"/>
  <c r="N386" i="6"/>
  <c r="N385" i="6"/>
  <c r="N383" i="6"/>
  <c r="N381" i="6"/>
  <c r="N378" i="6"/>
  <c r="N376" i="6"/>
  <c r="N370" i="6"/>
  <c r="N368" i="6"/>
  <c r="N366" i="6"/>
  <c r="N364" i="6"/>
  <c r="N362" i="6"/>
  <c r="N361" i="6"/>
  <c r="N358" i="6"/>
  <c r="N355" i="6"/>
  <c r="N353" i="6"/>
  <c r="N349" i="6"/>
  <c r="N347" i="6"/>
  <c r="N345" i="6"/>
  <c r="N343" i="6"/>
  <c r="N341" i="6"/>
  <c r="N339" i="6"/>
  <c r="N336" i="6"/>
  <c r="N334" i="6"/>
  <c r="N326" i="6"/>
  <c r="N323" i="6"/>
  <c r="N320" i="6"/>
  <c r="N306" i="6"/>
  <c r="N305" i="6"/>
  <c r="N293" i="6"/>
  <c r="N290" i="6"/>
  <c r="N285" i="6"/>
  <c r="N281" i="6"/>
  <c r="N278" i="6"/>
  <c r="N276" i="6"/>
  <c r="N275" i="6"/>
  <c r="N274" i="6"/>
  <c r="N268" i="6"/>
  <c r="N266" i="6"/>
  <c r="N263" i="6"/>
  <c r="N261" i="6"/>
  <c r="N256" i="6"/>
  <c r="N254" i="6"/>
  <c r="N251" i="6"/>
  <c r="N248" i="6"/>
  <c r="N246" i="6"/>
  <c r="N244" i="6"/>
  <c r="N240" i="6"/>
  <c r="N239" i="6"/>
  <c r="N236" i="6"/>
  <c r="N235" i="6"/>
  <c r="N233" i="6"/>
  <c r="N230" i="6"/>
  <c r="N228" i="6"/>
  <c r="N225" i="6"/>
  <c r="N224" i="6"/>
  <c r="N222" i="6"/>
  <c r="N221" i="6"/>
  <c r="N214" i="6"/>
  <c r="N212" i="6"/>
  <c r="N208" i="6"/>
  <c r="N203" i="6"/>
  <c r="N201" i="6"/>
  <c r="N199" i="6"/>
  <c r="N197" i="6"/>
  <c r="N195" i="6"/>
  <c r="N192" i="6"/>
  <c r="N191" i="6"/>
  <c r="N189" i="6"/>
  <c r="N185" i="6"/>
  <c r="N182" i="6"/>
  <c r="N153" i="6"/>
  <c r="N151" i="6"/>
  <c r="N149" i="6"/>
  <c r="N148" i="6"/>
  <c r="N147" i="6"/>
  <c r="N144" i="6"/>
  <c r="N143" i="6"/>
  <c r="N141" i="6"/>
  <c r="N136" i="6"/>
  <c r="N135" i="6"/>
  <c r="N129" i="6"/>
  <c r="N128" i="6"/>
  <c r="N127" i="6"/>
  <c r="N122" i="6"/>
  <c r="N120" i="6"/>
  <c r="N118" i="6"/>
  <c r="N115" i="6"/>
  <c r="N114" i="6"/>
  <c r="N112" i="6"/>
  <c r="N107" i="6"/>
  <c r="N104" i="6"/>
  <c r="N103" i="6"/>
  <c r="N102" i="6"/>
  <c r="N100" i="6"/>
  <c r="N99" i="6"/>
  <c r="N96" i="6"/>
  <c r="N93" i="6"/>
  <c r="N92" i="6"/>
  <c r="N90" i="6"/>
  <c r="N89" i="6"/>
  <c r="N88" i="6"/>
  <c r="N84" i="6"/>
  <c r="N80" i="6"/>
  <c r="N79" i="6"/>
  <c r="N78" i="6"/>
  <c r="N76" i="6"/>
  <c r="N75" i="6"/>
  <c r="N72" i="6"/>
  <c r="N71" i="6"/>
  <c r="N66" i="6"/>
  <c r="N65" i="6"/>
  <c r="N64" i="6"/>
  <c r="N61" i="6"/>
  <c r="N59" i="6"/>
  <c r="N53" i="6"/>
  <c r="N51" i="6"/>
  <c r="N48" i="6"/>
  <c r="N47" i="6"/>
  <c r="N45" i="6"/>
  <c r="N44" i="6"/>
  <c r="N41" i="6"/>
  <c r="N40" i="6"/>
  <c r="N38" i="6"/>
  <c r="N10" i="6"/>
  <c r="N5" i="6"/>
  <c r="N4" i="6"/>
  <c r="N3" i="6"/>
  <c r="M2755" i="6"/>
  <c r="M2754" i="6"/>
  <c r="M2753" i="6"/>
  <c r="M2750" i="6"/>
  <c r="M2749" i="6"/>
  <c r="M2743" i="6"/>
  <c r="M2742" i="6"/>
  <c r="M2736" i="6"/>
  <c r="M2733" i="6"/>
  <c r="M2725" i="6"/>
  <c r="M2721" i="6"/>
  <c r="M2717" i="6"/>
  <c r="M2714" i="6"/>
  <c r="M2712" i="6"/>
  <c r="M2711" i="6"/>
  <c r="M2708" i="6"/>
  <c r="M2707" i="6"/>
  <c r="M2700" i="6"/>
  <c r="M2698" i="6"/>
  <c r="M2693" i="6"/>
  <c r="M2691" i="6"/>
  <c r="M2686" i="6"/>
  <c r="M2684" i="6"/>
  <c r="M2680" i="6"/>
  <c r="M2679" i="6"/>
  <c r="M2676" i="6"/>
  <c r="M2671" i="6"/>
  <c r="M2670" i="6"/>
  <c r="M2653" i="6"/>
  <c r="M2646" i="6"/>
  <c r="M2643" i="6"/>
  <c r="M2641" i="6"/>
  <c r="M2638" i="6"/>
  <c r="M2637" i="6"/>
  <c r="M2633" i="6"/>
  <c r="M2631" i="6"/>
  <c r="M2630" i="6"/>
  <c r="M2628" i="6"/>
  <c r="M2627" i="6"/>
  <c r="M2624" i="6"/>
  <c r="M2623" i="6"/>
  <c r="M2622" i="6"/>
  <c r="M2620" i="6"/>
  <c r="M2618" i="6"/>
  <c r="M2616" i="6"/>
  <c r="M2613" i="6"/>
  <c r="M2612" i="6"/>
  <c r="M2610" i="6"/>
  <c r="M2608" i="6"/>
  <c r="M2606" i="6"/>
  <c r="M2603" i="6"/>
  <c r="M2602" i="6"/>
  <c r="M2601" i="6"/>
  <c r="M2599" i="6"/>
  <c r="M2596" i="6"/>
  <c r="M2595" i="6"/>
  <c r="M2590" i="6"/>
  <c r="M2588" i="6"/>
  <c r="M2585" i="6"/>
  <c r="M2584" i="6"/>
  <c r="M2583" i="6"/>
  <c r="M2580" i="6"/>
  <c r="M2579" i="6"/>
  <c r="M2577" i="6"/>
  <c r="M2576" i="6"/>
  <c r="M2568" i="6"/>
  <c r="M2558" i="6"/>
  <c r="M2554" i="6"/>
  <c r="M2553" i="6"/>
  <c r="M2546" i="6"/>
  <c r="M2545" i="6"/>
  <c r="M2544" i="6"/>
  <c r="M2539" i="6"/>
  <c r="M2536" i="6"/>
  <c r="M2534" i="6"/>
  <c r="M2529" i="6"/>
  <c r="M2527" i="6"/>
  <c r="M2525" i="6"/>
  <c r="M2523" i="6"/>
  <c r="M2522" i="6"/>
  <c r="M2521" i="6"/>
  <c r="M2519" i="6"/>
  <c r="M2516" i="6"/>
  <c r="M2515" i="6"/>
  <c r="M2514" i="6"/>
  <c r="M2513" i="6"/>
  <c r="M2509" i="6"/>
  <c r="M2507" i="6"/>
  <c r="M2506" i="6"/>
  <c r="M2503" i="6"/>
  <c r="M2499" i="6"/>
  <c r="M2498" i="6"/>
  <c r="M2495" i="6"/>
  <c r="M2487" i="6"/>
  <c r="M2486" i="6"/>
  <c r="M2485" i="6"/>
  <c r="M2483" i="6"/>
  <c r="M2465" i="6"/>
  <c r="M2457" i="6"/>
  <c r="M2428" i="6"/>
  <c r="M2412" i="6"/>
  <c r="M2401" i="6"/>
  <c r="M2399" i="6"/>
  <c r="M2383" i="6"/>
  <c r="M2381" i="6"/>
  <c r="M2378" i="6"/>
  <c r="M2376" i="6"/>
  <c r="M2375" i="6"/>
  <c r="M2371" i="6"/>
  <c r="M2366" i="6"/>
  <c r="M2363" i="6"/>
  <c r="M2360" i="6"/>
  <c r="M2357" i="6"/>
  <c r="M2338" i="6"/>
  <c r="M2334" i="6"/>
  <c r="M2332" i="6"/>
  <c r="M2327" i="6"/>
  <c r="M2318" i="6"/>
  <c r="M2316" i="6"/>
  <c r="M2311" i="6"/>
  <c r="M2310" i="6"/>
  <c r="M2309" i="6"/>
  <c r="M2307" i="6"/>
  <c r="M2305" i="6"/>
  <c r="M2303" i="6"/>
  <c r="M2296" i="6"/>
  <c r="M2294" i="6"/>
  <c r="M2292" i="6"/>
  <c r="M2288" i="6"/>
  <c r="M2287" i="6"/>
  <c r="M2281" i="6"/>
  <c r="M2275" i="6"/>
  <c r="M2274" i="6"/>
  <c r="M2267" i="6"/>
  <c r="M2258" i="6"/>
  <c r="M2254" i="6"/>
  <c r="M2253" i="6"/>
  <c r="M2250" i="6"/>
  <c r="M2242" i="6"/>
  <c r="M2231" i="6"/>
  <c r="M2224" i="6"/>
  <c r="M2188" i="6"/>
  <c r="M2186" i="6"/>
  <c r="M2183" i="6"/>
  <c r="M2181" i="6"/>
  <c r="M2180" i="6"/>
  <c r="M2176" i="6"/>
  <c r="M2174" i="6"/>
  <c r="M2167" i="6"/>
  <c r="M2166" i="6"/>
  <c r="M2164" i="6"/>
  <c r="M2162" i="6"/>
  <c r="M2159" i="6"/>
  <c r="M2158" i="6"/>
  <c r="M2154" i="6"/>
  <c r="M2152" i="6"/>
  <c r="M2150" i="6"/>
  <c r="M2147" i="6"/>
  <c r="M2145" i="6"/>
  <c r="M2144" i="6"/>
  <c r="M2143" i="6"/>
  <c r="M2141" i="6"/>
  <c r="M2138" i="6"/>
  <c r="M2133" i="6"/>
  <c r="M2132" i="6"/>
  <c r="M2131" i="6"/>
  <c r="M2130" i="6"/>
  <c r="M2128" i="6"/>
  <c r="M2127" i="6"/>
  <c r="M2126" i="6"/>
  <c r="M2125" i="6"/>
  <c r="M2121" i="6"/>
  <c r="M2120" i="6"/>
  <c r="M2119" i="6"/>
  <c r="M2117" i="6"/>
  <c r="M2116" i="6"/>
  <c r="M2115" i="6"/>
  <c r="M2114" i="6"/>
  <c r="M2112" i="6"/>
  <c r="M2110" i="6"/>
  <c r="M2109" i="6"/>
  <c r="M2105" i="6"/>
  <c r="M2103" i="6"/>
  <c r="M2100" i="6"/>
  <c r="M2097" i="6"/>
  <c r="M2096" i="6"/>
  <c r="M2092" i="6"/>
  <c r="M2091" i="6"/>
  <c r="M2090" i="6"/>
  <c r="M2089" i="6"/>
  <c r="M2088" i="6"/>
  <c r="M2087" i="6"/>
  <c r="M2085" i="6"/>
  <c r="M2084" i="6"/>
  <c r="M2083" i="6"/>
  <c r="M2082" i="6"/>
  <c r="M2081" i="6"/>
  <c r="M2080" i="6"/>
  <c r="M2078" i="6"/>
  <c r="M2076" i="6"/>
  <c r="M2075" i="6"/>
  <c r="M2074" i="6"/>
  <c r="M2073" i="6"/>
  <c r="M2072" i="6"/>
  <c r="M2071" i="6"/>
  <c r="M2070" i="6"/>
  <c r="M2068" i="6"/>
  <c r="M2066" i="6"/>
  <c r="M2065" i="6"/>
  <c r="M2063" i="6"/>
  <c r="M2062" i="6"/>
  <c r="M2061" i="6"/>
  <c r="M2060" i="6"/>
  <c r="M2058" i="6"/>
  <c r="M2057" i="6"/>
  <c r="M2056" i="6"/>
  <c r="M2055" i="6"/>
  <c r="M2054" i="6"/>
  <c r="M2053" i="6"/>
  <c r="M2051" i="6"/>
  <c r="M2050" i="6"/>
  <c r="M2049" i="6"/>
  <c r="M2048" i="6"/>
  <c r="M2047" i="6"/>
  <c r="M2044" i="6"/>
  <c r="M2042" i="6"/>
  <c r="M2041" i="6"/>
  <c r="M2039" i="6"/>
  <c r="M2036" i="6"/>
  <c r="M2034" i="6"/>
  <c r="M2033" i="6"/>
  <c r="M2031" i="6"/>
  <c r="M2025" i="6"/>
  <c r="M2023" i="6"/>
  <c r="M2020" i="6"/>
  <c r="M2019" i="6"/>
  <c r="M2018" i="6"/>
  <c r="M2017" i="6"/>
  <c r="M2013" i="6"/>
  <c r="M2012" i="6"/>
  <c r="M2011" i="6"/>
  <c r="M2007" i="6"/>
  <c r="M2006" i="6"/>
  <c r="M2005" i="6"/>
  <c r="M2003" i="6"/>
  <c r="M1999" i="6"/>
  <c r="M1987" i="6"/>
  <c r="M1983" i="6"/>
  <c r="M1981" i="6"/>
  <c r="M1977" i="6"/>
  <c r="M1974" i="6"/>
  <c r="M1969" i="6"/>
  <c r="M1966" i="6"/>
  <c r="M1962" i="6"/>
  <c r="M1953" i="6"/>
  <c r="M1930" i="6"/>
  <c r="M1928" i="6"/>
  <c r="M1925" i="6"/>
  <c r="M1924" i="6"/>
  <c r="M1923" i="6"/>
  <c r="M1922" i="6"/>
  <c r="M1920" i="6"/>
  <c r="M1919" i="6"/>
  <c r="M1916" i="6"/>
  <c r="M1914" i="6"/>
  <c r="M1913" i="6"/>
  <c r="M1912" i="6"/>
  <c r="M1907" i="6"/>
  <c r="M1905" i="6"/>
  <c r="M1902" i="6"/>
  <c r="M1901" i="6"/>
  <c r="M1899" i="6"/>
  <c r="M1894" i="6"/>
  <c r="M1893" i="6"/>
  <c r="M1886" i="6"/>
  <c r="M1884" i="6"/>
  <c r="M1883" i="6"/>
  <c r="M1881" i="6"/>
  <c r="M1878" i="6"/>
  <c r="M1877" i="6"/>
  <c r="M1874" i="6"/>
  <c r="M1872" i="6"/>
  <c r="M1869" i="6"/>
  <c r="M1867" i="6"/>
  <c r="M1864" i="6"/>
  <c r="M1861" i="6"/>
  <c r="M1859" i="6"/>
  <c r="M1855" i="6"/>
  <c r="M1854" i="6"/>
  <c r="M1852" i="6"/>
  <c r="M1850" i="6"/>
  <c r="M1848" i="6"/>
  <c r="M1846" i="6"/>
  <c r="M1842" i="6"/>
  <c r="M1840" i="6"/>
  <c r="M1839" i="6"/>
  <c r="M1838" i="6"/>
  <c r="M1836" i="6"/>
  <c r="M1813" i="6"/>
  <c r="M1788" i="6"/>
  <c r="M1786" i="6"/>
  <c r="M1784" i="6"/>
  <c r="M1782" i="6"/>
  <c r="M1779" i="6"/>
  <c r="M1777" i="6"/>
  <c r="M1775" i="6"/>
  <c r="M1773" i="6"/>
  <c r="M1768" i="6"/>
  <c r="M1767" i="6"/>
  <c r="M1765" i="6"/>
  <c r="M1763" i="6"/>
  <c r="M1761" i="6"/>
  <c r="M1760" i="6"/>
  <c r="M1759" i="6"/>
  <c r="M1757" i="6"/>
  <c r="M1755" i="6"/>
  <c r="M1754" i="6"/>
  <c r="M1749" i="6"/>
  <c r="M1746" i="6"/>
  <c r="M1743" i="6"/>
  <c r="M1742" i="6"/>
  <c r="M1740" i="6"/>
  <c r="M1739" i="6"/>
  <c r="M1738" i="6"/>
  <c r="M1737" i="6"/>
  <c r="M1736" i="6"/>
  <c r="M1735" i="6"/>
  <c r="M1734" i="6"/>
  <c r="M1733" i="6"/>
  <c r="M1732" i="6"/>
  <c r="M1730" i="6"/>
  <c r="M1727" i="6"/>
  <c r="M1724" i="6"/>
  <c r="M1721" i="6"/>
  <c r="M1718" i="6"/>
  <c r="M1716" i="6"/>
  <c r="M1713" i="6"/>
  <c r="M1711" i="6"/>
  <c r="M1704" i="6"/>
  <c r="M1703" i="6"/>
  <c r="M1702" i="6"/>
  <c r="M1699" i="6"/>
  <c r="M1694" i="6"/>
  <c r="M1692" i="6"/>
  <c r="M1689" i="6"/>
  <c r="M1688" i="6"/>
  <c r="M1686" i="6"/>
  <c r="M1685" i="6"/>
  <c r="M1681" i="6"/>
  <c r="M1679" i="6"/>
  <c r="M1677" i="6"/>
  <c r="M1675" i="6"/>
  <c r="M1673" i="6"/>
  <c r="M1671" i="6"/>
  <c r="M1666" i="6"/>
  <c r="M1665" i="6"/>
  <c r="M1662" i="6"/>
  <c r="M1657" i="6"/>
  <c r="M1656" i="6"/>
  <c r="M1655" i="6"/>
  <c r="M1652" i="6"/>
  <c r="M1649" i="6"/>
  <c r="M1647" i="6"/>
  <c r="M1641" i="6"/>
  <c r="M1639" i="6"/>
  <c r="M1637" i="6"/>
  <c r="M1621" i="6"/>
  <c r="M1613" i="6"/>
  <c r="M1602" i="6"/>
  <c r="M1594" i="6"/>
  <c r="M1592" i="6"/>
  <c r="M1590" i="6"/>
  <c r="M1589" i="6"/>
  <c r="M1587" i="6"/>
  <c r="M1585" i="6"/>
  <c r="M1584" i="6"/>
  <c r="M1581" i="6"/>
  <c r="M1580" i="6"/>
  <c r="M1579" i="6"/>
  <c r="M1578" i="6"/>
  <c r="M1576" i="6"/>
  <c r="M1575" i="6"/>
  <c r="M1574" i="6"/>
  <c r="M1573" i="6"/>
  <c r="M1570" i="6"/>
  <c r="M1564" i="6"/>
  <c r="M1562" i="6"/>
  <c r="M1560" i="6"/>
  <c r="M1559" i="6"/>
  <c r="M1558" i="6"/>
  <c r="M1557" i="6"/>
  <c r="M1556" i="6"/>
  <c r="M1554" i="6"/>
  <c r="M1553" i="6"/>
  <c r="M1552" i="6"/>
  <c r="M1550" i="6"/>
  <c r="M1549" i="6"/>
  <c r="M1548" i="6"/>
  <c r="M1546" i="6"/>
  <c r="M1544" i="6"/>
  <c r="M1539" i="6"/>
  <c r="M1538" i="6"/>
  <c r="M1534" i="6"/>
  <c r="M1532" i="6"/>
  <c r="M1531" i="6"/>
  <c r="M1530" i="6"/>
  <c r="M1505" i="6"/>
  <c r="M1501" i="6"/>
  <c r="M1482" i="6"/>
  <c r="M1480" i="6"/>
  <c r="M1479" i="6"/>
  <c r="M1478" i="6"/>
  <c r="M1477" i="6"/>
  <c r="M1472" i="6"/>
  <c r="M1465" i="6"/>
  <c r="M1462" i="6"/>
  <c r="M1459" i="6"/>
  <c r="M1453" i="6"/>
  <c r="M1452" i="6"/>
  <c r="M1441" i="6"/>
  <c r="M1433" i="6"/>
  <c r="M1429" i="6"/>
  <c r="M1428" i="6"/>
  <c r="M1383" i="6"/>
  <c r="M1370" i="6"/>
  <c r="M1369" i="6"/>
  <c r="M1368" i="6"/>
  <c r="M1356" i="6"/>
  <c r="M1348" i="6"/>
  <c r="M1342" i="6"/>
  <c r="M1308" i="6"/>
  <c r="M1305" i="6"/>
  <c r="M1288" i="6"/>
  <c r="M1286" i="6"/>
  <c r="M1281" i="6"/>
  <c r="M1272" i="6"/>
  <c r="M1249" i="6"/>
  <c r="M1246" i="6"/>
  <c r="M1239" i="6"/>
  <c r="M1237" i="6"/>
  <c r="M1236" i="6"/>
  <c r="M1234" i="6"/>
  <c r="M1232" i="6"/>
  <c r="M1229" i="6"/>
  <c r="M1227" i="6"/>
  <c r="M1225" i="6"/>
  <c r="M1222" i="6"/>
  <c r="M1220" i="6"/>
  <c r="M1217" i="6"/>
  <c r="M1214" i="6"/>
  <c r="M1211" i="6"/>
  <c r="M1209" i="6"/>
  <c r="M1207" i="6"/>
  <c r="M1205" i="6"/>
  <c r="M1203" i="6"/>
  <c r="M1201" i="6"/>
  <c r="M1199" i="6"/>
  <c r="M1198" i="6"/>
  <c r="M1196" i="6"/>
  <c r="M1194" i="6"/>
  <c r="M1192" i="6"/>
  <c r="M1190" i="6"/>
  <c r="M1187" i="6"/>
  <c r="M1185" i="6"/>
  <c r="M1182" i="6"/>
  <c r="M1180" i="6"/>
  <c r="M1178" i="6"/>
  <c r="M1176" i="6"/>
  <c r="M1171" i="6"/>
  <c r="M1169" i="6"/>
  <c r="M1167" i="6"/>
  <c r="M1166" i="6"/>
  <c r="M1164" i="6"/>
  <c r="M1162" i="6"/>
  <c r="M1160" i="6"/>
  <c r="M1158" i="6"/>
  <c r="M1156" i="6"/>
  <c r="M1154" i="6"/>
  <c r="M1152" i="6"/>
  <c r="M1150" i="6"/>
  <c r="M1149" i="6"/>
  <c r="M1148" i="6"/>
  <c r="M1146" i="6"/>
  <c r="M1145" i="6"/>
  <c r="M1142" i="6"/>
  <c r="M1139" i="6"/>
  <c r="M1136" i="6"/>
  <c r="M1134" i="6"/>
  <c r="M1132" i="6"/>
  <c r="M1130" i="6"/>
  <c r="M1129" i="6"/>
  <c r="M1128" i="6"/>
  <c r="M1126" i="6"/>
  <c r="M1124" i="6"/>
  <c r="M1122" i="6"/>
  <c r="M1119" i="6"/>
  <c r="M1118" i="6"/>
  <c r="M1117" i="6"/>
  <c r="M1115" i="6"/>
  <c r="M1113" i="6"/>
  <c r="M1106" i="6"/>
  <c r="M1104" i="6"/>
  <c r="M1103" i="6"/>
  <c r="M1102" i="6"/>
  <c r="M1097" i="6"/>
  <c r="M1088" i="6"/>
  <c r="M1085" i="6"/>
  <c r="M1074" i="6"/>
  <c r="M1073" i="6"/>
  <c r="M1069" i="6"/>
  <c r="M1067" i="6"/>
  <c r="M1064" i="6"/>
  <c r="M1061" i="6"/>
  <c r="M1059" i="6"/>
  <c r="M1057" i="6"/>
  <c r="M1055" i="6"/>
  <c r="M1053" i="6"/>
  <c r="M1051" i="6"/>
  <c r="M1050" i="6"/>
  <c r="M1048" i="6"/>
  <c r="M1046" i="6"/>
  <c r="M1044" i="6"/>
  <c r="M1042" i="6"/>
  <c r="M1040" i="6"/>
  <c r="M1039" i="6"/>
  <c r="M1038" i="6"/>
  <c r="M1037" i="6"/>
  <c r="M1036" i="6"/>
  <c r="M1035" i="6"/>
  <c r="M1034" i="6"/>
  <c r="M1032" i="6"/>
  <c r="M1030" i="6"/>
  <c r="M1028" i="6"/>
  <c r="M1026" i="6"/>
  <c r="M1025" i="6"/>
  <c r="M1024" i="6"/>
  <c r="M1022" i="6"/>
  <c r="M1020" i="6"/>
  <c r="M1018" i="6"/>
  <c r="M1017" i="6"/>
  <c r="M1015" i="6"/>
  <c r="M1013" i="6"/>
  <c r="M1011" i="6"/>
  <c r="M1010" i="6"/>
  <c r="M1008" i="6"/>
  <c r="M1006" i="6"/>
  <c r="M1004" i="6"/>
  <c r="M1002" i="6"/>
  <c r="M1000" i="6"/>
  <c r="M999" i="6"/>
  <c r="M997" i="6"/>
  <c r="M994" i="6"/>
  <c r="M991" i="6"/>
  <c r="M989" i="6"/>
  <c r="M987" i="6"/>
  <c r="M983" i="6"/>
  <c r="M977" i="6"/>
  <c r="M974" i="6"/>
  <c r="M972" i="6"/>
  <c r="M970" i="6"/>
  <c r="M968" i="6"/>
  <c r="M966" i="6"/>
  <c r="M964" i="6"/>
  <c r="M962" i="6"/>
  <c r="M960" i="6"/>
  <c r="M953" i="6"/>
  <c r="M948" i="6"/>
  <c r="M946" i="6"/>
  <c r="M936" i="6"/>
  <c r="M924" i="6"/>
  <c r="M913" i="6"/>
  <c r="M906" i="6"/>
  <c r="M904" i="6"/>
  <c r="M899" i="6"/>
  <c r="M897" i="6"/>
  <c r="M895" i="6"/>
  <c r="M893" i="6"/>
  <c r="M886" i="6"/>
  <c r="M884" i="6"/>
  <c r="M882" i="6"/>
  <c r="M879" i="6"/>
  <c r="M875" i="6"/>
  <c r="M874" i="6"/>
  <c r="M872" i="6"/>
  <c r="M870" i="6"/>
  <c r="M869" i="6"/>
  <c r="M867" i="6"/>
  <c r="M864" i="6"/>
  <c r="M860" i="6"/>
  <c r="M857" i="6"/>
  <c r="M852" i="6"/>
  <c r="M851" i="6"/>
  <c r="M848" i="6"/>
  <c r="M847" i="6"/>
  <c r="M842" i="6"/>
  <c r="M838" i="6"/>
  <c r="M834" i="6"/>
  <c r="M830" i="6"/>
  <c r="M829" i="6"/>
  <c r="M823" i="6"/>
  <c r="M822" i="6"/>
  <c r="M821" i="6"/>
  <c r="M819" i="6"/>
  <c r="M817" i="6"/>
  <c r="M816" i="6"/>
  <c r="M813" i="6"/>
  <c r="M811" i="6"/>
  <c r="M810" i="6"/>
  <c r="M806" i="6"/>
  <c r="M805" i="6"/>
  <c r="M804" i="6"/>
  <c r="M798" i="6"/>
  <c r="M797" i="6"/>
  <c r="M796" i="6"/>
  <c r="M795" i="6"/>
  <c r="M794" i="6"/>
  <c r="M793" i="6"/>
  <c r="M790" i="6"/>
  <c r="M789" i="6"/>
  <c r="M787" i="6"/>
  <c r="M786" i="6"/>
  <c r="M785" i="6"/>
  <c r="M782" i="6"/>
  <c r="M781" i="6"/>
  <c r="M780" i="6"/>
  <c r="M778" i="6"/>
  <c r="M775" i="6"/>
  <c r="M774" i="6"/>
  <c r="M772" i="6"/>
  <c r="M771" i="6"/>
  <c r="M770" i="6"/>
  <c r="M768" i="6"/>
  <c r="M767" i="6"/>
  <c r="M765" i="6"/>
  <c r="M762" i="6"/>
  <c r="M761" i="6"/>
  <c r="M759" i="6"/>
  <c r="M758" i="6"/>
  <c r="M754" i="6"/>
  <c r="M751" i="6"/>
  <c r="M750" i="6"/>
  <c r="M749" i="6"/>
  <c r="M746" i="6"/>
  <c r="M744" i="6"/>
  <c r="M741" i="6"/>
  <c r="M739" i="6"/>
  <c r="M736" i="6"/>
  <c r="M733" i="6"/>
  <c r="M732" i="6"/>
  <c r="M729" i="6"/>
  <c r="M725" i="6"/>
  <c r="M724" i="6"/>
  <c r="M723" i="6"/>
  <c r="M721" i="6"/>
  <c r="M720" i="6"/>
  <c r="M718" i="6"/>
  <c r="M716" i="6"/>
  <c r="M715" i="6"/>
  <c r="M712" i="6"/>
  <c r="M709" i="6"/>
  <c r="M700" i="6"/>
  <c r="M683" i="6"/>
  <c r="M679" i="6"/>
  <c r="M672" i="6"/>
  <c r="M659" i="6"/>
  <c r="M658" i="6"/>
  <c r="M654" i="6"/>
  <c r="M642" i="6"/>
  <c r="M638" i="6"/>
  <c r="M636" i="6"/>
  <c r="M633" i="6"/>
  <c r="M632" i="6"/>
  <c r="M628" i="6"/>
  <c r="M627" i="6"/>
  <c r="M626" i="6"/>
  <c r="M625" i="6"/>
  <c r="M623" i="6"/>
  <c r="M622" i="6"/>
  <c r="M617" i="6"/>
  <c r="M615" i="6"/>
  <c r="M613" i="6"/>
  <c r="M609" i="6"/>
  <c r="M603" i="6"/>
  <c r="M600" i="6"/>
  <c r="M599" i="6"/>
  <c r="M598" i="6"/>
  <c r="M596" i="6"/>
  <c r="M594" i="6"/>
  <c r="M592" i="6"/>
  <c r="M590" i="6"/>
  <c r="M587" i="6"/>
  <c r="M584" i="6"/>
  <c r="M577" i="6"/>
  <c r="M575" i="6"/>
  <c r="M571" i="6"/>
  <c r="M569" i="6"/>
  <c r="M567" i="6"/>
  <c r="M562" i="6"/>
  <c r="M560" i="6"/>
  <c r="M559" i="6"/>
  <c r="M558" i="6"/>
  <c r="M555" i="6"/>
  <c r="M554" i="6"/>
  <c r="M552" i="6"/>
  <c r="M549" i="6"/>
  <c r="M545" i="6"/>
  <c r="M541" i="6"/>
  <c r="M540" i="6"/>
  <c r="M539" i="6"/>
  <c r="M536" i="6"/>
  <c r="M535" i="6"/>
  <c r="M529" i="6"/>
  <c r="M524" i="6"/>
  <c r="M521" i="6"/>
  <c r="M512" i="6"/>
  <c r="M502" i="6"/>
  <c r="M477" i="6"/>
  <c r="M476" i="6"/>
  <c r="M466" i="6"/>
  <c r="M465" i="6"/>
  <c r="M463" i="6"/>
  <c r="M459" i="6"/>
  <c r="M454" i="6"/>
  <c r="M451" i="6"/>
  <c r="M448" i="6"/>
  <c r="M444" i="6"/>
  <c r="M442" i="6"/>
  <c r="M440" i="6"/>
  <c r="M438" i="6"/>
  <c r="M436" i="6"/>
  <c r="M433" i="6"/>
  <c r="M431" i="6"/>
  <c r="M430" i="6"/>
  <c r="M428" i="6"/>
  <c r="M426" i="6"/>
  <c r="M421" i="6"/>
  <c r="M416" i="6"/>
  <c r="M413" i="6"/>
  <c r="M411" i="6"/>
  <c r="M406" i="6"/>
  <c r="M404" i="6"/>
  <c r="M402" i="6"/>
  <c r="M399" i="6"/>
  <c r="M397" i="6"/>
  <c r="M395" i="6"/>
  <c r="M393" i="6"/>
  <c r="M390" i="6"/>
  <c r="M389" i="6"/>
  <c r="M387" i="6"/>
  <c r="M386" i="6"/>
  <c r="M385" i="6"/>
  <c r="M383" i="6"/>
  <c r="M381" i="6"/>
  <c r="M378" i="6"/>
  <c r="M376" i="6"/>
  <c r="M370" i="6"/>
  <c r="M368" i="6"/>
  <c r="M366" i="6"/>
  <c r="M364" i="6"/>
  <c r="M362" i="6"/>
  <c r="M361" i="6"/>
  <c r="M358" i="6"/>
  <c r="M355" i="6"/>
  <c r="M353" i="6"/>
  <c r="M349" i="6"/>
  <c r="M347" i="6"/>
  <c r="M345" i="6"/>
  <c r="M343" i="6"/>
  <c r="M341" i="6"/>
  <c r="M339" i="6"/>
  <c r="M336" i="6"/>
  <c r="M334" i="6"/>
  <c r="M326" i="6"/>
  <c r="M323" i="6"/>
  <c r="M320" i="6"/>
  <c r="M306" i="6"/>
  <c r="M305" i="6"/>
  <c r="M293" i="6"/>
  <c r="M290" i="6"/>
  <c r="M285" i="6"/>
  <c r="M281" i="6"/>
  <c r="M278" i="6"/>
  <c r="M276" i="6"/>
  <c r="M275" i="6"/>
  <c r="M274" i="6"/>
  <c r="M268" i="6"/>
  <c r="M266" i="6"/>
  <c r="M263" i="6"/>
  <c r="M261" i="6"/>
  <c r="M256" i="6"/>
  <c r="M254" i="6"/>
  <c r="M251" i="6"/>
  <c r="M248" i="6"/>
  <c r="M246" i="6"/>
  <c r="M244" i="6"/>
  <c r="M240" i="6"/>
  <c r="M239" i="6"/>
  <c r="M236" i="6"/>
  <c r="M235" i="6"/>
  <c r="M233" i="6"/>
  <c r="M230" i="6"/>
  <c r="M228" i="6"/>
  <c r="M225" i="6"/>
  <c r="M224" i="6"/>
  <c r="M222" i="6"/>
  <c r="M221" i="6"/>
  <c r="M214" i="6"/>
  <c r="M212" i="6"/>
  <c r="M208" i="6"/>
  <c r="M203" i="6"/>
  <c r="M201" i="6"/>
  <c r="M199" i="6"/>
  <c r="M197" i="6"/>
  <c r="M195" i="6"/>
  <c r="M192" i="6"/>
  <c r="M191" i="6"/>
  <c r="M189" i="6"/>
  <c r="M185" i="6"/>
  <c r="M182" i="6"/>
  <c r="M153" i="6"/>
  <c r="M151" i="6"/>
  <c r="M149" i="6"/>
  <c r="M148" i="6"/>
  <c r="M147" i="6"/>
  <c r="M144" i="6"/>
  <c r="M143" i="6"/>
  <c r="M141" i="6"/>
  <c r="M136" i="6"/>
  <c r="M135" i="6"/>
  <c r="M129" i="6"/>
  <c r="M128" i="6"/>
  <c r="M127" i="6"/>
  <c r="M122" i="6"/>
  <c r="M120" i="6"/>
  <c r="M118" i="6"/>
  <c r="M115" i="6"/>
  <c r="M114" i="6"/>
  <c r="M112" i="6"/>
  <c r="M107" i="6"/>
  <c r="M104" i="6"/>
  <c r="M103" i="6"/>
  <c r="M102" i="6"/>
  <c r="M100" i="6"/>
  <c r="M99" i="6"/>
  <c r="M96" i="6"/>
  <c r="M93" i="6"/>
  <c r="M92" i="6"/>
  <c r="M90" i="6"/>
  <c r="M89" i="6"/>
  <c r="M88" i="6"/>
  <c r="M84" i="6"/>
  <c r="M80" i="6"/>
  <c r="M79" i="6"/>
  <c r="M78" i="6"/>
  <c r="M76" i="6"/>
  <c r="M75" i="6"/>
  <c r="M72" i="6"/>
  <c r="M71" i="6"/>
  <c r="M66" i="6"/>
  <c r="M65" i="6"/>
  <c r="M64" i="6"/>
  <c r="M61" i="6"/>
  <c r="M59" i="6"/>
  <c r="M53" i="6"/>
  <c r="M51" i="6"/>
  <c r="M48" i="6"/>
  <c r="M47" i="6"/>
  <c r="M45" i="6"/>
  <c r="M44" i="6"/>
  <c r="M41" i="6"/>
  <c r="M40" i="6"/>
  <c r="M38" i="6"/>
  <c r="M10" i="6"/>
  <c r="M5" i="6"/>
  <c r="M4" i="6"/>
  <c r="M3" i="6"/>
  <c r="L2755" i="6"/>
  <c r="L2754" i="6"/>
  <c r="L2753" i="6"/>
  <c r="L2750" i="6"/>
  <c r="L2749" i="6"/>
  <c r="L2743" i="6"/>
  <c r="L2742" i="6"/>
  <c r="L2736" i="6"/>
  <c r="L2733" i="6"/>
  <c r="L2725" i="6"/>
  <c r="L2721" i="6"/>
  <c r="L2717" i="6"/>
  <c r="L2714" i="6"/>
  <c r="L2712" i="6"/>
  <c r="L2711" i="6"/>
  <c r="L2708" i="6"/>
  <c r="L2707" i="6"/>
  <c r="L2700" i="6"/>
  <c r="L2698" i="6"/>
  <c r="L2693" i="6"/>
  <c r="L2691" i="6"/>
  <c r="L2686" i="6"/>
  <c r="L2684" i="6"/>
  <c r="L2680" i="6"/>
  <c r="L2679" i="6"/>
  <c r="L2676" i="6"/>
  <c r="L2671" i="6"/>
  <c r="L2670" i="6"/>
  <c r="L2653" i="6"/>
  <c r="L2646" i="6"/>
  <c r="L2643" i="6"/>
  <c r="L2641" i="6"/>
  <c r="L2638" i="6"/>
  <c r="L2637" i="6"/>
  <c r="L2633" i="6"/>
  <c r="L2631" i="6"/>
  <c r="L2630" i="6"/>
  <c r="L2628" i="6"/>
  <c r="L2627" i="6"/>
  <c r="L2624" i="6"/>
  <c r="L2623" i="6"/>
  <c r="L2622" i="6"/>
  <c r="L2620" i="6"/>
  <c r="L2618" i="6"/>
  <c r="L2616" i="6"/>
  <c r="L2613" i="6"/>
  <c r="L2612" i="6"/>
  <c r="L2610" i="6"/>
  <c r="L2608" i="6"/>
  <c r="L2606" i="6"/>
  <c r="L2603" i="6"/>
  <c r="L2602" i="6"/>
  <c r="L2601" i="6"/>
  <c r="L2599" i="6"/>
  <c r="L2596" i="6"/>
  <c r="L2595" i="6"/>
  <c r="L2590" i="6"/>
  <c r="L2588" i="6"/>
  <c r="L2585" i="6"/>
  <c r="L2584" i="6"/>
  <c r="L2583" i="6"/>
  <c r="L2580" i="6"/>
  <c r="L2579" i="6"/>
  <c r="L2577" i="6"/>
  <c r="L2576" i="6"/>
  <c r="L2568" i="6"/>
  <c r="L2558" i="6"/>
  <c r="L2554" i="6"/>
  <c r="L2553" i="6"/>
  <c r="L2546" i="6"/>
  <c r="L2545" i="6"/>
  <c r="L2544" i="6"/>
  <c r="L2539" i="6"/>
  <c r="L2536" i="6"/>
  <c r="L2534" i="6"/>
  <c r="L2529" i="6"/>
  <c r="L2527" i="6"/>
  <c r="L2525" i="6"/>
  <c r="L2523" i="6"/>
  <c r="L2522" i="6"/>
  <c r="L2521" i="6"/>
  <c r="L2519" i="6"/>
  <c r="L2516" i="6"/>
  <c r="L2515" i="6"/>
  <c r="L2514" i="6"/>
  <c r="L2513" i="6"/>
  <c r="L2509" i="6"/>
  <c r="L2507" i="6"/>
  <c r="L2506" i="6"/>
  <c r="L2503" i="6"/>
  <c r="L2499" i="6"/>
  <c r="L2498" i="6"/>
  <c r="L2495" i="6"/>
  <c r="L2487" i="6"/>
  <c r="L2486" i="6"/>
  <c r="L2485" i="6"/>
  <c r="L2483" i="6"/>
  <c r="L2465" i="6"/>
  <c r="L2457" i="6"/>
  <c r="L2428" i="6"/>
  <c r="L2412" i="6"/>
  <c r="L2401" i="6"/>
  <c r="L2399" i="6"/>
  <c r="L2383" i="6"/>
  <c r="L2381" i="6"/>
  <c r="L2378" i="6"/>
  <c r="L2376" i="6"/>
  <c r="L2375" i="6"/>
  <c r="L2371" i="6"/>
  <c r="L2366" i="6"/>
  <c r="L2363" i="6"/>
  <c r="L2360" i="6"/>
  <c r="L2357" i="6"/>
  <c r="L2338" i="6"/>
  <c r="L2334" i="6"/>
  <c r="L2332" i="6"/>
  <c r="L2327" i="6"/>
  <c r="L2318" i="6"/>
  <c r="L2316" i="6"/>
  <c r="L2311" i="6"/>
  <c r="L2310" i="6"/>
  <c r="L2309" i="6"/>
  <c r="L2307" i="6"/>
  <c r="L2305" i="6"/>
  <c r="L2303" i="6"/>
  <c r="L2296" i="6"/>
  <c r="L2294" i="6"/>
  <c r="L2292" i="6"/>
  <c r="L2288" i="6"/>
  <c r="L2287" i="6"/>
  <c r="L2281" i="6"/>
  <c r="L2275" i="6"/>
  <c r="L2274" i="6"/>
  <c r="L2267" i="6"/>
  <c r="L2258" i="6"/>
  <c r="L2254" i="6"/>
  <c r="L2253" i="6"/>
  <c r="L2250" i="6"/>
  <c r="L2242" i="6"/>
  <c r="L2231" i="6"/>
  <c r="L2224" i="6"/>
  <c r="L2188" i="6"/>
  <c r="L2186" i="6"/>
  <c r="L2183" i="6"/>
  <c r="L2181" i="6"/>
  <c r="L2180" i="6"/>
  <c r="L2176" i="6"/>
  <c r="L2174" i="6"/>
  <c r="L2167" i="6"/>
  <c r="L2166" i="6"/>
  <c r="L2164" i="6"/>
  <c r="L2162" i="6"/>
  <c r="L2159" i="6"/>
  <c r="L2158" i="6"/>
  <c r="L2154" i="6"/>
  <c r="L2152" i="6"/>
  <c r="L2150" i="6"/>
  <c r="L2147" i="6"/>
  <c r="L2145" i="6"/>
  <c r="L2144" i="6"/>
  <c r="L2143" i="6"/>
  <c r="L2141" i="6"/>
  <c r="L2138" i="6"/>
  <c r="L2133" i="6"/>
  <c r="L2132" i="6"/>
  <c r="L2131" i="6"/>
  <c r="L2130" i="6"/>
  <c r="L2128" i="6"/>
  <c r="L2127" i="6"/>
  <c r="L2126" i="6"/>
  <c r="L2125" i="6"/>
  <c r="L2121" i="6"/>
  <c r="L2120" i="6"/>
  <c r="L2119" i="6"/>
  <c r="L2117" i="6"/>
  <c r="L2116" i="6"/>
  <c r="L2115" i="6"/>
  <c r="L2114" i="6"/>
  <c r="L2112" i="6"/>
  <c r="L2110" i="6"/>
  <c r="L2109" i="6"/>
  <c r="L2105" i="6"/>
  <c r="L2103" i="6"/>
  <c r="L2100" i="6"/>
  <c r="L2097" i="6"/>
  <c r="L2096" i="6"/>
  <c r="L2092" i="6"/>
  <c r="L2091" i="6"/>
  <c r="L2090" i="6"/>
  <c r="L2089" i="6"/>
  <c r="L2088" i="6"/>
  <c r="L2087" i="6"/>
  <c r="L2085" i="6"/>
  <c r="L2084" i="6"/>
  <c r="L2083" i="6"/>
  <c r="L2082" i="6"/>
  <c r="L2081" i="6"/>
  <c r="L2080" i="6"/>
  <c r="L2078" i="6"/>
  <c r="L2076" i="6"/>
  <c r="L2075" i="6"/>
  <c r="L2074" i="6"/>
  <c r="L2073" i="6"/>
  <c r="L2072" i="6"/>
  <c r="L2071" i="6"/>
  <c r="L2070" i="6"/>
  <c r="L2068" i="6"/>
  <c r="L2066" i="6"/>
  <c r="L2065" i="6"/>
  <c r="L2063" i="6"/>
  <c r="L2062" i="6"/>
  <c r="L2061" i="6"/>
  <c r="L2060" i="6"/>
  <c r="L2058" i="6"/>
  <c r="L2057" i="6"/>
  <c r="L2056" i="6"/>
  <c r="L2055" i="6"/>
  <c r="L2054" i="6"/>
  <c r="L2053" i="6"/>
  <c r="L2051" i="6"/>
  <c r="L2050" i="6"/>
  <c r="L2049" i="6"/>
  <c r="L2048" i="6"/>
  <c r="L2047" i="6"/>
  <c r="L2044" i="6"/>
  <c r="L2042" i="6"/>
  <c r="L2041" i="6"/>
  <c r="L2039" i="6"/>
  <c r="L2036" i="6"/>
  <c r="L2034" i="6"/>
  <c r="L2033" i="6"/>
  <c r="L2031" i="6"/>
  <c r="L2025" i="6"/>
  <c r="L2023" i="6"/>
  <c r="L2020" i="6"/>
  <c r="L2019" i="6"/>
  <c r="L2018" i="6"/>
  <c r="L2017" i="6"/>
  <c r="L2013" i="6"/>
  <c r="L2012" i="6"/>
  <c r="L2011" i="6"/>
  <c r="L2007" i="6"/>
  <c r="L2006" i="6"/>
  <c r="L2005" i="6"/>
  <c r="L2003" i="6"/>
  <c r="L1999" i="6"/>
  <c r="L1987" i="6"/>
  <c r="L1983" i="6"/>
  <c r="L1981" i="6"/>
  <c r="L1977" i="6"/>
  <c r="L1974" i="6"/>
  <c r="L1969" i="6"/>
  <c r="L1966" i="6"/>
  <c r="L1962" i="6"/>
  <c r="L1953" i="6"/>
  <c r="L1930" i="6"/>
  <c r="L1928" i="6"/>
  <c r="L1925" i="6"/>
  <c r="L1924" i="6"/>
  <c r="L1923" i="6"/>
  <c r="L1922" i="6"/>
  <c r="L1920" i="6"/>
  <c r="L1919" i="6"/>
  <c r="L1916" i="6"/>
  <c r="L1914" i="6"/>
  <c r="L1913" i="6"/>
  <c r="L1912" i="6"/>
  <c r="L1907" i="6"/>
  <c r="L1905" i="6"/>
  <c r="L1902" i="6"/>
  <c r="L1901" i="6"/>
  <c r="L1899" i="6"/>
  <c r="L1894" i="6"/>
  <c r="L1893" i="6"/>
  <c r="L1886" i="6"/>
  <c r="L1884" i="6"/>
  <c r="L1883" i="6"/>
  <c r="L1881" i="6"/>
  <c r="L1878" i="6"/>
  <c r="L1877" i="6"/>
  <c r="L1874" i="6"/>
  <c r="L1872" i="6"/>
  <c r="L1869" i="6"/>
  <c r="L1867" i="6"/>
  <c r="L1864" i="6"/>
  <c r="L1861" i="6"/>
  <c r="L1859" i="6"/>
  <c r="L1855" i="6"/>
  <c r="L1854" i="6"/>
  <c r="L1852" i="6"/>
  <c r="L1850" i="6"/>
  <c r="L1848" i="6"/>
  <c r="L1846" i="6"/>
  <c r="L1842" i="6"/>
  <c r="L1840" i="6"/>
  <c r="L1839" i="6"/>
  <c r="L1838" i="6"/>
  <c r="L1836" i="6"/>
  <c r="L1813" i="6"/>
  <c r="L1788" i="6"/>
  <c r="L1786" i="6"/>
  <c r="L1784" i="6"/>
  <c r="L1782" i="6"/>
  <c r="L1779" i="6"/>
  <c r="L1777" i="6"/>
  <c r="L1775" i="6"/>
  <c r="L1773" i="6"/>
  <c r="L1768" i="6"/>
  <c r="L1767" i="6"/>
  <c r="L1765" i="6"/>
  <c r="L1763" i="6"/>
  <c r="L1761" i="6"/>
  <c r="L1760" i="6"/>
  <c r="L1759" i="6"/>
  <c r="L1757" i="6"/>
  <c r="L1755" i="6"/>
  <c r="L1754" i="6"/>
  <c r="L1749" i="6"/>
  <c r="L1746" i="6"/>
  <c r="L1743" i="6"/>
  <c r="L1742" i="6"/>
  <c r="L1740" i="6"/>
  <c r="L1739" i="6"/>
  <c r="L1738" i="6"/>
  <c r="L1737" i="6"/>
  <c r="L1736" i="6"/>
  <c r="L1735" i="6"/>
  <c r="L1734" i="6"/>
  <c r="L1733" i="6"/>
  <c r="L1732" i="6"/>
  <c r="L1730" i="6"/>
  <c r="L1727" i="6"/>
  <c r="L1724" i="6"/>
  <c r="L1721" i="6"/>
  <c r="L1718" i="6"/>
  <c r="L1716" i="6"/>
  <c r="L1713" i="6"/>
  <c r="L1711" i="6"/>
  <c r="L1704" i="6"/>
  <c r="L1703" i="6"/>
  <c r="L1702" i="6"/>
  <c r="L1699" i="6"/>
  <c r="L1694" i="6"/>
  <c r="L1692" i="6"/>
  <c r="L1689" i="6"/>
  <c r="L1688" i="6"/>
  <c r="L1686" i="6"/>
  <c r="L1685" i="6"/>
  <c r="L1681" i="6"/>
  <c r="L1679" i="6"/>
  <c r="L1677" i="6"/>
  <c r="L1675" i="6"/>
  <c r="L1673" i="6"/>
  <c r="L1671" i="6"/>
  <c r="L1666" i="6"/>
  <c r="L1665" i="6"/>
  <c r="L1662" i="6"/>
  <c r="L1657" i="6"/>
  <c r="L1656" i="6"/>
  <c r="L1655" i="6"/>
  <c r="L1652" i="6"/>
  <c r="L1649" i="6"/>
  <c r="L1647" i="6"/>
  <c r="L1641" i="6"/>
  <c r="L1639" i="6"/>
  <c r="L1637" i="6"/>
  <c r="L1621" i="6"/>
  <c r="L1613" i="6"/>
  <c r="L1602" i="6"/>
  <c r="L1594" i="6"/>
  <c r="L1592" i="6"/>
  <c r="L1590" i="6"/>
  <c r="L1589" i="6"/>
  <c r="L1587" i="6"/>
  <c r="L1585" i="6"/>
  <c r="L1584" i="6"/>
  <c r="L1581" i="6"/>
  <c r="L1580" i="6"/>
  <c r="L1579" i="6"/>
  <c r="L1578" i="6"/>
  <c r="L1576" i="6"/>
  <c r="L1575" i="6"/>
  <c r="L1574" i="6"/>
  <c r="L1573" i="6"/>
  <c r="L1570" i="6"/>
  <c r="L1564" i="6"/>
  <c r="L1562" i="6"/>
  <c r="L1560" i="6"/>
  <c r="L1559" i="6"/>
  <c r="L1558" i="6"/>
  <c r="L1557" i="6"/>
  <c r="L1556" i="6"/>
  <c r="L1554" i="6"/>
  <c r="L1553" i="6"/>
  <c r="L1552" i="6"/>
  <c r="L1550" i="6"/>
  <c r="L1549" i="6"/>
  <c r="L1548" i="6"/>
  <c r="L1546" i="6"/>
  <c r="L1544" i="6"/>
  <c r="L1539" i="6"/>
  <c r="L1538" i="6"/>
  <c r="L1534" i="6"/>
  <c r="L1532" i="6"/>
  <c r="L1531" i="6"/>
  <c r="L1530" i="6"/>
  <c r="L1505" i="6"/>
  <c r="L1501" i="6"/>
  <c r="L1482" i="6"/>
  <c r="L1480" i="6"/>
  <c r="L1479" i="6"/>
  <c r="L1478" i="6"/>
  <c r="L1477" i="6"/>
  <c r="L1472" i="6"/>
  <c r="L1465" i="6"/>
  <c r="L1462" i="6"/>
  <c r="L1459" i="6"/>
  <c r="L1453" i="6"/>
  <c r="L1452" i="6"/>
  <c r="L1441" i="6"/>
  <c r="L1433" i="6"/>
  <c r="L1429" i="6"/>
  <c r="L1428" i="6"/>
  <c r="L1383" i="6"/>
  <c r="L1370" i="6"/>
  <c r="L1369" i="6"/>
  <c r="L1368" i="6"/>
  <c r="L1356" i="6"/>
  <c r="L1348" i="6"/>
  <c r="L1342" i="6"/>
  <c r="L1308" i="6"/>
  <c r="L1305" i="6"/>
  <c r="L1288" i="6"/>
  <c r="L1286" i="6"/>
  <c r="L1281" i="6"/>
  <c r="L1272" i="6"/>
  <c r="L1249" i="6"/>
  <c r="L1246" i="6"/>
  <c r="L1239" i="6"/>
  <c r="L1237" i="6"/>
  <c r="L1236" i="6"/>
  <c r="L1234" i="6"/>
  <c r="L1232" i="6"/>
  <c r="L1229" i="6"/>
  <c r="L1227" i="6"/>
  <c r="L1225" i="6"/>
  <c r="L1222" i="6"/>
  <c r="L1220" i="6"/>
  <c r="L1217" i="6"/>
  <c r="L1214" i="6"/>
  <c r="L1211" i="6"/>
  <c r="L1209" i="6"/>
  <c r="L1207" i="6"/>
  <c r="L1205" i="6"/>
  <c r="L1203" i="6"/>
  <c r="L1201" i="6"/>
  <c r="L1199" i="6"/>
  <c r="L1198" i="6"/>
  <c r="L1196" i="6"/>
  <c r="L1194" i="6"/>
  <c r="L1192" i="6"/>
  <c r="L1190" i="6"/>
  <c r="L1187" i="6"/>
  <c r="L1185" i="6"/>
  <c r="L1182" i="6"/>
  <c r="L1180" i="6"/>
  <c r="L1178" i="6"/>
  <c r="L1176" i="6"/>
  <c r="L1171" i="6"/>
  <c r="L1169" i="6"/>
  <c r="L1167" i="6"/>
  <c r="L1166" i="6"/>
  <c r="L1164" i="6"/>
  <c r="L1162" i="6"/>
  <c r="L1160" i="6"/>
  <c r="L1158" i="6"/>
  <c r="L1156" i="6"/>
  <c r="L1154" i="6"/>
  <c r="L1152" i="6"/>
  <c r="L1150" i="6"/>
  <c r="L1149" i="6"/>
  <c r="L1148" i="6"/>
  <c r="L1146" i="6"/>
  <c r="L1145" i="6"/>
  <c r="L1142" i="6"/>
  <c r="L1139" i="6"/>
  <c r="L1136" i="6"/>
  <c r="L1134" i="6"/>
  <c r="L1132" i="6"/>
  <c r="L1130" i="6"/>
  <c r="L1129" i="6"/>
  <c r="L1128" i="6"/>
  <c r="L1126" i="6"/>
  <c r="L1124" i="6"/>
  <c r="L1122" i="6"/>
  <c r="L1119" i="6"/>
  <c r="L1118" i="6"/>
  <c r="L1117" i="6"/>
  <c r="L1115" i="6"/>
  <c r="L1113" i="6"/>
  <c r="L1106" i="6"/>
  <c r="L1104" i="6"/>
  <c r="L1103" i="6"/>
  <c r="L1102" i="6"/>
  <c r="L1097" i="6"/>
  <c r="L1088" i="6"/>
  <c r="L1085" i="6"/>
  <c r="L1074" i="6"/>
  <c r="L1073" i="6"/>
  <c r="L1069" i="6"/>
  <c r="L1067" i="6"/>
  <c r="L1064" i="6"/>
  <c r="L1061" i="6"/>
  <c r="L1059" i="6"/>
  <c r="L1057" i="6"/>
  <c r="L1055" i="6"/>
  <c r="L1053" i="6"/>
  <c r="L1051" i="6"/>
  <c r="L1050" i="6"/>
  <c r="L1048" i="6"/>
  <c r="L1046" i="6"/>
  <c r="L1044" i="6"/>
  <c r="L1042" i="6"/>
  <c r="L1040" i="6"/>
  <c r="L1039" i="6"/>
  <c r="L1038" i="6"/>
  <c r="L1037" i="6"/>
  <c r="L1036" i="6"/>
  <c r="L1035" i="6"/>
  <c r="L1034" i="6"/>
  <c r="L1032" i="6"/>
  <c r="L1030" i="6"/>
  <c r="L1028" i="6"/>
  <c r="L1026" i="6"/>
  <c r="L1025" i="6"/>
  <c r="L1024" i="6"/>
  <c r="L1022" i="6"/>
  <c r="L1020" i="6"/>
  <c r="L1018" i="6"/>
  <c r="L1017" i="6"/>
  <c r="L1015" i="6"/>
  <c r="L1013" i="6"/>
  <c r="L1011" i="6"/>
  <c r="L1010" i="6"/>
  <c r="L1008" i="6"/>
  <c r="L1006" i="6"/>
  <c r="L1004" i="6"/>
  <c r="L1002" i="6"/>
  <c r="L1000" i="6"/>
  <c r="L999" i="6"/>
  <c r="L997" i="6"/>
  <c r="L994" i="6"/>
  <c r="L991" i="6"/>
  <c r="L989" i="6"/>
  <c r="L987" i="6"/>
  <c r="L983" i="6"/>
  <c r="L977" i="6"/>
  <c r="L974" i="6"/>
  <c r="L972" i="6"/>
  <c r="L970" i="6"/>
  <c r="L968" i="6"/>
  <c r="L966" i="6"/>
  <c r="L964" i="6"/>
  <c r="L962" i="6"/>
  <c r="L960" i="6"/>
  <c r="L953" i="6"/>
  <c r="L948" i="6"/>
  <c r="L946" i="6"/>
  <c r="L936" i="6"/>
  <c r="L924" i="6"/>
  <c r="L913" i="6"/>
  <c r="L906" i="6"/>
  <c r="L904" i="6"/>
  <c r="L899" i="6"/>
  <c r="L897" i="6"/>
  <c r="L895" i="6"/>
  <c r="L893" i="6"/>
  <c r="L886" i="6"/>
  <c r="L884" i="6"/>
  <c r="L882" i="6"/>
  <c r="L879" i="6"/>
  <c r="L875" i="6"/>
  <c r="L874" i="6"/>
  <c r="L872" i="6"/>
  <c r="L870" i="6"/>
  <c r="L869" i="6"/>
  <c r="L867" i="6"/>
  <c r="L864" i="6"/>
  <c r="L860" i="6"/>
  <c r="L857" i="6"/>
  <c r="L852" i="6"/>
  <c r="L851" i="6"/>
  <c r="L848" i="6"/>
  <c r="L847" i="6"/>
  <c r="L842" i="6"/>
  <c r="L838" i="6"/>
  <c r="L834" i="6"/>
  <c r="L830" i="6"/>
  <c r="L829" i="6"/>
  <c r="L823" i="6"/>
  <c r="L822" i="6"/>
  <c r="L821" i="6"/>
  <c r="L819" i="6"/>
  <c r="L817" i="6"/>
  <c r="L816" i="6"/>
  <c r="L813" i="6"/>
  <c r="L811" i="6"/>
  <c r="L810" i="6"/>
  <c r="L806" i="6"/>
  <c r="L805" i="6"/>
  <c r="L804" i="6"/>
  <c r="L798" i="6"/>
  <c r="L797" i="6"/>
  <c r="L796" i="6"/>
  <c r="L795" i="6"/>
  <c r="L794" i="6"/>
  <c r="L793" i="6"/>
  <c r="L790" i="6"/>
  <c r="L789" i="6"/>
  <c r="L787" i="6"/>
  <c r="L786" i="6"/>
  <c r="L785" i="6"/>
  <c r="L782" i="6"/>
  <c r="L781" i="6"/>
  <c r="L780" i="6"/>
  <c r="L778" i="6"/>
  <c r="L775" i="6"/>
  <c r="L774" i="6"/>
  <c r="L772" i="6"/>
  <c r="L771" i="6"/>
  <c r="L770" i="6"/>
  <c r="L768" i="6"/>
  <c r="L767" i="6"/>
  <c r="L765" i="6"/>
  <c r="L762" i="6"/>
  <c r="L761" i="6"/>
  <c r="L759" i="6"/>
  <c r="L758" i="6"/>
  <c r="L754" i="6"/>
  <c r="L751" i="6"/>
  <c r="L750" i="6"/>
  <c r="L749" i="6"/>
  <c r="L746" i="6"/>
  <c r="L744" i="6"/>
  <c r="L741" i="6"/>
  <c r="L739" i="6"/>
  <c r="L736" i="6"/>
  <c r="L733" i="6"/>
  <c r="L732" i="6"/>
  <c r="L729" i="6"/>
  <c r="L725" i="6"/>
  <c r="L724" i="6"/>
  <c r="L723" i="6"/>
  <c r="L721" i="6"/>
  <c r="L720" i="6"/>
  <c r="L718" i="6"/>
  <c r="L716" i="6"/>
  <c r="L715" i="6"/>
  <c r="L712" i="6"/>
  <c r="L709" i="6"/>
  <c r="L700" i="6"/>
  <c r="L683" i="6"/>
  <c r="L679" i="6"/>
  <c r="L672" i="6"/>
  <c r="L659" i="6"/>
  <c r="L658" i="6"/>
  <c r="L654" i="6"/>
  <c r="L642" i="6"/>
  <c r="L638" i="6"/>
  <c r="L636" i="6"/>
  <c r="L633" i="6"/>
  <c r="L632" i="6"/>
  <c r="L628" i="6"/>
  <c r="L627" i="6"/>
  <c r="L626" i="6"/>
  <c r="L625" i="6"/>
  <c r="L623" i="6"/>
  <c r="L622" i="6"/>
  <c r="L617" i="6"/>
  <c r="L615" i="6"/>
  <c r="L613" i="6"/>
  <c r="L609" i="6"/>
  <c r="L603" i="6"/>
  <c r="L600" i="6"/>
  <c r="L599" i="6"/>
  <c r="L598" i="6"/>
  <c r="L596" i="6"/>
  <c r="L594" i="6"/>
  <c r="L592" i="6"/>
  <c r="L590" i="6"/>
  <c r="L587" i="6"/>
  <c r="L584" i="6"/>
  <c r="L577" i="6"/>
  <c r="L575" i="6"/>
  <c r="L571" i="6"/>
  <c r="L569" i="6"/>
  <c r="L567" i="6"/>
  <c r="L562" i="6"/>
  <c r="L560" i="6"/>
  <c r="L559" i="6"/>
  <c r="L558" i="6"/>
  <c r="L555" i="6"/>
  <c r="L554" i="6"/>
  <c r="L552" i="6"/>
  <c r="L549" i="6"/>
  <c r="L545" i="6"/>
  <c r="L541" i="6"/>
  <c r="L540" i="6"/>
  <c r="L539" i="6"/>
  <c r="L536" i="6"/>
  <c r="L535" i="6"/>
  <c r="L529" i="6"/>
  <c r="L524" i="6"/>
  <c r="L521" i="6"/>
  <c r="L512" i="6"/>
  <c r="L502" i="6"/>
  <c r="L477" i="6"/>
  <c r="L476" i="6"/>
  <c r="L466" i="6"/>
  <c r="L465" i="6"/>
  <c r="L463" i="6"/>
  <c r="L459" i="6"/>
  <c r="L454" i="6"/>
  <c r="L451" i="6"/>
  <c r="L448" i="6"/>
  <c r="L444" i="6"/>
  <c r="L442" i="6"/>
  <c r="L440" i="6"/>
  <c r="L438" i="6"/>
  <c r="L436" i="6"/>
  <c r="L433" i="6"/>
  <c r="L431" i="6"/>
  <c r="L430" i="6"/>
  <c r="L428" i="6"/>
  <c r="L426" i="6"/>
  <c r="L421" i="6"/>
  <c r="L416" i="6"/>
  <c r="L413" i="6"/>
  <c r="L411" i="6"/>
  <c r="L406" i="6"/>
  <c r="L404" i="6"/>
  <c r="L402" i="6"/>
  <c r="L399" i="6"/>
  <c r="L397" i="6"/>
  <c r="L395" i="6"/>
  <c r="L393" i="6"/>
  <c r="L390" i="6"/>
  <c r="L389" i="6"/>
  <c r="L387" i="6"/>
  <c r="L386" i="6"/>
  <c r="L385" i="6"/>
  <c r="L383" i="6"/>
  <c r="L381" i="6"/>
  <c r="L378" i="6"/>
  <c r="L376" i="6"/>
  <c r="L370" i="6"/>
  <c r="L368" i="6"/>
  <c r="L366" i="6"/>
  <c r="L364" i="6"/>
  <c r="L362" i="6"/>
  <c r="L361" i="6"/>
  <c r="L358" i="6"/>
  <c r="L355" i="6"/>
  <c r="L353" i="6"/>
  <c r="L349" i="6"/>
  <c r="L347" i="6"/>
  <c r="L345" i="6"/>
  <c r="L343" i="6"/>
  <c r="L341" i="6"/>
  <c r="L339" i="6"/>
  <c r="L336" i="6"/>
  <c r="L334" i="6"/>
  <c r="L326" i="6"/>
  <c r="L323" i="6"/>
  <c r="L320" i="6"/>
  <c r="L306" i="6"/>
  <c r="L305" i="6"/>
  <c r="L293" i="6"/>
  <c r="L290" i="6"/>
  <c r="L285" i="6"/>
  <c r="L281" i="6"/>
  <c r="L278" i="6"/>
  <c r="L276" i="6"/>
  <c r="L275" i="6"/>
  <c r="L274" i="6"/>
  <c r="L268" i="6"/>
  <c r="L266" i="6"/>
  <c r="L263" i="6"/>
  <c r="L261" i="6"/>
  <c r="L256" i="6"/>
  <c r="L254" i="6"/>
  <c r="L251" i="6"/>
  <c r="L248" i="6"/>
  <c r="L246" i="6"/>
  <c r="L244" i="6"/>
  <c r="L240" i="6"/>
  <c r="L239" i="6"/>
  <c r="L236" i="6"/>
  <c r="L235" i="6"/>
  <c r="L233" i="6"/>
  <c r="L230" i="6"/>
  <c r="L228" i="6"/>
  <c r="L225" i="6"/>
  <c r="L224" i="6"/>
  <c r="L222" i="6"/>
  <c r="L221" i="6"/>
  <c r="L214" i="6"/>
  <c r="L212" i="6"/>
  <c r="L208" i="6"/>
  <c r="L203" i="6"/>
  <c r="L201" i="6"/>
  <c r="L199" i="6"/>
  <c r="L197" i="6"/>
  <c r="L195" i="6"/>
  <c r="L192" i="6"/>
  <c r="L191" i="6"/>
  <c r="L189" i="6"/>
  <c r="L185" i="6"/>
  <c r="L182" i="6"/>
  <c r="L153" i="6"/>
  <c r="L151" i="6"/>
  <c r="L149" i="6"/>
  <c r="L148" i="6"/>
  <c r="L147" i="6"/>
  <c r="L144" i="6"/>
  <c r="L143" i="6"/>
  <c r="L141" i="6"/>
  <c r="L136" i="6"/>
  <c r="L135" i="6"/>
  <c r="L129" i="6"/>
  <c r="L128" i="6"/>
  <c r="L127" i="6"/>
  <c r="L122" i="6"/>
  <c r="L120" i="6"/>
  <c r="L118" i="6"/>
  <c r="L115" i="6"/>
  <c r="L114" i="6"/>
  <c r="L112" i="6"/>
  <c r="L107" i="6"/>
  <c r="L104" i="6"/>
  <c r="L103" i="6"/>
  <c r="L102" i="6"/>
  <c r="L100" i="6"/>
  <c r="L99" i="6"/>
  <c r="L96" i="6"/>
  <c r="L93" i="6"/>
  <c r="L92" i="6"/>
  <c r="L90" i="6"/>
  <c r="L89" i="6"/>
  <c r="L88" i="6"/>
  <c r="L84" i="6"/>
  <c r="L80" i="6"/>
  <c r="L79" i="6"/>
  <c r="L78" i="6"/>
  <c r="L76" i="6"/>
  <c r="L75" i="6"/>
  <c r="L72" i="6"/>
  <c r="L71" i="6"/>
  <c r="L66" i="6"/>
  <c r="L65" i="6"/>
  <c r="L64" i="6"/>
  <c r="L61" i="6"/>
  <c r="L59" i="6"/>
  <c r="L53" i="6"/>
  <c r="L51" i="6"/>
  <c r="L48" i="6"/>
  <c r="L47" i="6"/>
  <c r="L45" i="6"/>
  <c r="L44" i="6"/>
  <c r="L41" i="6"/>
  <c r="L40" i="6"/>
  <c r="L38" i="6"/>
  <c r="L10" i="6"/>
  <c r="L5" i="6"/>
  <c r="L4" i="6"/>
  <c r="L3" i="6"/>
  <c r="B689" i="8"/>
  <c r="C689" i="8" s="1"/>
  <c r="B688" i="8"/>
  <c r="C688" i="8" s="1"/>
  <c r="B687" i="8"/>
  <c r="C687" i="8" s="1"/>
  <c r="B686" i="8"/>
  <c r="C686" i="8" s="1"/>
  <c r="B685" i="8"/>
  <c r="C685" i="8" s="1"/>
  <c r="C684" i="8"/>
  <c r="B684" i="8"/>
  <c r="B683" i="8"/>
  <c r="C683" i="8" s="1"/>
  <c r="B682" i="8"/>
  <c r="B681" i="8"/>
  <c r="C681" i="8" s="1"/>
  <c r="B680" i="8"/>
  <c r="B679" i="8"/>
  <c r="C679" i="8" s="1"/>
  <c r="C678" i="8"/>
  <c r="B678" i="8"/>
  <c r="B677" i="8"/>
  <c r="C677" i="8" s="1"/>
  <c r="B676" i="8"/>
  <c r="B675" i="8"/>
  <c r="C675" i="8" s="1"/>
  <c r="B674" i="8"/>
  <c r="B673" i="8"/>
  <c r="C673" i="8" s="1"/>
  <c r="B672" i="8"/>
  <c r="C672" i="8" s="1"/>
  <c r="B671" i="8"/>
  <c r="C671" i="8" s="1"/>
  <c r="B670" i="8"/>
  <c r="C670" i="8" s="1"/>
  <c r="B669" i="8"/>
  <c r="C669" i="8" s="1"/>
  <c r="B668" i="8"/>
  <c r="C668" i="8" s="1"/>
  <c r="B667" i="8"/>
  <c r="C667" i="8" s="1"/>
  <c r="B666" i="8"/>
  <c r="B665" i="8"/>
  <c r="C665" i="8" s="1"/>
  <c r="B664" i="8"/>
  <c r="C664" i="8" s="1"/>
  <c r="B663" i="8"/>
  <c r="C663" i="8" s="1"/>
  <c r="C662" i="8"/>
  <c r="B662" i="8"/>
  <c r="B661" i="8"/>
  <c r="C661" i="8" s="1"/>
  <c r="B660" i="8"/>
  <c r="B659" i="8"/>
  <c r="C659" i="8" s="1"/>
  <c r="B658" i="8"/>
  <c r="B657" i="8"/>
  <c r="C657" i="8" s="1"/>
  <c r="C656" i="8"/>
  <c r="B656" i="8"/>
  <c r="B655" i="8"/>
  <c r="C655" i="8" s="1"/>
  <c r="B654" i="8"/>
  <c r="C654" i="8" s="1"/>
  <c r="B653" i="8"/>
  <c r="C653" i="8" s="1"/>
  <c r="B652" i="8"/>
  <c r="C652" i="8" s="1"/>
  <c r="B651" i="8"/>
  <c r="C651" i="8" s="1"/>
  <c r="B650" i="8"/>
  <c r="B649" i="8"/>
  <c r="C649" i="8" s="1"/>
  <c r="B648" i="8"/>
  <c r="B647" i="8"/>
  <c r="C647" i="8" s="1"/>
  <c r="B646" i="8"/>
  <c r="C646" i="8" s="1"/>
  <c r="B645" i="8"/>
  <c r="C645" i="8" s="1"/>
  <c r="B644" i="8"/>
  <c r="C644" i="8" s="1"/>
  <c r="B643" i="8"/>
  <c r="C643" i="8" s="1"/>
  <c r="B642" i="8"/>
  <c r="B641" i="8"/>
  <c r="C641" i="8" s="1"/>
  <c r="B640" i="8"/>
  <c r="C640" i="8" s="1"/>
  <c r="B639" i="8"/>
  <c r="C639" i="8" s="1"/>
  <c r="B638" i="8"/>
  <c r="C638" i="8" s="1"/>
  <c r="B637" i="8"/>
  <c r="C637" i="8" s="1"/>
  <c r="B636" i="8"/>
  <c r="C636" i="8" s="1"/>
  <c r="B635" i="8"/>
  <c r="C635" i="8" s="1"/>
  <c r="B634" i="8"/>
  <c r="B633" i="8"/>
  <c r="C633" i="8" s="1"/>
  <c r="B632" i="8"/>
  <c r="C632" i="8" s="1"/>
  <c r="B631" i="8"/>
  <c r="C631" i="8" s="1"/>
  <c r="B630" i="8"/>
  <c r="B629" i="8"/>
  <c r="C629" i="8" s="1"/>
  <c r="B628" i="8"/>
  <c r="B627" i="8"/>
  <c r="C627" i="8" s="1"/>
  <c r="B626" i="8"/>
  <c r="C626" i="8" s="1"/>
  <c r="B625" i="8"/>
  <c r="C625" i="8" s="1"/>
  <c r="C624" i="8"/>
  <c r="B624" i="8"/>
  <c r="B623" i="8"/>
  <c r="C623" i="8" s="1"/>
  <c r="B622" i="8"/>
  <c r="C622" i="8" s="1"/>
  <c r="B621" i="8"/>
  <c r="C621" i="8" s="1"/>
  <c r="B620" i="8"/>
  <c r="C620" i="8" s="1"/>
  <c r="B619" i="8"/>
  <c r="C619" i="8" s="1"/>
  <c r="B618" i="8"/>
  <c r="B617" i="8"/>
  <c r="C617" i="8" s="1"/>
  <c r="B616" i="8"/>
  <c r="B615" i="8"/>
  <c r="C615" i="8" s="1"/>
  <c r="B614" i="8"/>
  <c r="B613" i="8"/>
  <c r="C613" i="8" s="1"/>
  <c r="B612" i="8"/>
  <c r="B611" i="8"/>
  <c r="C611" i="8" s="1"/>
  <c r="B610" i="8"/>
  <c r="C610" i="8" s="1"/>
  <c r="B609" i="8"/>
  <c r="C609" i="8" s="1"/>
  <c r="B608" i="8"/>
  <c r="C608" i="8" s="1"/>
  <c r="B607" i="8"/>
  <c r="C607" i="8" s="1"/>
  <c r="B606" i="8"/>
  <c r="C606" i="8" s="1"/>
  <c r="B605" i="8"/>
  <c r="C605" i="8" s="1"/>
  <c r="B604" i="8"/>
  <c r="C604" i="8" s="1"/>
  <c r="B603" i="8"/>
  <c r="C603" i="8" s="1"/>
  <c r="B602" i="8"/>
  <c r="B601" i="8"/>
  <c r="C601" i="8" s="1"/>
  <c r="B600" i="8"/>
  <c r="B599" i="8"/>
  <c r="C599" i="8" s="1"/>
  <c r="B598" i="8"/>
  <c r="C598" i="8" s="1"/>
  <c r="C597" i="8"/>
  <c r="B597" i="8"/>
  <c r="B596" i="8"/>
  <c r="C596" i="8" s="1"/>
  <c r="B595" i="8"/>
  <c r="C595" i="8" s="1"/>
  <c r="B594" i="8"/>
  <c r="C594" i="8" s="1"/>
  <c r="B593" i="8"/>
  <c r="C593" i="8" s="1"/>
  <c r="B592" i="8"/>
  <c r="C592" i="8" s="1"/>
  <c r="B591" i="8"/>
  <c r="C591" i="8" s="1"/>
  <c r="B590" i="8"/>
  <c r="C590" i="8" s="1"/>
  <c r="B589" i="8"/>
  <c r="C589" i="8" s="1"/>
  <c r="B588" i="8"/>
  <c r="C588" i="8" s="1"/>
  <c r="B587" i="8"/>
  <c r="C587" i="8" s="1"/>
  <c r="B586" i="8"/>
  <c r="B585" i="8"/>
  <c r="C585" i="8" s="1"/>
  <c r="B584" i="8"/>
  <c r="B583" i="8"/>
  <c r="C583" i="8" s="1"/>
  <c r="B582" i="8"/>
  <c r="B581" i="8"/>
  <c r="C581" i="8" s="1"/>
  <c r="B580" i="8"/>
  <c r="C580" i="8" s="1"/>
  <c r="B579" i="8"/>
  <c r="C579" i="8" s="1"/>
  <c r="B578" i="8"/>
  <c r="B577" i="8"/>
  <c r="C577" i="8" s="1"/>
  <c r="B576" i="8"/>
  <c r="C576" i="8" s="1"/>
  <c r="B575" i="8"/>
  <c r="C575" i="8" s="1"/>
  <c r="B574" i="8"/>
  <c r="C574" i="8" s="1"/>
  <c r="B573" i="8"/>
  <c r="C573" i="8" s="1"/>
  <c r="B572" i="8"/>
  <c r="C572" i="8" s="1"/>
  <c r="B571" i="8"/>
  <c r="C571" i="8" s="1"/>
  <c r="B570" i="8"/>
  <c r="B569" i="8"/>
  <c r="C569" i="8" s="1"/>
  <c r="B568" i="8"/>
  <c r="C567" i="8"/>
  <c r="B567" i="8"/>
  <c r="B566" i="8"/>
  <c r="C566" i="8" s="1"/>
  <c r="B565" i="8"/>
  <c r="C565" i="8" s="1"/>
  <c r="C564" i="8"/>
  <c r="B564" i="8"/>
  <c r="B563" i="8"/>
  <c r="C563" i="8" s="1"/>
  <c r="B562" i="8"/>
  <c r="B561" i="8"/>
  <c r="C561" i="8" s="1"/>
  <c r="B560" i="8"/>
  <c r="C560" i="8" s="1"/>
  <c r="B559" i="8"/>
  <c r="C559" i="8" s="1"/>
  <c r="B558" i="8"/>
  <c r="C558" i="8" s="1"/>
  <c r="C557" i="8"/>
  <c r="B557" i="8"/>
  <c r="B556" i="8"/>
  <c r="C556" i="8" s="1"/>
  <c r="B555" i="8"/>
  <c r="C555" i="8" s="1"/>
  <c r="B554" i="8"/>
  <c r="B553" i="8"/>
  <c r="C553" i="8" s="1"/>
  <c r="B552" i="8"/>
  <c r="B551" i="8"/>
  <c r="C551" i="8" s="1"/>
  <c r="B550" i="8"/>
  <c r="C550" i="8" s="1"/>
  <c r="B549" i="8"/>
  <c r="C549" i="8" s="1"/>
  <c r="B548" i="8"/>
  <c r="B547" i="8"/>
  <c r="C547" i="8" s="1"/>
  <c r="B546" i="8"/>
  <c r="B545" i="8"/>
  <c r="C545" i="8" s="1"/>
  <c r="B544" i="8"/>
  <c r="C544" i="8" s="1"/>
  <c r="B543" i="8"/>
  <c r="C543" i="8" s="1"/>
  <c r="B542" i="8"/>
  <c r="C542" i="8" s="1"/>
  <c r="B541" i="8"/>
  <c r="C541" i="8" s="1"/>
  <c r="C540" i="8"/>
  <c r="B540" i="8"/>
  <c r="B539" i="8"/>
  <c r="C539" i="8" s="1"/>
  <c r="B538" i="8"/>
  <c r="B537" i="8"/>
  <c r="C537" i="8" s="1"/>
  <c r="B536" i="8"/>
  <c r="C535" i="8"/>
  <c r="B535" i="8"/>
  <c r="B534" i="8"/>
  <c r="C534" i="8" s="1"/>
  <c r="B533" i="8"/>
  <c r="C533" i="8" s="1"/>
  <c r="B532" i="8"/>
  <c r="B531" i="8"/>
  <c r="C531" i="8" s="1"/>
  <c r="B530" i="8"/>
  <c r="C530" i="8" s="1"/>
  <c r="B529" i="8"/>
  <c r="C529" i="8" s="1"/>
  <c r="B528" i="8"/>
  <c r="C528" i="8" s="1"/>
  <c r="B527" i="8"/>
  <c r="C527" i="8" s="1"/>
  <c r="B526" i="8"/>
  <c r="B525" i="8"/>
  <c r="C525" i="8" s="1"/>
  <c r="C524" i="8"/>
  <c r="B524" i="8"/>
  <c r="B523" i="8"/>
  <c r="C523" i="8" s="1"/>
  <c r="B522" i="8"/>
  <c r="B521" i="8"/>
  <c r="C521" i="8" s="1"/>
  <c r="B520" i="8"/>
  <c r="B519" i="8"/>
  <c r="C519" i="8" s="1"/>
  <c r="B518" i="8"/>
  <c r="B517" i="8"/>
  <c r="C517" i="8" s="1"/>
  <c r="B516" i="8"/>
  <c r="C516" i="8" s="1"/>
  <c r="B515" i="8"/>
  <c r="C515" i="8" s="1"/>
  <c r="B514" i="8"/>
  <c r="C513" i="8"/>
  <c r="B513" i="8"/>
  <c r="B512" i="8"/>
  <c r="C512" i="8" s="1"/>
  <c r="B511" i="8"/>
  <c r="C511" i="8" s="1"/>
  <c r="B510" i="8"/>
  <c r="B509" i="8"/>
  <c r="C509" i="8" s="1"/>
  <c r="C508" i="8"/>
  <c r="B508" i="8"/>
  <c r="B507" i="8"/>
  <c r="C507" i="8" s="1"/>
  <c r="B506" i="8"/>
  <c r="B505" i="8"/>
  <c r="C505" i="8" s="1"/>
  <c r="B504" i="8"/>
  <c r="B503" i="8"/>
  <c r="C503" i="8" s="1"/>
  <c r="C502" i="8"/>
  <c r="B502" i="8"/>
  <c r="B501" i="8"/>
  <c r="C501" i="8" s="1"/>
  <c r="B500" i="8"/>
  <c r="C500" i="8" s="1"/>
  <c r="B499" i="8"/>
  <c r="C499" i="8" s="1"/>
  <c r="B498" i="8"/>
  <c r="C497" i="8"/>
  <c r="B497" i="8"/>
  <c r="B496" i="8"/>
  <c r="C496" i="8" s="1"/>
  <c r="B495" i="8"/>
  <c r="C495" i="8" s="1"/>
  <c r="B494" i="8"/>
  <c r="C494" i="8" s="1"/>
  <c r="B493" i="8"/>
  <c r="C493" i="8" s="1"/>
  <c r="B492" i="8"/>
  <c r="B491" i="8"/>
  <c r="C491" i="8" s="1"/>
  <c r="B490" i="8"/>
  <c r="B489" i="8"/>
  <c r="C489" i="8" s="1"/>
  <c r="B488" i="8"/>
  <c r="C487" i="8"/>
  <c r="B487" i="8"/>
  <c r="B486" i="8"/>
  <c r="B485" i="8"/>
  <c r="C485" i="8" s="1"/>
  <c r="B484" i="8"/>
  <c r="B483" i="8"/>
  <c r="C483" i="8" s="1"/>
  <c r="B482" i="8"/>
  <c r="B481" i="8"/>
  <c r="C481" i="8" s="1"/>
  <c r="B480" i="8"/>
  <c r="B479" i="8"/>
  <c r="C479" i="8" s="1"/>
  <c r="B478" i="8"/>
  <c r="C478" i="8" s="1"/>
  <c r="B477" i="8"/>
  <c r="C477" i="8" s="1"/>
  <c r="B476" i="8"/>
  <c r="B475" i="8"/>
  <c r="C475" i="8" s="1"/>
  <c r="B474" i="8"/>
  <c r="B473" i="8"/>
  <c r="C473" i="8" s="1"/>
  <c r="B472" i="8"/>
  <c r="C472" i="8" s="1"/>
  <c r="B471" i="8"/>
  <c r="C471" i="8" s="1"/>
  <c r="C470" i="8"/>
  <c r="B470" i="8"/>
  <c r="B469" i="8"/>
  <c r="C469" i="8" s="1"/>
  <c r="B468" i="8"/>
  <c r="C468" i="8" s="1"/>
  <c r="B467" i="8"/>
  <c r="C467" i="8" s="1"/>
  <c r="B466" i="8"/>
  <c r="C466" i="8" s="1"/>
  <c r="B465" i="8"/>
  <c r="C465" i="8" s="1"/>
  <c r="B464" i="8"/>
  <c r="C464" i="8" s="1"/>
  <c r="B463" i="8"/>
  <c r="C463" i="8" s="1"/>
  <c r="B462" i="8"/>
  <c r="C462" i="8" s="1"/>
  <c r="B461" i="8"/>
  <c r="C461" i="8" s="1"/>
  <c r="B460" i="8"/>
  <c r="C459" i="8"/>
  <c r="B459" i="8"/>
  <c r="B458" i="8"/>
  <c r="B457" i="8"/>
  <c r="C457" i="8" s="1"/>
  <c r="B456" i="8"/>
  <c r="B455" i="8"/>
  <c r="C455" i="8" s="1"/>
  <c r="B454" i="8"/>
  <c r="B453" i="8"/>
  <c r="C453" i="8" s="1"/>
  <c r="B452" i="8"/>
  <c r="C452" i="8" s="1"/>
  <c r="B451" i="8"/>
  <c r="C451" i="8" s="1"/>
  <c r="B450" i="8"/>
  <c r="C450" i="8" s="1"/>
  <c r="B449" i="8"/>
  <c r="C449" i="8" s="1"/>
  <c r="B448" i="8"/>
  <c r="C448" i="8" s="1"/>
  <c r="B447" i="8"/>
  <c r="C447" i="8" s="1"/>
  <c r="B446" i="8"/>
  <c r="C446" i="8" s="1"/>
  <c r="C445" i="8"/>
  <c r="B445" i="8"/>
  <c r="B444" i="8"/>
  <c r="C444" i="8" s="1"/>
  <c r="B443" i="8"/>
  <c r="C443" i="8" s="1"/>
  <c r="B442" i="8"/>
  <c r="C442" i="8" s="1"/>
  <c r="B441" i="8"/>
  <c r="C441" i="8" s="1"/>
  <c r="C440" i="8"/>
  <c r="B440" i="8"/>
  <c r="B439" i="8"/>
  <c r="C439" i="8" s="1"/>
  <c r="B438" i="8"/>
  <c r="C438" i="8" s="1"/>
  <c r="B437" i="8"/>
  <c r="C437" i="8" s="1"/>
  <c r="C436" i="8"/>
  <c r="B436" i="8"/>
  <c r="B435" i="8"/>
  <c r="C435" i="8" s="1"/>
  <c r="B434" i="8"/>
  <c r="C434" i="8" s="1"/>
  <c r="B433" i="8"/>
  <c r="C433" i="8" s="1"/>
  <c r="B432" i="8"/>
  <c r="C432" i="8" s="1"/>
  <c r="B431" i="8"/>
  <c r="C431" i="8" s="1"/>
  <c r="C430" i="8"/>
  <c r="B430" i="8"/>
  <c r="B429" i="8"/>
  <c r="C429" i="8" s="1"/>
  <c r="B428" i="8"/>
  <c r="C428" i="8" s="1"/>
  <c r="B427" i="8"/>
  <c r="B426" i="8"/>
  <c r="C426" i="8" s="1"/>
  <c r="C425" i="8"/>
  <c r="B425" i="8"/>
  <c r="B424" i="8"/>
  <c r="C424" i="8" s="1"/>
  <c r="B423" i="8"/>
  <c r="C423" i="8" s="1"/>
  <c r="B422" i="8"/>
  <c r="C422" i="8" s="1"/>
  <c r="C421" i="8"/>
  <c r="B421" i="8"/>
  <c r="B420" i="8"/>
  <c r="C420" i="8" s="1"/>
  <c r="B419" i="8"/>
  <c r="C419" i="8" s="1"/>
  <c r="B418" i="8"/>
  <c r="C418" i="8" s="1"/>
  <c r="B417" i="8"/>
  <c r="C417" i="8" s="1"/>
  <c r="B416" i="8"/>
  <c r="C416" i="8" s="1"/>
  <c r="B415" i="8"/>
  <c r="C415" i="8" s="1"/>
  <c r="B414" i="8"/>
  <c r="C414" i="8" s="1"/>
  <c r="B413" i="8"/>
  <c r="C413" i="8" s="1"/>
  <c r="B412" i="8"/>
  <c r="C412" i="8" s="1"/>
  <c r="B411" i="8"/>
  <c r="C411" i="8" s="1"/>
  <c r="B410" i="8"/>
  <c r="C410" i="8" s="1"/>
  <c r="B409" i="8"/>
  <c r="C409" i="8" s="1"/>
  <c r="B408" i="8"/>
  <c r="C408" i="8" s="1"/>
  <c r="C407" i="8"/>
  <c r="B407" i="8"/>
  <c r="B406" i="8"/>
  <c r="C406" i="8" s="1"/>
  <c r="B405" i="8"/>
  <c r="C405" i="8" s="1"/>
  <c r="B404" i="8"/>
  <c r="C404" i="8" s="1"/>
  <c r="B403" i="8"/>
  <c r="C403" i="8" s="1"/>
  <c r="B402" i="8"/>
  <c r="C402" i="8" s="1"/>
  <c r="B401" i="8"/>
  <c r="C401" i="8" s="1"/>
  <c r="B400" i="8"/>
  <c r="C400" i="8" s="1"/>
  <c r="B399" i="8"/>
  <c r="C399" i="8" s="1"/>
  <c r="B398" i="8"/>
  <c r="C398" i="8" s="1"/>
  <c r="C397" i="8"/>
  <c r="B397" i="8"/>
  <c r="B396" i="8"/>
  <c r="C396" i="8" s="1"/>
  <c r="B395" i="8"/>
  <c r="C395" i="8" s="1"/>
  <c r="B394" i="8"/>
  <c r="C394" i="8" s="1"/>
  <c r="B393" i="8"/>
  <c r="C393" i="8" s="1"/>
  <c r="B392" i="8"/>
  <c r="C392" i="8" s="1"/>
  <c r="B391" i="8"/>
  <c r="C391" i="8" s="1"/>
  <c r="B390" i="8"/>
  <c r="C390" i="8" s="1"/>
  <c r="B389" i="8"/>
  <c r="C389" i="8" s="1"/>
  <c r="B388" i="8"/>
  <c r="C388" i="8" s="1"/>
  <c r="C387" i="8"/>
  <c r="B387" i="8"/>
  <c r="B386" i="8"/>
  <c r="C386" i="8" s="1"/>
  <c r="B385" i="8"/>
  <c r="C385" i="8" s="1"/>
  <c r="B384" i="8"/>
  <c r="C384" i="8" s="1"/>
  <c r="C383" i="8"/>
  <c r="B383" i="8"/>
  <c r="B382" i="8"/>
  <c r="C382" i="8" s="1"/>
  <c r="B381" i="8"/>
  <c r="C381" i="8" s="1"/>
  <c r="B380" i="8"/>
  <c r="C380" i="8" s="1"/>
  <c r="B379" i="8"/>
  <c r="C379" i="8" s="1"/>
  <c r="C378" i="8"/>
  <c r="B378" i="8"/>
  <c r="B377" i="8"/>
  <c r="C377" i="8" s="1"/>
  <c r="B376" i="8"/>
  <c r="C376" i="8" s="1"/>
  <c r="B375" i="8"/>
  <c r="C375" i="8" s="1"/>
  <c r="C374" i="8"/>
  <c r="B374" i="8"/>
  <c r="B373" i="8"/>
  <c r="C373" i="8" s="1"/>
  <c r="B372" i="8"/>
  <c r="C372" i="8" s="1"/>
  <c r="B371" i="8"/>
  <c r="C371" i="8" s="1"/>
  <c r="C370" i="8"/>
  <c r="B370" i="8"/>
  <c r="B369" i="8"/>
  <c r="B368" i="8"/>
  <c r="C368" i="8" s="1"/>
  <c r="B367" i="8"/>
  <c r="B366" i="8"/>
  <c r="C366" i="8" s="1"/>
  <c r="B365" i="8"/>
  <c r="C365" i="8" s="1"/>
  <c r="B364" i="8"/>
  <c r="C364" i="8" s="1"/>
  <c r="B363" i="8"/>
  <c r="B362" i="8"/>
  <c r="C362" i="8" s="1"/>
  <c r="B361" i="8"/>
  <c r="C361" i="8" s="1"/>
  <c r="B360" i="8"/>
  <c r="C360" i="8" s="1"/>
  <c r="B359" i="8"/>
  <c r="B358" i="8"/>
  <c r="C358" i="8" s="1"/>
  <c r="B357" i="8"/>
  <c r="B356" i="8"/>
  <c r="C356" i="8" s="1"/>
  <c r="B355" i="8"/>
  <c r="B354" i="8"/>
  <c r="C354" i="8" s="1"/>
  <c r="B353" i="8"/>
  <c r="B352" i="8"/>
  <c r="C352" i="8" s="1"/>
  <c r="B351" i="8"/>
  <c r="B350" i="8"/>
  <c r="C350" i="8" s="1"/>
  <c r="B349" i="8"/>
  <c r="C349" i="8" s="1"/>
  <c r="B348" i="8"/>
  <c r="C348" i="8" s="1"/>
  <c r="B347" i="8"/>
  <c r="B346" i="8"/>
  <c r="C346" i="8" s="1"/>
  <c r="B345" i="8"/>
  <c r="B344" i="8"/>
  <c r="C344" i="8" s="1"/>
  <c r="B343" i="8"/>
  <c r="B342" i="8"/>
  <c r="C342" i="8" s="1"/>
  <c r="B341" i="8"/>
  <c r="C341" i="8" s="1"/>
  <c r="B340" i="8"/>
  <c r="C340" i="8" s="1"/>
  <c r="B339" i="8"/>
  <c r="C338" i="8"/>
  <c r="B338" i="8"/>
  <c r="B337" i="8"/>
  <c r="B336" i="8"/>
  <c r="C336" i="8" s="1"/>
  <c r="B335" i="8"/>
  <c r="C335" i="8" s="1"/>
  <c r="B334" i="8"/>
  <c r="C334" i="8" s="1"/>
  <c r="B333" i="8"/>
  <c r="C333" i="8" s="1"/>
  <c r="B332" i="8"/>
  <c r="B331" i="8"/>
  <c r="B330" i="8"/>
  <c r="C330" i="8" s="1"/>
  <c r="B329" i="8"/>
  <c r="C329" i="8" s="1"/>
  <c r="B328" i="8"/>
  <c r="C328" i="8" s="1"/>
  <c r="B327" i="8"/>
  <c r="C327" i="8" s="1"/>
  <c r="B326" i="8"/>
  <c r="C326" i="8" s="1"/>
  <c r="B325" i="8"/>
  <c r="C325" i="8" s="1"/>
  <c r="B324" i="8"/>
  <c r="C324" i="8" s="1"/>
  <c r="B323" i="8"/>
  <c r="C323" i="8" s="1"/>
  <c r="B322" i="8"/>
  <c r="C322" i="8" s="1"/>
  <c r="B321" i="8"/>
  <c r="B320" i="8"/>
  <c r="C320" i="8" s="1"/>
  <c r="B319" i="8"/>
  <c r="C319" i="8" s="1"/>
  <c r="B318" i="8"/>
  <c r="C318" i="8" s="1"/>
  <c r="B317" i="8"/>
  <c r="B316" i="8"/>
  <c r="C316" i="8" s="1"/>
  <c r="B315" i="8"/>
  <c r="B314" i="8"/>
  <c r="C314" i="8" s="1"/>
  <c r="B313" i="8"/>
  <c r="C313" i="8" s="1"/>
  <c r="B312" i="8"/>
  <c r="C312" i="8" s="1"/>
  <c r="B311" i="8"/>
  <c r="B310" i="8"/>
  <c r="C310" i="8" s="1"/>
  <c r="B309" i="8"/>
  <c r="C308" i="8"/>
  <c r="B308" i="8"/>
  <c r="B307" i="8"/>
  <c r="B306" i="8"/>
  <c r="C306" i="8" s="1"/>
  <c r="B305" i="8"/>
  <c r="C305" i="8" s="1"/>
  <c r="B304" i="8"/>
  <c r="C304" i="8" s="1"/>
  <c r="B303" i="8"/>
  <c r="C303" i="8" s="1"/>
  <c r="B302" i="8"/>
  <c r="C302" i="8" s="1"/>
  <c r="B301" i="8"/>
  <c r="B300" i="8"/>
  <c r="C300" i="8" s="1"/>
  <c r="B299" i="8"/>
  <c r="B298" i="8"/>
  <c r="C298" i="8" s="1"/>
  <c r="B297" i="8"/>
  <c r="B296" i="8"/>
  <c r="C296" i="8" s="1"/>
  <c r="B295" i="8"/>
  <c r="C295" i="8" s="1"/>
  <c r="B294" i="8"/>
  <c r="C294" i="8" s="1"/>
  <c r="B293" i="8"/>
  <c r="C293" i="8" s="1"/>
  <c r="B292" i="8"/>
  <c r="C292" i="8" s="1"/>
  <c r="B291" i="8"/>
  <c r="C291" i="8" s="1"/>
  <c r="B290" i="8"/>
  <c r="C290" i="8" s="1"/>
  <c r="C289" i="8"/>
  <c r="B289" i="8"/>
  <c r="B288" i="8"/>
  <c r="C288" i="8" s="1"/>
  <c r="B287" i="8"/>
  <c r="C287" i="8" s="1"/>
  <c r="B286" i="8"/>
  <c r="C286" i="8" s="1"/>
  <c r="B285" i="8"/>
  <c r="C285" i="8" s="1"/>
  <c r="B284" i="8"/>
  <c r="C284" i="8" s="1"/>
  <c r="C283" i="8"/>
  <c r="B283" i="8"/>
  <c r="B282" i="8"/>
  <c r="C282" i="8" s="1"/>
  <c r="B281" i="8"/>
  <c r="C281" i="8" s="1"/>
  <c r="B280" i="8"/>
  <c r="C280" i="8" s="1"/>
  <c r="B279" i="8"/>
  <c r="C279" i="8" s="1"/>
  <c r="B278" i="8"/>
  <c r="C278" i="8" s="1"/>
  <c r="B277" i="8"/>
  <c r="C277" i="8" s="1"/>
  <c r="B276" i="8"/>
  <c r="C276" i="8" s="1"/>
  <c r="B275" i="8"/>
  <c r="C275" i="8" s="1"/>
  <c r="B274" i="8"/>
  <c r="C274" i="8" s="1"/>
  <c r="B273" i="8"/>
  <c r="C273" i="8" s="1"/>
  <c r="B272" i="8"/>
  <c r="C272" i="8" s="1"/>
  <c r="B271" i="8"/>
  <c r="C271" i="8" s="1"/>
  <c r="C270" i="8"/>
  <c r="B270" i="8"/>
  <c r="B269" i="8"/>
  <c r="C269" i="8" s="1"/>
  <c r="C268" i="8"/>
  <c r="B268" i="8"/>
  <c r="B267" i="8"/>
  <c r="C267" i="8" s="1"/>
  <c r="B266" i="8"/>
  <c r="C266" i="8" s="1"/>
  <c r="B265" i="8"/>
  <c r="B264" i="8"/>
  <c r="C264" i="8" s="1"/>
  <c r="B263" i="8"/>
  <c r="B262" i="8"/>
  <c r="C262" i="8" s="1"/>
  <c r="B261" i="8"/>
  <c r="B260" i="8"/>
  <c r="C260" i="8" s="1"/>
  <c r="B259" i="8"/>
  <c r="C259" i="8" s="1"/>
  <c r="B258" i="8"/>
  <c r="C258" i="8" s="1"/>
  <c r="B257" i="8"/>
  <c r="C256" i="8"/>
  <c r="B256" i="8"/>
  <c r="B255" i="8"/>
  <c r="C255" i="8" s="1"/>
  <c r="B254" i="8"/>
  <c r="C254" i="8" s="1"/>
  <c r="B253" i="8"/>
  <c r="B252" i="8"/>
  <c r="C252" i="8" s="1"/>
  <c r="B251" i="8"/>
  <c r="C250" i="8"/>
  <c r="B250" i="8"/>
  <c r="B249" i="8"/>
  <c r="B248" i="8"/>
  <c r="C248" i="8" s="1"/>
  <c r="B247" i="8"/>
  <c r="B246" i="8"/>
  <c r="C246" i="8" s="1"/>
  <c r="B245" i="8"/>
  <c r="C244" i="8"/>
  <c r="B244" i="8"/>
  <c r="B243" i="8"/>
  <c r="B242" i="8"/>
  <c r="C242" i="8" s="1"/>
  <c r="B241" i="8"/>
  <c r="C241" i="8" s="1"/>
  <c r="B240" i="8"/>
  <c r="C240" i="8" s="1"/>
  <c r="B239" i="8"/>
  <c r="C239" i="8" s="1"/>
  <c r="B238" i="8"/>
  <c r="C238" i="8" s="1"/>
  <c r="B237" i="8"/>
  <c r="B236" i="8"/>
  <c r="C236" i="8" s="1"/>
  <c r="B235" i="8"/>
  <c r="C235" i="8" s="1"/>
  <c r="B234" i="8"/>
  <c r="C234" i="8" s="1"/>
  <c r="C233" i="8"/>
  <c r="B233" i="8"/>
  <c r="B232" i="8"/>
  <c r="C232" i="8" s="1"/>
  <c r="B231" i="8"/>
  <c r="C231" i="8" s="1"/>
  <c r="B230" i="8"/>
  <c r="C230" i="8" s="1"/>
  <c r="B229" i="8"/>
  <c r="C228" i="8"/>
  <c r="B228" i="8"/>
  <c r="B227" i="8"/>
  <c r="C227" i="8" s="1"/>
  <c r="B226" i="8"/>
  <c r="C226" i="8" s="1"/>
  <c r="B225" i="8"/>
  <c r="B224" i="8"/>
  <c r="C224" i="8" s="1"/>
  <c r="C223" i="8"/>
  <c r="B223" i="8"/>
  <c r="B222" i="8"/>
  <c r="C222" i="8" s="1"/>
  <c r="B221" i="8"/>
  <c r="B220" i="8"/>
  <c r="C220" i="8" s="1"/>
  <c r="B219" i="8"/>
  <c r="C219" i="8" s="1"/>
  <c r="B218" i="8"/>
  <c r="C218" i="8" s="1"/>
  <c r="B217" i="8"/>
  <c r="C217" i="8" s="1"/>
  <c r="B216" i="8"/>
  <c r="C216" i="8" s="1"/>
  <c r="B215" i="8"/>
  <c r="B214" i="8"/>
  <c r="C214" i="8" s="1"/>
  <c r="B213" i="8"/>
  <c r="C213" i="8" s="1"/>
  <c r="B212" i="8"/>
  <c r="C212" i="8" s="1"/>
  <c r="B211" i="8"/>
  <c r="C211" i="8" s="1"/>
  <c r="B210" i="8"/>
  <c r="C210" i="8" s="1"/>
  <c r="B209" i="8"/>
  <c r="B208" i="8"/>
  <c r="C208" i="8" s="1"/>
  <c r="C207" i="8"/>
  <c r="B207" i="8"/>
  <c r="B206" i="8"/>
  <c r="C206" i="8" s="1"/>
  <c r="B205" i="8"/>
  <c r="B204" i="8"/>
  <c r="C204" i="8" s="1"/>
  <c r="B203" i="8"/>
  <c r="B202" i="8"/>
  <c r="C202" i="8" s="1"/>
  <c r="B201" i="8"/>
  <c r="C201" i="8" s="1"/>
  <c r="B200" i="8"/>
  <c r="B199" i="8"/>
  <c r="C199" i="8" s="1"/>
  <c r="B198" i="8"/>
  <c r="B197" i="8"/>
  <c r="C197" i="8" s="1"/>
  <c r="C196" i="8"/>
  <c r="B196" i="8"/>
  <c r="B195" i="8"/>
  <c r="C195" i="8" s="1"/>
  <c r="B194" i="8"/>
  <c r="C194" i="8" s="1"/>
  <c r="B193" i="8"/>
  <c r="C193" i="8" s="1"/>
  <c r="B192" i="8"/>
  <c r="C192" i="8" s="1"/>
  <c r="B191" i="8"/>
  <c r="C191" i="8" s="1"/>
  <c r="B190" i="8"/>
  <c r="B189" i="8"/>
  <c r="B188" i="8"/>
  <c r="C188" i="8" s="1"/>
  <c r="B187" i="8"/>
  <c r="C187" i="8" s="1"/>
  <c r="B186" i="8"/>
  <c r="B185" i="8"/>
  <c r="C185" i="8" s="1"/>
  <c r="B184" i="8"/>
  <c r="C184" i="8" s="1"/>
  <c r="B183" i="8"/>
  <c r="C183" i="8" s="1"/>
  <c r="B182" i="8"/>
  <c r="B181" i="8"/>
  <c r="C181" i="8" s="1"/>
  <c r="B180" i="8"/>
  <c r="C180" i="8" s="1"/>
  <c r="B179" i="8"/>
  <c r="C179" i="8" s="1"/>
  <c r="B178" i="8"/>
  <c r="C177" i="8"/>
  <c r="B177" i="8"/>
  <c r="B176" i="8"/>
  <c r="C176" i="8" s="1"/>
  <c r="C175" i="8"/>
  <c r="B175" i="8"/>
  <c r="B174" i="8"/>
  <c r="B173" i="8"/>
  <c r="C173" i="8" s="1"/>
  <c r="B172" i="8"/>
  <c r="B171" i="8"/>
  <c r="C171" i="8" s="1"/>
  <c r="B170" i="8"/>
  <c r="C170" i="8" s="1"/>
  <c r="C169" i="8"/>
  <c r="B169" i="8"/>
  <c r="B168" i="8"/>
  <c r="C168" i="8" s="1"/>
  <c r="B167" i="8"/>
  <c r="C167" i="8" s="1"/>
  <c r="C166" i="8"/>
  <c r="B166" i="8"/>
  <c r="B165" i="8"/>
  <c r="C165" i="8" s="1"/>
  <c r="C164" i="8"/>
  <c r="B164" i="8"/>
  <c r="B163" i="8"/>
  <c r="C163" i="8" s="1"/>
  <c r="B162" i="8"/>
  <c r="B161" i="8"/>
  <c r="C161" i="8" s="1"/>
  <c r="B160" i="8"/>
  <c r="B159" i="8"/>
  <c r="C159" i="8" s="1"/>
  <c r="B158" i="8"/>
  <c r="B157" i="8"/>
  <c r="C157" i="8" s="1"/>
  <c r="B156" i="8"/>
  <c r="C156" i="8" s="1"/>
  <c r="B155" i="8"/>
  <c r="C155" i="8" s="1"/>
  <c r="B154" i="8"/>
  <c r="C154" i="8" s="1"/>
  <c r="C153" i="8"/>
  <c r="B153" i="8"/>
  <c r="B152" i="8"/>
  <c r="B151" i="8"/>
  <c r="C151" i="8" s="1"/>
  <c r="B150" i="8"/>
  <c r="B149" i="8"/>
  <c r="C149" i="8" s="1"/>
  <c r="B148" i="8"/>
  <c r="C147" i="8"/>
  <c r="B147" i="8"/>
  <c r="B146" i="8"/>
  <c r="B145" i="8"/>
  <c r="C145" i="8" s="1"/>
  <c r="B144" i="8"/>
  <c r="B143" i="8"/>
  <c r="C143" i="8" s="1"/>
  <c r="B142" i="8"/>
  <c r="B141" i="8"/>
  <c r="C141" i="8" s="1"/>
  <c r="B140" i="8"/>
  <c r="C140" i="8" s="1"/>
  <c r="B139" i="8"/>
  <c r="C139" i="8" s="1"/>
  <c r="B138" i="8"/>
  <c r="C138" i="8" s="1"/>
  <c r="B137" i="8"/>
  <c r="C137" i="8" s="1"/>
  <c r="B136" i="8"/>
  <c r="B135" i="8"/>
  <c r="C135" i="8" s="1"/>
  <c r="B134" i="8"/>
  <c r="C134" i="8" s="1"/>
  <c r="B133" i="8"/>
  <c r="C133" i="8" s="1"/>
  <c r="B132" i="8"/>
  <c r="B131" i="8"/>
  <c r="C131" i="8" s="1"/>
  <c r="B130" i="8"/>
  <c r="B129" i="8"/>
  <c r="C129" i="8" s="1"/>
  <c r="B128" i="8"/>
  <c r="C128" i="8" s="1"/>
  <c r="B127" i="8"/>
  <c r="C127" i="8" s="1"/>
  <c r="B126" i="8"/>
  <c r="C126" i="8" s="1"/>
  <c r="B125" i="8"/>
  <c r="C125" i="8" s="1"/>
  <c r="B124" i="8"/>
  <c r="C124" i="8" s="1"/>
  <c r="B123" i="8"/>
  <c r="C123" i="8" s="1"/>
  <c r="B122" i="8"/>
  <c r="C122" i="8" s="1"/>
  <c r="B121" i="8"/>
  <c r="C121" i="8" s="1"/>
  <c r="B120" i="8"/>
  <c r="C119" i="8"/>
  <c r="B119" i="8"/>
  <c r="B118" i="8"/>
  <c r="B117" i="8"/>
  <c r="C117" i="8" s="1"/>
  <c r="B116" i="8"/>
  <c r="B115" i="8"/>
  <c r="C115" i="8" s="1"/>
  <c r="B114" i="8"/>
  <c r="C114" i="8" s="1"/>
  <c r="B113" i="8"/>
  <c r="C113" i="8" s="1"/>
  <c r="B112" i="8"/>
  <c r="B111" i="8"/>
  <c r="C111" i="8" s="1"/>
  <c r="B110" i="8"/>
  <c r="C110" i="8" s="1"/>
  <c r="B109" i="8"/>
  <c r="C109" i="8" s="1"/>
  <c r="B108" i="8"/>
  <c r="C108" i="8" s="1"/>
  <c r="B107" i="8"/>
  <c r="C107" i="8" s="1"/>
  <c r="B106" i="8"/>
  <c r="C106" i="8" s="1"/>
  <c r="B105" i="8"/>
  <c r="C105" i="8" s="1"/>
  <c r="B104" i="8"/>
  <c r="C104" i="8" s="1"/>
  <c r="B103" i="8"/>
  <c r="C103" i="8" s="1"/>
  <c r="B102" i="8"/>
  <c r="C102" i="8" s="1"/>
  <c r="B101" i="8"/>
  <c r="C101" i="8" s="1"/>
  <c r="B100" i="8"/>
  <c r="C100" i="8" s="1"/>
  <c r="B99" i="8"/>
  <c r="C99" i="8" s="1"/>
  <c r="B98" i="8"/>
  <c r="B97" i="8"/>
  <c r="C97" i="8" s="1"/>
  <c r="B96" i="8"/>
  <c r="B95" i="8"/>
  <c r="C95" i="8" s="1"/>
  <c r="B94" i="8"/>
  <c r="B93" i="8"/>
  <c r="C93" i="8" s="1"/>
  <c r="B92" i="8"/>
  <c r="B91" i="8"/>
  <c r="C91" i="8" s="1"/>
  <c r="B90" i="8"/>
  <c r="C90" i="8" s="1"/>
  <c r="B89" i="8"/>
  <c r="C89" i="8" s="1"/>
  <c r="C88" i="8"/>
  <c r="B88" i="8"/>
  <c r="B87" i="8"/>
  <c r="C87" i="8" s="1"/>
  <c r="B86" i="8"/>
  <c r="C86" i="8" s="1"/>
  <c r="B85" i="8"/>
  <c r="C85" i="8" s="1"/>
  <c r="B84" i="8"/>
  <c r="C84" i="8" s="1"/>
  <c r="B83" i="8"/>
  <c r="C83" i="8" s="1"/>
  <c r="C82" i="8"/>
  <c r="B82" i="8"/>
  <c r="B81" i="8"/>
  <c r="C81" i="8" s="1"/>
  <c r="B80" i="8"/>
  <c r="C80" i="8" s="1"/>
  <c r="B79" i="8"/>
  <c r="C79" i="8" s="1"/>
  <c r="B78" i="8"/>
  <c r="C78" i="8" s="1"/>
  <c r="C77" i="8"/>
  <c r="B77" i="8"/>
  <c r="B76" i="8"/>
  <c r="C76" i="8" s="1"/>
  <c r="B75" i="8"/>
  <c r="C75" i="8" s="1"/>
  <c r="B74" i="8"/>
  <c r="B73" i="8"/>
  <c r="C73" i="8" s="1"/>
  <c r="B72" i="8"/>
  <c r="B71" i="8"/>
  <c r="C71" i="8" s="1"/>
  <c r="B70" i="8"/>
  <c r="C70" i="8" s="1"/>
  <c r="B69" i="8"/>
  <c r="C69" i="8" s="1"/>
  <c r="B68" i="8"/>
  <c r="B67" i="8"/>
  <c r="C67" i="8" s="1"/>
  <c r="B66" i="8"/>
  <c r="B65" i="8"/>
  <c r="C65" i="8" s="1"/>
  <c r="B64" i="8"/>
  <c r="B63" i="8"/>
  <c r="C63" i="8" s="1"/>
  <c r="B62" i="8"/>
  <c r="C61" i="8"/>
  <c r="B61" i="8"/>
  <c r="B60" i="8"/>
  <c r="B59" i="8"/>
  <c r="C59" i="8" s="1"/>
  <c r="B58" i="8"/>
  <c r="B57" i="8"/>
  <c r="C57" i="8" s="1"/>
  <c r="B56" i="8"/>
  <c r="C56" i="8" s="1"/>
  <c r="C55" i="8"/>
  <c r="B55" i="8"/>
  <c r="B54" i="8"/>
  <c r="C54" i="8" s="1"/>
  <c r="B53" i="8"/>
  <c r="C53" i="8" s="1"/>
  <c r="B52" i="8"/>
  <c r="B51" i="8"/>
  <c r="C51" i="8" s="1"/>
  <c r="B50" i="8"/>
  <c r="C50" i="8" s="1"/>
  <c r="B49" i="8"/>
  <c r="C49" i="8" s="1"/>
  <c r="B48" i="8"/>
  <c r="C48" i="8" s="1"/>
  <c r="B47" i="8"/>
  <c r="C47" i="8" s="1"/>
  <c r="B46" i="8"/>
  <c r="B45" i="8"/>
  <c r="C45" i="8" s="1"/>
  <c r="B44" i="8"/>
  <c r="C43" i="8"/>
  <c r="B43" i="8"/>
  <c r="B42" i="8"/>
  <c r="C42" i="8" s="1"/>
  <c r="B41" i="8"/>
  <c r="C41" i="8" s="1"/>
  <c r="C40" i="8"/>
  <c r="B40" i="8"/>
  <c r="B39" i="8"/>
  <c r="C39" i="8" s="1"/>
  <c r="B38" i="8"/>
  <c r="C38" i="8" s="1"/>
  <c r="B37" i="8"/>
  <c r="C37" i="8" s="1"/>
  <c r="B36" i="8"/>
  <c r="B35" i="8"/>
  <c r="C35" i="8" s="1"/>
  <c r="B34" i="8"/>
  <c r="C34" i="8" s="1"/>
  <c r="B33" i="8"/>
  <c r="C33" i="8" s="1"/>
  <c r="B32" i="8"/>
  <c r="C32" i="8" s="1"/>
  <c r="B31" i="8"/>
  <c r="C31" i="8" s="1"/>
  <c r="C30" i="8"/>
  <c r="B30" i="8"/>
  <c r="B29" i="8"/>
  <c r="C29" i="8" s="1"/>
  <c r="B28" i="8"/>
  <c r="C28" i="8" s="1"/>
  <c r="B27" i="8"/>
  <c r="C27" i="8" s="1"/>
  <c r="B26" i="8"/>
  <c r="C26" i="8" s="1"/>
  <c r="B25" i="8"/>
  <c r="C25" i="8" s="1"/>
  <c r="C24" i="8"/>
  <c r="B24" i="8"/>
  <c r="B23" i="8"/>
  <c r="C23" i="8" s="1"/>
  <c r="B22" i="8"/>
  <c r="C22" i="8" s="1"/>
  <c r="B21" i="8"/>
  <c r="C21" i="8" s="1"/>
  <c r="B20" i="8"/>
  <c r="C20" i="8" s="1"/>
  <c r="B19" i="8"/>
  <c r="C19" i="8" s="1"/>
  <c r="B18" i="8"/>
  <c r="C18" i="8" s="1"/>
  <c r="B17" i="8"/>
  <c r="C17" i="8" s="1"/>
  <c r="B16" i="8"/>
  <c r="C16" i="8" s="1"/>
  <c r="B15" i="8"/>
  <c r="C15" i="8" s="1"/>
  <c r="B14" i="8"/>
  <c r="C14" i="8" s="1"/>
  <c r="B13" i="8"/>
  <c r="C13" i="8" s="1"/>
  <c r="C12" i="8"/>
  <c r="B12" i="8"/>
  <c r="B11" i="8"/>
  <c r="C11" i="8" s="1"/>
  <c r="B10" i="8"/>
  <c r="C10" i="8" s="1"/>
  <c r="B9" i="8"/>
  <c r="C9" i="8" s="1"/>
  <c r="B8" i="8"/>
  <c r="C8" i="8" s="1"/>
  <c r="B7" i="8"/>
  <c r="C7" i="8" s="1"/>
  <c r="B6" i="8"/>
  <c r="C6" i="8" s="1"/>
  <c r="B5" i="8"/>
  <c r="C5" i="8" s="1"/>
  <c r="B4" i="8"/>
  <c r="C4" i="8" s="1"/>
  <c r="B3" i="8"/>
  <c r="C3" i="8" s="1"/>
  <c r="B2" i="8"/>
  <c r="C2" i="8" s="1"/>
  <c r="C721" i="6"/>
  <c r="C896" i="6"/>
  <c r="C904" i="6"/>
  <c r="C1561" i="6"/>
  <c r="C1769" i="6"/>
  <c r="C1771" i="6"/>
  <c r="C1790" i="6"/>
  <c r="C1856" i="6"/>
  <c r="C1862" i="6"/>
  <c r="C1905" i="6"/>
  <c r="C1926" i="6"/>
  <c r="C1953" i="6"/>
  <c r="C2007" i="6"/>
  <c r="C2008" i="6"/>
  <c r="C2041" i="6"/>
  <c r="C2064" i="6"/>
  <c r="C2078" i="6"/>
  <c r="C2118" i="6"/>
  <c r="C2137" i="6"/>
  <c r="C2151" i="6"/>
  <c r="C2182" i="6"/>
  <c r="C2201" i="6"/>
  <c r="C2208" i="6"/>
  <c r="C2246" i="6"/>
  <c r="C2273" i="6"/>
  <c r="C2279" i="6"/>
  <c r="C2299" i="6"/>
  <c r="C2310" i="6"/>
  <c r="C2328" i="6"/>
  <c r="C2329" i="6"/>
  <c r="C2347" i="6"/>
  <c r="C2361" i="6"/>
  <c r="C2366" i="6"/>
  <c r="C2392" i="6"/>
  <c r="C2416" i="6"/>
  <c r="C2462" i="6"/>
  <c r="C2480" i="6"/>
  <c r="C2494" i="6"/>
  <c r="C2519" i="6"/>
  <c r="C2537" i="6"/>
  <c r="C2553" i="6"/>
  <c r="C2572" i="6"/>
  <c r="C2574" i="6"/>
  <c r="C2591" i="6"/>
  <c r="C2612" i="6"/>
  <c r="C2620" i="6"/>
  <c r="C2628" i="6"/>
  <c r="C2644" i="6"/>
  <c r="C2659" i="6"/>
  <c r="C2660" i="6"/>
  <c r="C2679" i="6"/>
  <c r="C2692" i="6"/>
  <c r="C2695" i="6"/>
  <c r="C2700" i="6"/>
  <c r="C2708" i="6"/>
  <c r="C2716" i="6"/>
  <c r="C2724" i="6"/>
  <c r="C2732" i="6"/>
  <c r="C2748" i="6"/>
  <c r="C2750" i="6"/>
  <c r="C2767" i="6"/>
  <c r="B234" i="7"/>
  <c r="L234" i="7" s="1"/>
  <c r="B233" i="7"/>
  <c r="B232" i="7"/>
  <c r="L231" i="7"/>
  <c r="K231" i="7"/>
  <c r="B231" i="7"/>
  <c r="J231" i="7" s="1"/>
  <c r="B230" i="7"/>
  <c r="L229" i="7"/>
  <c r="K229" i="7"/>
  <c r="B229" i="7"/>
  <c r="J229" i="7" s="1"/>
  <c r="B228" i="7"/>
  <c r="B227" i="7"/>
  <c r="B226" i="7"/>
  <c r="B225" i="7"/>
  <c r="B224" i="7"/>
  <c r="L224" i="7" s="1"/>
  <c r="L223" i="7"/>
  <c r="K223" i="7"/>
  <c r="J223" i="7"/>
  <c r="B223" i="7"/>
  <c r="B222" i="7"/>
  <c r="L222" i="7" s="1"/>
  <c r="L221" i="7"/>
  <c r="K221" i="7"/>
  <c r="J221" i="7"/>
  <c r="B221" i="7"/>
  <c r="B220" i="7"/>
  <c r="L220" i="7" s="1"/>
  <c r="B219" i="7"/>
  <c r="B218" i="7"/>
  <c r="B217" i="7"/>
  <c r="B216" i="7"/>
  <c r="B215" i="7"/>
  <c r="L215" i="7" s="1"/>
  <c r="L214" i="7"/>
  <c r="K214" i="7"/>
  <c r="J214" i="7"/>
  <c r="B214" i="7"/>
  <c r="B213" i="7"/>
  <c r="L213" i="7" s="1"/>
  <c r="L212" i="7"/>
  <c r="K212" i="7"/>
  <c r="J212" i="7"/>
  <c r="B212" i="7"/>
  <c r="B211" i="7"/>
  <c r="B210" i="7"/>
  <c r="L209" i="7"/>
  <c r="K209" i="7"/>
  <c r="B209" i="7"/>
  <c r="J209" i="7" s="1"/>
  <c r="B208" i="7"/>
  <c r="L207" i="7"/>
  <c r="K207" i="7"/>
  <c r="B207" i="7"/>
  <c r="J207" i="7" s="1"/>
  <c r="B206" i="7"/>
  <c r="L205" i="7"/>
  <c r="K205" i="7"/>
  <c r="B205" i="7"/>
  <c r="J205" i="7" s="1"/>
  <c r="B204" i="7"/>
  <c r="B203" i="7"/>
  <c r="L202" i="7"/>
  <c r="J202" i="7"/>
  <c r="B202" i="7"/>
  <c r="K202" i="7" s="1"/>
  <c r="B201" i="7"/>
  <c r="J200" i="7"/>
  <c r="B200" i="7"/>
  <c r="L200" i="7" s="1"/>
  <c r="K199" i="7"/>
  <c r="J199" i="7"/>
  <c r="B199" i="7"/>
  <c r="L199" i="7" s="1"/>
  <c r="K198" i="7"/>
  <c r="J198" i="7"/>
  <c r="B198" i="7"/>
  <c r="L198" i="7" s="1"/>
  <c r="K197" i="7"/>
  <c r="J197" i="7"/>
  <c r="B197" i="7"/>
  <c r="L197" i="7" s="1"/>
  <c r="K196" i="7"/>
  <c r="J196" i="7"/>
  <c r="B196" i="7"/>
  <c r="L196" i="7" s="1"/>
  <c r="K195" i="7"/>
  <c r="J195" i="7"/>
  <c r="B195" i="7"/>
  <c r="L195" i="7" s="1"/>
  <c r="B194" i="7"/>
  <c r="L194" i="7" s="1"/>
  <c r="K193" i="7"/>
  <c r="J193" i="7"/>
  <c r="B193" i="7"/>
  <c r="L193" i="7" s="1"/>
  <c r="J192" i="7"/>
  <c r="B192" i="7"/>
  <c r="L192" i="7" s="1"/>
  <c r="B191" i="7"/>
  <c r="L190" i="7"/>
  <c r="K190" i="7"/>
  <c r="B190" i="7"/>
  <c r="J190" i="7" s="1"/>
  <c r="L189" i="7"/>
  <c r="K189" i="7"/>
  <c r="J189" i="7"/>
  <c r="B189" i="7"/>
  <c r="B188" i="7"/>
  <c r="B187" i="7"/>
  <c r="J186" i="7"/>
  <c r="B186" i="7"/>
  <c r="B185" i="7"/>
  <c r="K185" i="7" s="1"/>
  <c r="B184" i="7"/>
  <c r="J184" i="7" s="1"/>
  <c r="L183" i="7"/>
  <c r="J183" i="7"/>
  <c r="B183" i="7"/>
  <c r="K183" i="7" s="1"/>
  <c r="J182" i="7"/>
  <c r="B182" i="7"/>
  <c r="B181" i="7"/>
  <c r="K181" i="7" s="1"/>
  <c r="B180" i="7"/>
  <c r="L179" i="7"/>
  <c r="J179" i="7"/>
  <c r="B179" i="7"/>
  <c r="K179" i="7" s="1"/>
  <c r="J178" i="7"/>
  <c r="B178" i="7"/>
  <c r="B177" i="7"/>
  <c r="B176" i="7"/>
  <c r="B175" i="7"/>
  <c r="B174" i="7"/>
  <c r="B173" i="7"/>
  <c r="J172" i="7"/>
  <c r="B172" i="7"/>
  <c r="L172" i="7" s="1"/>
  <c r="B171" i="7"/>
  <c r="L170" i="7"/>
  <c r="K170" i="7"/>
  <c r="B170" i="7"/>
  <c r="J170" i="7" s="1"/>
  <c r="L169" i="7"/>
  <c r="K169" i="7"/>
  <c r="J169" i="7"/>
  <c r="B169" i="7"/>
  <c r="L168" i="7"/>
  <c r="K168" i="7"/>
  <c r="B168" i="7"/>
  <c r="J168" i="7" s="1"/>
  <c r="L167" i="7"/>
  <c r="K167" i="7"/>
  <c r="J167" i="7"/>
  <c r="B167" i="7"/>
  <c r="L166" i="7"/>
  <c r="K166" i="7"/>
  <c r="B166" i="7"/>
  <c r="J166" i="7" s="1"/>
  <c r="L165" i="7"/>
  <c r="K165" i="7"/>
  <c r="J165" i="7"/>
  <c r="B165" i="7"/>
  <c r="L164" i="7"/>
  <c r="K164" i="7"/>
  <c r="B164" i="7"/>
  <c r="J164" i="7" s="1"/>
  <c r="L163" i="7"/>
  <c r="K163" i="7"/>
  <c r="J163" i="7"/>
  <c r="B163" i="7"/>
  <c r="L162" i="7"/>
  <c r="K162" i="7"/>
  <c r="B162" i="7"/>
  <c r="J162" i="7" s="1"/>
  <c r="L161" i="7"/>
  <c r="K161" i="7"/>
  <c r="J161" i="7"/>
  <c r="B161" i="7"/>
  <c r="L160" i="7"/>
  <c r="K160" i="7"/>
  <c r="B160" i="7"/>
  <c r="J160" i="7" s="1"/>
  <c r="L159" i="7"/>
  <c r="K159" i="7"/>
  <c r="J159" i="7"/>
  <c r="B159" i="7"/>
  <c r="L158" i="7"/>
  <c r="K158" i="7"/>
  <c r="B158" i="7"/>
  <c r="J158" i="7" s="1"/>
  <c r="L157" i="7"/>
  <c r="K157" i="7"/>
  <c r="J157" i="7"/>
  <c r="B157" i="7"/>
  <c r="L156" i="7"/>
  <c r="K156" i="7"/>
  <c r="B156" i="7"/>
  <c r="J156" i="7" s="1"/>
  <c r="L155" i="7"/>
  <c r="K155" i="7"/>
  <c r="J155" i="7"/>
  <c r="B155" i="7"/>
  <c r="L154" i="7"/>
  <c r="K154" i="7"/>
  <c r="B154" i="7"/>
  <c r="J154" i="7" s="1"/>
  <c r="B153" i="7"/>
  <c r="B152" i="7"/>
  <c r="B151" i="7"/>
  <c r="K151" i="7" s="1"/>
  <c r="B150" i="7"/>
  <c r="K149" i="7"/>
  <c r="J149" i="7"/>
  <c r="B149" i="7"/>
  <c r="L149" i="7" s="1"/>
  <c r="K148" i="7"/>
  <c r="J148" i="7"/>
  <c r="B148" i="7"/>
  <c r="L148" i="7" s="1"/>
  <c r="B147" i="7"/>
  <c r="L147" i="7" s="1"/>
  <c r="K146" i="7"/>
  <c r="J146" i="7"/>
  <c r="B146" i="7"/>
  <c r="L146" i="7" s="1"/>
  <c r="B145" i="7"/>
  <c r="L145" i="7" s="1"/>
  <c r="K144" i="7"/>
  <c r="J144" i="7"/>
  <c r="B144" i="7"/>
  <c r="L144" i="7" s="1"/>
  <c r="B143" i="7"/>
  <c r="L143" i="7" s="1"/>
  <c r="K142" i="7"/>
  <c r="J142" i="7"/>
  <c r="B142" i="7"/>
  <c r="L142" i="7" s="1"/>
  <c r="K141" i="7"/>
  <c r="J141" i="7"/>
  <c r="B141" i="7"/>
  <c r="L141" i="7" s="1"/>
  <c r="K140" i="7"/>
  <c r="J140" i="7"/>
  <c r="B140" i="7"/>
  <c r="L140" i="7" s="1"/>
  <c r="B139" i="7"/>
  <c r="L139" i="7" s="1"/>
  <c r="K138" i="7"/>
  <c r="J138" i="7"/>
  <c r="B138" i="7"/>
  <c r="L138" i="7" s="1"/>
  <c r="B137" i="7"/>
  <c r="L137" i="7" s="1"/>
  <c r="K136" i="7"/>
  <c r="J136" i="7"/>
  <c r="B136" i="7"/>
  <c r="L136" i="7" s="1"/>
  <c r="B135" i="7"/>
  <c r="L135" i="7" s="1"/>
  <c r="K134" i="7"/>
  <c r="J134" i="7"/>
  <c r="B134" i="7"/>
  <c r="L134" i="7" s="1"/>
  <c r="K133" i="7"/>
  <c r="J133" i="7"/>
  <c r="B133" i="7"/>
  <c r="L133" i="7" s="1"/>
  <c r="K132" i="7"/>
  <c r="J132" i="7"/>
  <c r="B132" i="7"/>
  <c r="L132" i="7" s="1"/>
  <c r="B131" i="7"/>
  <c r="L131" i="7" s="1"/>
  <c r="K130" i="7"/>
  <c r="J130" i="7"/>
  <c r="B130" i="7"/>
  <c r="L130" i="7" s="1"/>
  <c r="B129" i="7"/>
  <c r="L129" i="7" s="1"/>
  <c r="K128" i="7"/>
  <c r="J128" i="7"/>
  <c r="B128" i="7"/>
  <c r="L128" i="7" s="1"/>
  <c r="B127" i="7"/>
  <c r="L127" i="7" s="1"/>
  <c r="B126" i="7"/>
  <c r="L125" i="7"/>
  <c r="K125" i="7"/>
  <c r="B125" i="7"/>
  <c r="J125" i="7" s="1"/>
  <c r="L124" i="7"/>
  <c r="K124" i="7"/>
  <c r="J124" i="7"/>
  <c r="B124" i="7"/>
  <c r="B123" i="7"/>
  <c r="B122" i="7"/>
  <c r="B121" i="7"/>
  <c r="K120" i="7"/>
  <c r="J120" i="7"/>
  <c r="B120" i="7"/>
  <c r="L120" i="7" s="1"/>
  <c r="K119" i="7"/>
  <c r="J119" i="7"/>
  <c r="B119" i="7"/>
  <c r="L119" i="7" s="1"/>
  <c r="B118" i="7"/>
  <c r="L118" i="7" s="1"/>
  <c r="B117" i="7"/>
  <c r="B116" i="7"/>
  <c r="B115" i="7"/>
  <c r="B114" i="7"/>
  <c r="B113" i="7"/>
  <c r="B112" i="7"/>
  <c r="L111" i="7"/>
  <c r="K111" i="7"/>
  <c r="B111" i="7"/>
  <c r="J111" i="7" s="1"/>
  <c r="B110" i="7"/>
  <c r="B109" i="7"/>
  <c r="B108" i="7"/>
  <c r="K107" i="7"/>
  <c r="J107" i="7"/>
  <c r="B107" i="7"/>
  <c r="L107" i="7" s="1"/>
  <c r="K106" i="7"/>
  <c r="J106" i="7"/>
  <c r="B106" i="7"/>
  <c r="L106" i="7" s="1"/>
  <c r="K105" i="7"/>
  <c r="J105" i="7"/>
  <c r="B105" i="7"/>
  <c r="L105" i="7" s="1"/>
  <c r="J104" i="7"/>
  <c r="B104" i="7"/>
  <c r="L104" i="7" s="1"/>
  <c r="K103" i="7"/>
  <c r="J103" i="7"/>
  <c r="B103" i="7"/>
  <c r="L103" i="7" s="1"/>
  <c r="B102" i="7"/>
  <c r="L101" i="7"/>
  <c r="K101" i="7"/>
  <c r="J101" i="7"/>
  <c r="B101" i="7"/>
  <c r="B100" i="7"/>
  <c r="B99" i="7"/>
  <c r="L99" i="7" s="1"/>
  <c r="B98" i="7"/>
  <c r="J98" i="7" s="1"/>
  <c r="L97" i="7"/>
  <c r="B97" i="7"/>
  <c r="B96" i="7"/>
  <c r="J96" i="7" s="1"/>
  <c r="B95" i="7"/>
  <c r="K95" i="7" s="1"/>
  <c r="L94" i="7"/>
  <c r="K94" i="7"/>
  <c r="B94" i="7"/>
  <c r="J94" i="7" s="1"/>
  <c r="B93" i="7"/>
  <c r="K93" i="7" s="1"/>
  <c r="B92" i="7"/>
  <c r="B91" i="7"/>
  <c r="B90" i="7"/>
  <c r="L89" i="7"/>
  <c r="K89" i="7"/>
  <c r="B89" i="7"/>
  <c r="J89" i="7" s="1"/>
  <c r="B88" i="7"/>
  <c r="B87" i="7"/>
  <c r="J87" i="7" s="1"/>
  <c r="L86" i="7"/>
  <c r="J86" i="7"/>
  <c r="B86" i="7"/>
  <c r="K86" i="7" s="1"/>
  <c r="B85" i="7"/>
  <c r="B84" i="7"/>
  <c r="K84" i="7" s="1"/>
  <c r="J83" i="7"/>
  <c r="B83" i="7"/>
  <c r="L83" i="7" s="1"/>
  <c r="B82" i="7"/>
  <c r="K81" i="7"/>
  <c r="J81" i="7"/>
  <c r="B81" i="7"/>
  <c r="L81" i="7" s="1"/>
  <c r="J80" i="7"/>
  <c r="B80" i="7"/>
  <c r="K80" i="7" s="1"/>
  <c r="K79" i="7"/>
  <c r="J79" i="7"/>
  <c r="B79" i="7"/>
  <c r="L79" i="7" s="1"/>
  <c r="B78" i="7"/>
  <c r="J78" i="7" s="1"/>
  <c r="K77" i="7"/>
  <c r="J77" i="7"/>
  <c r="B77" i="7"/>
  <c r="L77" i="7" s="1"/>
  <c r="B76" i="7"/>
  <c r="L76" i="7" s="1"/>
  <c r="K75" i="7"/>
  <c r="J75" i="7"/>
  <c r="B75" i="7"/>
  <c r="L75" i="7" s="1"/>
  <c r="B74" i="7"/>
  <c r="L74" i="7" s="1"/>
  <c r="B73" i="7"/>
  <c r="L72" i="7"/>
  <c r="K72" i="7"/>
  <c r="B72" i="7"/>
  <c r="J72" i="7" s="1"/>
  <c r="L71" i="7"/>
  <c r="K71" i="7"/>
  <c r="J71" i="7"/>
  <c r="B71" i="7"/>
  <c r="K70" i="7"/>
  <c r="B70" i="7"/>
  <c r="J70" i="7" s="1"/>
  <c r="B69" i="7"/>
  <c r="B68" i="7"/>
  <c r="B67" i="7"/>
  <c r="B66" i="7"/>
  <c r="B65" i="7"/>
  <c r="B64" i="7"/>
  <c r="B63" i="7"/>
  <c r="L62" i="7"/>
  <c r="B62" i="7"/>
  <c r="K62" i="7" s="1"/>
  <c r="K61" i="7"/>
  <c r="J61" i="7"/>
  <c r="B61" i="7"/>
  <c r="L61" i="7" s="1"/>
  <c r="B60" i="7"/>
  <c r="B59" i="7"/>
  <c r="B58" i="7"/>
  <c r="B57" i="7"/>
  <c r="K56" i="7"/>
  <c r="J56" i="7"/>
  <c r="B56" i="7"/>
  <c r="L56" i="7" s="1"/>
  <c r="B55" i="7"/>
  <c r="L54" i="7"/>
  <c r="K54" i="7"/>
  <c r="J54" i="7"/>
  <c r="B54" i="7"/>
  <c r="B53" i="7"/>
  <c r="J53" i="7" s="1"/>
  <c r="B52" i="7"/>
  <c r="B51" i="7"/>
  <c r="B50" i="7"/>
  <c r="B49" i="7"/>
  <c r="B48" i="7"/>
  <c r="B47" i="7"/>
  <c r="B46" i="7"/>
  <c r="L46" i="7" s="1"/>
  <c r="L45" i="7"/>
  <c r="J45" i="7"/>
  <c r="B45" i="7"/>
  <c r="K45" i="7" s="1"/>
  <c r="B44" i="7"/>
  <c r="B43" i="7"/>
  <c r="J43" i="7" s="1"/>
  <c r="K42" i="7"/>
  <c r="J42" i="7"/>
  <c r="B42" i="7"/>
  <c r="L42" i="7" s="1"/>
  <c r="B41" i="7"/>
  <c r="L41" i="7" s="1"/>
  <c r="K40" i="7"/>
  <c r="J40" i="7"/>
  <c r="B40" i="7"/>
  <c r="L40" i="7" s="1"/>
  <c r="B39" i="7"/>
  <c r="L39" i="7" s="1"/>
  <c r="K38" i="7"/>
  <c r="J38" i="7"/>
  <c r="B38" i="7"/>
  <c r="L38" i="7" s="1"/>
  <c r="L37" i="7"/>
  <c r="B37" i="7"/>
  <c r="K37" i="7" s="1"/>
  <c r="K36" i="7"/>
  <c r="J36" i="7"/>
  <c r="B36" i="7"/>
  <c r="L36" i="7" s="1"/>
  <c r="L35" i="7"/>
  <c r="K35" i="7"/>
  <c r="J35" i="7"/>
  <c r="B35" i="7"/>
  <c r="K34" i="7"/>
  <c r="J34" i="7"/>
  <c r="B34" i="7"/>
  <c r="L34" i="7" s="1"/>
  <c r="L33" i="7"/>
  <c r="K33" i="7"/>
  <c r="J33" i="7"/>
  <c r="B33" i="7"/>
  <c r="K32" i="7"/>
  <c r="J32" i="7"/>
  <c r="B32" i="7"/>
  <c r="L32" i="7" s="1"/>
  <c r="J31" i="7"/>
  <c r="B31" i="7"/>
  <c r="L31" i="7" s="1"/>
  <c r="K30" i="7"/>
  <c r="J30" i="7"/>
  <c r="B30" i="7"/>
  <c r="L30" i="7" s="1"/>
  <c r="B29" i="7"/>
  <c r="B28" i="7"/>
  <c r="K27" i="7"/>
  <c r="B27" i="7"/>
  <c r="J27" i="7" s="1"/>
  <c r="B26" i="7"/>
  <c r="B25" i="7"/>
  <c r="L25" i="7" s="1"/>
  <c r="B24" i="7"/>
  <c r="K24" i="7" s="1"/>
  <c r="K23" i="7"/>
  <c r="J23" i="7"/>
  <c r="B23" i="7"/>
  <c r="L23" i="7" s="1"/>
  <c r="B22" i="7"/>
  <c r="K22" i="7" s="1"/>
  <c r="J21" i="7"/>
  <c r="B21" i="7"/>
  <c r="L21" i="7" s="1"/>
  <c r="B20" i="7"/>
  <c r="K20" i="7" s="1"/>
  <c r="B19" i="7"/>
  <c r="L19" i="7" s="1"/>
  <c r="B18" i="7"/>
  <c r="B17" i="7"/>
  <c r="B16" i="7"/>
  <c r="J16" i="7" s="1"/>
  <c r="L15" i="7"/>
  <c r="K15" i="7"/>
  <c r="J15" i="7"/>
  <c r="B15" i="7"/>
  <c r="L14" i="7"/>
  <c r="K14" i="7"/>
  <c r="B14" i="7"/>
  <c r="J14" i="7" s="1"/>
  <c r="L13" i="7"/>
  <c r="K13" i="7"/>
  <c r="J13" i="7"/>
  <c r="B13" i="7"/>
  <c r="B12" i="7"/>
  <c r="L11" i="7"/>
  <c r="J11" i="7"/>
  <c r="B11" i="7"/>
  <c r="K11" i="7" s="1"/>
  <c r="B10" i="7"/>
  <c r="J10" i="7" s="1"/>
  <c r="J9" i="7"/>
  <c r="B9" i="7"/>
  <c r="K9" i="7" s="1"/>
  <c r="B8" i="7"/>
  <c r="B7" i="7"/>
  <c r="K6" i="7"/>
  <c r="J6" i="7"/>
  <c r="B6" i="7"/>
  <c r="L6" i="7" s="1"/>
  <c r="L5" i="7"/>
  <c r="K5" i="7"/>
  <c r="J5" i="7"/>
  <c r="B5" i="7"/>
  <c r="B4" i="7"/>
  <c r="B3" i="7"/>
  <c r="J3" i="7" s="1"/>
  <c r="B2" i="7"/>
  <c r="B2768" i="6"/>
  <c r="C2768" i="6" s="1"/>
  <c r="B2767" i="6"/>
  <c r="B2766" i="6"/>
  <c r="C2766" i="6" s="1"/>
  <c r="B2765" i="6"/>
  <c r="C2765" i="6" s="1"/>
  <c r="B2764" i="6"/>
  <c r="C2764" i="6" s="1"/>
  <c r="B2763" i="6"/>
  <c r="C2763" i="6" s="1"/>
  <c r="B2762" i="6"/>
  <c r="C2762" i="6" s="1"/>
  <c r="B2761" i="6"/>
  <c r="C2761" i="6" s="1"/>
  <c r="B2760" i="6"/>
  <c r="C2760" i="6" s="1"/>
  <c r="B2759" i="6"/>
  <c r="C2759" i="6" s="1"/>
  <c r="B2758" i="6"/>
  <c r="C2758" i="6" s="1"/>
  <c r="B2757" i="6"/>
  <c r="C2757" i="6" s="1"/>
  <c r="B2756" i="6"/>
  <c r="C2756" i="6" s="1"/>
  <c r="B2755" i="6"/>
  <c r="C2755" i="6" s="1"/>
  <c r="B2754" i="6"/>
  <c r="C2754" i="6" s="1"/>
  <c r="B2753" i="6"/>
  <c r="C2753" i="6" s="1"/>
  <c r="B2752" i="6"/>
  <c r="C2752" i="6" s="1"/>
  <c r="B2751" i="6"/>
  <c r="C2751" i="6" s="1"/>
  <c r="B2750" i="6"/>
  <c r="B2749" i="6"/>
  <c r="C2749" i="6" s="1"/>
  <c r="B2748" i="6"/>
  <c r="B2747" i="6"/>
  <c r="C2747" i="6" s="1"/>
  <c r="B2746" i="6"/>
  <c r="C2746" i="6" s="1"/>
  <c r="B2745" i="6"/>
  <c r="C2745" i="6" s="1"/>
  <c r="B2744" i="6"/>
  <c r="C2744" i="6" s="1"/>
  <c r="B2743" i="6"/>
  <c r="C2743" i="6" s="1"/>
  <c r="B2742" i="6"/>
  <c r="C2742" i="6" s="1"/>
  <c r="B2741" i="6"/>
  <c r="C2741" i="6" s="1"/>
  <c r="B2740" i="6"/>
  <c r="C2740" i="6" s="1"/>
  <c r="B2739" i="6"/>
  <c r="C2739" i="6" s="1"/>
  <c r="B2738" i="6"/>
  <c r="C2738" i="6" s="1"/>
  <c r="B2737" i="6"/>
  <c r="C2737" i="6" s="1"/>
  <c r="B2736" i="6"/>
  <c r="C2736" i="6" s="1"/>
  <c r="B2735" i="6"/>
  <c r="C2735" i="6" s="1"/>
  <c r="B2734" i="6"/>
  <c r="C2734" i="6" s="1"/>
  <c r="B2733" i="6"/>
  <c r="C2733" i="6" s="1"/>
  <c r="B2732" i="6"/>
  <c r="B2731" i="6"/>
  <c r="C2731" i="6" s="1"/>
  <c r="B2730" i="6"/>
  <c r="C2730" i="6" s="1"/>
  <c r="B2729" i="6"/>
  <c r="C2729" i="6" s="1"/>
  <c r="B2728" i="6"/>
  <c r="C2728" i="6" s="1"/>
  <c r="B2727" i="6"/>
  <c r="C2727" i="6" s="1"/>
  <c r="B2726" i="6"/>
  <c r="C2726" i="6" s="1"/>
  <c r="B2725" i="6"/>
  <c r="C2725" i="6" s="1"/>
  <c r="B2724" i="6"/>
  <c r="B2723" i="6"/>
  <c r="C2723" i="6" s="1"/>
  <c r="B2722" i="6"/>
  <c r="C2722" i="6" s="1"/>
  <c r="B2721" i="6"/>
  <c r="C2721" i="6" s="1"/>
  <c r="B2720" i="6"/>
  <c r="C2720" i="6" s="1"/>
  <c r="B2719" i="6"/>
  <c r="C2719" i="6" s="1"/>
  <c r="B2718" i="6"/>
  <c r="C2718" i="6" s="1"/>
  <c r="B2717" i="6"/>
  <c r="C2717" i="6" s="1"/>
  <c r="B2716" i="6"/>
  <c r="B2715" i="6"/>
  <c r="C2715" i="6" s="1"/>
  <c r="B2714" i="6"/>
  <c r="C2714" i="6" s="1"/>
  <c r="B2713" i="6"/>
  <c r="C2713" i="6" s="1"/>
  <c r="B2712" i="6"/>
  <c r="C2712" i="6" s="1"/>
  <c r="B2711" i="6"/>
  <c r="C2711" i="6" s="1"/>
  <c r="B2710" i="6"/>
  <c r="C2710" i="6" s="1"/>
  <c r="B2709" i="6"/>
  <c r="C2709" i="6" s="1"/>
  <c r="B2708" i="6"/>
  <c r="B2707" i="6"/>
  <c r="C2707" i="6" s="1"/>
  <c r="B2706" i="6"/>
  <c r="C2706" i="6" s="1"/>
  <c r="B2705" i="6"/>
  <c r="C2705" i="6" s="1"/>
  <c r="B2704" i="6"/>
  <c r="C2704" i="6" s="1"/>
  <c r="B2703" i="6"/>
  <c r="C2703" i="6" s="1"/>
  <c r="B2702" i="6"/>
  <c r="C2702" i="6" s="1"/>
  <c r="B2701" i="6"/>
  <c r="C2701" i="6" s="1"/>
  <c r="B2700" i="6"/>
  <c r="B2699" i="6"/>
  <c r="C2699" i="6" s="1"/>
  <c r="B2698" i="6"/>
  <c r="C2698" i="6" s="1"/>
  <c r="B2697" i="6"/>
  <c r="C2697" i="6" s="1"/>
  <c r="B2696" i="6"/>
  <c r="C2696" i="6" s="1"/>
  <c r="B2695" i="6"/>
  <c r="B2694" i="6"/>
  <c r="C2694" i="6" s="1"/>
  <c r="B2693" i="6"/>
  <c r="C2693" i="6" s="1"/>
  <c r="B2692" i="6"/>
  <c r="B2691" i="6"/>
  <c r="C2691" i="6" s="1"/>
  <c r="B2690" i="6"/>
  <c r="C2690" i="6" s="1"/>
  <c r="B2689" i="6"/>
  <c r="C2689" i="6" s="1"/>
  <c r="B2688" i="6"/>
  <c r="C2688" i="6" s="1"/>
  <c r="B2687" i="6"/>
  <c r="C2687" i="6" s="1"/>
  <c r="B2686" i="6"/>
  <c r="C2686" i="6" s="1"/>
  <c r="B2685" i="6"/>
  <c r="C2685" i="6" s="1"/>
  <c r="B2684" i="6"/>
  <c r="C2684" i="6" s="1"/>
  <c r="B2683" i="6"/>
  <c r="C2683" i="6" s="1"/>
  <c r="B2682" i="6"/>
  <c r="C2682" i="6" s="1"/>
  <c r="B2681" i="6"/>
  <c r="C2681" i="6" s="1"/>
  <c r="B2680" i="6"/>
  <c r="C2680" i="6" s="1"/>
  <c r="B2679" i="6"/>
  <c r="B2678" i="6"/>
  <c r="C2678" i="6" s="1"/>
  <c r="B2677" i="6"/>
  <c r="C2677" i="6" s="1"/>
  <c r="B2676" i="6"/>
  <c r="C2676" i="6" s="1"/>
  <c r="B2675" i="6"/>
  <c r="C2675" i="6" s="1"/>
  <c r="B2674" i="6"/>
  <c r="C2674" i="6" s="1"/>
  <c r="B2673" i="6"/>
  <c r="C2673" i="6" s="1"/>
  <c r="B2672" i="6"/>
  <c r="C2672" i="6" s="1"/>
  <c r="B2671" i="6"/>
  <c r="C2671" i="6" s="1"/>
  <c r="B2670" i="6"/>
  <c r="C2670" i="6" s="1"/>
  <c r="B2669" i="6"/>
  <c r="C2669" i="6" s="1"/>
  <c r="B2668" i="6"/>
  <c r="C2668" i="6" s="1"/>
  <c r="B2667" i="6"/>
  <c r="C2667" i="6" s="1"/>
  <c r="B2666" i="6"/>
  <c r="C2666" i="6" s="1"/>
  <c r="B2665" i="6"/>
  <c r="C2665" i="6" s="1"/>
  <c r="B2664" i="6"/>
  <c r="C2664" i="6" s="1"/>
  <c r="B2663" i="6"/>
  <c r="C2663" i="6" s="1"/>
  <c r="B2662" i="6"/>
  <c r="C2662" i="6" s="1"/>
  <c r="B2661" i="6"/>
  <c r="C2661" i="6" s="1"/>
  <c r="B2660" i="6"/>
  <c r="B2659" i="6"/>
  <c r="B2658" i="6"/>
  <c r="C2658" i="6" s="1"/>
  <c r="B2657" i="6"/>
  <c r="C2657" i="6" s="1"/>
  <c r="B2656" i="6"/>
  <c r="C2656" i="6" s="1"/>
  <c r="B2655" i="6"/>
  <c r="C2655" i="6" s="1"/>
  <c r="B2654" i="6"/>
  <c r="C2654" i="6" s="1"/>
  <c r="B2653" i="6"/>
  <c r="C2653" i="6" s="1"/>
  <c r="B2652" i="6"/>
  <c r="C2652" i="6" s="1"/>
  <c r="B2651" i="6"/>
  <c r="C2651" i="6" s="1"/>
  <c r="B2650" i="6"/>
  <c r="C2650" i="6" s="1"/>
  <c r="B2649" i="6"/>
  <c r="C2649" i="6" s="1"/>
  <c r="B2648" i="6"/>
  <c r="C2648" i="6" s="1"/>
  <c r="B2647" i="6"/>
  <c r="C2647" i="6" s="1"/>
  <c r="B2646" i="6"/>
  <c r="C2646" i="6" s="1"/>
  <c r="B2645" i="6"/>
  <c r="C2645" i="6" s="1"/>
  <c r="B2644" i="6"/>
  <c r="B2643" i="6"/>
  <c r="C2643" i="6" s="1"/>
  <c r="B2642" i="6"/>
  <c r="C2642" i="6" s="1"/>
  <c r="B2641" i="6"/>
  <c r="C2641" i="6" s="1"/>
  <c r="B2640" i="6"/>
  <c r="C2640" i="6" s="1"/>
  <c r="B2639" i="6"/>
  <c r="C2639" i="6" s="1"/>
  <c r="B2638" i="6"/>
  <c r="C2638" i="6" s="1"/>
  <c r="B2637" i="6"/>
  <c r="C2637" i="6" s="1"/>
  <c r="B2636" i="6"/>
  <c r="C2636" i="6" s="1"/>
  <c r="B2635" i="6"/>
  <c r="C2635" i="6" s="1"/>
  <c r="B2634" i="6"/>
  <c r="C2634" i="6" s="1"/>
  <c r="B2633" i="6"/>
  <c r="C2633" i="6" s="1"/>
  <c r="B2632" i="6"/>
  <c r="C2632" i="6" s="1"/>
  <c r="B2631" i="6"/>
  <c r="C2631" i="6" s="1"/>
  <c r="B2630" i="6"/>
  <c r="C2630" i="6" s="1"/>
  <c r="B2629" i="6"/>
  <c r="C2629" i="6" s="1"/>
  <c r="B2628" i="6"/>
  <c r="B2627" i="6"/>
  <c r="C2627" i="6" s="1"/>
  <c r="B2626" i="6"/>
  <c r="C2626" i="6" s="1"/>
  <c r="B2625" i="6"/>
  <c r="C2625" i="6" s="1"/>
  <c r="B2624" i="6"/>
  <c r="C2624" i="6" s="1"/>
  <c r="B2623" i="6"/>
  <c r="C2623" i="6" s="1"/>
  <c r="B2622" i="6"/>
  <c r="C2622" i="6" s="1"/>
  <c r="B2621" i="6"/>
  <c r="C2621" i="6" s="1"/>
  <c r="B2620" i="6"/>
  <c r="B2619" i="6"/>
  <c r="C2619" i="6" s="1"/>
  <c r="B2618" i="6"/>
  <c r="C2618" i="6" s="1"/>
  <c r="B2617" i="6"/>
  <c r="C2617" i="6" s="1"/>
  <c r="B2616" i="6"/>
  <c r="C2616" i="6" s="1"/>
  <c r="B2615" i="6"/>
  <c r="C2615" i="6" s="1"/>
  <c r="B2614" i="6"/>
  <c r="C2614" i="6" s="1"/>
  <c r="B2613" i="6"/>
  <c r="C2613" i="6" s="1"/>
  <c r="B2612" i="6"/>
  <c r="B2611" i="6"/>
  <c r="C2611" i="6" s="1"/>
  <c r="B2610" i="6"/>
  <c r="C2610" i="6" s="1"/>
  <c r="B2609" i="6"/>
  <c r="C2609" i="6" s="1"/>
  <c r="B2608" i="6"/>
  <c r="C2608" i="6" s="1"/>
  <c r="B2607" i="6"/>
  <c r="C2607" i="6" s="1"/>
  <c r="B2606" i="6"/>
  <c r="C2606" i="6" s="1"/>
  <c r="B2605" i="6"/>
  <c r="C2605" i="6" s="1"/>
  <c r="B2604" i="6"/>
  <c r="C2604" i="6" s="1"/>
  <c r="B2603" i="6"/>
  <c r="C2603" i="6" s="1"/>
  <c r="B2602" i="6"/>
  <c r="C2602" i="6" s="1"/>
  <c r="B2601" i="6"/>
  <c r="C2601" i="6" s="1"/>
  <c r="B2600" i="6"/>
  <c r="C2600" i="6" s="1"/>
  <c r="B2599" i="6"/>
  <c r="C2599" i="6" s="1"/>
  <c r="B2598" i="6"/>
  <c r="C2598" i="6" s="1"/>
  <c r="B2597" i="6"/>
  <c r="C2597" i="6" s="1"/>
  <c r="B2596" i="6"/>
  <c r="C2596" i="6" s="1"/>
  <c r="B2595" i="6"/>
  <c r="C2595" i="6" s="1"/>
  <c r="B2594" i="6"/>
  <c r="C2594" i="6" s="1"/>
  <c r="B2593" i="6"/>
  <c r="C2593" i="6" s="1"/>
  <c r="B2592" i="6"/>
  <c r="C2592" i="6" s="1"/>
  <c r="B2591" i="6"/>
  <c r="B2590" i="6"/>
  <c r="C2590" i="6" s="1"/>
  <c r="B2589" i="6"/>
  <c r="C2589" i="6" s="1"/>
  <c r="B2588" i="6"/>
  <c r="C2588" i="6" s="1"/>
  <c r="B2587" i="6"/>
  <c r="C2587" i="6" s="1"/>
  <c r="B2586" i="6"/>
  <c r="C2586" i="6" s="1"/>
  <c r="B2585" i="6"/>
  <c r="C2585" i="6" s="1"/>
  <c r="B2584" i="6"/>
  <c r="C2584" i="6" s="1"/>
  <c r="B2583" i="6"/>
  <c r="C2583" i="6" s="1"/>
  <c r="B2582" i="6"/>
  <c r="C2582" i="6" s="1"/>
  <c r="B2581" i="6"/>
  <c r="C2581" i="6" s="1"/>
  <c r="B2580" i="6"/>
  <c r="C2580" i="6" s="1"/>
  <c r="B2579" i="6"/>
  <c r="C2579" i="6" s="1"/>
  <c r="B2578" i="6"/>
  <c r="C2578" i="6" s="1"/>
  <c r="B2577" i="6"/>
  <c r="C2577" i="6" s="1"/>
  <c r="B2576" i="6"/>
  <c r="C2576" i="6" s="1"/>
  <c r="B2575" i="6"/>
  <c r="C2575" i="6" s="1"/>
  <c r="B2574" i="6"/>
  <c r="B2573" i="6"/>
  <c r="C2573" i="6" s="1"/>
  <c r="B2572" i="6"/>
  <c r="B2571" i="6"/>
  <c r="C2571" i="6" s="1"/>
  <c r="B2570" i="6"/>
  <c r="C2570" i="6" s="1"/>
  <c r="B2569" i="6"/>
  <c r="C2569" i="6" s="1"/>
  <c r="B2568" i="6"/>
  <c r="C2568" i="6" s="1"/>
  <c r="B2567" i="6"/>
  <c r="C2567" i="6" s="1"/>
  <c r="B2566" i="6"/>
  <c r="C2566" i="6" s="1"/>
  <c r="B2565" i="6"/>
  <c r="C2565" i="6" s="1"/>
  <c r="B2564" i="6"/>
  <c r="C2564" i="6" s="1"/>
  <c r="B2563" i="6"/>
  <c r="C2563" i="6" s="1"/>
  <c r="B2562" i="6"/>
  <c r="C2562" i="6" s="1"/>
  <c r="B2561" i="6"/>
  <c r="C2561" i="6" s="1"/>
  <c r="B2560" i="6"/>
  <c r="C2560" i="6" s="1"/>
  <c r="B2559" i="6"/>
  <c r="C2559" i="6" s="1"/>
  <c r="B2558" i="6"/>
  <c r="C2558" i="6" s="1"/>
  <c r="B2557" i="6"/>
  <c r="C2557" i="6" s="1"/>
  <c r="B2556" i="6"/>
  <c r="C2556" i="6" s="1"/>
  <c r="B2555" i="6"/>
  <c r="C2555" i="6" s="1"/>
  <c r="B2554" i="6"/>
  <c r="C2554" i="6" s="1"/>
  <c r="B2553" i="6"/>
  <c r="B2552" i="6"/>
  <c r="C2552" i="6" s="1"/>
  <c r="B2551" i="6"/>
  <c r="C2551" i="6" s="1"/>
  <c r="B2550" i="6"/>
  <c r="C2550" i="6" s="1"/>
  <c r="B2549" i="6"/>
  <c r="C2549" i="6" s="1"/>
  <c r="B2548" i="6"/>
  <c r="C2548" i="6" s="1"/>
  <c r="B2547" i="6"/>
  <c r="C2547" i="6" s="1"/>
  <c r="B2546" i="6"/>
  <c r="C2546" i="6" s="1"/>
  <c r="B2545" i="6"/>
  <c r="C2545" i="6" s="1"/>
  <c r="B2544" i="6"/>
  <c r="C2544" i="6" s="1"/>
  <c r="B2543" i="6"/>
  <c r="C2543" i="6" s="1"/>
  <c r="B2542" i="6"/>
  <c r="C2542" i="6" s="1"/>
  <c r="B2541" i="6"/>
  <c r="C2541" i="6" s="1"/>
  <c r="B2540" i="6"/>
  <c r="C2540" i="6" s="1"/>
  <c r="B2539" i="6"/>
  <c r="C2539" i="6" s="1"/>
  <c r="B2538" i="6"/>
  <c r="C2538" i="6" s="1"/>
  <c r="B2537" i="6"/>
  <c r="B2536" i="6"/>
  <c r="C2536" i="6" s="1"/>
  <c r="B2535" i="6"/>
  <c r="C2535" i="6" s="1"/>
  <c r="B2534" i="6"/>
  <c r="C2534" i="6" s="1"/>
  <c r="B2533" i="6"/>
  <c r="C2533" i="6" s="1"/>
  <c r="B2532" i="6"/>
  <c r="C2532" i="6" s="1"/>
  <c r="B2531" i="6"/>
  <c r="C2531" i="6" s="1"/>
  <c r="B2530" i="6"/>
  <c r="C2530" i="6" s="1"/>
  <c r="B2529" i="6"/>
  <c r="C2529" i="6" s="1"/>
  <c r="B2528" i="6"/>
  <c r="C2528" i="6" s="1"/>
  <c r="B2527" i="6"/>
  <c r="C2527" i="6" s="1"/>
  <c r="B2526" i="6"/>
  <c r="C2526" i="6" s="1"/>
  <c r="B2525" i="6"/>
  <c r="C2525" i="6" s="1"/>
  <c r="B2524" i="6"/>
  <c r="C2524" i="6" s="1"/>
  <c r="B2523" i="6"/>
  <c r="C2523" i="6" s="1"/>
  <c r="B2522" i="6"/>
  <c r="C2522" i="6" s="1"/>
  <c r="B2521" i="6"/>
  <c r="C2521" i="6" s="1"/>
  <c r="B2520" i="6"/>
  <c r="C2520" i="6" s="1"/>
  <c r="B2519" i="6"/>
  <c r="B2518" i="6"/>
  <c r="C2518" i="6" s="1"/>
  <c r="B2517" i="6"/>
  <c r="C2517" i="6" s="1"/>
  <c r="B2516" i="6"/>
  <c r="C2516" i="6" s="1"/>
  <c r="B2515" i="6"/>
  <c r="C2515" i="6" s="1"/>
  <c r="B2514" i="6"/>
  <c r="C2514" i="6" s="1"/>
  <c r="B2513" i="6"/>
  <c r="C2513" i="6" s="1"/>
  <c r="B2512" i="6"/>
  <c r="C2512" i="6" s="1"/>
  <c r="B2511" i="6"/>
  <c r="C2511" i="6" s="1"/>
  <c r="B2510" i="6"/>
  <c r="C2510" i="6" s="1"/>
  <c r="B2509" i="6"/>
  <c r="C2509" i="6" s="1"/>
  <c r="B2508" i="6"/>
  <c r="C2508" i="6" s="1"/>
  <c r="B2507" i="6"/>
  <c r="C2507" i="6" s="1"/>
  <c r="B2506" i="6"/>
  <c r="C2506" i="6" s="1"/>
  <c r="B2505" i="6"/>
  <c r="C2505" i="6" s="1"/>
  <c r="B2504" i="6"/>
  <c r="C2504" i="6" s="1"/>
  <c r="B2503" i="6"/>
  <c r="C2503" i="6" s="1"/>
  <c r="B2502" i="6"/>
  <c r="C2502" i="6" s="1"/>
  <c r="B2501" i="6"/>
  <c r="C2501" i="6" s="1"/>
  <c r="B2500" i="6"/>
  <c r="C2500" i="6" s="1"/>
  <c r="B2499" i="6"/>
  <c r="C2499" i="6" s="1"/>
  <c r="B2498" i="6"/>
  <c r="C2498" i="6" s="1"/>
  <c r="B2497" i="6"/>
  <c r="C2497" i="6" s="1"/>
  <c r="B2496" i="6"/>
  <c r="C2496" i="6" s="1"/>
  <c r="B2495" i="6"/>
  <c r="C2495" i="6" s="1"/>
  <c r="B2494" i="6"/>
  <c r="B2493" i="6"/>
  <c r="C2493" i="6" s="1"/>
  <c r="B2492" i="6"/>
  <c r="C2492" i="6" s="1"/>
  <c r="B2491" i="6"/>
  <c r="C2491" i="6" s="1"/>
  <c r="B2490" i="6"/>
  <c r="C2490" i="6" s="1"/>
  <c r="B2489" i="6"/>
  <c r="C2489" i="6" s="1"/>
  <c r="B2488" i="6"/>
  <c r="C2488" i="6" s="1"/>
  <c r="B2487" i="6"/>
  <c r="C2487" i="6" s="1"/>
  <c r="B2486" i="6"/>
  <c r="C2486" i="6" s="1"/>
  <c r="B2485" i="6"/>
  <c r="C2485" i="6" s="1"/>
  <c r="B2484" i="6"/>
  <c r="C2484" i="6" s="1"/>
  <c r="B2483" i="6"/>
  <c r="C2483" i="6" s="1"/>
  <c r="B2482" i="6"/>
  <c r="C2482" i="6" s="1"/>
  <c r="B2481" i="6"/>
  <c r="C2481" i="6" s="1"/>
  <c r="B2480" i="6"/>
  <c r="B2479" i="6"/>
  <c r="C2479" i="6" s="1"/>
  <c r="B2478" i="6"/>
  <c r="C2478" i="6" s="1"/>
  <c r="B2477" i="6"/>
  <c r="C2477" i="6" s="1"/>
  <c r="B2476" i="6"/>
  <c r="C2476" i="6" s="1"/>
  <c r="B2475" i="6"/>
  <c r="C2475" i="6" s="1"/>
  <c r="B2474" i="6"/>
  <c r="C2474" i="6" s="1"/>
  <c r="B2473" i="6"/>
  <c r="C2473" i="6" s="1"/>
  <c r="B2472" i="6"/>
  <c r="C2472" i="6" s="1"/>
  <c r="B2471" i="6"/>
  <c r="C2471" i="6" s="1"/>
  <c r="B2470" i="6"/>
  <c r="C2470" i="6" s="1"/>
  <c r="B2469" i="6"/>
  <c r="C2469" i="6" s="1"/>
  <c r="B2468" i="6"/>
  <c r="C2468" i="6" s="1"/>
  <c r="B2467" i="6"/>
  <c r="C2467" i="6" s="1"/>
  <c r="B2466" i="6"/>
  <c r="C2466" i="6" s="1"/>
  <c r="B2465" i="6"/>
  <c r="C2465" i="6" s="1"/>
  <c r="B2464" i="6"/>
  <c r="C2464" i="6" s="1"/>
  <c r="B2463" i="6"/>
  <c r="C2463" i="6" s="1"/>
  <c r="B2462" i="6"/>
  <c r="B2461" i="6"/>
  <c r="C2461" i="6" s="1"/>
  <c r="B2460" i="6"/>
  <c r="C2460" i="6" s="1"/>
  <c r="B2459" i="6"/>
  <c r="C2459" i="6" s="1"/>
  <c r="B2458" i="6"/>
  <c r="C2458" i="6" s="1"/>
  <c r="B2457" i="6"/>
  <c r="C2457" i="6" s="1"/>
  <c r="B2456" i="6"/>
  <c r="C2456" i="6" s="1"/>
  <c r="B2455" i="6"/>
  <c r="C2455" i="6" s="1"/>
  <c r="B2454" i="6"/>
  <c r="C2454" i="6" s="1"/>
  <c r="B2453" i="6"/>
  <c r="C2453" i="6" s="1"/>
  <c r="B2452" i="6"/>
  <c r="C2452" i="6" s="1"/>
  <c r="B2451" i="6"/>
  <c r="C2451" i="6" s="1"/>
  <c r="B2450" i="6"/>
  <c r="C2450" i="6" s="1"/>
  <c r="B2449" i="6"/>
  <c r="C2449" i="6" s="1"/>
  <c r="B2448" i="6"/>
  <c r="C2448" i="6" s="1"/>
  <c r="B2447" i="6"/>
  <c r="C2447" i="6" s="1"/>
  <c r="B2446" i="6"/>
  <c r="C2446" i="6" s="1"/>
  <c r="B2445" i="6"/>
  <c r="C2445" i="6" s="1"/>
  <c r="B2444" i="6"/>
  <c r="C2444" i="6" s="1"/>
  <c r="B2443" i="6"/>
  <c r="C2443" i="6" s="1"/>
  <c r="B2442" i="6"/>
  <c r="C2442" i="6" s="1"/>
  <c r="B2441" i="6"/>
  <c r="C2441" i="6" s="1"/>
  <c r="B2440" i="6"/>
  <c r="C2440" i="6" s="1"/>
  <c r="B2439" i="6"/>
  <c r="C2439" i="6" s="1"/>
  <c r="B2438" i="6"/>
  <c r="C2438" i="6" s="1"/>
  <c r="B2437" i="6"/>
  <c r="C2437" i="6" s="1"/>
  <c r="B2436" i="6"/>
  <c r="C2436" i="6" s="1"/>
  <c r="B2435" i="6"/>
  <c r="C2435" i="6" s="1"/>
  <c r="B2434" i="6"/>
  <c r="C2434" i="6" s="1"/>
  <c r="B2433" i="6"/>
  <c r="C2433" i="6" s="1"/>
  <c r="B2432" i="6"/>
  <c r="C2432" i="6" s="1"/>
  <c r="B2431" i="6"/>
  <c r="C2431" i="6" s="1"/>
  <c r="B2430" i="6"/>
  <c r="C2430" i="6" s="1"/>
  <c r="B2429" i="6"/>
  <c r="C2429" i="6" s="1"/>
  <c r="B2428" i="6"/>
  <c r="C2428" i="6" s="1"/>
  <c r="B2427" i="6"/>
  <c r="C2427" i="6" s="1"/>
  <c r="B2426" i="6"/>
  <c r="C2426" i="6" s="1"/>
  <c r="B2425" i="6"/>
  <c r="C2425" i="6" s="1"/>
  <c r="B2424" i="6"/>
  <c r="C2424" i="6" s="1"/>
  <c r="B2423" i="6"/>
  <c r="C2423" i="6" s="1"/>
  <c r="B2422" i="6"/>
  <c r="C2422" i="6" s="1"/>
  <c r="B2421" i="6"/>
  <c r="C2421" i="6" s="1"/>
  <c r="B2420" i="6"/>
  <c r="C2420" i="6" s="1"/>
  <c r="B2419" i="6"/>
  <c r="C2419" i="6" s="1"/>
  <c r="B2418" i="6"/>
  <c r="C2418" i="6" s="1"/>
  <c r="B2417" i="6"/>
  <c r="C2417" i="6" s="1"/>
  <c r="B2416" i="6"/>
  <c r="B2415" i="6"/>
  <c r="C2415" i="6" s="1"/>
  <c r="B2414" i="6"/>
  <c r="C2414" i="6" s="1"/>
  <c r="B2413" i="6"/>
  <c r="C2413" i="6" s="1"/>
  <c r="B2412" i="6"/>
  <c r="C2412" i="6" s="1"/>
  <c r="B2411" i="6"/>
  <c r="C2411" i="6" s="1"/>
  <c r="B2410" i="6"/>
  <c r="C2410" i="6" s="1"/>
  <c r="B2409" i="6"/>
  <c r="C2409" i="6" s="1"/>
  <c r="B2408" i="6"/>
  <c r="C2408" i="6" s="1"/>
  <c r="B2407" i="6"/>
  <c r="C2407" i="6" s="1"/>
  <c r="B2406" i="6"/>
  <c r="C2406" i="6" s="1"/>
  <c r="B2405" i="6"/>
  <c r="C2405" i="6" s="1"/>
  <c r="B2404" i="6"/>
  <c r="C2404" i="6" s="1"/>
  <c r="B2403" i="6"/>
  <c r="C2403" i="6" s="1"/>
  <c r="B2402" i="6"/>
  <c r="C2402" i="6" s="1"/>
  <c r="B2401" i="6"/>
  <c r="C2401" i="6" s="1"/>
  <c r="B2400" i="6"/>
  <c r="C2400" i="6" s="1"/>
  <c r="B2399" i="6"/>
  <c r="C2399" i="6" s="1"/>
  <c r="B2398" i="6"/>
  <c r="C2398" i="6" s="1"/>
  <c r="B2397" i="6"/>
  <c r="C2397" i="6" s="1"/>
  <c r="B2396" i="6"/>
  <c r="C2396" i="6" s="1"/>
  <c r="B2395" i="6"/>
  <c r="C2395" i="6" s="1"/>
  <c r="B2394" i="6"/>
  <c r="C2394" i="6" s="1"/>
  <c r="B2393" i="6"/>
  <c r="C2393" i="6" s="1"/>
  <c r="B2392" i="6"/>
  <c r="B2391" i="6"/>
  <c r="C2391" i="6" s="1"/>
  <c r="B2390" i="6"/>
  <c r="C2390" i="6" s="1"/>
  <c r="B2389" i="6"/>
  <c r="C2389" i="6" s="1"/>
  <c r="B2388" i="6"/>
  <c r="C2388" i="6" s="1"/>
  <c r="B2387" i="6"/>
  <c r="C2387" i="6" s="1"/>
  <c r="B2386" i="6"/>
  <c r="C2386" i="6" s="1"/>
  <c r="B2385" i="6"/>
  <c r="C2385" i="6" s="1"/>
  <c r="B2384" i="6"/>
  <c r="C2384" i="6" s="1"/>
  <c r="B2383" i="6"/>
  <c r="C2383" i="6" s="1"/>
  <c r="B2382" i="6"/>
  <c r="C2382" i="6" s="1"/>
  <c r="B2381" i="6"/>
  <c r="C2381" i="6" s="1"/>
  <c r="B2380" i="6"/>
  <c r="C2380" i="6" s="1"/>
  <c r="B2379" i="6"/>
  <c r="C2379" i="6" s="1"/>
  <c r="B2378" i="6"/>
  <c r="C2378" i="6" s="1"/>
  <c r="B2377" i="6"/>
  <c r="C2377" i="6" s="1"/>
  <c r="B2376" i="6"/>
  <c r="C2376" i="6" s="1"/>
  <c r="B2375" i="6"/>
  <c r="C2375" i="6" s="1"/>
  <c r="B2374" i="6"/>
  <c r="C2374" i="6" s="1"/>
  <c r="B2373" i="6"/>
  <c r="C2373" i="6" s="1"/>
  <c r="B2372" i="6"/>
  <c r="C2372" i="6" s="1"/>
  <c r="B2371" i="6"/>
  <c r="C2371" i="6" s="1"/>
  <c r="B2370" i="6"/>
  <c r="C2370" i="6" s="1"/>
  <c r="B2369" i="6"/>
  <c r="C2369" i="6" s="1"/>
  <c r="B2368" i="6"/>
  <c r="C2368" i="6" s="1"/>
  <c r="B2367" i="6"/>
  <c r="C2367" i="6" s="1"/>
  <c r="B2366" i="6"/>
  <c r="B2365" i="6"/>
  <c r="C2365" i="6" s="1"/>
  <c r="B2364" i="6"/>
  <c r="C2364" i="6" s="1"/>
  <c r="B2363" i="6"/>
  <c r="C2363" i="6" s="1"/>
  <c r="B2362" i="6"/>
  <c r="C2362" i="6" s="1"/>
  <c r="B2361" i="6"/>
  <c r="B2360" i="6"/>
  <c r="C2360" i="6" s="1"/>
  <c r="B2359" i="6"/>
  <c r="C2359" i="6" s="1"/>
  <c r="B2358" i="6"/>
  <c r="C2358" i="6" s="1"/>
  <c r="B2357" i="6"/>
  <c r="C2357" i="6" s="1"/>
  <c r="B2356" i="6"/>
  <c r="C2356" i="6" s="1"/>
  <c r="B2355" i="6"/>
  <c r="C2355" i="6" s="1"/>
  <c r="B2354" i="6"/>
  <c r="C2354" i="6" s="1"/>
  <c r="B2353" i="6"/>
  <c r="C2353" i="6" s="1"/>
  <c r="B2352" i="6"/>
  <c r="C2352" i="6" s="1"/>
  <c r="B2351" i="6"/>
  <c r="C2351" i="6" s="1"/>
  <c r="B2350" i="6"/>
  <c r="C2350" i="6" s="1"/>
  <c r="B2349" i="6"/>
  <c r="C2349" i="6" s="1"/>
  <c r="B2348" i="6"/>
  <c r="C2348" i="6" s="1"/>
  <c r="B2347" i="6"/>
  <c r="B2346" i="6"/>
  <c r="C2346" i="6" s="1"/>
  <c r="B2345" i="6"/>
  <c r="C2345" i="6" s="1"/>
  <c r="B2344" i="6"/>
  <c r="C2344" i="6" s="1"/>
  <c r="B2343" i="6"/>
  <c r="C2343" i="6" s="1"/>
  <c r="B2342" i="6"/>
  <c r="C2342" i="6" s="1"/>
  <c r="B2341" i="6"/>
  <c r="C2341" i="6" s="1"/>
  <c r="B2340" i="6"/>
  <c r="C2340" i="6" s="1"/>
  <c r="B2339" i="6"/>
  <c r="C2339" i="6" s="1"/>
  <c r="B2338" i="6"/>
  <c r="C2338" i="6" s="1"/>
  <c r="B2337" i="6"/>
  <c r="C2337" i="6" s="1"/>
  <c r="B2336" i="6"/>
  <c r="C2336" i="6" s="1"/>
  <c r="B2335" i="6"/>
  <c r="C2335" i="6" s="1"/>
  <c r="B2334" i="6"/>
  <c r="C2334" i="6" s="1"/>
  <c r="B2333" i="6"/>
  <c r="C2333" i="6" s="1"/>
  <c r="B2332" i="6"/>
  <c r="C2332" i="6" s="1"/>
  <c r="B2331" i="6"/>
  <c r="C2331" i="6" s="1"/>
  <c r="B2330" i="6"/>
  <c r="C2330" i="6" s="1"/>
  <c r="B2329" i="6"/>
  <c r="B2328" i="6"/>
  <c r="B2327" i="6"/>
  <c r="C2327" i="6" s="1"/>
  <c r="B2326" i="6"/>
  <c r="C2326" i="6" s="1"/>
  <c r="B2325" i="6"/>
  <c r="C2325" i="6" s="1"/>
  <c r="B2324" i="6"/>
  <c r="C2324" i="6" s="1"/>
  <c r="B2323" i="6"/>
  <c r="C2323" i="6" s="1"/>
  <c r="B2322" i="6"/>
  <c r="C2322" i="6" s="1"/>
  <c r="B2321" i="6"/>
  <c r="C2321" i="6" s="1"/>
  <c r="B2320" i="6"/>
  <c r="C2320" i="6" s="1"/>
  <c r="B2319" i="6"/>
  <c r="C2319" i="6" s="1"/>
  <c r="B2318" i="6"/>
  <c r="C2318" i="6" s="1"/>
  <c r="B2317" i="6"/>
  <c r="C2317" i="6" s="1"/>
  <c r="B2316" i="6"/>
  <c r="C2316" i="6" s="1"/>
  <c r="B2315" i="6"/>
  <c r="C2315" i="6" s="1"/>
  <c r="B2314" i="6"/>
  <c r="C2314" i="6" s="1"/>
  <c r="B2313" i="6"/>
  <c r="C2313" i="6" s="1"/>
  <c r="B2312" i="6"/>
  <c r="C2312" i="6" s="1"/>
  <c r="B2311" i="6"/>
  <c r="C2311" i="6" s="1"/>
  <c r="B2310" i="6"/>
  <c r="B2309" i="6"/>
  <c r="C2309" i="6" s="1"/>
  <c r="B2308" i="6"/>
  <c r="C2308" i="6" s="1"/>
  <c r="B2307" i="6"/>
  <c r="C2307" i="6" s="1"/>
  <c r="B2306" i="6"/>
  <c r="C2306" i="6" s="1"/>
  <c r="B2305" i="6"/>
  <c r="C2305" i="6" s="1"/>
  <c r="B2304" i="6"/>
  <c r="C2304" i="6" s="1"/>
  <c r="B2303" i="6"/>
  <c r="C2303" i="6" s="1"/>
  <c r="B2302" i="6"/>
  <c r="C2302" i="6" s="1"/>
  <c r="B2301" i="6"/>
  <c r="C2301" i="6" s="1"/>
  <c r="B2300" i="6"/>
  <c r="C2300" i="6" s="1"/>
  <c r="B2299" i="6"/>
  <c r="B2298" i="6"/>
  <c r="C2298" i="6" s="1"/>
  <c r="B2297" i="6"/>
  <c r="C2297" i="6" s="1"/>
  <c r="B2296" i="6"/>
  <c r="C2296" i="6" s="1"/>
  <c r="B2295" i="6"/>
  <c r="C2295" i="6" s="1"/>
  <c r="B2294" i="6"/>
  <c r="C2294" i="6" s="1"/>
  <c r="B2293" i="6"/>
  <c r="C2293" i="6" s="1"/>
  <c r="B2292" i="6"/>
  <c r="C2292" i="6" s="1"/>
  <c r="B2291" i="6"/>
  <c r="C2291" i="6" s="1"/>
  <c r="B2290" i="6"/>
  <c r="C2290" i="6" s="1"/>
  <c r="B2289" i="6"/>
  <c r="C2289" i="6" s="1"/>
  <c r="B2288" i="6"/>
  <c r="C2288" i="6" s="1"/>
  <c r="B2287" i="6"/>
  <c r="C2287" i="6" s="1"/>
  <c r="B2286" i="6"/>
  <c r="C2286" i="6" s="1"/>
  <c r="B2285" i="6"/>
  <c r="C2285" i="6" s="1"/>
  <c r="B2284" i="6"/>
  <c r="C2284" i="6" s="1"/>
  <c r="B2283" i="6"/>
  <c r="C2283" i="6" s="1"/>
  <c r="B2282" i="6"/>
  <c r="C2282" i="6" s="1"/>
  <c r="B2281" i="6"/>
  <c r="C2281" i="6" s="1"/>
  <c r="B2280" i="6"/>
  <c r="C2280" i="6" s="1"/>
  <c r="B2279" i="6"/>
  <c r="B2278" i="6"/>
  <c r="C2278" i="6" s="1"/>
  <c r="B2277" i="6"/>
  <c r="C2277" i="6" s="1"/>
  <c r="B2276" i="6"/>
  <c r="C2276" i="6" s="1"/>
  <c r="B2275" i="6"/>
  <c r="C2275" i="6" s="1"/>
  <c r="B2274" i="6"/>
  <c r="C2274" i="6" s="1"/>
  <c r="B2273" i="6"/>
  <c r="B2272" i="6"/>
  <c r="C2272" i="6" s="1"/>
  <c r="B2271" i="6"/>
  <c r="C2271" i="6" s="1"/>
  <c r="B2270" i="6"/>
  <c r="C2270" i="6" s="1"/>
  <c r="B2269" i="6"/>
  <c r="C2269" i="6" s="1"/>
  <c r="B2268" i="6"/>
  <c r="C2268" i="6" s="1"/>
  <c r="B2267" i="6"/>
  <c r="C2267" i="6" s="1"/>
  <c r="B2266" i="6"/>
  <c r="C2266" i="6" s="1"/>
  <c r="B2265" i="6"/>
  <c r="C2265" i="6" s="1"/>
  <c r="B2264" i="6"/>
  <c r="C2264" i="6" s="1"/>
  <c r="B2263" i="6"/>
  <c r="C2263" i="6" s="1"/>
  <c r="B2262" i="6"/>
  <c r="C2262" i="6" s="1"/>
  <c r="B2261" i="6"/>
  <c r="C2261" i="6" s="1"/>
  <c r="B2260" i="6"/>
  <c r="C2260" i="6" s="1"/>
  <c r="B2259" i="6"/>
  <c r="C2259" i="6" s="1"/>
  <c r="B2258" i="6"/>
  <c r="C2258" i="6" s="1"/>
  <c r="B2257" i="6"/>
  <c r="C2257" i="6" s="1"/>
  <c r="B2256" i="6"/>
  <c r="C2256" i="6" s="1"/>
  <c r="B2255" i="6"/>
  <c r="C2255" i="6" s="1"/>
  <c r="B2254" i="6"/>
  <c r="C2254" i="6" s="1"/>
  <c r="B2253" i="6"/>
  <c r="C2253" i="6" s="1"/>
  <c r="B2252" i="6"/>
  <c r="C2252" i="6" s="1"/>
  <c r="B2251" i="6"/>
  <c r="C2251" i="6" s="1"/>
  <c r="B2250" i="6"/>
  <c r="C2250" i="6" s="1"/>
  <c r="B2249" i="6"/>
  <c r="C2249" i="6" s="1"/>
  <c r="B2248" i="6"/>
  <c r="C2248" i="6" s="1"/>
  <c r="B2247" i="6"/>
  <c r="C2247" i="6" s="1"/>
  <c r="B2246" i="6"/>
  <c r="B2245" i="6"/>
  <c r="C2245" i="6" s="1"/>
  <c r="B2244" i="6"/>
  <c r="C2244" i="6" s="1"/>
  <c r="B2243" i="6"/>
  <c r="C2243" i="6" s="1"/>
  <c r="B2242" i="6"/>
  <c r="C2242" i="6" s="1"/>
  <c r="B2241" i="6"/>
  <c r="C2241" i="6" s="1"/>
  <c r="B2240" i="6"/>
  <c r="C2240" i="6" s="1"/>
  <c r="B2239" i="6"/>
  <c r="C2239" i="6" s="1"/>
  <c r="B2238" i="6"/>
  <c r="C2238" i="6" s="1"/>
  <c r="B2237" i="6"/>
  <c r="C2237" i="6" s="1"/>
  <c r="B2236" i="6"/>
  <c r="C2236" i="6" s="1"/>
  <c r="B2235" i="6"/>
  <c r="C2235" i="6" s="1"/>
  <c r="B2234" i="6"/>
  <c r="C2234" i="6" s="1"/>
  <c r="B2233" i="6"/>
  <c r="C2233" i="6" s="1"/>
  <c r="B2232" i="6"/>
  <c r="C2232" i="6" s="1"/>
  <c r="B2231" i="6"/>
  <c r="C2231" i="6" s="1"/>
  <c r="B2230" i="6"/>
  <c r="C2230" i="6" s="1"/>
  <c r="B2229" i="6"/>
  <c r="C2229" i="6" s="1"/>
  <c r="B2228" i="6"/>
  <c r="C2228" i="6" s="1"/>
  <c r="B2227" i="6"/>
  <c r="C2227" i="6" s="1"/>
  <c r="B2226" i="6"/>
  <c r="C2226" i="6" s="1"/>
  <c r="B2225" i="6"/>
  <c r="C2225" i="6" s="1"/>
  <c r="B2224" i="6"/>
  <c r="C2224" i="6" s="1"/>
  <c r="B2223" i="6"/>
  <c r="C2223" i="6" s="1"/>
  <c r="B2222" i="6"/>
  <c r="C2222" i="6" s="1"/>
  <c r="B2221" i="6"/>
  <c r="C2221" i="6" s="1"/>
  <c r="B2220" i="6"/>
  <c r="C2220" i="6" s="1"/>
  <c r="B2219" i="6"/>
  <c r="C2219" i="6" s="1"/>
  <c r="B2218" i="6"/>
  <c r="C2218" i="6" s="1"/>
  <c r="B2217" i="6"/>
  <c r="C2217" i="6" s="1"/>
  <c r="B2216" i="6"/>
  <c r="C2216" i="6" s="1"/>
  <c r="B2215" i="6"/>
  <c r="C2215" i="6" s="1"/>
  <c r="B2214" i="6"/>
  <c r="C2214" i="6" s="1"/>
  <c r="B2213" i="6"/>
  <c r="C2213" i="6" s="1"/>
  <c r="B2212" i="6"/>
  <c r="C2212" i="6" s="1"/>
  <c r="B2211" i="6"/>
  <c r="C2211" i="6" s="1"/>
  <c r="B2210" i="6"/>
  <c r="C2210" i="6" s="1"/>
  <c r="B2209" i="6"/>
  <c r="C2209" i="6" s="1"/>
  <c r="B2208" i="6"/>
  <c r="B2207" i="6"/>
  <c r="C2207" i="6" s="1"/>
  <c r="B2206" i="6"/>
  <c r="C2206" i="6" s="1"/>
  <c r="B2205" i="6"/>
  <c r="C2205" i="6" s="1"/>
  <c r="B2204" i="6"/>
  <c r="C2204" i="6" s="1"/>
  <c r="B2203" i="6"/>
  <c r="C2203" i="6" s="1"/>
  <c r="B2202" i="6"/>
  <c r="C2202" i="6" s="1"/>
  <c r="B2201" i="6"/>
  <c r="B2200" i="6"/>
  <c r="C2200" i="6" s="1"/>
  <c r="B2199" i="6"/>
  <c r="C2199" i="6" s="1"/>
  <c r="B2198" i="6"/>
  <c r="C2198" i="6" s="1"/>
  <c r="B2197" i="6"/>
  <c r="C2197" i="6" s="1"/>
  <c r="B2196" i="6"/>
  <c r="C2196" i="6" s="1"/>
  <c r="B2195" i="6"/>
  <c r="C2195" i="6" s="1"/>
  <c r="B2194" i="6"/>
  <c r="C2194" i="6" s="1"/>
  <c r="B2193" i="6"/>
  <c r="C2193" i="6" s="1"/>
  <c r="B2192" i="6"/>
  <c r="C2192" i="6" s="1"/>
  <c r="B2191" i="6"/>
  <c r="C2191" i="6" s="1"/>
  <c r="B2190" i="6"/>
  <c r="C2190" i="6" s="1"/>
  <c r="B2189" i="6"/>
  <c r="C2189" i="6" s="1"/>
  <c r="B2188" i="6"/>
  <c r="C2188" i="6" s="1"/>
  <c r="B2187" i="6"/>
  <c r="C2187" i="6" s="1"/>
  <c r="B2186" i="6"/>
  <c r="C2186" i="6" s="1"/>
  <c r="B2185" i="6"/>
  <c r="C2185" i="6" s="1"/>
  <c r="B2184" i="6"/>
  <c r="C2184" i="6" s="1"/>
  <c r="B2183" i="6"/>
  <c r="C2183" i="6" s="1"/>
  <c r="B2182" i="6"/>
  <c r="B2181" i="6"/>
  <c r="C2181" i="6" s="1"/>
  <c r="B2180" i="6"/>
  <c r="C2180" i="6" s="1"/>
  <c r="B2179" i="6"/>
  <c r="C2179" i="6" s="1"/>
  <c r="B2178" i="6"/>
  <c r="C2178" i="6" s="1"/>
  <c r="B2177" i="6"/>
  <c r="C2177" i="6" s="1"/>
  <c r="B2176" i="6"/>
  <c r="C2176" i="6" s="1"/>
  <c r="B2175" i="6"/>
  <c r="C2175" i="6" s="1"/>
  <c r="B2174" i="6"/>
  <c r="C2174" i="6" s="1"/>
  <c r="B2173" i="6"/>
  <c r="C2173" i="6" s="1"/>
  <c r="B2172" i="6"/>
  <c r="C2172" i="6" s="1"/>
  <c r="B2171" i="6"/>
  <c r="C2171" i="6" s="1"/>
  <c r="B2170" i="6"/>
  <c r="C2170" i="6" s="1"/>
  <c r="B2169" i="6"/>
  <c r="C2169" i="6" s="1"/>
  <c r="B2168" i="6"/>
  <c r="C2168" i="6" s="1"/>
  <c r="B2167" i="6"/>
  <c r="C2167" i="6" s="1"/>
  <c r="B2166" i="6"/>
  <c r="C2166" i="6" s="1"/>
  <c r="B2165" i="6"/>
  <c r="C2165" i="6" s="1"/>
  <c r="B2164" i="6"/>
  <c r="C2164" i="6" s="1"/>
  <c r="B2163" i="6"/>
  <c r="C2163" i="6" s="1"/>
  <c r="B2162" i="6"/>
  <c r="C2162" i="6" s="1"/>
  <c r="B2161" i="6"/>
  <c r="C2161" i="6" s="1"/>
  <c r="B2160" i="6"/>
  <c r="C2160" i="6" s="1"/>
  <c r="B2159" i="6"/>
  <c r="C2159" i="6" s="1"/>
  <c r="B2158" i="6"/>
  <c r="C2158" i="6" s="1"/>
  <c r="B2157" i="6"/>
  <c r="C2157" i="6" s="1"/>
  <c r="B2156" i="6"/>
  <c r="C2156" i="6" s="1"/>
  <c r="B2155" i="6"/>
  <c r="C2155" i="6" s="1"/>
  <c r="B2154" i="6"/>
  <c r="C2154" i="6" s="1"/>
  <c r="B2153" i="6"/>
  <c r="C2153" i="6" s="1"/>
  <c r="B2152" i="6"/>
  <c r="C2152" i="6" s="1"/>
  <c r="B2151" i="6"/>
  <c r="B2150" i="6"/>
  <c r="C2150" i="6" s="1"/>
  <c r="B2149" i="6"/>
  <c r="C2149" i="6" s="1"/>
  <c r="B2148" i="6"/>
  <c r="C2148" i="6" s="1"/>
  <c r="B2147" i="6"/>
  <c r="C2147" i="6" s="1"/>
  <c r="B2146" i="6"/>
  <c r="C2146" i="6" s="1"/>
  <c r="B2145" i="6"/>
  <c r="C2145" i="6" s="1"/>
  <c r="B2144" i="6"/>
  <c r="C2144" i="6" s="1"/>
  <c r="B2143" i="6"/>
  <c r="C2143" i="6" s="1"/>
  <c r="B2142" i="6"/>
  <c r="C2142" i="6" s="1"/>
  <c r="B2141" i="6"/>
  <c r="C2141" i="6" s="1"/>
  <c r="B2140" i="6"/>
  <c r="C2140" i="6" s="1"/>
  <c r="B2139" i="6"/>
  <c r="C2139" i="6" s="1"/>
  <c r="B2138" i="6"/>
  <c r="C2138" i="6" s="1"/>
  <c r="B2137" i="6"/>
  <c r="B2136" i="6"/>
  <c r="C2136" i="6" s="1"/>
  <c r="B2135" i="6"/>
  <c r="C2135" i="6" s="1"/>
  <c r="B2134" i="6"/>
  <c r="C2134" i="6" s="1"/>
  <c r="B2133" i="6"/>
  <c r="C2133" i="6" s="1"/>
  <c r="B2132" i="6"/>
  <c r="C2132" i="6" s="1"/>
  <c r="B2131" i="6"/>
  <c r="C2131" i="6" s="1"/>
  <c r="B2130" i="6"/>
  <c r="C2130" i="6" s="1"/>
  <c r="B2129" i="6"/>
  <c r="C2129" i="6" s="1"/>
  <c r="B2128" i="6"/>
  <c r="C2128" i="6" s="1"/>
  <c r="B2127" i="6"/>
  <c r="C2127" i="6" s="1"/>
  <c r="B2126" i="6"/>
  <c r="C2126" i="6" s="1"/>
  <c r="B2125" i="6"/>
  <c r="C2125" i="6" s="1"/>
  <c r="B2124" i="6"/>
  <c r="C2124" i="6" s="1"/>
  <c r="B2123" i="6"/>
  <c r="C2123" i="6" s="1"/>
  <c r="B2122" i="6"/>
  <c r="C2122" i="6" s="1"/>
  <c r="B2121" i="6"/>
  <c r="C2121" i="6" s="1"/>
  <c r="B2120" i="6"/>
  <c r="C2120" i="6" s="1"/>
  <c r="B2119" i="6"/>
  <c r="C2119" i="6" s="1"/>
  <c r="B2118" i="6"/>
  <c r="B2117" i="6"/>
  <c r="C2117" i="6" s="1"/>
  <c r="B2116" i="6"/>
  <c r="C2116" i="6" s="1"/>
  <c r="B2115" i="6"/>
  <c r="C2115" i="6" s="1"/>
  <c r="B2114" i="6"/>
  <c r="C2114" i="6" s="1"/>
  <c r="B2113" i="6"/>
  <c r="C2113" i="6" s="1"/>
  <c r="B2112" i="6"/>
  <c r="C2112" i="6" s="1"/>
  <c r="B2111" i="6"/>
  <c r="C2111" i="6" s="1"/>
  <c r="B2110" i="6"/>
  <c r="C2110" i="6" s="1"/>
  <c r="B2109" i="6"/>
  <c r="C2109" i="6" s="1"/>
  <c r="B2108" i="6"/>
  <c r="C2108" i="6" s="1"/>
  <c r="B2107" i="6"/>
  <c r="C2107" i="6" s="1"/>
  <c r="B2106" i="6"/>
  <c r="C2106" i="6" s="1"/>
  <c r="B2105" i="6"/>
  <c r="C2105" i="6" s="1"/>
  <c r="B2104" i="6"/>
  <c r="C2104" i="6" s="1"/>
  <c r="B2103" i="6"/>
  <c r="C2103" i="6" s="1"/>
  <c r="B2102" i="6"/>
  <c r="C2102" i="6" s="1"/>
  <c r="B2101" i="6"/>
  <c r="C2101" i="6" s="1"/>
  <c r="B2100" i="6"/>
  <c r="C2100" i="6" s="1"/>
  <c r="B2099" i="6"/>
  <c r="C2099" i="6" s="1"/>
  <c r="B2098" i="6"/>
  <c r="C2098" i="6" s="1"/>
  <c r="B2097" i="6"/>
  <c r="C2097" i="6" s="1"/>
  <c r="B2096" i="6"/>
  <c r="C2096" i="6" s="1"/>
  <c r="B2095" i="6"/>
  <c r="C2095" i="6" s="1"/>
  <c r="B2094" i="6"/>
  <c r="C2094" i="6" s="1"/>
  <c r="B2093" i="6"/>
  <c r="C2093" i="6" s="1"/>
  <c r="B2092" i="6"/>
  <c r="C2092" i="6" s="1"/>
  <c r="B2091" i="6"/>
  <c r="C2091" i="6" s="1"/>
  <c r="B2090" i="6"/>
  <c r="C2090" i="6" s="1"/>
  <c r="B2089" i="6"/>
  <c r="C2089" i="6" s="1"/>
  <c r="B2088" i="6"/>
  <c r="C2088" i="6" s="1"/>
  <c r="B2087" i="6"/>
  <c r="C2087" i="6" s="1"/>
  <c r="B2086" i="6"/>
  <c r="C2086" i="6" s="1"/>
  <c r="B2085" i="6"/>
  <c r="C2085" i="6" s="1"/>
  <c r="B2084" i="6"/>
  <c r="C2084" i="6" s="1"/>
  <c r="B2083" i="6"/>
  <c r="C2083" i="6" s="1"/>
  <c r="B2082" i="6"/>
  <c r="C2082" i="6" s="1"/>
  <c r="B2081" i="6"/>
  <c r="C2081" i="6" s="1"/>
  <c r="B2080" i="6"/>
  <c r="C2080" i="6" s="1"/>
  <c r="B2079" i="6"/>
  <c r="C2079" i="6" s="1"/>
  <c r="B2078" i="6"/>
  <c r="B2077" i="6"/>
  <c r="C2077" i="6" s="1"/>
  <c r="B2076" i="6"/>
  <c r="C2076" i="6" s="1"/>
  <c r="B2075" i="6"/>
  <c r="C2075" i="6" s="1"/>
  <c r="B2074" i="6"/>
  <c r="C2074" i="6" s="1"/>
  <c r="B2073" i="6"/>
  <c r="C2073" i="6" s="1"/>
  <c r="B2072" i="6"/>
  <c r="C2072" i="6" s="1"/>
  <c r="B2071" i="6"/>
  <c r="C2071" i="6" s="1"/>
  <c r="B2070" i="6"/>
  <c r="C2070" i="6" s="1"/>
  <c r="B2069" i="6"/>
  <c r="C2069" i="6" s="1"/>
  <c r="B2068" i="6"/>
  <c r="C2068" i="6" s="1"/>
  <c r="B2067" i="6"/>
  <c r="C2067" i="6" s="1"/>
  <c r="B2066" i="6"/>
  <c r="C2066" i="6" s="1"/>
  <c r="B2065" i="6"/>
  <c r="C2065" i="6" s="1"/>
  <c r="B2064" i="6"/>
  <c r="B2063" i="6"/>
  <c r="C2063" i="6" s="1"/>
  <c r="B2062" i="6"/>
  <c r="C2062" i="6" s="1"/>
  <c r="B2061" i="6"/>
  <c r="C2061" i="6" s="1"/>
  <c r="B2060" i="6"/>
  <c r="C2060" i="6" s="1"/>
  <c r="B2059" i="6"/>
  <c r="C2059" i="6" s="1"/>
  <c r="B2058" i="6"/>
  <c r="C2058" i="6" s="1"/>
  <c r="B2057" i="6"/>
  <c r="C2057" i="6" s="1"/>
  <c r="B2056" i="6"/>
  <c r="C2056" i="6" s="1"/>
  <c r="B2055" i="6"/>
  <c r="C2055" i="6" s="1"/>
  <c r="B2054" i="6"/>
  <c r="C2054" i="6" s="1"/>
  <c r="B2053" i="6"/>
  <c r="C2053" i="6" s="1"/>
  <c r="B2052" i="6"/>
  <c r="C2052" i="6" s="1"/>
  <c r="B2051" i="6"/>
  <c r="C2051" i="6" s="1"/>
  <c r="B2050" i="6"/>
  <c r="C2050" i="6" s="1"/>
  <c r="B2049" i="6"/>
  <c r="C2049" i="6" s="1"/>
  <c r="B2048" i="6"/>
  <c r="C2048" i="6" s="1"/>
  <c r="B2047" i="6"/>
  <c r="C2047" i="6" s="1"/>
  <c r="B2046" i="6"/>
  <c r="C2046" i="6" s="1"/>
  <c r="B2045" i="6"/>
  <c r="C2045" i="6" s="1"/>
  <c r="B2044" i="6"/>
  <c r="C2044" i="6" s="1"/>
  <c r="B2043" i="6"/>
  <c r="C2043" i="6" s="1"/>
  <c r="B2042" i="6"/>
  <c r="C2042" i="6" s="1"/>
  <c r="B2041" i="6"/>
  <c r="B2040" i="6"/>
  <c r="C2040" i="6" s="1"/>
  <c r="B2039" i="6"/>
  <c r="C2039" i="6" s="1"/>
  <c r="B2038" i="6"/>
  <c r="C2038" i="6" s="1"/>
  <c r="B2037" i="6"/>
  <c r="C2037" i="6" s="1"/>
  <c r="B2036" i="6"/>
  <c r="C2036" i="6" s="1"/>
  <c r="B2035" i="6"/>
  <c r="C2035" i="6" s="1"/>
  <c r="B2034" i="6"/>
  <c r="C2034" i="6" s="1"/>
  <c r="B2033" i="6"/>
  <c r="C2033" i="6" s="1"/>
  <c r="B2032" i="6"/>
  <c r="C2032" i="6" s="1"/>
  <c r="B2031" i="6"/>
  <c r="C2031" i="6" s="1"/>
  <c r="B2030" i="6"/>
  <c r="C2030" i="6" s="1"/>
  <c r="B2029" i="6"/>
  <c r="C2029" i="6" s="1"/>
  <c r="B2028" i="6"/>
  <c r="C2028" i="6" s="1"/>
  <c r="B2027" i="6"/>
  <c r="C2027" i="6" s="1"/>
  <c r="B2026" i="6"/>
  <c r="C2026" i="6" s="1"/>
  <c r="B2025" i="6"/>
  <c r="C2025" i="6" s="1"/>
  <c r="B2024" i="6"/>
  <c r="C2024" i="6" s="1"/>
  <c r="B2023" i="6"/>
  <c r="C2023" i="6" s="1"/>
  <c r="B2022" i="6"/>
  <c r="C2022" i="6" s="1"/>
  <c r="B2021" i="6"/>
  <c r="C2021" i="6" s="1"/>
  <c r="B2020" i="6"/>
  <c r="C2020" i="6" s="1"/>
  <c r="B2019" i="6"/>
  <c r="C2019" i="6" s="1"/>
  <c r="B2018" i="6"/>
  <c r="C2018" i="6" s="1"/>
  <c r="B2017" i="6"/>
  <c r="C2017" i="6" s="1"/>
  <c r="B2016" i="6"/>
  <c r="C2016" i="6" s="1"/>
  <c r="B2015" i="6"/>
  <c r="C2015" i="6" s="1"/>
  <c r="B2014" i="6"/>
  <c r="C2014" i="6" s="1"/>
  <c r="B2013" i="6"/>
  <c r="C2013" i="6" s="1"/>
  <c r="B2012" i="6"/>
  <c r="C2012" i="6" s="1"/>
  <c r="B2011" i="6"/>
  <c r="C2011" i="6" s="1"/>
  <c r="B2010" i="6"/>
  <c r="C2010" i="6" s="1"/>
  <c r="B2009" i="6"/>
  <c r="C2009" i="6" s="1"/>
  <c r="B2008" i="6"/>
  <c r="B2007" i="6"/>
  <c r="B2006" i="6"/>
  <c r="C2006" i="6" s="1"/>
  <c r="B2005" i="6"/>
  <c r="C2005" i="6" s="1"/>
  <c r="B2004" i="6"/>
  <c r="C2004" i="6" s="1"/>
  <c r="B2003" i="6"/>
  <c r="C2003" i="6" s="1"/>
  <c r="B2002" i="6"/>
  <c r="C2002" i="6" s="1"/>
  <c r="B2001" i="6"/>
  <c r="C2001" i="6" s="1"/>
  <c r="B2000" i="6"/>
  <c r="C2000" i="6" s="1"/>
  <c r="B1999" i="6"/>
  <c r="C1999" i="6" s="1"/>
  <c r="B1998" i="6"/>
  <c r="C1998" i="6" s="1"/>
  <c r="B1997" i="6"/>
  <c r="C1997" i="6" s="1"/>
  <c r="B1996" i="6"/>
  <c r="C1996" i="6" s="1"/>
  <c r="B1995" i="6"/>
  <c r="C1995" i="6" s="1"/>
  <c r="B1994" i="6"/>
  <c r="C1994" i="6" s="1"/>
  <c r="B1993" i="6"/>
  <c r="C1993" i="6" s="1"/>
  <c r="B1992" i="6"/>
  <c r="C1992" i="6" s="1"/>
  <c r="B1991" i="6"/>
  <c r="C1991" i="6" s="1"/>
  <c r="B1990" i="6"/>
  <c r="C1990" i="6" s="1"/>
  <c r="B1989" i="6"/>
  <c r="C1989" i="6" s="1"/>
  <c r="B1988" i="6"/>
  <c r="C1988" i="6" s="1"/>
  <c r="B1987" i="6"/>
  <c r="C1987" i="6" s="1"/>
  <c r="B1986" i="6"/>
  <c r="C1986" i="6" s="1"/>
  <c r="B1985" i="6"/>
  <c r="C1985" i="6" s="1"/>
  <c r="B1984" i="6"/>
  <c r="C1984" i="6" s="1"/>
  <c r="B1983" i="6"/>
  <c r="C1983" i="6" s="1"/>
  <c r="B1982" i="6"/>
  <c r="C1982" i="6" s="1"/>
  <c r="B1981" i="6"/>
  <c r="C1981" i="6" s="1"/>
  <c r="B1980" i="6"/>
  <c r="C1980" i="6" s="1"/>
  <c r="B1979" i="6"/>
  <c r="C1979" i="6" s="1"/>
  <c r="B1978" i="6"/>
  <c r="C1978" i="6" s="1"/>
  <c r="B1977" i="6"/>
  <c r="C1977" i="6" s="1"/>
  <c r="B1976" i="6"/>
  <c r="C1976" i="6" s="1"/>
  <c r="B1975" i="6"/>
  <c r="C1975" i="6" s="1"/>
  <c r="B1974" i="6"/>
  <c r="C1974" i="6" s="1"/>
  <c r="B1973" i="6"/>
  <c r="C1973" i="6" s="1"/>
  <c r="B1972" i="6"/>
  <c r="C1972" i="6" s="1"/>
  <c r="B1971" i="6"/>
  <c r="C1971" i="6" s="1"/>
  <c r="B1970" i="6"/>
  <c r="C1970" i="6" s="1"/>
  <c r="B1969" i="6"/>
  <c r="C1969" i="6" s="1"/>
  <c r="B1968" i="6"/>
  <c r="C1968" i="6" s="1"/>
  <c r="B1967" i="6"/>
  <c r="C1967" i="6" s="1"/>
  <c r="B1966" i="6"/>
  <c r="C1966" i="6" s="1"/>
  <c r="B1965" i="6"/>
  <c r="C1965" i="6" s="1"/>
  <c r="B1964" i="6"/>
  <c r="C1964" i="6" s="1"/>
  <c r="B1963" i="6"/>
  <c r="C1963" i="6" s="1"/>
  <c r="B1962" i="6"/>
  <c r="C1962" i="6" s="1"/>
  <c r="B1961" i="6"/>
  <c r="C1961" i="6" s="1"/>
  <c r="B1960" i="6"/>
  <c r="C1960" i="6" s="1"/>
  <c r="B1959" i="6"/>
  <c r="C1959" i="6" s="1"/>
  <c r="B1958" i="6"/>
  <c r="C1958" i="6" s="1"/>
  <c r="B1957" i="6"/>
  <c r="C1957" i="6" s="1"/>
  <c r="B1956" i="6"/>
  <c r="C1956" i="6" s="1"/>
  <c r="B1955" i="6"/>
  <c r="C1955" i="6" s="1"/>
  <c r="B1954" i="6"/>
  <c r="C1954" i="6" s="1"/>
  <c r="B1953" i="6"/>
  <c r="B1952" i="6"/>
  <c r="C1952" i="6" s="1"/>
  <c r="B1951" i="6"/>
  <c r="C1951" i="6" s="1"/>
  <c r="B1950" i="6"/>
  <c r="C1950" i="6" s="1"/>
  <c r="B1949" i="6"/>
  <c r="C1949" i="6" s="1"/>
  <c r="B1948" i="6"/>
  <c r="C1948" i="6" s="1"/>
  <c r="B1947" i="6"/>
  <c r="C1947" i="6" s="1"/>
  <c r="B1946" i="6"/>
  <c r="C1946" i="6" s="1"/>
  <c r="B1945" i="6"/>
  <c r="C1945" i="6" s="1"/>
  <c r="B1944" i="6"/>
  <c r="C1944" i="6" s="1"/>
  <c r="B1943" i="6"/>
  <c r="C1943" i="6" s="1"/>
  <c r="B1942" i="6"/>
  <c r="C1942" i="6" s="1"/>
  <c r="B1941" i="6"/>
  <c r="C1941" i="6" s="1"/>
  <c r="B1940" i="6"/>
  <c r="C1940" i="6" s="1"/>
  <c r="B1939" i="6"/>
  <c r="C1939" i="6" s="1"/>
  <c r="B1938" i="6"/>
  <c r="C1938" i="6" s="1"/>
  <c r="B1937" i="6"/>
  <c r="C1937" i="6" s="1"/>
  <c r="B1936" i="6"/>
  <c r="C1936" i="6" s="1"/>
  <c r="B1935" i="6"/>
  <c r="C1935" i="6" s="1"/>
  <c r="B1934" i="6"/>
  <c r="C1934" i="6" s="1"/>
  <c r="B1933" i="6"/>
  <c r="C1933" i="6" s="1"/>
  <c r="B1932" i="6"/>
  <c r="C1932" i="6" s="1"/>
  <c r="B1931" i="6"/>
  <c r="C1931" i="6" s="1"/>
  <c r="B1930" i="6"/>
  <c r="C1930" i="6" s="1"/>
  <c r="B1929" i="6"/>
  <c r="C1929" i="6" s="1"/>
  <c r="B1928" i="6"/>
  <c r="C1928" i="6" s="1"/>
  <c r="B1927" i="6"/>
  <c r="C1927" i="6" s="1"/>
  <c r="B1926" i="6"/>
  <c r="B1925" i="6"/>
  <c r="C1925" i="6" s="1"/>
  <c r="B1924" i="6"/>
  <c r="C1924" i="6" s="1"/>
  <c r="B1923" i="6"/>
  <c r="C1923" i="6" s="1"/>
  <c r="B1922" i="6"/>
  <c r="C1922" i="6" s="1"/>
  <c r="B1921" i="6"/>
  <c r="C1921" i="6" s="1"/>
  <c r="B1920" i="6"/>
  <c r="C1920" i="6" s="1"/>
  <c r="B1919" i="6"/>
  <c r="C1919" i="6" s="1"/>
  <c r="B1918" i="6"/>
  <c r="C1918" i="6" s="1"/>
  <c r="B1917" i="6"/>
  <c r="C1917" i="6" s="1"/>
  <c r="B1916" i="6"/>
  <c r="C1916" i="6" s="1"/>
  <c r="B1915" i="6"/>
  <c r="C1915" i="6" s="1"/>
  <c r="B1914" i="6"/>
  <c r="C1914" i="6" s="1"/>
  <c r="B1913" i="6"/>
  <c r="C1913" i="6" s="1"/>
  <c r="B1912" i="6"/>
  <c r="C1912" i="6" s="1"/>
  <c r="B1911" i="6"/>
  <c r="C1911" i="6" s="1"/>
  <c r="B1910" i="6"/>
  <c r="C1910" i="6" s="1"/>
  <c r="B1909" i="6"/>
  <c r="C1909" i="6" s="1"/>
  <c r="B1908" i="6"/>
  <c r="C1908" i="6" s="1"/>
  <c r="B1907" i="6"/>
  <c r="C1907" i="6" s="1"/>
  <c r="B1906" i="6"/>
  <c r="C1906" i="6" s="1"/>
  <c r="B1905" i="6"/>
  <c r="B1904" i="6"/>
  <c r="C1904" i="6" s="1"/>
  <c r="B1903" i="6"/>
  <c r="C1903" i="6" s="1"/>
  <c r="B1902" i="6"/>
  <c r="C1902" i="6" s="1"/>
  <c r="B1901" i="6"/>
  <c r="C1901" i="6" s="1"/>
  <c r="B1900" i="6"/>
  <c r="C1900" i="6" s="1"/>
  <c r="B1899" i="6"/>
  <c r="C1899" i="6" s="1"/>
  <c r="B1898" i="6"/>
  <c r="C1898" i="6" s="1"/>
  <c r="B1897" i="6"/>
  <c r="C1897" i="6" s="1"/>
  <c r="B1896" i="6"/>
  <c r="C1896" i="6" s="1"/>
  <c r="B1895" i="6"/>
  <c r="C1895" i="6" s="1"/>
  <c r="B1894" i="6"/>
  <c r="C1894" i="6" s="1"/>
  <c r="B1893" i="6"/>
  <c r="C1893" i="6" s="1"/>
  <c r="B1892" i="6"/>
  <c r="C1892" i="6" s="1"/>
  <c r="B1891" i="6"/>
  <c r="C1891" i="6" s="1"/>
  <c r="B1890" i="6"/>
  <c r="C1890" i="6" s="1"/>
  <c r="B1889" i="6"/>
  <c r="C1889" i="6" s="1"/>
  <c r="B1888" i="6"/>
  <c r="C1888" i="6" s="1"/>
  <c r="B1887" i="6"/>
  <c r="C1887" i="6" s="1"/>
  <c r="B1886" i="6"/>
  <c r="C1886" i="6" s="1"/>
  <c r="B1885" i="6"/>
  <c r="C1885" i="6" s="1"/>
  <c r="B1884" i="6"/>
  <c r="C1884" i="6" s="1"/>
  <c r="B1883" i="6"/>
  <c r="C1883" i="6" s="1"/>
  <c r="B1882" i="6"/>
  <c r="C1882" i="6" s="1"/>
  <c r="B1881" i="6"/>
  <c r="C1881" i="6" s="1"/>
  <c r="B1880" i="6"/>
  <c r="C1880" i="6" s="1"/>
  <c r="B1879" i="6"/>
  <c r="C1879" i="6" s="1"/>
  <c r="B1878" i="6"/>
  <c r="C1878" i="6" s="1"/>
  <c r="B1877" i="6"/>
  <c r="C1877" i="6" s="1"/>
  <c r="B1876" i="6"/>
  <c r="C1876" i="6" s="1"/>
  <c r="B1875" i="6"/>
  <c r="C1875" i="6" s="1"/>
  <c r="B1874" i="6"/>
  <c r="C1874" i="6" s="1"/>
  <c r="B1873" i="6"/>
  <c r="C1873" i="6" s="1"/>
  <c r="B1872" i="6"/>
  <c r="C1872" i="6" s="1"/>
  <c r="B1871" i="6"/>
  <c r="C1871" i="6" s="1"/>
  <c r="B1870" i="6"/>
  <c r="C1870" i="6" s="1"/>
  <c r="B1869" i="6"/>
  <c r="C1869" i="6" s="1"/>
  <c r="B1868" i="6"/>
  <c r="C1868" i="6" s="1"/>
  <c r="B1867" i="6"/>
  <c r="C1867" i="6" s="1"/>
  <c r="B1866" i="6"/>
  <c r="C1866" i="6" s="1"/>
  <c r="B1865" i="6"/>
  <c r="C1865" i="6" s="1"/>
  <c r="B1864" i="6"/>
  <c r="C1864" i="6" s="1"/>
  <c r="B1863" i="6"/>
  <c r="C1863" i="6" s="1"/>
  <c r="B1862" i="6"/>
  <c r="B1861" i="6"/>
  <c r="C1861" i="6" s="1"/>
  <c r="B1860" i="6"/>
  <c r="C1860" i="6" s="1"/>
  <c r="B1859" i="6"/>
  <c r="C1859" i="6" s="1"/>
  <c r="B1858" i="6"/>
  <c r="C1858" i="6" s="1"/>
  <c r="B1857" i="6"/>
  <c r="C1857" i="6" s="1"/>
  <c r="B1856" i="6"/>
  <c r="B1855" i="6"/>
  <c r="C1855" i="6" s="1"/>
  <c r="B1854" i="6"/>
  <c r="C1854" i="6" s="1"/>
  <c r="B1853" i="6"/>
  <c r="C1853" i="6" s="1"/>
  <c r="B1852" i="6"/>
  <c r="C1852" i="6" s="1"/>
  <c r="B1851" i="6"/>
  <c r="C1851" i="6" s="1"/>
  <c r="B1850" i="6"/>
  <c r="C1850" i="6" s="1"/>
  <c r="B1849" i="6"/>
  <c r="C1849" i="6" s="1"/>
  <c r="B1848" i="6"/>
  <c r="C1848" i="6" s="1"/>
  <c r="B1847" i="6"/>
  <c r="C1847" i="6" s="1"/>
  <c r="B1846" i="6"/>
  <c r="C1846" i="6" s="1"/>
  <c r="B1845" i="6"/>
  <c r="C1845" i="6" s="1"/>
  <c r="B1844" i="6"/>
  <c r="C1844" i="6" s="1"/>
  <c r="B1843" i="6"/>
  <c r="C1843" i="6" s="1"/>
  <c r="B1842" i="6"/>
  <c r="C1842" i="6" s="1"/>
  <c r="B1841" i="6"/>
  <c r="C1841" i="6" s="1"/>
  <c r="B1840" i="6"/>
  <c r="C1840" i="6" s="1"/>
  <c r="B1839" i="6"/>
  <c r="C1839" i="6" s="1"/>
  <c r="B1838" i="6"/>
  <c r="C1838" i="6" s="1"/>
  <c r="B1837" i="6"/>
  <c r="C1837" i="6" s="1"/>
  <c r="B1836" i="6"/>
  <c r="C1836" i="6" s="1"/>
  <c r="B1835" i="6"/>
  <c r="C1835" i="6" s="1"/>
  <c r="B1834" i="6"/>
  <c r="C1834" i="6" s="1"/>
  <c r="B1833" i="6"/>
  <c r="C1833" i="6" s="1"/>
  <c r="B1832" i="6"/>
  <c r="C1832" i="6" s="1"/>
  <c r="B1831" i="6"/>
  <c r="C1831" i="6" s="1"/>
  <c r="B1830" i="6"/>
  <c r="C1830" i="6" s="1"/>
  <c r="B1829" i="6"/>
  <c r="C1829" i="6" s="1"/>
  <c r="B1828" i="6"/>
  <c r="C1828" i="6" s="1"/>
  <c r="B1827" i="6"/>
  <c r="C1827" i="6" s="1"/>
  <c r="B1826" i="6"/>
  <c r="C1826" i="6" s="1"/>
  <c r="B1825" i="6"/>
  <c r="C1825" i="6" s="1"/>
  <c r="B1824" i="6"/>
  <c r="C1824" i="6" s="1"/>
  <c r="B1823" i="6"/>
  <c r="C1823" i="6" s="1"/>
  <c r="B1822" i="6"/>
  <c r="C1822" i="6" s="1"/>
  <c r="B1821" i="6"/>
  <c r="C1821" i="6" s="1"/>
  <c r="B1820" i="6"/>
  <c r="C1820" i="6" s="1"/>
  <c r="B1819" i="6"/>
  <c r="C1819" i="6" s="1"/>
  <c r="B1818" i="6"/>
  <c r="C1818" i="6" s="1"/>
  <c r="B1817" i="6"/>
  <c r="C1817" i="6" s="1"/>
  <c r="B1816" i="6"/>
  <c r="C1816" i="6" s="1"/>
  <c r="B1815" i="6"/>
  <c r="C1815" i="6" s="1"/>
  <c r="B1814" i="6"/>
  <c r="C1814" i="6" s="1"/>
  <c r="B1813" i="6"/>
  <c r="C1813" i="6" s="1"/>
  <c r="B1812" i="6"/>
  <c r="C1812" i="6" s="1"/>
  <c r="B1811" i="6"/>
  <c r="C1811" i="6" s="1"/>
  <c r="B1810" i="6"/>
  <c r="C1810" i="6" s="1"/>
  <c r="B1809" i="6"/>
  <c r="C1809" i="6" s="1"/>
  <c r="B1808" i="6"/>
  <c r="C1808" i="6" s="1"/>
  <c r="B1807" i="6"/>
  <c r="C1807" i="6" s="1"/>
  <c r="B1806" i="6"/>
  <c r="C1806" i="6" s="1"/>
  <c r="B1805" i="6"/>
  <c r="C1805" i="6" s="1"/>
  <c r="B1804" i="6"/>
  <c r="C1804" i="6" s="1"/>
  <c r="B1803" i="6"/>
  <c r="C1803" i="6" s="1"/>
  <c r="B1802" i="6"/>
  <c r="C1802" i="6" s="1"/>
  <c r="B1801" i="6"/>
  <c r="C1801" i="6" s="1"/>
  <c r="B1800" i="6"/>
  <c r="C1800" i="6" s="1"/>
  <c r="B1799" i="6"/>
  <c r="C1799" i="6" s="1"/>
  <c r="B1798" i="6"/>
  <c r="C1798" i="6" s="1"/>
  <c r="B1797" i="6"/>
  <c r="C1797" i="6" s="1"/>
  <c r="B1796" i="6"/>
  <c r="C1796" i="6" s="1"/>
  <c r="B1795" i="6"/>
  <c r="C1795" i="6" s="1"/>
  <c r="B1794" i="6"/>
  <c r="C1794" i="6" s="1"/>
  <c r="B1793" i="6"/>
  <c r="C1793" i="6" s="1"/>
  <c r="B1792" i="6"/>
  <c r="C1792" i="6" s="1"/>
  <c r="B1791" i="6"/>
  <c r="C1791" i="6" s="1"/>
  <c r="B1790" i="6"/>
  <c r="B1789" i="6"/>
  <c r="C1789" i="6" s="1"/>
  <c r="B1788" i="6"/>
  <c r="C1788" i="6" s="1"/>
  <c r="B1787" i="6"/>
  <c r="C1787" i="6" s="1"/>
  <c r="B1786" i="6"/>
  <c r="C1786" i="6" s="1"/>
  <c r="B1785" i="6"/>
  <c r="C1785" i="6" s="1"/>
  <c r="B1784" i="6"/>
  <c r="C1784" i="6" s="1"/>
  <c r="B1783" i="6"/>
  <c r="C1783" i="6" s="1"/>
  <c r="B1782" i="6"/>
  <c r="C1782" i="6" s="1"/>
  <c r="B1781" i="6"/>
  <c r="C1781" i="6" s="1"/>
  <c r="B1780" i="6"/>
  <c r="C1780" i="6" s="1"/>
  <c r="B1779" i="6"/>
  <c r="C1779" i="6" s="1"/>
  <c r="B1778" i="6"/>
  <c r="C1778" i="6" s="1"/>
  <c r="B1777" i="6"/>
  <c r="C1777" i="6" s="1"/>
  <c r="B1776" i="6"/>
  <c r="C1776" i="6" s="1"/>
  <c r="B1775" i="6"/>
  <c r="C1775" i="6" s="1"/>
  <c r="B1774" i="6"/>
  <c r="C1774" i="6" s="1"/>
  <c r="B1773" i="6"/>
  <c r="C1773" i="6" s="1"/>
  <c r="B1772" i="6"/>
  <c r="C1772" i="6" s="1"/>
  <c r="B1771" i="6"/>
  <c r="B1770" i="6"/>
  <c r="C1770" i="6" s="1"/>
  <c r="B1769" i="6"/>
  <c r="B1768" i="6"/>
  <c r="C1768" i="6" s="1"/>
  <c r="B1767" i="6"/>
  <c r="C1767" i="6" s="1"/>
  <c r="B1766" i="6"/>
  <c r="C1766" i="6" s="1"/>
  <c r="B1765" i="6"/>
  <c r="C1765" i="6" s="1"/>
  <c r="B1764" i="6"/>
  <c r="C1764" i="6" s="1"/>
  <c r="B1763" i="6"/>
  <c r="C1763" i="6" s="1"/>
  <c r="B1762" i="6"/>
  <c r="C1762" i="6" s="1"/>
  <c r="B1761" i="6"/>
  <c r="C1761" i="6" s="1"/>
  <c r="B1760" i="6"/>
  <c r="C1760" i="6" s="1"/>
  <c r="B1759" i="6"/>
  <c r="C1759" i="6" s="1"/>
  <c r="B1758" i="6"/>
  <c r="C1758" i="6" s="1"/>
  <c r="B1757" i="6"/>
  <c r="C1757" i="6" s="1"/>
  <c r="B1756" i="6"/>
  <c r="C1756" i="6" s="1"/>
  <c r="B1755" i="6"/>
  <c r="C1755" i="6" s="1"/>
  <c r="B1754" i="6"/>
  <c r="C1754" i="6" s="1"/>
  <c r="B1753" i="6"/>
  <c r="C1753" i="6" s="1"/>
  <c r="B1752" i="6"/>
  <c r="C1752" i="6" s="1"/>
  <c r="B1751" i="6"/>
  <c r="C1751" i="6" s="1"/>
  <c r="B1750" i="6"/>
  <c r="C1750" i="6" s="1"/>
  <c r="B1749" i="6"/>
  <c r="C1749" i="6" s="1"/>
  <c r="B1748" i="6"/>
  <c r="C1748" i="6" s="1"/>
  <c r="B1747" i="6"/>
  <c r="C1747" i="6" s="1"/>
  <c r="B1746" i="6"/>
  <c r="C1746" i="6" s="1"/>
  <c r="B1745" i="6"/>
  <c r="C1745" i="6" s="1"/>
  <c r="B1744" i="6"/>
  <c r="C1744" i="6" s="1"/>
  <c r="B1743" i="6"/>
  <c r="C1743" i="6" s="1"/>
  <c r="B1742" i="6"/>
  <c r="C1742" i="6" s="1"/>
  <c r="B1741" i="6"/>
  <c r="C1741" i="6" s="1"/>
  <c r="B1740" i="6"/>
  <c r="C1740" i="6" s="1"/>
  <c r="B1739" i="6"/>
  <c r="C1739" i="6" s="1"/>
  <c r="B1738" i="6"/>
  <c r="C1738" i="6" s="1"/>
  <c r="B1737" i="6"/>
  <c r="C1737" i="6" s="1"/>
  <c r="B1736" i="6"/>
  <c r="C1736" i="6" s="1"/>
  <c r="B1735" i="6"/>
  <c r="C1735" i="6" s="1"/>
  <c r="B1734" i="6"/>
  <c r="C1734" i="6" s="1"/>
  <c r="B1733" i="6"/>
  <c r="C1733" i="6" s="1"/>
  <c r="B1732" i="6"/>
  <c r="C1732" i="6" s="1"/>
  <c r="B1731" i="6"/>
  <c r="C1731" i="6" s="1"/>
  <c r="B1730" i="6"/>
  <c r="C1730" i="6" s="1"/>
  <c r="B1729" i="6"/>
  <c r="C1729" i="6" s="1"/>
  <c r="B1728" i="6"/>
  <c r="C1728" i="6" s="1"/>
  <c r="B1727" i="6"/>
  <c r="C1727" i="6" s="1"/>
  <c r="B1726" i="6"/>
  <c r="C1726" i="6" s="1"/>
  <c r="B1725" i="6"/>
  <c r="C1725" i="6" s="1"/>
  <c r="B1724" i="6"/>
  <c r="C1724" i="6" s="1"/>
  <c r="B1723" i="6"/>
  <c r="C1723" i="6" s="1"/>
  <c r="B1722" i="6"/>
  <c r="C1722" i="6" s="1"/>
  <c r="B1721" i="6"/>
  <c r="C1721" i="6" s="1"/>
  <c r="B1720" i="6"/>
  <c r="C1720" i="6" s="1"/>
  <c r="B1719" i="6"/>
  <c r="C1719" i="6" s="1"/>
  <c r="B1718" i="6"/>
  <c r="C1718" i="6" s="1"/>
  <c r="B1717" i="6"/>
  <c r="C1717" i="6" s="1"/>
  <c r="B1716" i="6"/>
  <c r="C1716" i="6" s="1"/>
  <c r="B1715" i="6"/>
  <c r="C1715" i="6" s="1"/>
  <c r="B1714" i="6"/>
  <c r="C1714" i="6" s="1"/>
  <c r="B1713" i="6"/>
  <c r="C1713" i="6" s="1"/>
  <c r="B1712" i="6"/>
  <c r="C1712" i="6" s="1"/>
  <c r="B1711" i="6"/>
  <c r="C1711" i="6" s="1"/>
  <c r="B1710" i="6"/>
  <c r="C1710" i="6" s="1"/>
  <c r="B1709" i="6"/>
  <c r="C1709" i="6" s="1"/>
  <c r="B1708" i="6"/>
  <c r="C1708" i="6" s="1"/>
  <c r="B1707" i="6"/>
  <c r="C1707" i="6" s="1"/>
  <c r="B1706" i="6"/>
  <c r="C1706" i="6" s="1"/>
  <c r="B1705" i="6"/>
  <c r="C1705" i="6" s="1"/>
  <c r="B1704" i="6"/>
  <c r="C1704" i="6" s="1"/>
  <c r="B1703" i="6"/>
  <c r="C1703" i="6" s="1"/>
  <c r="B1702" i="6"/>
  <c r="C1702" i="6" s="1"/>
  <c r="B1701" i="6"/>
  <c r="C1701" i="6" s="1"/>
  <c r="B1700" i="6"/>
  <c r="C1700" i="6" s="1"/>
  <c r="B1699" i="6"/>
  <c r="C1699" i="6" s="1"/>
  <c r="B1698" i="6"/>
  <c r="C1698" i="6" s="1"/>
  <c r="B1697" i="6"/>
  <c r="C1697" i="6" s="1"/>
  <c r="B1696" i="6"/>
  <c r="C1696" i="6" s="1"/>
  <c r="B1695" i="6"/>
  <c r="C1695" i="6" s="1"/>
  <c r="B1694" i="6"/>
  <c r="C1694" i="6" s="1"/>
  <c r="B1693" i="6"/>
  <c r="C1693" i="6" s="1"/>
  <c r="B1692" i="6"/>
  <c r="C1692" i="6" s="1"/>
  <c r="B1691" i="6"/>
  <c r="C1691" i="6" s="1"/>
  <c r="B1690" i="6"/>
  <c r="C1690" i="6" s="1"/>
  <c r="B1689" i="6"/>
  <c r="C1689" i="6" s="1"/>
  <c r="B1688" i="6"/>
  <c r="C1688" i="6" s="1"/>
  <c r="B1687" i="6"/>
  <c r="C1687" i="6" s="1"/>
  <c r="B1686" i="6"/>
  <c r="C1686" i="6" s="1"/>
  <c r="B1685" i="6"/>
  <c r="C1685" i="6" s="1"/>
  <c r="B1684" i="6"/>
  <c r="C1684" i="6" s="1"/>
  <c r="B1683" i="6"/>
  <c r="C1683" i="6" s="1"/>
  <c r="B1682" i="6"/>
  <c r="C1682" i="6" s="1"/>
  <c r="B1681" i="6"/>
  <c r="C1681" i="6" s="1"/>
  <c r="B1680" i="6"/>
  <c r="C1680" i="6" s="1"/>
  <c r="B1679" i="6"/>
  <c r="C1679" i="6" s="1"/>
  <c r="B1678" i="6"/>
  <c r="C1678" i="6" s="1"/>
  <c r="B1677" i="6"/>
  <c r="C1677" i="6" s="1"/>
  <c r="B1676" i="6"/>
  <c r="C1676" i="6" s="1"/>
  <c r="B1675" i="6"/>
  <c r="C1675" i="6" s="1"/>
  <c r="B1674" i="6"/>
  <c r="C1674" i="6" s="1"/>
  <c r="B1673" i="6"/>
  <c r="C1673" i="6" s="1"/>
  <c r="B1672" i="6"/>
  <c r="C1672" i="6" s="1"/>
  <c r="B1671" i="6"/>
  <c r="C1671" i="6" s="1"/>
  <c r="B1670" i="6"/>
  <c r="C1670" i="6" s="1"/>
  <c r="B1669" i="6"/>
  <c r="C1669" i="6" s="1"/>
  <c r="B1668" i="6"/>
  <c r="C1668" i="6" s="1"/>
  <c r="B1667" i="6"/>
  <c r="C1667" i="6" s="1"/>
  <c r="B1666" i="6"/>
  <c r="C1666" i="6" s="1"/>
  <c r="B1665" i="6"/>
  <c r="C1665" i="6" s="1"/>
  <c r="B1664" i="6"/>
  <c r="C1664" i="6" s="1"/>
  <c r="B1663" i="6"/>
  <c r="C1663" i="6" s="1"/>
  <c r="B1662" i="6"/>
  <c r="C1662" i="6" s="1"/>
  <c r="B1661" i="6"/>
  <c r="C1661" i="6" s="1"/>
  <c r="B1660" i="6"/>
  <c r="C1660" i="6" s="1"/>
  <c r="B1659" i="6"/>
  <c r="C1659" i="6" s="1"/>
  <c r="B1658" i="6"/>
  <c r="C1658" i="6" s="1"/>
  <c r="B1657" i="6"/>
  <c r="C1657" i="6" s="1"/>
  <c r="B1656" i="6"/>
  <c r="C1656" i="6" s="1"/>
  <c r="B1655" i="6"/>
  <c r="C1655" i="6" s="1"/>
  <c r="B1654" i="6"/>
  <c r="C1654" i="6" s="1"/>
  <c r="B1653" i="6"/>
  <c r="C1653" i="6" s="1"/>
  <c r="B1652" i="6"/>
  <c r="C1652" i="6" s="1"/>
  <c r="B1651" i="6"/>
  <c r="C1651" i="6" s="1"/>
  <c r="B1650" i="6"/>
  <c r="C1650" i="6" s="1"/>
  <c r="B1649" i="6"/>
  <c r="C1649" i="6" s="1"/>
  <c r="B1648" i="6"/>
  <c r="C1648" i="6" s="1"/>
  <c r="B1647" i="6"/>
  <c r="C1647" i="6" s="1"/>
  <c r="B1646" i="6"/>
  <c r="C1646" i="6" s="1"/>
  <c r="B1645" i="6"/>
  <c r="C1645" i="6" s="1"/>
  <c r="B1644" i="6"/>
  <c r="C1644" i="6" s="1"/>
  <c r="B1643" i="6"/>
  <c r="C1643" i="6" s="1"/>
  <c r="B1642" i="6"/>
  <c r="C1642" i="6" s="1"/>
  <c r="B1641" i="6"/>
  <c r="C1641" i="6" s="1"/>
  <c r="B1640" i="6"/>
  <c r="C1640" i="6" s="1"/>
  <c r="B1639" i="6"/>
  <c r="C1639" i="6" s="1"/>
  <c r="B1638" i="6"/>
  <c r="C1638" i="6" s="1"/>
  <c r="B1637" i="6"/>
  <c r="C1637" i="6" s="1"/>
  <c r="B1636" i="6"/>
  <c r="C1636" i="6" s="1"/>
  <c r="B1635" i="6"/>
  <c r="C1635" i="6" s="1"/>
  <c r="B1634" i="6"/>
  <c r="C1634" i="6" s="1"/>
  <c r="B1633" i="6"/>
  <c r="C1633" i="6" s="1"/>
  <c r="B1632" i="6"/>
  <c r="C1632" i="6" s="1"/>
  <c r="B1631" i="6"/>
  <c r="C1631" i="6" s="1"/>
  <c r="B1630" i="6"/>
  <c r="C1630" i="6" s="1"/>
  <c r="B1629" i="6"/>
  <c r="C1629" i="6" s="1"/>
  <c r="B1628" i="6"/>
  <c r="C1628" i="6" s="1"/>
  <c r="B1627" i="6"/>
  <c r="C1627" i="6" s="1"/>
  <c r="B1626" i="6"/>
  <c r="C1626" i="6" s="1"/>
  <c r="B1625" i="6"/>
  <c r="C1625" i="6" s="1"/>
  <c r="B1624" i="6"/>
  <c r="C1624" i="6" s="1"/>
  <c r="B1623" i="6"/>
  <c r="C1623" i="6" s="1"/>
  <c r="B1622" i="6"/>
  <c r="C1622" i="6" s="1"/>
  <c r="B1621" i="6"/>
  <c r="C1621" i="6" s="1"/>
  <c r="B1620" i="6"/>
  <c r="C1620" i="6" s="1"/>
  <c r="B1619" i="6"/>
  <c r="C1619" i="6" s="1"/>
  <c r="B1618" i="6"/>
  <c r="C1618" i="6" s="1"/>
  <c r="B1617" i="6"/>
  <c r="C1617" i="6" s="1"/>
  <c r="B1616" i="6"/>
  <c r="C1616" i="6" s="1"/>
  <c r="B1615" i="6"/>
  <c r="C1615" i="6" s="1"/>
  <c r="B1614" i="6"/>
  <c r="C1614" i="6" s="1"/>
  <c r="B1613" i="6"/>
  <c r="C1613" i="6" s="1"/>
  <c r="B1612" i="6"/>
  <c r="C1612" i="6" s="1"/>
  <c r="B1611" i="6"/>
  <c r="C1611" i="6" s="1"/>
  <c r="B1610" i="6"/>
  <c r="C1610" i="6" s="1"/>
  <c r="B1609" i="6"/>
  <c r="C1609" i="6" s="1"/>
  <c r="B1608" i="6"/>
  <c r="C1608" i="6" s="1"/>
  <c r="B1607" i="6"/>
  <c r="C1607" i="6" s="1"/>
  <c r="B1606" i="6"/>
  <c r="C1606" i="6" s="1"/>
  <c r="B1605" i="6"/>
  <c r="C1605" i="6" s="1"/>
  <c r="B1604" i="6"/>
  <c r="C1604" i="6" s="1"/>
  <c r="B1603" i="6"/>
  <c r="C1603" i="6" s="1"/>
  <c r="B1602" i="6"/>
  <c r="C1602" i="6" s="1"/>
  <c r="B1601" i="6"/>
  <c r="C1601" i="6" s="1"/>
  <c r="B1600" i="6"/>
  <c r="C1600" i="6" s="1"/>
  <c r="B1599" i="6"/>
  <c r="C1599" i="6" s="1"/>
  <c r="B1598" i="6"/>
  <c r="C1598" i="6" s="1"/>
  <c r="B1597" i="6"/>
  <c r="C1597" i="6" s="1"/>
  <c r="B1596" i="6"/>
  <c r="C1596" i="6" s="1"/>
  <c r="B1595" i="6"/>
  <c r="C1595" i="6" s="1"/>
  <c r="B1594" i="6"/>
  <c r="C1594" i="6" s="1"/>
  <c r="B1593" i="6"/>
  <c r="C1593" i="6" s="1"/>
  <c r="B1592" i="6"/>
  <c r="C1592" i="6" s="1"/>
  <c r="B1591" i="6"/>
  <c r="C1591" i="6" s="1"/>
  <c r="B1590" i="6"/>
  <c r="C1590" i="6" s="1"/>
  <c r="B1589" i="6"/>
  <c r="C1589" i="6" s="1"/>
  <c r="B1588" i="6"/>
  <c r="C1588" i="6" s="1"/>
  <c r="B1587" i="6"/>
  <c r="C1587" i="6" s="1"/>
  <c r="B1586" i="6"/>
  <c r="C1586" i="6" s="1"/>
  <c r="B1585" i="6"/>
  <c r="C1585" i="6" s="1"/>
  <c r="B1584" i="6"/>
  <c r="C1584" i="6" s="1"/>
  <c r="B1583" i="6"/>
  <c r="C1583" i="6" s="1"/>
  <c r="B1582" i="6"/>
  <c r="C1582" i="6" s="1"/>
  <c r="B1581" i="6"/>
  <c r="C1581" i="6" s="1"/>
  <c r="B1580" i="6"/>
  <c r="C1580" i="6" s="1"/>
  <c r="B1579" i="6"/>
  <c r="C1579" i="6" s="1"/>
  <c r="B1578" i="6"/>
  <c r="C1578" i="6" s="1"/>
  <c r="B1577" i="6"/>
  <c r="C1577" i="6" s="1"/>
  <c r="B1576" i="6"/>
  <c r="C1576" i="6" s="1"/>
  <c r="B1575" i="6"/>
  <c r="C1575" i="6" s="1"/>
  <c r="B1574" i="6"/>
  <c r="C1574" i="6" s="1"/>
  <c r="B1573" i="6"/>
  <c r="C1573" i="6" s="1"/>
  <c r="B1572" i="6"/>
  <c r="C1572" i="6" s="1"/>
  <c r="B1571" i="6"/>
  <c r="C1571" i="6" s="1"/>
  <c r="B1570" i="6"/>
  <c r="C1570" i="6" s="1"/>
  <c r="B1569" i="6"/>
  <c r="C1569" i="6" s="1"/>
  <c r="B1568" i="6"/>
  <c r="C1568" i="6" s="1"/>
  <c r="B1567" i="6"/>
  <c r="C1567" i="6" s="1"/>
  <c r="B1566" i="6"/>
  <c r="C1566" i="6" s="1"/>
  <c r="B1565" i="6"/>
  <c r="C1565" i="6" s="1"/>
  <c r="B1564" i="6"/>
  <c r="C1564" i="6" s="1"/>
  <c r="B1563" i="6"/>
  <c r="C1563" i="6" s="1"/>
  <c r="B1562" i="6"/>
  <c r="C1562" i="6" s="1"/>
  <c r="B1561" i="6"/>
  <c r="B1560" i="6"/>
  <c r="C1560" i="6" s="1"/>
  <c r="B1559" i="6"/>
  <c r="C1559" i="6" s="1"/>
  <c r="B1558" i="6"/>
  <c r="C1558" i="6" s="1"/>
  <c r="B1557" i="6"/>
  <c r="C1557" i="6" s="1"/>
  <c r="B1556" i="6"/>
  <c r="C1556" i="6" s="1"/>
  <c r="B1555" i="6"/>
  <c r="C1555" i="6" s="1"/>
  <c r="B1554" i="6"/>
  <c r="C1554" i="6" s="1"/>
  <c r="B1553" i="6"/>
  <c r="C1553" i="6" s="1"/>
  <c r="B1552" i="6"/>
  <c r="C1552" i="6" s="1"/>
  <c r="B1551" i="6"/>
  <c r="C1551" i="6" s="1"/>
  <c r="B1550" i="6"/>
  <c r="C1550" i="6" s="1"/>
  <c r="B1549" i="6"/>
  <c r="C1549" i="6" s="1"/>
  <c r="B1548" i="6"/>
  <c r="C1548" i="6" s="1"/>
  <c r="B1547" i="6"/>
  <c r="C1547" i="6" s="1"/>
  <c r="B1546" i="6"/>
  <c r="C1546" i="6" s="1"/>
  <c r="B1545" i="6"/>
  <c r="C1545" i="6" s="1"/>
  <c r="B1544" i="6"/>
  <c r="C1544" i="6" s="1"/>
  <c r="B1543" i="6"/>
  <c r="C1543" i="6" s="1"/>
  <c r="B1542" i="6"/>
  <c r="C1542" i="6" s="1"/>
  <c r="B1541" i="6"/>
  <c r="C1541" i="6" s="1"/>
  <c r="B1540" i="6"/>
  <c r="C1540" i="6" s="1"/>
  <c r="B1539" i="6"/>
  <c r="C1539" i="6" s="1"/>
  <c r="B1538" i="6"/>
  <c r="C1538" i="6" s="1"/>
  <c r="B1537" i="6"/>
  <c r="C1537" i="6" s="1"/>
  <c r="B1536" i="6"/>
  <c r="C1536" i="6" s="1"/>
  <c r="B1535" i="6"/>
  <c r="C1535" i="6" s="1"/>
  <c r="B1534" i="6"/>
  <c r="C1534" i="6" s="1"/>
  <c r="B1533" i="6"/>
  <c r="C1533" i="6" s="1"/>
  <c r="B1532" i="6"/>
  <c r="C1532" i="6" s="1"/>
  <c r="B1531" i="6"/>
  <c r="C1531" i="6" s="1"/>
  <c r="B1530" i="6"/>
  <c r="C1530" i="6" s="1"/>
  <c r="B1529" i="6"/>
  <c r="C1529" i="6" s="1"/>
  <c r="B1528" i="6"/>
  <c r="C1528" i="6" s="1"/>
  <c r="B1527" i="6"/>
  <c r="C1527" i="6" s="1"/>
  <c r="B1526" i="6"/>
  <c r="C1526" i="6" s="1"/>
  <c r="B1525" i="6"/>
  <c r="C1525" i="6" s="1"/>
  <c r="B1524" i="6"/>
  <c r="C1524" i="6" s="1"/>
  <c r="B1523" i="6"/>
  <c r="C1523" i="6" s="1"/>
  <c r="B1522" i="6"/>
  <c r="C1522" i="6" s="1"/>
  <c r="B1521" i="6"/>
  <c r="C1521" i="6" s="1"/>
  <c r="B1520" i="6"/>
  <c r="C1520" i="6" s="1"/>
  <c r="B1519" i="6"/>
  <c r="C1519" i="6" s="1"/>
  <c r="B1518" i="6"/>
  <c r="C1518" i="6" s="1"/>
  <c r="B1517" i="6"/>
  <c r="C1517" i="6" s="1"/>
  <c r="B1516" i="6"/>
  <c r="C1516" i="6" s="1"/>
  <c r="B1515" i="6"/>
  <c r="C1515" i="6" s="1"/>
  <c r="B1514" i="6"/>
  <c r="C1514" i="6" s="1"/>
  <c r="B1513" i="6"/>
  <c r="C1513" i="6" s="1"/>
  <c r="B1512" i="6"/>
  <c r="C1512" i="6" s="1"/>
  <c r="B1511" i="6"/>
  <c r="C1511" i="6" s="1"/>
  <c r="B1510" i="6"/>
  <c r="C1510" i="6" s="1"/>
  <c r="B1509" i="6"/>
  <c r="C1509" i="6" s="1"/>
  <c r="B1508" i="6"/>
  <c r="C1508" i="6" s="1"/>
  <c r="B1507" i="6"/>
  <c r="C1507" i="6" s="1"/>
  <c r="B1506" i="6"/>
  <c r="C1506" i="6" s="1"/>
  <c r="B1505" i="6"/>
  <c r="C1505" i="6" s="1"/>
  <c r="B1504" i="6"/>
  <c r="C1504" i="6" s="1"/>
  <c r="B1503" i="6"/>
  <c r="C1503" i="6" s="1"/>
  <c r="B1502" i="6"/>
  <c r="C1502" i="6" s="1"/>
  <c r="B1501" i="6"/>
  <c r="C1501" i="6" s="1"/>
  <c r="B1500" i="6"/>
  <c r="C1500" i="6" s="1"/>
  <c r="B1499" i="6"/>
  <c r="C1499" i="6" s="1"/>
  <c r="B1498" i="6"/>
  <c r="C1498" i="6" s="1"/>
  <c r="B1497" i="6"/>
  <c r="C1497" i="6" s="1"/>
  <c r="B1496" i="6"/>
  <c r="C1496" i="6" s="1"/>
  <c r="B1495" i="6"/>
  <c r="C1495" i="6" s="1"/>
  <c r="B1494" i="6"/>
  <c r="C1494" i="6" s="1"/>
  <c r="B1493" i="6"/>
  <c r="C1493" i="6" s="1"/>
  <c r="B1492" i="6"/>
  <c r="C1492" i="6" s="1"/>
  <c r="B1491" i="6"/>
  <c r="C1491" i="6" s="1"/>
  <c r="B1490" i="6"/>
  <c r="C1490" i="6" s="1"/>
  <c r="B1489" i="6"/>
  <c r="C1489" i="6" s="1"/>
  <c r="B1488" i="6"/>
  <c r="C1488" i="6" s="1"/>
  <c r="B1487" i="6"/>
  <c r="C1487" i="6" s="1"/>
  <c r="B1486" i="6"/>
  <c r="C1486" i="6" s="1"/>
  <c r="B1485" i="6"/>
  <c r="C1485" i="6" s="1"/>
  <c r="B1484" i="6"/>
  <c r="C1484" i="6" s="1"/>
  <c r="B1483" i="6"/>
  <c r="C1483" i="6" s="1"/>
  <c r="B1482" i="6"/>
  <c r="C1482" i="6" s="1"/>
  <c r="B1481" i="6"/>
  <c r="C1481" i="6" s="1"/>
  <c r="B1480" i="6"/>
  <c r="C1480" i="6" s="1"/>
  <c r="B1479" i="6"/>
  <c r="C1479" i="6" s="1"/>
  <c r="B1478" i="6"/>
  <c r="C1478" i="6" s="1"/>
  <c r="B1477" i="6"/>
  <c r="C1477" i="6" s="1"/>
  <c r="B1476" i="6"/>
  <c r="C1476" i="6" s="1"/>
  <c r="B1475" i="6"/>
  <c r="C1475" i="6" s="1"/>
  <c r="B1474" i="6"/>
  <c r="C1474" i="6" s="1"/>
  <c r="B1473" i="6"/>
  <c r="C1473" i="6" s="1"/>
  <c r="B1472" i="6"/>
  <c r="C1472" i="6" s="1"/>
  <c r="B1471" i="6"/>
  <c r="C1471" i="6" s="1"/>
  <c r="B1470" i="6"/>
  <c r="C1470" i="6" s="1"/>
  <c r="B1469" i="6"/>
  <c r="C1469" i="6" s="1"/>
  <c r="B1468" i="6"/>
  <c r="C1468" i="6" s="1"/>
  <c r="B1467" i="6"/>
  <c r="C1467" i="6" s="1"/>
  <c r="B1466" i="6"/>
  <c r="C1466" i="6" s="1"/>
  <c r="B1465" i="6"/>
  <c r="C1465" i="6" s="1"/>
  <c r="B1464" i="6"/>
  <c r="C1464" i="6" s="1"/>
  <c r="B1463" i="6"/>
  <c r="C1463" i="6" s="1"/>
  <c r="B1462" i="6"/>
  <c r="C1462" i="6" s="1"/>
  <c r="B1461" i="6"/>
  <c r="C1461" i="6" s="1"/>
  <c r="B1460" i="6"/>
  <c r="C1460" i="6" s="1"/>
  <c r="B1459" i="6"/>
  <c r="C1459" i="6" s="1"/>
  <c r="B1458" i="6"/>
  <c r="C1458" i="6" s="1"/>
  <c r="B1457" i="6"/>
  <c r="C1457" i="6" s="1"/>
  <c r="B1456" i="6"/>
  <c r="C1456" i="6" s="1"/>
  <c r="B1455" i="6"/>
  <c r="C1455" i="6" s="1"/>
  <c r="B1454" i="6"/>
  <c r="C1454" i="6" s="1"/>
  <c r="B1453" i="6"/>
  <c r="C1453" i="6" s="1"/>
  <c r="B1452" i="6"/>
  <c r="C1452" i="6" s="1"/>
  <c r="B1451" i="6"/>
  <c r="C1451" i="6" s="1"/>
  <c r="B1450" i="6"/>
  <c r="C1450" i="6" s="1"/>
  <c r="B1449" i="6"/>
  <c r="C1449" i="6" s="1"/>
  <c r="B1448" i="6"/>
  <c r="C1448" i="6" s="1"/>
  <c r="B1447" i="6"/>
  <c r="C1447" i="6" s="1"/>
  <c r="B1446" i="6"/>
  <c r="C1446" i="6" s="1"/>
  <c r="B1445" i="6"/>
  <c r="C1445" i="6" s="1"/>
  <c r="B1444" i="6"/>
  <c r="C1444" i="6" s="1"/>
  <c r="B1443" i="6"/>
  <c r="C1443" i="6" s="1"/>
  <c r="B1442" i="6"/>
  <c r="C1442" i="6" s="1"/>
  <c r="B1441" i="6"/>
  <c r="C1441" i="6" s="1"/>
  <c r="B1440" i="6"/>
  <c r="C1440" i="6" s="1"/>
  <c r="B1439" i="6"/>
  <c r="C1439" i="6" s="1"/>
  <c r="B1438" i="6"/>
  <c r="C1438" i="6" s="1"/>
  <c r="B1437" i="6"/>
  <c r="C1437" i="6" s="1"/>
  <c r="B1436" i="6"/>
  <c r="C1436" i="6" s="1"/>
  <c r="B1435" i="6"/>
  <c r="C1435" i="6" s="1"/>
  <c r="B1434" i="6"/>
  <c r="C1434" i="6" s="1"/>
  <c r="B1433" i="6"/>
  <c r="C1433" i="6" s="1"/>
  <c r="B1432" i="6"/>
  <c r="C1432" i="6" s="1"/>
  <c r="B1431" i="6"/>
  <c r="C1431" i="6" s="1"/>
  <c r="B1430" i="6"/>
  <c r="C1430" i="6" s="1"/>
  <c r="B1429" i="6"/>
  <c r="C1429" i="6" s="1"/>
  <c r="B1428" i="6"/>
  <c r="C1428" i="6" s="1"/>
  <c r="B1427" i="6"/>
  <c r="C1427" i="6" s="1"/>
  <c r="B1426" i="6"/>
  <c r="C1426" i="6" s="1"/>
  <c r="B1425" i="6"/>
  <c r="C1425" i="6" s="1"/>
  <c r="B1424" i="6"/>
  <c r="C1424" i="6" s="1"/>
  <c r="B1423" i="6"/>
  <c r="C1423" i="6" s="1"/>
  <c r="B1422" i="6"/>
  <c r="C1422" i="6" s="1"/>
  <c r="B1421" i="6"/>
  <c r="C1421" i="6" s="1"/>
  <c r="B1420" i="6"/>
  <c r="C1420" i="6" s="1"/>
  <c r="B1419" i="6"/>
  <c r="C1419" i="6" s="1"/>
  <c r="B1418" i="6"/>
  <c r="C1418" i="6" s="1"/>
  <c r="B1417" i="6"/>
  <c r="C1417" i="6" s="1"/>
  <c r="B1416" i="6"/>
  <c r="C1416" i="6" s="1"/>
  <c r="B1415" i="6"/>
  <c r="C1415" i="6" s="1"/>
  <c r="B1414" i="6"/>
  <c r="C1414" i="6" s="1"/>
  <c r="B1413" i="6"/>
  <c r="C1413" i="6" s="1"/>
  <c r="B1412" i="6"/>
  <c r="C1412" i="6" s="1"/>
  <c r="B1411" i="6"/>
  <c r="C1411" i="6" s="1"/>
  <c r="B1410" i="6"/>
  <c r="C1410" i="6" s="1"/>
  <c r="B1409" i="6"/>
  <c r="C1409" i="6" s="1"/>
  <c r="B1408" i="6"/>
  <c r="C1408" i="6" s="1"/>
  <c r="B1407" i="6"/>
  <c r="C1407" i="6" s="1"/>
  <c r="B1406" i="6"/>
  <c r="C1406" i="6" s="1"/>
  <c r="B1405" i="6"/>
  <c r="C1405" i="6" s="1"/>
  <c r="B1404" i="6"/>
  <c r="C1404" i="6" s="1"/>
  <c r="B1403" i="6"/>
  <c r="C1403" i="6" s="1"/>
  <c r="B1402" i="6"/>
  <c r="C1402" i="6" s="1"/>
  <c r="B1401" i="6"/>
  <c r="C1401" i="6" s="1"/>
  <c r="B1400" i="6"/>
  <c r="C1400" i="6" s="1"/>
  <c r="B1399" i="6"/>
  <c r="C1399" i="6" s="1"/>
  <c r="B1398" i="6"/>
  <c r="C1398" i="6" s="1"/>
  <c r="B1397" i="6"/>
  <c r="C1397" i="6" s="1"/>
  <c r="B1396" i="6"/>
  <c r="C1396" i="6" s="1"/>
  <c r="B1395" i="6"/>
  <c r="C1395" i="6" s="1"/>
  <c r="B1394" i="6"/>
  <c r="C1394" i="6" s="1"/>
  <c r="B1393" i="6"/>
  <c r="C1393" i="6" s="1"/>
  <c r="B1392" i="6"/>
  <c r="C1392" i="6" s="1"/>
  <c r="B1391" i="6"/>
  <c r="C1391" i="6" s="1"/>
  <c r="B1390" i="6"/>
  <c r="C1390" i="6" s="1"/>
  <c r="B1389" i="6"/>
  <c r="C1389" i="6" s="1"/>
  <c r="B1388" i="6"/>
  <c r="C1388" i="6" s="1"/>
  <c r="B1387" i="6"/>
  <c r="C1387" i="6" s="1"/>
  <c r="B1386" i="6"/>
  <c r="C1386" i="6" s="1"/>
  <c r="B1385" i="6"/>
  <c r="C1385" i="6" s="1"/>
  <c r="B1384" i="6"/>
  <c r="C1384" i="6" s="1"/>
  <c r="B1383" i="6"/>
  <c r="C1383" i="6" s="1"/>
  <c r="B1382" i="6"/>
  <c r="C1382" i="6" s="1"/>
  <c r="B1381" i="6"/>
  <c r="C1381" i="6" s="1"/>
  <c r="B1380" i="6"/>
  <c r="C1380" i="6" s="1"/>
  <c r="B1379" i="6"/>
  <c r="C1379" i="6" s="1"/>
  <c r="B1378" i="6"/>
  <c r="C1378" i="6" s="1"/>
  <c r="B1377" i="6"/>
  <c r="C1377" i="6" s="1"/>
  <c r="B1376" i="6"/>
  <c r="C1376" i="6" s="1"/>
  <c r="B1375" i="6"/>
  <c r="C1375" i="6" s="1"/>
  <c r="B1374" i="6"/>
  <c r="C1374" i="6" s="1"/>
  <c r="B1373" i="6"/>
  <c r="C1373" i="6" s="1"/>
  <c r="B1372" i="6"/>
  <c r="C1372" i="6" s="1"/>
  <c r="B1371" i="6"/>
  <c r="C1371" i="6" s="1"/>
  <c r="B1370" i="6"/>
  <c r="C1370" i="6" s="1"/>
  <c r="B1369" i="6"/>
  <c r="C1369" i="6" s="1"/>
  <c r="B1368" i="6"/>
  <c r="C1368" i="6" s="1"/>
  <c r="B1367" i="6"/>
  <c r="C1367" i="6" s="1"/>
  <c r="B1366" i="6"/>
  <c r="C1366" i="6" s="1"/>
  <c r="B1365" i="6"/>
  <c r="C1365" i="6" s="1"/>
  <c r="B1364" i="6"/>
  <c r="C1364" i="6" s="1"/>
  <c r="B1363" i="6"/>
  <c r="C1363" i="6" s="1"/>
  <c r="B1362" i="6"/>
  <c r="C1362" i="6" s="1"/>
  <c r="B1361" i="6"/>
  <c r="C1361" i="6" s="1"/>
  <c r="B1360" i="6"/>
  <c r="C1360" i="6" s="1"/>
  <c r="B1359" i="6"/>
  <c r="C1359" i="6" s="1"/>
  <c r="B1358" i="6"/>
  <c r="C1358" i="6" s="1"/>
  <c r="B1357" i="6"/>
  <c r="C1357" i="6" s="1"/>
  <c r="B1356" i="6"/>
  <c r="C1356" i="6" s="1"/>
  <c r="B1355" i="6"/>
  <c r="C1355" i="6" s="1"/>
  <c r="B1354" i="6"/>
  <c r="C1354" i="6" s="1"/>
  <c r="B1353" i="6"/>
  <c r="C1353" i="6" s="1"/>
  <c r="B1352" i="6"/>
  <c r="C1352" i="6" s="1"/>
  <c r="B1351" i="6"/>
  <c r="C1351" i="6" s="1"/>
  <c r="B1350" i="6"/>
  <c r="C1350" i="6" s="1"/>
  <c r="B1349" i="6"/>
  <c r="C1349" i="6" s="1"/>
  <c r="B1348" i="6"/>
  <c r="C1348" i="6" s="1"/>
  <c r="B1347" i="6"/>
  <c r="C1347" i="6" s="1"/>
  <c r="B1346" i="6"/>
  <c r="C1346" i="6" s="1"/>
  <c r="B1345" i="6"/>
  <c r="C1345" i="6" s="1"/>
  <c r="B1344" i="6"/>
  <c r="C1344" i="6" s="1"/>
  <c r="B1343" i="6"/>
  <c r="C1343" i="6" s="1"/>
  <c r="B1342" i="6"/>
  <c r="C1342" i="6" s="1"/>
  <c r="B1341" i="6"/>
  <c r="C1341" i="6" s="1"/>
  <c r="B1340" i="6"/>
  <c r="C1340" i="6" s="1"/>
  <c r="B1339" i="6"/>
  <c r="C1339" i="6" s="1"/>
  <c r="B1338" i="6"/>
  <c r="C1338" i="6" s="1"/>
  <c r="B1337" i="6"/>
  <c r="C1337" i="6" s="1"/>
  <c r="B1336" i="6"/>
  <c r="C1336" i="6" s="1"/>
  <c r="B1335" i="6"/>
  <c r="C1335" i="6" s="1"/>
  <c r="B1334" i="6"/>
  <c r="C1334" i="6" s="1"/>
  <c r="B1333" i="6"/>
  <c r="C1333" i="6" s="1"/>
  <c r="B1332" i="6"/>
  <c r="C1332" i="6" s="1"/>
  <c r="B1331" i="6"/>
  <c r="C1331" i="6" s="1"/>
  <c r="B1330" i="6"/>
  <c r="C1330" i="6" s="1"/>
  <c r="B1329" i="6"/>
  <c r="C1329" i="6" s="1"/>
  <c r="B1328" i="6"/>
  <c r="C1328" i="6" s="1"/>
  <c r="B1327" i="6"/>
  <c r="C1327" i="6" s="1"/>
  <c r="B1326" i="6"/>
  <c r="C1326" i="6" s="1"/>
  <c r="B1325" i="6"/>
  <c r="C1325" i="6" s="1"/>
  <c r="B1324" i="6"/>
  <c r="C1324" i="6" s="1"/>
  <c r="B1323" i="6"/>
  <c r="C1323" i="6" s="1"/>
  <c r="B1322" i="6"/>
  <c r="C1322" i="6" s="1"/>
  <c r="B1321" i="6"/>
  <c r="C1321" i="6" s="1"/>
  <c r="B1320" i="6"/>
  <c r="C1320" i="6" s="1"/>
  <c r="B1319" i="6"/>
  <c r="C1319" i="6" s="1"/>
  <c r="B1318" i="6"/>
  <c r="C1318" i="6" s="1"/>
  <c r="B1317" i="6"/>
  <c r="C1317" i="6" s="1"/>
  <c r="B1316" i="6"/>
  <c r="C1316" i="6" s="1"/>
  <c r="B1315" i="6"/>
  <c r="C1315" i="6" s="1"/>
  <c r="B1314" i="6"/>
  <c r="C1314" i="6" s="1"/>
  <c r="B1313" i="6"/>
  <c r="C1313" i="6" s="1"/>
  <c r="B1312" i="6"/>
  <c r="C1312" i="6" s="1"/>
  <c r="B1311" i="6"/>
  <c r="C1311" i="6" s="1"/>
  <c r="B1310" i="6"/>
  <c r="C1310" i="6" s="1"/>
  <c r="B1309" i="6"/>
  <c r="C1309" i="6" s="1"/>
  <c r="B1308" i="6"/>
  <c r="C1308" i="6" s="1"/>
  <c r="B1307" i="6"/>
  <c r="C1307" i="6" s="1"/>
  <c r="B1306" i="6"/>
  <c r="C1306" i="6" s="1"/>
  <c r="B1305" i="6"/>
  <c r="C1305" i="6" s="1"/>
  <c r="B1304" i="6"/>
  <c r="C1304" i="6" s="1"/>
  <c r="B1303" i="6"/>
  <c r="C1303" i="6" s="1"/>
  <c r="B1302" i="6"/>
  <c r="C1302" i="6" s="1"/>
  <c r="B1301" i="6"/>
  <c r="C1301" i="6" s="1"/>
  <c r="B1300" i="6"/>
  <c r="C1300" i="6" s="1"/>
  <c r="B1299" i="6"/>
  <c r="C1299" i="6" s="1"/>
  <c r="B1298" i="6"/>
  <c r="C1298" i="6" s="1"/>
  <c r="B1297" i="6"/>
  <c r="C1297" i="6" s="1"/>
  <c r="B1296" i="6"/>
  <c r="C1296" i="6" s="1"/>
  <c r="B1295" i="6"/>
  <c r="C1295" i="6" s="1"/>
  <c r="B1294" i="6"/>
  <c r="C1294" i="6" s="1"/>
  <c r="B1293" i="6"/>
  <c r="C1293" i="6" s="1"/>
  <c r="B1292" i="6"/>
  <c r="C1292" i="6" s="1"/>
  <c r="B1291" i="6"/>
  <c r="C1291" i="6" s="1"/>
  <c r="B1290" i="6"/>
  <c r="C1290" i="6" s="1"/>
  <c r="B1289" i="6"/>
  <c r="C1289" i="6" s="1"/>
  <c r="B1288" i="6"/>
  <c r="C1288" i="6" s="1"/>
  <c r="B1287" i="6"/>
  <c r="C1287" i="6" s="1"/>
  <c r="B1286" i="6"/>
  <c r="C1286" i="6" s="1"/>
  <c r="B1285" i="6"/>
  <c r="C1285" i="6" s="1"/>
  <c r="B1284" i="6"/>
  <c r="C1284" i="6" s="1"/>
  <c r="B1283" i="6"/>
  <c r="C1283" i="6" s="1"/>
  <c r="B1282" i="6"/>
  <c r="C1282" i="6" s="1"/>
  <c r="B1281" i="6"/>
  <c r="C1281" i="6" s="1"/>
  <c r="B1280" i="6"/>
  <c r="C1280" i="6" s="1"/>
  <c r="B1279" i="6"/>
  <c r="C1279" i="6" s="1"/>
  <c r="B1278" i="6"/>
  <c r="C1278" i="6" s="1"/>
  <c r="B1277" i="6"/>
  <c r="C1277" i="6" s="1"/>
  <c r="B1276" i="6"/>
  <c r="C1276" i="6" s="1"/>
  <c r="B1275" i="6"/>
  <c r="C1275" i="6" s="1"/>
  <c r="B1274" i="6"/>
  <c r="C1274" i="6" s="1"/>
  <c r="B1273" i="6"/>
  <c r="C1273" i="6" s="1"/>
  <c r="B1272" i="6"/>
  <c r="C1272" i="6" s="1"/>
  <c r="B1271" i="6"/>
  <c r="C1271" i="6" s="1"/>
  <c r="B1270" i="6"/>
  <c r="C1270" i="6" s="1"/>
  <c r="B1269" i="6"/>
  <c r="C1269" i="6" s="1"/>
  <c r="B1268" i="6"/>
  <c r="C1268" i="6" s="1"/>
  <c r="B1267" i="6"/>
  <c r="C1267" i="6" s="1"/>
  <c r="B1266" i="6"/>
  <c r="C1266" i="6" s="1"/>
  <c r="B1265" i="6"/>
  <c r="C1265" i="6" s="1"/>
  <c r="B1264" i="6"/>
  <c r="C1264" i="6" s="1"/>
  <c r="B1263" i="6"/>
  <c r="C1263" i="6" s="1"/>
  <c r="B1262" i="6"/>
  <c r="C1262" i="6" s="1"/>
  <c r="B1261" i="6"/>
  <c r="C1261" i="6" s="1"/>
  <c r="B1260" i="6"/>
  <c r="C1260" i="6" s="1"/>
  <c r="B1259" i="6"/>
  <c r="C1259" i="6" s="1"/>
  <c r="B1258" i="6"/>
  <c r="C1258" i="6" s="1"/>
  <c r="B1257" i="6"/>
  <c r="C1257" i="6" s="1"/>
  <c r="B1256" i="6"/>
  <c r="C1256" i="6" s="1"/>
  <c r="B1255" i="6"/>
  <c r="C1255" i="6" s="1"/>
  <c r="B1254" i="6"/>
  <c r="C1254" i="6" s="1"/>
  <c r="B1253" i="6"/>
  <c r="C1253" i="6" s="1"/>
  <c r="B1252" i="6"/>
  <c r="C1252" i="6" s="1"/>
  <c r="B1251" i="6"/>
  <c r="C1251" i="6" s="1"/>
  <c r="B1250" i="6"/>
  <c r="C1250" i="6" s="1"/>
  <c r="B1249" i="6"/>
  <c r="C1249" i="6" s="1"/>
  <c r="B1248" i="6"/>
  <c r="C1248" i="6" s="1"/>
  <c r="B1247" i="6"/>
  <c r="C1247" i="6" s="1"/>
  <c r="B1246" i="6"/>
  <c r="C1246" i="6" s="1"/>
  <c r="B1245" i="6"/>
  <c r="C1245" i="6" s="1"/>
  <c r="B1244" i="6"/>
  <c r="C1244" i="6" s="1"/>
  <c r="B1243" i="6"/>
  <c r="C1243" i="6" s="1"/>
  <c r="B1242" i="6"/>
  <c r="C1242" i="6" s="1"/>
  <c r="B1241" i="6"/>
  <c r="C1241" i="6" s="1"/>
  <c r="B1240" i="6"/>
  <c r="C1240" i="6" s="1"/>
  <c r="B1239" i="6"/>
  <c r="C1239" i="6" s="1"/>
  <c r="B1238" i="6"/>
  <c r="C1238" i="6" s="1"/>
  <c r="B1237" i="6"/>
  <c r="C1237" i="6" s="1"/>
  <c r="B1236" i="6"/>
  <c r="C1236" i="6" s="1"/>
  <c r="B1235" i="6"/>
  <c r="C1235" i="6" s="1"/>
  <c r="B1234" i="6"/>
  <c r="C1234" i="6" s="1"/>
  <c r="B1233" i="6"/>
  <c r="C1233" i="6" s="1"/>
  <c r="B1232" i="6"/>
  <c r="C1232" i="6" s="1"/>
  <c r="B1231" i="6"/>
  <c r="C1231" i="6" s="1"/>
  <c r="B1230" i="6"/>
  <c r="C1230" i="6" s="1"/>
  <c r="B1229" i="6"/>
  <c r="C1229" i="6" s="1"/>
  <c r="B1228" i="6"/>
  <c r="C1228" i="6" s="1"/>
  <c r="B1227" i="6"/>
  <c r="C1227" i="6" s="1"/>
  <c r="B1226" i="6"/>
  <c r="C1226" i="6" s="1"/>
  <c r="B1225" i="6"/>
  <c r="C1225" i="6" s="1"/>
  <c r="B1224" i="6"/>
  <c r="C1224" i="6" s="1"/>
  <c r="B1223" i="6"/>
  <c r="C1223" i="6" s="1"/>
  <c r="B1222" i="6"/>
  <c r="C1222" i="6" s="1"/>
  <c r="B1221" i="6"/>
  <c r="C1221" i="6" s="1"/>
  <c r="B1220" i="6"/>
  <c r="C1220" i="6" s="1"/>
  <c r="B1219" i="6"/>
  <c r="C1219" i="6" s="1"/>
  <c r="B1218" i="6"/>
  <c r="C1218" i="6" s="1"/>
  <c r="B1217" i="6"/>
  <c r="C1217" i="6" s="1"/>
  <c r="B1216" i="6"/>
  <c r="C1216" i="6" s="1"/>
  <c r="B1215" i="6"/>
  <c r="C1215" i="6" s="1"/>
  <c r="B1214" i="6"/>
  <c r="C1214" i="6" s="1"/>
  <c r="B1213" i="6"/>
  <c r="C1213" i="6" s="1"/>
  <c r="B1212" i="6"/>
  <c r="C1212" i="6" s="1"/>
  <c r="B1211" i="6"/>
  <c r="C1211" i="6" s="1"/>
  <c r="B1210" i="6"/>
  <c r="C1210" i="6" s="1"/>
  <c r="B1209" i="6"/>
  <c r="C1209" i="6" s="1"/>
  <c r="B1208" i="6"/>
  <c r="C1208" i="6" s="1"/>
  <c r="B1207" i="6"/>
  <c r="C1207" i="6" s="1"/>
  <c r="B1206" i="6"/>
  <c r="C1206" i="6" s="1"/>
  <c r="B1205" i="6"/>
  <c r="C1205" i="6" s="1"/>
  <c r="B1204" i="6"/>
  <c r="C1204" i="6" s="1"/>
  <c r="B1203" i="6"/>
  <c r="C1203" i="6" s="1"/>
  <c r="B1202" i="6"/>
  <c r="C1202" i="6" s="1"/>
  <c r="B1201" i="6"/>
  <c r="C1201" i="6" s="1"/>
  <c r="B1200" i="6"/>
  <c r="C1200" i="6" s="1"/>
  <c r="B1199" i="6"/>
  <c r="C1199" i="6" s="1"/>
  <c r="B1198" i="6"/>
  <c r="C1198" i="6" s="1"/>
  <c r="B1197" i="6"/>
  <c r="C1197" i="6" s="1"/>
  <c r="B1196" i="6"/>
  <c r="C1196" i="6" s="1"/>
  <c r="B1195" i="6"/>
  <c r="C1195" i="6" s="1"/>
  <c r="B1194" i="6"/>
  <c r="C1194" i="6" s="1"/>
  <c r="B1193" i="6"/>
  <c r="C1193" i="6" s="1"/>
  <c r="B1192" i="6"/>
  <c r="C1192" i="6" s="1"/>
  <c r="B1191" i="6"/>
  <c r="C1191" i="6" s="1"/>
  <c r="B1190" i="6"/>
  <c r="C1190" i="6" s="1"/>
  <c r="B1189" i="6"/>
  <c r="C1189" i="6" s="1"/>
  <c r="B1188" i="6"/>
  <c r="C1188" i="6" s="1"/>
  <c r="B1187" i="6"/>
  <c r="C1187" i="6" s="1"/>
  <c r="B1186" i="6"/>
  <c r="C1186" i="6" s="1"/>
  <c r="B1185" i="6"/>
  <c r="C1185" i="6" s="1"/>
  <c r="B1184" i="6"/>
  <c r="C1184" i="6" s="1"/>
  <c r="B1183" i="6"/>
  <c r="C1183" i="6" s="1"/>
  <c r="B1182" i="6"/>
  <c r="C1182" i="6" s="1"/>
  <c r="B1181" i="6"/>
  <c r="C1181" i="6" s="1"/>
  <c r="B1180" i="6"/>
  <c r="C1180" i="6" s="1"/>
  <c r="B1179" i="6"/>
  <c r="C1179" i="6" s="1"/>
  <c r="B1178" i="6"/>
  <c r="C1178" i="6" s="1"/>
  <c r="B1177" i="6"/>
  <c r="C1177" i="6" s="1"/>
  <c r="B1176" i="6"/>
  <c r="C1176" i="6" s="1"/>
  <c r="B1175" i="6"/>
  <c r="C1175" i="6" s="1"/>
  <c r="B1174" i="6"/>
  <c r="C1174" i="6" s="1"/>
  <c r="B1173" i="6"/>
  <c r="C1173" i="6" s="1"/>
  <c r="B1172" i="6"/>
  <c r="C1172" i="6" s="1"/>
  <c r="B1171" i="6"/>
  <c r="C1171" i="6" s="1"/>
  <c r="B1170" i="6"/>
  <c r="C1170" i="6" s="1"/>
  <c r="B1169" i="6"/>
  <c r="C1169" i="6" s="1"/>
  <c r="B1168" i="6"/>
  <c r="C1168" i="6" s="1"/>
  <c r="B1167" i="6"/>
  <c r="C1167" i="6" s="1"/>
  <c r="B1166" i="6"/>
  <c r="C1166" i="6" s="1"/>
  <c r="B1165" i="6"/>
  <c r="C1165" i="6" s="1"/>
  <c r="B1164" i="6"/>
  <c r="C1164" i="6" s="1"/>
  <c r="B1163" i="6"/>
  <c r="C1163" i="6" s="1"/>
  <c r="B1162" i="6"/>
  <c r="C1162" i="6" s="1"/>
  <c r="B1161" i="6"/>
  <c r="C1161" i="6" s="1"/>
  <c r="B1160" i="6"/>
  <c r="C1160" i="6" s="1"/>
  <c r="B1159" i="6"/>
  <c r="C1159" i="6" s="1"/>
  <c r="B1158" i="6"/>
  <c r="C1158" i="6" s="1"/>
  <c r="B1157" i="6"/>
  <c r="C1157" i="6" s="1"/>
  <c r="B1156" i="6"/>
  <c r="C1156" i="6" s="1"/>
  <c r="B1155" i="6"/>
  <c r="C1155" i="6" s="1"/>
  <c r="B1154" i="6"/>
  <c r="C1154" i="6" s="1"/>
  <c r="B1153" i="6"/>
  <c r="C1153" i="6" s="1"/>
  <c r="B1152" i="6"/>
  <c r="C1152" i="6" s="1"/>
  <c r="B1151" i="6"/>
  <c r="C1151" i="6" s="1"/>
  <c r="B1150" i="6"/>
  <c r="C1150" i="6" s="1"/>
  <c r="B1149" i="6"/>
  <c r="C1149" i="6" s="1"/>
  <c r="B1148" i="6"/>
  <c r="C1148" i="6" s="1"/>
  <c r="B1147" i="6"/>
  <c r="C1147" i="6" s="1"/>
  <c r="B1146" i="6"/>
  <c r="C1146" i="6" s="1"/>
  <c r="B1145" i="6"/>
  <c r="C1145" i="6" s="1"/>
  <c r="B1144" i="6"/>
  <c r="C1144" i="6" s="1"/>
  <c r="B1143" i="6"/>
  <c r="C1143" i="6" s="1"/>
  <c r="B1142" i="6"/>
  <c r="C1142" i="6" s="1"/>
  <c r="B1141" i="6"/>
  <c r="C1141" i="6" s="1"/>
  <c r="B1140" i="6"/>
  <c r="C1140" i="6" s="1"/>
  <c r="B1139" i="6"/>
  <c r="C1139" i="6" s="1"/>
  <c r="B1138" i="6"/>
  <c r="C1138" i="6" s="1"/>
  <c r="B1137" i="6"/>
  <c r="C1137" i="6" s="1"/>
  <c r="B1136" i="6"/>
  <c r="C1136" i="6" s="1"/>
  <c r="B1135" i="6"/>
  <c r="C1135" i="6" s="1"/>
  <c r="B1134" i="6"/>
  <c r="C1134" i="6" s="1"/>
  <c r="B1133" i="6"/>
  <c r="C1133" i="6" s="1"/>
  <c r="B1132" i="6"/>
  <c r="C1132" i="6" s="1"/>
  <c r="B1131" i="6"/>
  <c r="C1131" i="6" s="1"/>
  <c r="B1130" i="6"/>
  <c r="C1130" i="6" s="1"/>
  <c r="B1129" i="6"/>
  <c r="C1129" i="6" s="1"/>
  <c r="B1128" i="6"/>
  <c r="C1128" i="6" s="1"/>
  <c r="B1127" i="6"/>
  <c r="C1127" i="6" s="1"/>
  <c r="B1126" i="6"/>
  <c r="C1126" i="6" s="1"/>
  <c r="B1125" i="6"/>
  <c r="C1125" i="6" s="1"/>
  <c r="B1124" i="6"/>
  <c r="C1124" i="6" s="1"/>
  <c r="B1123" i="6"/>
  <c r="C1123" i="6" s="1"/>
  <c r="B1122" i="6"/>
  <c r="C1122" i="6" s="1"/>
  <c r="B1121" i="6"/>
  <c r="C1121" i="6" s="1"/>
  <c r="B1120" i="6"/>
  <c r="C1120" i="6" s="1"/>
  <c r="B1119" i="6"/>
  <c r="C1119" i="6" s="1"/>
  <c r="B1118" i="6"/>
  <c r="C1118" i="6" s="1"/>
  <c r="B1117" i="6"/>
  <c r="C1117" i="6" s="1"/>
  <c r="B1116" i="6"/>
  <c r="C1116" i="6" s="1"/>
  <c r="B1115" i="6"/>
  <c r="C1115" i="6" s="1"/>
  <c r="B1114" i="6"/>
  <c r="C1114" i="6" s="1"/>
  <c r="B1113" i="6"/>
  <c r="C1113" i="6" s="1"/>
  <c r="B1112" i="6"/>
  <c r="C1112" i="6" s="1"/>
  <c r="B1111" i="6"/>
  <c r="C1111" i="6" s="1"/>
  <c r="B1110" i="6"/>
  <c r="C1110" i="6" s="1"/>
  <c r="B1109" i="6"/>
  <c r="C1109" i="6" s="1"/>
  <c r="B1108" i="6"/>
  <c r="C1108" i="6" s="1"/>
  <c r="B1107" i="6"/>
  <c r="C1107" i="6" s="1"/>
  <c r="B1106" i="6"/>
  <c r="C1106" i="6" s="1"/>
  <c r="B1105" i="6"/>
  <c r="C1105" i="6" s="1"/>
  <c r="B1104" i="6"/>
  <c r="C1104" i="6" s="1"/>
  <c r="B1103" i="6"/>
  <c r="C1103" i="6" s="1"/>
  <c r="B1102" i="6"/>
  <c r="C1102" i="6" s="1"/>
  <c r="B1101" i="6"/>
  <c r="C1101" i="6" s="1"/>
  <c r="B1100" i="6"/>
  <c r="C1100" i="6" s="1"/>
  <c r="B1099" i="6"/>
  <c r="C1099" i="6" s="1"/>
  <c r="B1098" i="6"/>
  <c r="C1098" i="6" s="1"/>
  <c r="B1097" i="6"/>
  <c r="C1097" i="6" s="1"/>
  <c r="B1096" i="6"/>
  <c r="C1096" i="6" s="1"/>
  <c r="B1095" i="6"/>
  <c r="C1095" i="6" s="1"/>
  <c r="B1094" i="6"/>
  <c r="C1094" i="6" s="1"/>
  <c r="B1093" i="6"/>
  <c r="C1093" i="6" s="1"/>
  <c r="B1092" i="6"/>
  <c r="C1092" i="6" s="1"/>
  <c r="B1091" i="6"/>
  <c r="C1091" i="6" s="1"/>
  <c r="B1090" i="6"/>
  <c r="C1090" i="6" s="1"/>
  <c r="B1089" i="6"/>
  <c r="C1089" i="6" s="1"/>
  <c r="B1088" i="6"/>
  <c r="C1088" i="6" s="1"/>
  <c r="B1087" i="6"/>
  <c r="C1087" i="6" s="1"/>
  <c r="B1086" i="6"/>
  <c r="C1086" i="6" s="1"/>
  <c r="B1085" i="6"/>
  <c r="C1085" i="6" s="1"/>
  <c r="B1084" i="6"/>
  <c r="C1084" i="6" s="1"/>
  <c r="B1083" i="6"/>
  <c r="C1083" i="6" s="1"/>
  <c r="B1082" i="6"/>
  <c r="C1082" i="6" s="1"/>
  <c r="B1081" i="6"/>
  <c r="C1081" i="6" s="1"/>
  <c r="B1080" i="6"/>
  <c r="C1080" i="6" s="1"/>
  <c r="B1079" i="6"/>
  <c r="C1079" i="6" s="1"/>
  <c r="B1078" i="6"/>
  <c r="C1078" i="6" s="1"/>
  <c r="B1077" i="6"/>
  <c r="C1077" i="6" s="1"/>
  <c r="B1076" i="6"/>
  <c r="C1076" i="6" s="1"/>
  <c r="B1075" i="6"/>
  <c r="C1075" i="6" s="1"/>
  <c r="B1074" i="6"/>
  <c r="C1074" i="6" s="1"/>
  <c r="B1073" i="6"/>
  <c r="C1073" i="6" s="1"/>
  <c r="B1072" i="6"/>
  <c r="C1072" i="6" s="1"/>
  <c r="B1071" i="6"/>
  <c r="C1071" i="6" s="1"/>
  <c r="B1070" i="6"/>
  <c r="C1070" i="6" s="1"/>
  <c r="B1069" i="6"/>
  <c r="C1069" i="6" s="1"/>
  <c r="B1068" i="6"/>
  <c r="C1068" i="6" s="1"/>
  <c r="B1067" i="6"/>
  <c r="C1067" i="6" s="1"/>
  <c r="B1066" i="6"/>
  <c r="C1066" i="6" s="1"/>
  <c r="B1065" i="6"/>
  <c r="C1065" i="6" s="1"/>
  <c r="B1064" i="6"/>
  <c r="C1064" i="6" s="1"/>
  <c r="B1063" i="6"/>
  <c r="C1063" i="6" s="1"/>
  <c r="B1062" i="6"/>
  <c r="C1062" i="6" s="1"/>
  <c r="B1061" i="6"/>
  <c r="C1061" i="6" s="1"/>
  <c r="B1060" i="6"/>
  <c r="C1060" i="6" s="1"/>
  <c r="B1059" i="6"/>
  <c r="C1059" i="6" s="1"/>
  <c r="B1058" i="6"/>
  <c r="C1058" i="6" s="1"/>
  <c r="B1057" i="6"/>
  <c r="C1057" i="6" s="1"/>
  <c r="B1056" i="6"/>
  <c r="C1056" i="6" s="1"/>
  <c r="B1055" i="6"/>
  <c r="C1055" i="6" s="1"/>
  <c r="B1054" i="6"/>
  <c r="C1054" i="6" s="1"/>
  <c r="B1053" i="6"/>
  <c r="C1053" i="6" s="1"/>
  <c r="B1052" i="6"/>
  <c r="C1052" i="6" s="1"/>
  <c r="B1051" i="6"/>
  <c r="C1051" i="6" s="1"/>
  <c r="B1050" i="6"/>
  <c r="C1050" i="6" s="1"/>
  <c r="B1049" i="6"/>
  <c r="C1049" i="6" s="1"/>
  <c r="B1048" i="6"/>
  <c r="C1048" i="6" s="1"/>
  <c r="B1047" i="6"/>
  <c r="C1047" i="6" s="1"/>
  <c r="B1046" i="6"/>
  <c r="C1046" i="6" s="1"/>
  <c r="B1045" i="6"/>
  <c r="C1045" i="6" s="1"/>
  <c r="B1044" i="6"/>
  <c r="C1044" i="6" s="1"/>
  <c r="B1043" i="6"/>
  <c r="C1043" i="6" s="1"/>
  <c r="B1042" i="6"/>
  <c r="C1042" i="6" s="1"/>
  <c r="B1041" i="6"/>
  <c r="C1041" i="6" s="1"/>
  <c r="B1040" i="6"/>
  <c r="C1040" i="6" s="1"/>
  <c r="B1039" i="6"/>
  <c r="C1039" i="6" s="1"/>
  <c r="B1038" i="6"/>
  <c r="C1038" i="6" s="1"/>
  <c r="B1037" i="6"/>
  <c r="C1037" i="6" s="1"/>
  <c r="B1036" i="6"/>
  <c r="C1036" i="6" s="1"/>
  <c r="B1035" i="6"/>
  <c r="C1035" i="6" s="1"/>
  <c r="B1034" i="6"/>
  <c r="C1034" i="6" s="1"/>
  <c r="B1033" i="6"/>
  <c r="C1033" i="6" s="1"/>
  <c r="B1032" i="6"/>
  <c r="C1032" i="6" s="1"/>
  <c r="B1031" i="6"/>
  <c r="C1031" i="6" s="1"/>
  <c r="B1030" i="6"/>
  <c r="C1030" i="6" s="1"/>
  <c r="B1029" i="6"/>
  <c r="C1029" i="6" s="1"/>
  <c r="B1028" i="6"/>
  <c r="C1028" i="6" s="1"/>
  <c r="B1027" i="6"/>
  <c r="C1027" i="6" s="1"/>
  <c r="B1026" i="6"/>
  <c r="C1026" i="6" s="1"/>
  <c r="B1025" i="6"/>
  <c r="C1025" i="6" s="1"/>
  <c r="B1024" i="6"/>
  <c r="C1024" i="6" s="1"/>
  <c r="B1023" i="6"/>
  <c r="C1023" i="6" s="1"/>
  <c r="B1022" i="6"/>
  <c r="C1022" i="6" s="1"/>
  <c r="B1021" i="6"/>
  <c r="C1021" i="6" s="1"/>
  <c r="B1020" i="6"/>
  <c r="C1020" i="6" s="1"/>
  <c r="B1019" i="6"/>
  <c r="C1019" i="6" s="1"/>
  <c r="B1018" i="6"/>
  <c r="C1018" i="6" s="1"/>
  <c r="B1017" i="6"/>
  <c r="C1017" i="6" s="1"/>
  <c r="B1016" i="6"/>
  <c r="C1016" i="6" s="1"/>
  <c r="B1015" i="6"/>
  <c r="C1015" i="6" s="1"/>
  <c r="B1014" i="6"/>
  <c r="C1014" i="6" s="1"/>
  <c r="B1013" i="6"/>
  <c r="C1013" i="6" s="1"/>
  <c r="B1012" i="6"/>
  <c r="C1012" i="6" s="1"/>
  <c r="B1011" i="6"/>
  <c r="C1011" i="6" s="1"/>
  <c r="B1010" i="6"/>
  <c r="C1010" i="6" s="1"/>
  <c r="B1009" i="6"/>
  <c r="C1009" i="6" s="1"/>
  <c r="B1008" i="6"/>
  <c r="C1008" i="6" s="1"/>
  <c r="B1007" i="6"/>
  <c r="C1007" i="6" s="1"/>
  <c r="B1006" i="6"/>
  <c r="C1006" i="6" s="1"/>
  <c r="B1005" i="6"/>
  <c r="C1005" i="6" s="1"/>
  <c r="B1004" i="6"/>
  <c r="C1004" i="6" s="1"/>
  <c r="B1003" i="6"/>
  <c r="C1003" i="6" s="1"/>
  <c r="B1002" i="6"/>
  <c r="C1002" i="6" s="1"/>
  <c r="B1001" i="6"/>
  <c r="C1001" i="6" s="1"/>
  <c r="B1000" i="6"/>
  <c r="C1000" i="6" s="1"/>
  <c r="B999" i="6"/>
  <c r="C999" i="6" s="1"/>
  <c r="B998" i="6"/>
  <c r="C998" i="6" s="1"/>
  <c r="B997" i="6"/>
  <c r="C997" i="6" s="1"/>
  <c r="B996" i="6"/>
  <c r="C996" i="6" s="1"/>
  <c r="B995" i="6"/>
  <c r="C995" i="6" s="1"/>
  <c r="B994" i="6"/>
  <c r="C994" i="6" s="1"/>
  <c r="B993" i="6"/>
  <c r="C993" i="6" s="1"/>
  <c r="B992" i="6"/>
  <c r="C992" i="6" s="1"/>
  <c r="B991" i="6"/>
  <c r="C991" i="6" s="1"/>
  <c r="B990" i="6"/>
  <c r="C990" i="6" s="1"/>
  <c r="B989" i="6"/>
  <c r="C989" i="6" s="1"/>
  <c r="B988" i="6"/>
  <c r="C988" i="6" s="1"/>
  <c r="B987" i="6"/>
  <c r="C987" i="6" s="1"/>
  <c r="B986" i="6"/>
  <c r="C986" i="6" s="1"/>
  <c r="B985" i="6"/>
  <c r="C985" i="6" s="1"/>
  <c r="B984" i="6"/>
  <c r="C984" i="6" s="1"/>
  <c r="B983" i="6"/>
  <c r="C983" i="6" s="1"/>
  <c r="B982" i="6"/>
  <c r="C982" i="6" s="1"/>
  <c r="B981" i="6"/>
  <c r="C981" i="6" s="1"/>
  <c r="B980" i="6"/>
  <c r="C980" i="6" s="1"/>
  <c r="B979" i="6"/>
  <c r="C979" i="6" s="1"/>
  <c r="B978" i="6"/>
  <c r="C978" i="6" s="1"/>
  <c r="B977" i="6"/>
  <c r="C977" i="6" s="1"/>
  <c r="B976" i="6"/>
  <c r="C976" i="6" s="1"/>
  <c r="B975" i="6"/>
  <c r="C975" i="6" s="1"/>
  <c r="B974" i="6"/>
  <c r="C974" i="6" s="1"/>
  <c r="B973" i="6"/>
  <c r="C973" i="6" s="1"/>
  <c r="B972" i="6"/>
  <c r="C972" i="6" s="1"/>
  <c r="B971" i="6"/>
  <c r="C971" i="6" s="1"/>
  <c r="B970" i="6"/>
  <c r="C970" i="6" s="1"/>
  <c r="B969" i="6"/>
  <c r="C969" i="6" s="1"/>
  <c r="B968" i="6"/>
  <c r="C968" i="6" s="1"/>
  <c r="B967" i="6"/>
  <c r="C967" i="6" s="1"/>
  <c r="B966" i="6"/>
  <c r="C966" i="6" s="1"/>
  <c r="B965" i="6"/>
  <c r="C965" i="6" s="1"/>
  <c r="B964" i="6"/>
  <c r="C964" i="6" s="1"/>
  <c r="B963" i="6"/>
  <c r="C963" i="6" s="1"/>
  <c r="B962" i="6"/>
  <c r="C962" i="6" s="1"/>
  <c r="B961" i="6"/>
  <c r="C961" i="6" s="1"/>
  <c r="B960" i="6"/>
  <c r="C960" i="6" s="1"/>
  <c r="B959" i="6"/>
  <c r="C959" i="6" s="1"/>
  <c r="B958" i="6"/>
  <c r="C958" i="6" s="1"/>
  <c r="B957" i="6"/>
  <c r="C957" i="6" s="1"/>
  <c r="B956" i="6"/>
  <c r="C956" i="6" s="1"/>
  <c r="B955" i="6"/>
  <c r="C955" i="6" s="1"/>
  <c r="B954" i="6"/>
  <c r="C954" i="6" s="1"/>
  <c r="B953" i="6"/>
  <c r="C953" i="6" s="1"/>
  <c r="B952" i="6"/>
  <c r="C952" i="6" s="1"/>
  <c r="B951" i="6"/>
  <c r="C951" i="6" s="1"/>
  <c r="B950" i="6"/>
  <c r="C950" i="6" s="1"/>
  <c r="B949" i="6"/>
  <c r="C949" i="6" s="1"/>
  <c r="B948" i="6"/>
  <c r="C948" i="6" s="1"/>
  <c r="B947" i="6"/>
  <c r="C947" i="6" s="1"/>
  <c r="B946" i="6"/>
  <c r="C946" i="6" s="1"/>
  <c r="B945" i="6"/>
  <c r="C945" i="6" s="1"/>
  <c r="B944" i="6"/>
  <c r="C944" i="6" s="1"/>
  <c r="B943" i="6"/>
  <c r="C943" i="6" s="1"/>
  <c r="B942" i="6"/>
  <c r="C942" i="6" s="1"/>
  <c r="B941" i="6"/>
  <c r="C941" i="6" s="1"/>
  <c r="B940" i="6"/>
  <c r="C940" i="6" s="1"/>
  <c r="B939" i="6"/>
  <c r="C939" i="6" s="1"/>
  <c r="B938" i="6"/>
  <c r="C938" i="6" s="1"/>
  <c r="B937" i="6"/>
  <c r="C937" i="6" s="1"/>
  <c r="B936" i="6"/>
  <c r="C936" i="6" s="1"/>
  <c r="B935" i="6"/>
  <c r="C935" i="6" s="1"/>
  <c r="B934" i="6"/>
  <c r="C934" i="6" s="1"/>
  <c r="B933" i="6"/>
  <c r="C933" i="6" s="1"/>
  <c r="B932" i="6"/>
  <c r="C932" i="6" s="1"/>
  <c r="B931" i="6"/>
  <c r="C931" i="6" s="1"/>
  <c r="B930" i="6"/>
  <c r="C930" i="6" s="1"/>
  <c r="B929" i="6"/>
  <c r="C929" i="6" s="1"/>
  <c r="B928" i="6"/>
  <c r="C928" i="6" s="1"/>
  <c r="B927" i="6"/>
  <c r="C927" i="6" s="1"/>
  <c r="B926" i="6"/>
  <c r="C926" i="6" s="1"/>
  <c r="B925" i="6"/>
  <c r="C925" i="6" s="1"/>
  <c r="B924" i="6"/>
  <c r="C924" i="6" s="1"/>
  <c r="B923" i="6"/>
  <c r="C923" i="6" s="1"/>
  <c r="B922" i="6"/>
  <c r="C922" i="6" s="1"/>
  <c r="B921" i="6"/>
  <c r="C921" i="6" s="1"/>
  <c r="B920" i="6"/>
  <c r="C920" i="6" s="1"/>
  <c r="B919" i="6"/>
  <c r="C919" i="6" s="1"/>
  <c r="B918" i="6"/>
  <c r="C918" i="6" s="1"/>
  <c r="B917" i="6"/>
  <c r="C917" i="6" s="1"/>
  <c r="B916" i="6"/>
  <c r="C916" i="6" s="1"/>
  <c r="B915" i="6"/>
  <c r="C915" i="6" s="1"/>
  <c r="B914" i="6"/>
  <c r="C914" i="6" s="1"/>
  <c r="B913" i="6"/>
  <c r="C913" i="6" s="1"/>
  <c r="B912" i="6"/>
  <c r="C912" i="6" s="1"/>
  <c r="B911" i="6"/>
  <c r="C911" i="6" s="1"/>
  <c r="B910" i="6"/>
  <c r="C910" i="6" s="1"/>
  <c r="B909" i="6"/>
  <c r="C909" i="6" s="1"/>
  <c r="B908" i="6"/>
  <c r="C908" i="6" s="1"/>
  <c r="B907" i="6"/>
  <c r="C907" i="6" s="1"/>
  <c r="B906" i="6"/>
  <c r="C906" i="6" s="1"/>
  <c r="B905" i="6"/>
  <c r="C905" i="6" s="1"/>
  <c r="B904" i="6"/>
  <c r="B903" i="6"/>
  <c r="C903" i="6" s="1"/>
  <c r="B902" i="6"/>
  <c r="C902" i="6" s="1"/>
  <c r="B901" i="6"/>
  <c r="C901" i="6" s="1"/>
  <c r="B900" i="6"/>
  <c r="C900" i="6" s="1"/>
  <c r="B899" i="6"/>
  <c r="C899" i="6" s="1"/>
  <c r="B898" i="6"/>
  <c r="C898" i="6" s="1"/>
  <c r="B897" i="6"/>
  <c r="C897" i="6" s="1"/>
  <c r="B896" i="6"/>
  <c r="B895" i="6"/>
  <c r="C895" i="6" s="1"/>
  <c r="B894" i="6"/>
  <c r="C894" i="6" s="1"/>
  <c r="B893" i="6"/>
  <c r="C893" i="6" s="1"/>
  <c r="B892" i="6"/>
  <c r="C892" i="6" s="1"/>
  <c r="B891" i="6"/>
  <c r="C891" i="6" s="1"/>
  <c r="B890" i="6"/>
  <c r="C890" i="6" s="1"/>
  <c r="B889" i="6"/>
  <c r="C889" i="6" s="1"/>
  <c r="B888" i="6"/>
  <c r="C888" i="6" s="1"/>
  <c r="B887" i="6"/>
  <c r="C887" i="6" s="1"/>
  <c r="B886" i="6"/>
  <c r="C886" i="6" s="1"/>
  <c r="B885" i="6"/>
  <c r="C885" i="6" s="1"/>
  <c r="B884" i="6"/>
  <c r="C884" i="6" s="1"/>
  <c r="B883" i="6"/>
  <c r="C883" i="6" s="1"/>
  <c r="B882" i="6"/>
  <c r="C882" i="6" s="1"/>
  <c r="B881" i="6"/>
  <c r="C881" i="6" s="1"/>
  <c r="B880" i="6"/>
  <c r="C880" i="6" s="1"/>
  <c r="B879" i="6"/>
  <c r="C879" i="6" s="1"/>
  <c r="B878" i="6"/>
  <c r="C878" i="6" s="1"/>
  <c r="B877" i="6"/>
  <c r="C877" i="6" s="1"/>
  <c r="B876" i="6"/>
  <c r="C876" i="6" s="1"/>
  <c r="B875" i="6"/>
  <c r="C875" i="6" s="1"/>
  <c r="B874" i="6"/>
  <c r="C874" i="6" s="1"/>
  <c r="B873" i="6"/>
  <c r="C873" i="6" s="1"/>
  <c r="B872" i="6"/>
  <c r="C872" i="6" s="1"/>
  <c r="B871" i="6"/>
  <c r="C871" i="6" s="1"/>
  <c r="B870" i="6"/>
  <c r="C870" i="6" s="1"/>
  <c r="B869" i="6"/>
  <c r="C869" i="6" s="1"/>
  <c r="B868" i="6"/>
  <c r="C868" i="6" s="1"/>
  <c r="B867" i="6"/>
  <c r="C867" i="6" s="1"/>
  <c r="B866" i="6"/>
  <c r="C866" i="6" s="1"/>
  <c r="B865" i="6"/>
  <c r="C865" i="6" s="1"/>
  <c r="B864" i="6"/>
  <c r="C864" i="6" s="1"/>
  <c r="B863" i="6"/>
  <c r="C863" i="6" s="1"/>
  <c r="B862" i="6"/>
  <c r="C862" i="6" s="1"/>
  <c r="B861" i="6"/>
  <c r="C861" i="6" s="1"/>
  <c r="B860" i="6"/>
  <c r="C860" i="6" s="1"/>
  <c r="B859" i="6"/>
  <c r="C859" i="6" s="1"/>
  <c r="B858" i="6"/>
  <c r="C858" i="6" s="1"/>
  <c r="B857" i="6"/>
  <c r="C857" i="6" s="1"/>
  <c r="B856" i="6"/>
  <c r="C856" i="6" s="1"/>
  <c r="B855" i="6"/>
  <c r="C855" i="6" s="1"/>
  <c r="B854" i="6"/>
  <c r="C854" i="6" s="1"/>
  <c r="B853" i="6"/>
  <c r="C853" i="6" s="1"/>
  <c r="B852" i="6"/>
  <c r="C852" i="6" s="1"/>
  <c r="B851" i="6"/>
  <c r="C851" i="6" s="1"/>
  <c r="B850" i="6"/>
  <c r="C850" i="6" s="1"/>
  <c r="B849" i="6"/>
  <c r="C849" i="6" s="1"/>
  <c r="B848" i="6"/>
  <c r="C848" i="6" s="1"/>
  <c r="B847" i="6"/>
  <c r="C847" i="6" s="1"/>
  <c r="B846" i="6"/>
  <c r="C846" i="6" s="1"/>
  <c r="B845" i="6"/>
  <c r="C845" i="6" s="1"/>
  <c r="B844" i="6"/>
  <c r="C844" i="6" s="1"/>
  <c r="B843" i="6"/>
  <c r="C843" i="6" s="1"/>
  <c r="B842" i="6"/>
  <c r="C842" i="6" s="1"/>
  <c r="B841" i="6"/>
  <c r="C841" i="6" s="1"/>
  <c r="B840" i="6"/>
  <c r="C840" i="6" s="1"/>
  <c r="B839" i="6"/>
  <c r="C839" i="6" s="1"/>
  <c r="B838" i="6"/>
  <c r="C838" i="6" s="1"/>
  <c r="B837" i="6"/>
  <c r="C837" i="6" s="1"/>
  <c r="B836" i="6"/>
  <c r="C836" i="6" s="1"/>
  <c r="B835" i="6"/>
  <c r="C835" i="6" s="1"/>
  <c r="B834" i="6"/>
  <c r="C834" i="6" s="1"/>
  <c r="B833" i="6"/>
  <c r="C833" i="6" s="1"/>
  <c r="B832" i="6"/>
  <c r="C832" i="6" s="1"/>
  <c r="B831" i="6"/>
  <c r="C831" i="6" s="1"/>
  <c r="B830" i="6"/>
  <c r="C830" i="6" s="1"/>
  <c r="B829" i="6"/>
  <c r="C829" i="6" s="1"/>
  <c r="B828" i="6"/>
  <c r="C828" i="6" s="1"/>
  <c r="B827" i="6"/>
  <c r="C827" i="6" s="1"/>
  <c r="B826" i="6"/>
  <c r="C826" i="6" s="1"/>
  <c r="B825" i="6"/>
  <c r="C825" i="6" s="1"/>
  <c r="B824" i="6"/>
  <c r="C824" i="6" s="1"/>
  <c r="B823" i="6"/>
  <c r="C823" i="6" s="1"/>
  <c r="B822" i="6"/>
  <c r="C822" i="6" s="1"/>
  <c r="B821" i="6"/>
  <c r="C821" i="6" s="1"/>
  <c r="B820" i="6"/>
  <c r="C820" i="6" s="1"/>
  <c r="B819" i="6"/>
  <c r="C819" i="6" s="1"/>
  <c r="B818" i="6"/>
  <c r="C818" i="6" s="1"/>
  <c r="B817" i="6"/>
  <c r="C817" i="6" s="1"/>
  <c r="B816" i="6"/>
  <c r="C816" i="6" s="1"/>
  <c r="B815" i="6"/>
  <c r="C815" i="6" s="1"/>
  <c r="B814" i="6"/>
  <c r="C814" i="6" s="1"/>
  <c r="B813" i="6"/>
  <c r="C813" i="6" s="1"/>
  <c r="B812" i="6"/>
  <c r="C812" i="6" s="1"/>
  <c r="B811" i="6"/>
  <c r="C811" i="6" s="1"/>
  <c r="B810" i="6"/>
  <c r="C810" i="6" s="1"/>
  <c r="B809" i="6"/>
  <c r="C809" i="6" s="1"/>
  <c r="B808" i="6"/>
  <c r="C808" i="6" s="1"/>
  <c r="B807" i="6"/>
  <c r="C807" i="6" s="1"/>
  <c r="B806" i="6"/>
  <c r="C806" i="6" s="1"/>
  <c r="B805" i="6"/>
  <c r="C805" i="6" s="1"/>
  <c r="B804" i="6"/>
  <c r="C804" i="6" s="1"/>
  <c r="B803" i="6"/>
  <c r="C803" i="6" s="1"/>
  <c r="B802" i="6"/>
  <c r="C802" i="6" s="1"/>
  <c r="B801" i="6"/>
  <c r="C801" i="6" s="1"/>
  <c r="B800" i="6"/>
  <c r="C800" i="6" s="1"/>
  <c r="B799" i="6"/>
  <c r="C799" i="6" s="1"/>
  <c r="B798" i="6"/>
  <c r="C798" i="6" s="1"/>
  <c r="B797" i="6"/>
  <c r="C797" i="6" s="1"/>
  <c r="B796" i="6"/>
  <c r="C796" i="6" s="1"/>
  <c r="B795" i="6"/>
  <c r="C795" i="6" s="1"/>
  <c r="B794" i="6"/>
  <c r="C794" i="6" s="1"/>
  <c r="B793" i="6"/>
  <c r="C793" i="6" s="1"/>
  <c r="B792" i="6"/>
  <c r="C792" i="6" s="1"/>
  <c r="B791" i="6"/>
  <c r="C791" i="6" s="1"/>
  <c r="B790" i="6"/>
  <c r="C790" i="6" s="1"/>
  <c r="B789" i="6"/>
  <c r="C789" i="6" s="1"/>
  <c r="B788" i="6"/>
  <c r="C788" i="6" s="1"/>
  <c r="B787" i="6"/>
  <c r="C787" i="6" s="1"/>
  <c r="B786" i="6"/>
  <c r="C786" i="6" s="1"/>
  <c r="B785" i="6"/>
  <c r="C785" i="6" s="1"/>
  <c r="B784" i="6"/>
  <c r="C784" i="6" s="1"/>
  <c r="B783" i="6"/>
  <c r="C783" i="6" s="1"/>
  <c r="B782" i="6"/>
  <c r="C782" i="6" s="1"/>
  <c r="B781" i="6"/>
  <c r="C781" i="6" s="1"/>
  <c r="B780" i="6"/>
  <c r="C780" i="6" s="1"/>
  <c r="B779" i="6"/>
  <c r="C779" i="6" s="1"/>
  <c r="B778" i="6"/>
  <c r="C778" i="6" s="1"/>
  <c r="B777" i="6"/>
  <c r="C777" i="6" s="1"/>
  <c r="B776" i="6"/>
  <c r="C776" i="6" s="1"/>
  <c r="B775" i="6"/>
  <c r="C775" i="6" s="1"/>
  <c r="B774" i="6"/>
  <c r="C774" i="6" s="1"/>
  <c r="B773" i="6"/>
  <c r="C773" i="6" s="1"/>
  <c r="B772" i="6"/>
  <c r="C772" i="6" s="1"/>
  <c r="B771" i="6"/>
  <c r="C771" i="6" s="1"/>
  <c r="B770" i="6"/>
  <c r="C770" i="6" s="1"/>
  <c r="B769" i="6"/>
  <c r="C769" i="6" s="1"/>
  <c r="B768" i="6"/>
  <c r="C768" i="6" s="1"/>
  <c r="B767" i="6"/>
  <c r="C767" i="6" s="1"/>
  <c r="B766" i="6"/>
  <c r="C766" i="6" s="1"/>
  <c r="B765" i="6"/>
  <c r="C765" i="6" s="1"/>
  <c r="B764" i="6"/>
  <c r="C764" i="6" s="1"/>
  <c r="B763" i="6"/>
  <c r="C763" i="6" s="1"/>
  <c r="B762" i="6"/>
  <c r="C762" i="6" s="1"/>
  <c r="B761" i="6"/>
  <c r="C761" i="6" s="1"/>
  <c r="B760" i="6"/>
  <c r="C760" i="6" s="1"/>
  <c r="B759" i="6"/>
  <c r="C759" i="6" s="1"/>
  <c r="B758" i="6"/>
  <c r="C758" i="6" s="1"/>
  <c r="B757" i="6"/>
  <c r="C757" i="6" s="1"/>
  <c r="B756" i="6"/>
  <c r="C756" i="6" s="1"/>
  <c r="B755" i="6"/>
  <c r="C755" i="6" s="1"/>
  <c r="B754" i="6"/>
  <c r="C754" i="6" s="1"/>
  <c r="B753" i="6"/>
  <c r="C753" i="6" s="1"/>
  <c r="B752" i="6"/>
  <c r="C752" i="6" s="1"/>
  <c r="B751" i="6"/>
  <c r="C751" i="6" s="1"/>
  <c r="B750" i="6"/>
  <c r="C750" i="6" s="1"/>
  <c r="B749" i="6"/>
  <c r="C749" i="6" s="1"/>
  <c r="B748" i="6"/>
  <c r="C748" i="6" s="1"/>
  <c r="B747" i="6"/>
  <c r="C747" i="6" s="1"/>
  <c r="B746" i="6"/>
  <c r="C746" i="6" s="1"/>
  <c r="B745" i="6"/>
  <c r="C745" i="6" s="1"/>
  <c r="B744" i="6"/>
  <c r="C744" i="6" s="1"/>
  <c r="B743" i="6"/>
  <c r="C743" i="6" s="1"/>
  <c r="B742" i="6"/>
  <c r="C742" i="6" s="1"/>
  <c r="B741" i="6"/>
  <c r="C741" i="6" s="1"/>
  <c r="B740" i="6"/>
  <c r="C740" i="6" s="1"/>
  <c r="B739" i="6"/>
  <c r="C739" i="6" s="1"/>
  <c r="B738" i="6"/>
  <c r="C738" i="6" s="1"/>
  <c r="B737" i="6"/>
  <c r="C737" i="6" s="1"/>
  <c r="B736" i="6"/>
  <c r="C736" i="6" s="1"/>
  <c r="B735" i="6"/>
  <c r="C735" i="6" s="1"/>
  <c r="B734" i="6"/>
  <c r="C734" i="6" s="1"/>
  <c r="B733" i="6"/>
  <c r="C733" i="6" s="1"/>
  <c r="B732" i="6"/>
  <c r="C732" i="6" s="1"/>
  <c r="B731" i="6"/>
  <c r="C731" i="6" s="1"/>
  <c r="B730" i="6"/>
  <c r="C730" i="6" s="1"/>
  <c r="B729" i="6"/>
  <c r="C729" i="6" s="1"/>
  <c r="B728" i="6"/>
  <c r="C728" i="6" s="1"/>
  <c r="B727" i="6"/>
  <c r="C727" i="6" s="1"/>
  <c r="B726" i="6"/>
  <c r="C726" i="6" s="1"/>
  <c r="B725" i="6"/>
  <c r="C725" i="6" s="1"/>
  <c r="B724" i="6"/>
  <c r="C724" i="6" s="1"/>
  <c r="B723" i="6"/>
  <c r="C723" i="6" s="1"/>
  <c r="B722" i="6"/>
  <c r="C722" i="6" s="1"/>
  <c r="B721" i="6"/>
  <c r="B720" i="6"/>
  <c r="C720" i="6" s="1"/>
  <c r="B719" i="6"/>
  <c r="C719" i="6" s="1"/>
  <c r="B718" i="6"/>
  <c r="C718" i="6" s="1"/>
  <c r="B717" i="6"/>
  <c r="C717" i="6" s="1"/>
  <c r="B716" i="6"/>
  <c r="C716" i="6" s="1"/>
  <c r="B715" i="6"/>
  <c r="C715" i="6" s="1"/>
  <c r="B714" i="6"/>
  <c r="C714" i="6" s="1"/>
  <c r="B713" i="6"/>
  <c r="C713" i="6" s="1"/>
  <c r="B712" i="6"/>
  <c r="C712" i="6" s="1"/>
  <c r="B711" i="6"/>
  <c r="C711" i="6" s="1"/>
  <c r="B710" i="6"/>
  <c r="C710" i="6" s="1"/>
  <c r="B709" i="6"/>
  <c r="C709" i="6" s="1"/>
  <c r="B708" i="6"/>
  <c r="C708" i="6" s="1"/>
  <c r="B707" i="6"/>
  <c r="C707" i="6" s="1"/>
  <c r="B706" i="6"/>
  <c r="C706" i="6" s="1"/>
  <c r="B705" i="6"/>
  <c r="C705" i="6" s="1"/>
  <c r="B704" i="6"/>
  <c r="C704" i="6" s="1"/>
  <c r="B703" i="6"/>
  <c r="C703" i="6" s="1"/>
  <c r="B702" i="6"/>
  <c r="C702" i="6" s="1"/>
  <c r="B701" i="6"/>
  <c r="C701" i="6" s="1"/>
  <c r="B700" i="6"/>
  <c r="C700" i="6" s="1"/>
  <c r="B699" i="6"/>
  <c r="C699" i="6" s="1"/>
  <c r="B698" i="6"/>
  <c r="C698" i="6" s="1"/>
  <c r="B697" i="6"/>
  <c r="C697" i="6" s="1"/>
  <c r="B696" i="6"/>
  <c r="C696" i="6" s="1"/>
  <c r="B695" i="6"/>
  <c r="C695" i="6" s="1"/>
  <c r="B694" i="6"/>
  <c r="C694" i="6" s="1"/>
  <c r="B693" i="6"/>
  <c r="C693" i="6" s="1"/>
  <c r="B692" i="6"/>
  <c r="C692" i="6" s="1"/>
  <c r="B691" i="6"/>
  <c r="C691" i="6" s="1"/>
  <c r="B690" i="6"/>
  <c r="C690" i="6" s="1"/>
  <c r="B689" i="6"/>
  <c r="C689" i="6" s="1"/>
  <c r="B688" i="6"/>
  <c r="C688" i="6" s="1"/>
  <c r="B687" i="6"/>
  <c r="C687" i="6" s="1"/>
  <c r="B686" i="6"/>
  <c r="C686" i="6" s="1"/>
  <c r="B685" i="6"/>
  <c r="C685" i="6" s="1"/>
  <c r="B684" i="6"/>
  <c r="C684" i="6" s="1"/>
  <c r="B683" i="6"/>
  <c r="C683" i="6" s="1"/>
  <c r="B682" i="6"/>
  <c r="C682" i="6" s="1"/>
  <c r="B681" i="6"/>
  <c r="C681" i="6" s="1"/>
  <c r="B680" i="6"/>
  <c r="C680" i="6" s="1"/>
  <c r="B679" i="6"/>
  <c r="C679" i="6" s="1"/>
  <c r="B678" i="6"/>
  <c r="C678" i="6" s="1"/>
  <c r="B677" i="6"/>
  <c r="C677" i="6" s="1"/>
  <c r="B676" i="6"/>
  <c r="C676" i="6" s="1"/>
  <c r="B675" i="6"/>
  <c r="C675" i="6" s="1"/>
  <c r="B674" i="6"/>
  <c r="C674" i="6" s="1"/>
  <c r="B673" i="6"/>
  <c r="C673" i="6" s="1"/>
  <c r="B672" i="6"/>
  <c r="C672" i="6" s="1"/>
  <c r="B671" i="6"/>
  <c r="C671" i="6" s="1"/>
  <c r="B670" i="6"/>
  <c r="C670" i="6" s="1"/>
  <c r="B669" i="6"/>
  <c r="C669" i="6" s="1"/>
  <c r="B668" i="6"/>
  <c r="C668" i="6" s="1"/>
  <c r="B667" i="6"/>
  <c r="C667" i="6" s="1"/>
  <c r="B666" i="6"/>
  <c r="C666" i="6" s="1"/>
  <c r="B665" i="6"/>
  <c r="C665" i="6" s="1"/>
  <c r="B664" i="6"/>
  <c r="C664" i="6" s="1"/>
  <c r="B663" i="6"/>
  <c r="C663" i="6" s="1"/>
  <c r="B662" i="6"/>
  <c r="C662" i="6" s="1"/>
  <c r="B661" i="6"/>
  <c r="C661" i="6" s="1"/>
  <c r="B660" i="6"/>
  <c r="C660" i="6" s="1"/>
  <c r="B659" i="6"/>
  <c r="C659" i="6" s="1"/>
  <c r="B658" i="6"/>
  <c r="C658" i="6" s="1"/>
  <c r="B657" i="6"/>
  <c r="C657" i="6" s="1"/>
  <c r="B656" i="6"/>
  <c r="C656" i="6" s="1"/>
  <c r="B655" i="6"/>
  <c r="C655" i="6" s="1"/>
  <c r="B654" i="6"/>
  <c r="C654" i="6" s="1"/>
  <c r="B653" i="6"/>
  <c r="C653" i="6" s="1"/>
  <c r="B652" i="6"/>
  <c r="C652" i="6" s="1"/>
  <c r="B651" i="6"/>
  <c r="C651" i="6" s="1"/>
  <c r="B650" i="6"/>
  <c r="C650" i="6" s="1"/>
  <c r="B649" i="6"/>
  <c r="C649" i="6" s="1"/>
  <c r="B648" i="6"/>
  <c r="C648" i="6" s="1"/>
  <c r="B647" i="6"/>
  <c r="C647" i="6" s="1"/>
  <c r="B646" i="6"/>
  <c r="C646" i="6" s="1"/>
  <c r="B645" i="6"/>
  <c r="C645" i="6" s="1"/>
  <c r="B644" i="6"/>
  <c r="C644" i="6" s="1"/>
  <c r="B643" i="6"/>
  <c r="C643" i="6" s="1"/>
  <c r="B642" i="6"/>
  <c r="C642" i="6" s="1"/>
  <c r="B641" i="6"/>
  <c r="C641" i="6" s="1"/>
  <c r="B640" i="6"/>
  <c r="C640" i="6" s="1"/>
  <c r="B639" i="6"/>
  <c r="C639" i="6" s="1"/>
  <c r="B638" i="6"/>
  <c r="C638" i="6" s="1"/>
  <c r="B637" i="6"/>
  <c r="C637" i="6" s="1"/>
  <c r="B636" i="6"/>
  <c r="C636" i="6" s="1"/>
  <c r="B635" i="6"/>
  <c r="C635" i="6" s="1"/>
  <c r="B634" i="6"/>
  <c r="C634" i="6" s="1"/>
  <c r="B633" i="6"/>
  <c r="C633" i="6" s="1"/>
  <c r="B632" i="6"/>
  <c r="C632" i="6" s="1"/>
  <c r="B631" i="6"/>
  <c r="C631" i="6" s="1"/>
  <c r="B630" i="6"/>
  <c r="C630" i="6" s="1"/>
  <c r="B629" i="6"/>
  <c r="C629" i="6" s="1"/>
  <c r="B628" i="6"/>
  <c r="C628" i="6" s="1"/>
  <c r="B627" i="6"/>
  <c r="C627" i="6" s="1"/>
  <c r="B626" i="6"/>
  <c r="C626" i="6" s="1"/>
  <c r="B625" i="6"/>
  <c r="C625" i="6" s="1"/>
  <c r="B624" i="6"/>
  <c r="C624" i="6" s="1"/>
  <c r="B623" i="6"/>
  <c r="C623" i="6" s="1"/>
  <c r="B622" i="6"/>
  <c r="C622" i="6" s="1"/>
  <c r="B621" i="6"/>
  <c r="C621" i="6" s="1"/>
  <c r="B620" i="6"/>
  <c r="C620" i="6" s="1"/>
  <c r="B619" i="6"/>
  <c r="C619" i="6" s="1"/>
  <c r="B618" i="6"/>
  <c r="C618" i="6" s="1"/>
  <c r="B617" i="6"/>
  <c r="C617" i="6" s="1"/>
  <c r="B616" i="6"/>
  <c r="C616" i="6" s="1"/>
  <c r="B615" i="6"/>
  <c r="C615" i="6" s="1"/>
  <c r="B614" i="6"/>
  <c r="C614" i="6" s="1"/>
  <c r="B613" i="6"/>
  <c r="C613" i="6" s="1"/>
  <c r="B612" i="6"/>
  <c r="C612" i="6" s="1"/>
  <c r="B611" i="6"/>
  <c r="C611" i="6" s="1"/>
  <c r="B610" i="6"/>
  <c r="C610" i="6" s="1"/>
  <c r="B609" i="6"/>
  <c r="C609" i="6" s="1"/>
  <c r="B608" i="6"/>
  <c r="C608" i="6" s="1"/>
  <c r="B607" i="6"/>
  <c r="C607" i="6" s="1"/>
  <c r="B606" i="6"/>
  <c r="C606" i="6" s="1"/>
  <c r="B605" i="6"/>
  <c r="C605" i="6" s="1"/>
  <c r="B604" i="6"/>
  <c r="C604" i="6" s="1"/>
  <c r="B603" i="6"/>
  <c r="C603" i="6" s="1"/>
  <c r="B602" i="6"/>
  <c r="C602" i="6" s="1"/>
  <c r="B601" i="6"/>
  <c r="C601" i="6" s="1"/>
  <c r="B600" i="6"/>
  <c r="C600" i="6" s="1"/>
  <c r="B599" i="6"/>
  <c r="C599" i="6" s="1"/>
  <c r="B598" i="6"/>
  <c r="C598" i="6" s="1"/>
  <c r="B597" i="6"/>
  <c r="C597" i="6" s="1"/>
  <c r="B596" i="6"/>
  <c r="C596" i="6" s="1"/>
  <c r="B595" i="6"/>
  <c r="C595" i="6" s="1"/>
  <c r="B594" i="6"/>
  <c r="C594" i="6" s="1"/>
  <c r="B593" i="6"/>
  <c r="C593" i="6" s="1"/>
  <c r="B592" i="6"/>
  <c r="C592" i="6" s="1"/>
  <c r="B591" i="6"/>
  <c r="C591" i="6" s="1"/>
  <c r="B590" i="6"/>
  <c r="C590" i="6" s="1"/>
  <c r="B589" i="6"/>
  <c r="C589" i="6" s="1"/>
  <c r="B588" i="6"/>
  <c r="C588" i="6" s="1"/>
  <c r="B587" i="6"/>
  <c r="C587" i="6" s="1"/>
  <c r="B586" i="6"/>
  <c r="C586" i="6" s="1"/>
  <c r="B585" i="6"/>
  <c r="C585" i="6" s="1"/>
  <c r="B584" i="6"/>
  <c r="C584" i="6" s="1"/>
  <c r="B583" i="6"/>
  <c r="C583" i="6" s="1"/>
  <c r="B582" i="6"/>
  <c r="C582" i="6" s="1"/>
  <c r="B581" i="6"/>
  <c r="C581" i="6" s="1"/>
  <c r="B580" i="6"/>
  <c r="C580" i="6" s="1"/>
  <c r="B579" i="6"/>
  <c r="C579" i="6" s="1"/>
  <c r="B578" i="6"/>
  <c r="C578" i="6" s="1"/>
  <c r="B577" i="6"/>
  <c r="C577" i="6" s="1"/>
  <c r="B576" i="6"/>
  <c r="C576" i="6" s="1"/>
  <c r="B575" i="6"/>
  <c r="C575" i="6" s="1"/>
  <c r="B574" i="6"/>
  <c r="C574" i="6" s="1"/>
  <c r="B573" i="6"/>
  <c r="C573" i="6" s="1"/>
  <c r="B572" i="6"/>
  <c r="C572" i="6" s="1"/>
  <c r="B571" i="6"/>
  <c r="C571" i="6" s="1"/>
  <c r="B570" i="6"/>
  <c r="C570" i="6" s="1"/>
  <c r="B569" i="6"/>
  <c r="C569" i="6" s="1"/>
  <c r="B568" i="6"/>
  <c r="C568" i="6" s="1"/>
  <c r="B567" i="6"/>
  <c r="C567" i="6" s="1"/>
  <c r="B566" i="6"/>
  <c r="C566" i="6" s="1"/>
  <c r="B565" i="6"/>
  <c r="C565" i="6" s="1"/>
  <c r="B564" i="6"/>
  <c r="C564" i="6" s="1"/>
  <c r="B563" i="6"/>
  <c r="C563" i="6" s="1"/>
  <c r="B562" i="6"/>
  <c r="C562" i="6" s="1"/>
  <c r="B561" i="6"/>
  <c r="C561" i="6" s="1"/>
  <c r="B560" i="6"/>
  <c r="C560" i="6" s="1"/>
  <c r="B559" i="6"/>
  <c r="C559" i="6" s="1"/>
  <c r="B558" i="6"/>
  <c r="C558" i="6" s="1"/>
  <c r="B557" i="6"/>
  <c r="C557" i="6" s="1"/>
  <c r="B556" i="6"/>
  <c r="C556" i="6" s="1"/>
  <c r="B555" i="6"/>
  <c r="C555" i="6" s="1"/>
  <c r="B554" i="6"/>
  <c r="C554" i="6" s="1"/>
  <c r="B553" i="6"/>
  <c r="C553" i="6" s="1"/>
  <c r="B552" i="6"/>
  <c r="C552" i="6" s="1"/>
  <c r="B551" i="6"/>
  <c r="C551" i="6" s="1"/>
  <c r="B550" i="6"/>
  <c r="C550" i="6" s="1"/>
  <c r="B549" i="6"/>
  <c r="C549" i="6" s="1"/>
  <c r="B548" i="6"/>
  <c r="C548" i="6" s="1"/>
  <c r="B547" i="6"/>
  <c r="C547" i="6" s="1"/>
  <c r="B546" i="6"/>
  <c r="C546" i="6" s="1"/>
  <c r="B545" i="6"/>
  <c r="C545" i="6" s="1"/>
  <c r="B544" i="6"/>
  <c r="C544" i="6" s="1"/>
  <c r="B543" i="6"/>
  <c r="C543" i="6" s="1"/>
  <c r="B542" i="6"/>
  <c r="C542" i="6" s="1"/>
  <c r="B541" i="6"/>
  <c r="C541" i="6" s="1"/>
  <c r="B540" i="6"/>
  <c r="C540" i="6" s="1"/>
  <c r="B539" i="6"/>
  <c r="C539" i="6" s="1"/>
  <c r="B538" i="6"/>
  <c r="C538" i="6" s="1"/>
  <c r="B537" i="6"/>
  <c r="C537" i="6" s="1"/>
  <c r="B536" i="6"/>
  <c r="C536" i="6" s="1"/>
  <c r="B535" i="6"/>
  <c r="C535" i="6" s="1"/>
  <c r="B534" i="6"/>
  <c r="C534" i="6" s="1"/>
  <c r="B533" i="6"/>
  <c r="C533" i="6" s="1"/>
  <c r="B532" i="6"/>
  <c r="C532" i="6" s="1"/>
  <c r="B531" i="6"/>
  <c r="C531" i="6" s="1"/>
  <c r="B530" i="6"/>
  <c r="C530" i="6" s="1"/>
  <c r="B529" i="6"/>
  <c r="C529" i="6" s="1"/>
  <c r="B528" i="6"/>
  <c r="C528" i="6" s="1"/>
  <c r="B527" i="6"/>
  <c r="C527" i="6" s="1"/>
  <c r="B526" i="6"/>
  <c r="C526" i="6" s="1"/>
  <c r="B525" i="6"/>
  <c r="C525" i="6" s="1"/>
  <c r="B524" i="6"/>
  <c r="C524" i="6" s="1"/>
  <c r="B523" i="6"/>
  <c r="C523" i="6" s="1"/>
  <c r="B522" i="6"/>
  <c r="C522" i="6" s="1"/>
  <c r="B521" i="6"/>
  <c r="C521" i="6" s="1"/>
  <c r="B520" i="6"/>
  <c r="C520" i="6" s="1"/>
  <c r="B519" i="6"/>
  <c r="C519" i="6" s="1"/>
  <c r="B518" i="6"/>
  <c r="C518" i="6" s="1"/>
  <c r="B517" i="6"/>
  <c r="C517" i="6" s="1"/>
  <c r="B516" i="6"/>
  <c r="C516" i="6" s="1"/>
  <c r="B515" i="6"/>
  <c r="C515" i="6" s="1"/>
  <c r="B514" i="6"/>
  <c r="C514" i="6" s="1"/>
  <c r="B513" i="6"/>
  <c r="C513" i="6" s="1"/>
  <c r="B512" i="6"/>
  <c r="C512" i="6" s="1"/>
  <c r="B511" i="6"/>
  <c r="C511" i="6" s="1"/>
  <c r="B510" i="6"/>
  <c r="C510" i="6" s="1"/>
  <c r="B509" i="6"/>
  <c r="C509" i="6" s="1"/>
  <c r="B508" i="6"/>
  <c r="C508" i="6" s="1"/>
  <c r="B507" i="6"/>
  <c r="C507" i="6" s="1"/>
  <c r="B506" i="6"/>
  <c r="C506" i="6" s="1"/>
  <c r="B505" i="6"/>
  <c r="C505" i="6" s="1"/>
  <c r="B504" i="6"/>
  <c r="C504" i="6" s="1"/>
  <c r="B503" i="6"/>
  <c r="C503" i="6" s="1"/>
  <c r="B502" i="6"/>
  <c r="C502" i="6" s="1"/>
  <c r="B501" i="6"/>
  <c r="C501" i="6" s="1"/>
  <c r="B500" i="6"/>
  <c r="C500" i="6" s="1"/>
  <c r="B499" i="6"/>
  <c r="C499" i="6" s="1"/>
  <c r="B498" i="6"/>
  <c r="C498" i="6" s="1"/>
  <c r="B497" i="6"/>
  <c r="C497" i="6" s="1"/>
  <c r="B496" i="6"/>
  <c r="C496" i="6" s="1"/>
  <c r="B495" i="6"/>
  <c r="C495" i="6" s="1"/>
  <c r="B494" i="6"/>
  <c r="C494" i="6" s="1"/>
  <c r="B493" i="6"/>
  <c r="C493" i="6" s="1"/>
  <c r="B492" i="6"/>
  <c r="C492" i="6" s="1"/>
  <c r="B491" i="6"/>
  <c r="C491" i="6" s="1"/>
  <c r="B490" i="6"/>
  <c r="C490" i="6" s="1"/>
  <c r="B489" i="6"/>
  <c r="C489" i="6" s="1"/>
  <c r="B488" i="6"/>
  <c r="C488" i="6" s="1"/>
  <c r="B487" i="6"/>
  <c r="C487" i="6" s="1"/>
  <c r="B486" i="6"/>
  <c r="C486" i="6" s="1"/>
  <c r="B485" i="6"/>
  <c r="C485" i="6" s="1"/>
  <c r="B484" i="6"/>
  <c r="C484" i="6" s="1"/>
  <c r="B483" i="6"/>
  <c r="C483" i="6" s="1"/>
  <c r="B482" i="6"/>
  <c r="C482" i="6" s="1"/>
  <c r="B481" i="6"/>
  <c r="C481" i="6" s="1"/>
  <c r="B480" i="6"/>
  <c r="C480" i="6" s="1"/>
  <c r="B479" i="6"/>
  <c r="C479" i="6" s="1"/>
  <c r="B478" i="6"/>
  <c r="C478" i="6" s="1"/>
  <c r="B477" i="6"/>
  <c r="C477" i="6" s="1"/>
  <c r="B476" i="6"/>
  <c r="C476" i="6" s="1"/>
  <c r="B475" i="6"/>
  <c r="C475" i="6" s="1"/>
  <c r="B474" i="6"/>
  <c r="C474" i="6" s="1"/>
  <c r="B473" i="6"/>
  <c r="C473" i="6" s="1"/>
  <c r="B472" i="6"/>
  <c r="C472" i="6" s="1"/>
  <c r="B471" i="6"/>
  <c r="C471" i="6" s="1"/>
  <c r="B470" i="6"/>
  <c r="C470" i="6" s="1"/>
  <c r="B469" i="6"/>
  <c r="C469" i="6" s="1"/>
  <c r="B468" i="6"/>
  <c r="C468" i="6" s="1"/>
  <c r="B467" i="6"/>
  <c r="C467" i="6" s="1"/>
  <c r="B466" i="6"/>
  <c r="C466" i="6" s="1"/>
  <c r="B465" i="6"/>
  <c r="C465" i="6" s="1"/>
  <c r="B464" i="6"/>
  <c r="C464" i="6" s="1"/>
  <c r="B463" i="6"/>
  <c r="C463" i="6" s="1"/>
  <c r="B462" i="6"/>
  <c r="C462" i="6" s="1"/>
  <c r="B461" i="6"/>
  <c r="C461" i="6" s="1"/>
  <c r="B460" i="6"/>
  <c r="C460" i="6" s="1"/>
  <c r="B459" i="6"/>
  <c r="C459" i="6" s="1"/>
  <c r="B458" i="6"/>
  <c r="C458" i="6" s="1"/>
  <c r="B457" i="6"/>
  <c r="C457" i="6" s="1"/>
  <c r="B456" i="6"/>
  <c r="C456" i="6" s="1"/>
  <c r="B455" i="6"/>
  <c r="C455" i="6" s="1"/>
  <c r="B454" i="6"/>
  <c r="C454" i="6" s="1"/>
  <c r="B453" i="6"/>
  <c r="C453" i="6" s="1"/>
  <c r="B452" i="6"/>
  <c r="C452" i="6" s="1"/>
  <c r="B451" i="6"/>
  <c r="C451" i="6" s="1"/>
  <c r="B450" i="6"/>
  <c r="C450" i="6" s="1"/>
  <c r="B449" i="6"/>
  <c r="C449" i="6" s="1"/>
  <c r="B448" i="6"/>
  <c r="C448" i="6" s="1"/>
  <c r="B447" i="6"/>
  <c r="C447" i="6" s="1"/>
  <c r="B446" i="6"/>
  <c r="C446" i="6" s="1"/>
  <c r="B445" i="6"/>
  <c r="C445" i="6" s="1"/>
  <c r="B444" i="6"/>
  <c r="C444" i="6" s="1"/>
  <c r="B443" i="6"/>
  <c r="C443" i="6" s="1"/>
  <c r="B442" i="6"/>
  <c r="C442" i="6" s="1"/>
  <c r="B441" i="6"/>
  <c r="C441" i="6" s="1"/>
  <c r="B440" i="6"/>
  <c r="C440" i="6" s="1"/>
  <c r="B439" i="6"/>
  <c r="C439" i="6" s="1"/>
  <c r="B438" i="6"/>
  <c r="C438" i="6" s="1"/>
  <c r="B437" i="6"/>
  <c r="C437" i="6" s="1"/>
  <c r="B436" i="6"/>
  <c r="C436" i="6" s="1"/>
  <c r="B435" i="6"/>
  <c r="C435" i="6" s="1"/>
  <c r="B434" i="6"/>
  <c r="C434" i="6" s="1"/>
  <c r="B433" i="6"/>
  <c r="C433" i="6" s="1"/>
  <c r="B432" i="6"/>
  <c r="C432" i="6" s="1"/>
  <c r="B431" i="6"/>
  <c r="C431" i="6" s="1"/>
  <c r="B430" i="6"/>
  <c r="C430" i="6" s="1"/>
  <c r="B429" i="6"/>
  <c r="C429" i="6" s="1"/>
  <c r="B428" i="6"/>
  <c r="C428" i="6" s="1"/>
  <c r="B427" i="6"/>
  <c r="C427" i="6" s="1"/>
  <c r="B426" i="6"/>
  <c r="C426" i="6" s="1"/>
  <c r="B425" i="6"/>
  <c r="C425" i="6" s="1"/>
  <c r="B424" i="6"/>
  <c r="C424" i="6" s="1"/>
  <c r="B423" i="6"/>
  <c r="C423" i="6" s="1"/>
  <c r="B422" i="6"/>
  <c r="C422" i="6" s="1"/>
  <c r="B421" i="6"/>
  <c r="C421" i="6" s="1"/>
  <c r="B420" i="6"/>
  <c r="C420" i="6" s="1"/>
  <c r="B419" i="6"/>
  <c r="C419" i="6" s="1"/>
  <c r="B418" i="6"/>
  <c r="C418" i="6" s="1"/>
  <c r="B417" i="6"/>
  <c r="C417" i="6" s="1"/>
  <c r="B416" i="6"/>
  <c r="C416" i="6" s="1"/>
  <c r="B415" i="6"/>
  <c r="C415" i="6" s="1"/>
  <c r="B414" i="6"/>
  <c r="C414" i="6" s="1"/>
  <c r="B413" i="6"/>
  <c r="C413" i="6" s="1"/>
  <c r="B412" i="6"/>
  <c r="C412" i="6" s="1"/>
  <c r="B411" i="6"/>
  <c r="C411" i="6" s="1"/>
  <c r="B410" i="6"/>
  <c r="C410" i="6" s="1"/>
  <c r="B409" i="6"/>
  <c r="C409" i="6" s="1"/>
  <c r="B408" i="6"/>
  <c r="C408" i="6" s="1"/>
  <c r="B407" i="6"/>
  <c r="C407" i="6" s="1"/>
  <c r="B406" i="6"/>
  <c r="C406" i="6" s="1"/>
  <c r="B405" i="6"/>
  <c r="C405" i="6" s="1"/>
  <c r="B404" i="6"/>
  <c r="C404" i="6" s="1"/>
  <c r="B403" i="6"/>
  <c r="C403" i="6" s="1"/>
  <c r="B402" i="6"/>
  <c r="C402" i="6" s="1"/>
  <c r="B401" i="6"/>
  <c r="C401" i="6" s="1"/>
  <c r="B400" i="6"/>
  <c r="C400" i="6" s="1"/>
  <c r="B399" i="6"/>
  <c r="C399" i="6" s="1"/>
  <c r="B398" i="6"/>
  <c r="C398" i="6" s="1"/>
  <c r="B397" i="6"/>
  <c r="C397" i="6" s="1"/>
  <c r="B396" i="6"/>
  <c r="C396" i="6" s="1"/>
  <c r="B395" i="6"/>
  <c r="C395" i="6" s="1"/>
  <c r="B394" i="6"/>
  <c r="C394" i="6" s="1"/>
  <c r="B393" i="6"/>
  <c r="C393" i="6" s="1"/>
  <c r="B392" i="6"/>
  <c r="C392" i="6" s="1"/>
  <c r="B391" i="6"/>
  <c r="C391" i="6" s="1"/>
  <c r="B390" i="6"/>
  <c r="C390" i="6" s="1"/>
  <c r="B389" i="6"/>
  <c r="C389" i="6" s="1"/>
  <c r="B388" i="6"/>
  <c r="C388" i="6" s="1"/>
  <c r="B387" i="6"/>
  <c r="C387" i="6" s="1"/>
  <c r="B386" i="6"/>
  <c r="C386" i="6" s="1"/>
  <c r="B385" i="6"/>
  <c r="C385" i="6" s="1"/>
  <c r="B384" i="6"/>
  <c r="C384" i="6" s="1"/>
  <c r="B383" i="6"/>
  <c r="C383" i="6" s="1"/>
  <c r="B382" i="6"/>
  <c r="C382" i="6" s="1"/>
  <c r="B381" i="6"/>
  <c r="C381" i="6" s="1"/>
  <c r="B380" i="6"/>
  <c r="C380" i="6" s="1"/>
  <c r="B379" i="6"/>
  <c r="C379" i="6" s="1"/>
  <c r="B378" i="6"/>
  <c r="C378" i="6" s="1"/>
  <c r="B377" i="6"/>
  <c r="C377" i="6" s="1"/>
  <c r="B376" i="6"/>
  <c r="C376" i="6" s="1"/>
  <c r="B375" i="6"/>
  <c r="C375" i="6" s="1"/>
  <c r="B374" i="6"/>
  <c r="C374" i="6" s="1"/>
  <c r="B373" i="6"/>
  <c r="C373" i="6" s="1"/>
  <c r="B372" i="6"/>
  <c r="C372" i="6" s="1"/>
  <c r="B371" i="6"/>
  <c r="C371" i="6" s="1"/>
  <c r="B370" i="6"/>
  <c r="C370" i="6" s="1"/>
  <c r="B369" i="6"/>
  <c r="C369" i="6" s="1"/>
  <c r="B368" i="6"/>
  <c r="C368" i="6" s="1"/>
  <c r="B367" i="6"/>
  <c r="C367" i="6" s="1"/>
  <c r="B366" i="6"/>
  <c r="C366" i="6" s="1"/>
  <c r="B365" i="6"/>
  <c r="C365" i="6" s="1"/>
  <c r="B364" i="6"/>
  <c r="C364" i="6" s="1"/>
  <c r="B363" i="6"/>
  <c r="C363" i="6" s="1"/>
  <c r="B362" i="6"/>
  <c r="C362" i="6" s="1"/>
  <c r="B361" i="6"/>
  <c r="C361" i="6" s="1"/>
  <c r="B360" i="6"/>
  <c r="C360" i="6" s="1"/>
  <c r="B359" i="6"/>
  <c r="C359" i="6" s="1"/>
  <c r="B358" i="6"/>
  <c r="C358" i="6" s="1"/>
  <c r="B357" i="6"/>
  <c r="C357" i="6" s="1"/>
  <c r="B356" i="6"/>
  <c r="C356" i="6" s="1"/>
  <c r="B355" i="6"/>
  <c r="C355" i="6" s="1"/>
  <c r="B354" i="6"/>
  <c r="C354" i="6" s="1"/>
  <c r="B353" i="6"/>
  <c r="C353" i="6" s="1"/>
  <c r="B352" i="6"/>
  <c r="C352" i="6" s="1"/>
  <c r="B351" i="6"/>
  <c r="C351" i="6" s="1"/>
  <c r="B350" i="6"/>
  <c r="C350" i="6" s="1"/>
  <c r="B349" i="6"/>
  <c r="C349" i="6" s="1"/>
  <c r="B348" i="6"/>
  <c r="C348" i="6" s="1"/>
  <c r="B347" i="6"/>
  <c r="C347" i="6" s="1"/>
  <c r="B346" i="6"/>
  <c r="C346" i="6" s="1"/>
  <c r="B345" i="6"/>
  <c r="C345" i="6" s="1"/>
  <c r="B344" i="6"/>
  <c r="C344" i="6" s="1"/>
  <c r="B343" i="6"/>
  <c r="C343" i="6" s="1"/>
  <c r="B342" i="6"/>
  <c r="C342" i="6" s="1"/>
  <c r="B341" i="6"/>
  <c r="C341" i="6" s="1"/>
  <c r="B340" i="6"/>
  <c r="C340" i="6" s="1"/>
  <c r="B339" i="6"/>
  <c r="C339" i="6" s="1"/>
  <c r="B338" i="6"/>
  <c r="C338" i="6" s="1"/>
  <c r="B337" i="6"/>
  <c r="C337" i="6" s="1"/>
  <c r="B336" i="6"/>
  <c r="C336" i="6" s="1"/>
  <c r="B335" i="6"/>
  <c r="C335" i="6" s="1"/>
  <c r="B334" i="6"/>
  <c r="C334" i="6" s="1"/>
  <c r="B333" i="6"/>
  <c r="C333" i="6" s="1"/>
  <c r="B332" i="6"/>
  <c r="C332" i="6" s="1"/>
  <c r="B331" i="6"/>
  <c r="C331" i="6" s="1"/>
  <c r="B330" i="6"/>
  <c r="C330" i="6" s="1"/>
  <c r="B329" i="6"/>
  <c r="C329" i="6" s="1"/>
  <c r="B328" i="6"/>
  <c r="C328" i="6" s="1"/>
  <c r="B327" i="6"/>
  <c r="C327" i="6" s="1"/>
  <c r="B326" i="6"/>
  <c r="C326" i="6" s="1"/>
  <c r="B325" i="6"/>
  <c r="C325" i="6" s="1"/>
  <c r="B324" i="6"/>
  <c r="C324" i="6" s="1"/>
  <c r="B323" i="6"/>
  <c r="C323" i="6" s="1"/>
  <c r="B322" i="6"/>
  <c r="C322" i="6" s="1"/>
  <c r="B321" i="6"/>
  <c r="C321" i="6" s="1"/>
  <c r="B320" i="6"/>
  <c r="C320" i="6" s="1"/>
  <c r="B319" i="6"/>
  <c r="C319" i="6" s="1"/>
  <c r="B318" i="6"/>
  <c r="C318" i="6" s="1"/>
  <c r="B317" i="6"/>
  <c r="C317" i="6" s="1"/>
  <c r="B316" i="6"/>
  <c r="C316" i="6" s="1"/>
  <c r="B315" i="6"/>
  <c r="C315" i="6" s="1"/>
  <c r="B314" i="6"/>
  <c r="C314" i="6" s="1"/>
  <c r="B313" i="6"/>
  <c r="C313" i="6" s="1"/>
  <c r="B312" i="6"/>
  <c r="C312" i="6" s="1"/>
  <c r="B311" i="6"/>
  <c r="C311" i="6" s="1"/>
  <c r="B310" i="6"/>
  <c r="C310" i="6" s="1"/>
  <c r="B309" i="6"/>
  <c r="C309" i="6" s="1"/>
  <c r="B308" i="6"/>
  <c r="C308" i="6" s="1"/>
  <c r="B307" i="6"/>
  <c r="C307" i="6" s="1"/>
  <c r="B306" i="6"/>
  <c r="C306" i="6" s="1"/>
  <c r="B305" i="6"/>
  <c r="C305" i="6" s="1"/>
  <c r="B304" i="6"/>
  <c r="C304" i="6" s="1"/>
  <c r="B303" i="6"/>
  <c r="C303" i="6" s="1"/>
  <c r="B302" i="6"/>
  <c r="C302" i="6" s="1"/>
  <c r="B301" i="6"/>
  <c r="C301" i="6" s="1"/>
  <c r="B300" i="6"/>
  <c r="C300" i="6" s="1"/>
  <c r="B299" i="6"/>
  <c r="C299" i="6" s="1"/>
  <c r="B298" i="6"/>
  <c r="C298" i="6" s="1"/>
  <c r="B297" i="6"/>
  <c r="C297" i="6" s="1"/>
  <c r="B296" i="6"/>
  <c r="C296" i="6" s="1"/>
  <c r="B295" i="6"/>
  <c r="C295" i="6" s="1"/>
  <c r="B294" i="6"/>
  <c r="C294" i="6" s="1"/>
  <c r="B293" i="6"/>
  <c r="C293" i="6" s="1"/>
  <c r="B292" i="6"/>
  <c r="C292" i="6" s="1"/>
  <c r="B291" i="6"/>
  <c r="C291" i="6" s="1"/>
  <c r="B290" i="6"/>
  <c r="C290" i="6" s="1"/>
  <c r="B289" i="6"/>
  <c r="C289" i="6" s="1"/>
  <c r="B288" i="6"/>
  <c r="C288" i="6" s="1"/>
  <c r="B287" i="6"/>
  <c r="C287" i="6" s="1"/>
  <c r="B286" i="6"/>
  <c r="C286" i="6" s="1"/>
  <c r="B285" i="6"/>
  <c r="C285" i="6" s="1"/>
  <c r="B284" i="6"/>
  <c r="C284" i="6" s="1"/>
  <c r="B283" i="6"/>
  <c r="C283" i="6" s="1"/>
  <c r="B282" i="6"/>
  <c r="C282" i="6" s="1"/>
  <c r="B281" i="6"/>
  <c r="C281" i="6" s="1"/>
  <c r="B280" i="6"/>
  <c r="C280" i="6" s="1"/>
  <c r="B279" i="6"/>
  <c r="C279" i="6" s="1"/>
  <c r="B278" i="6"/>
  <c r="C278" i="6" s="1"/>
  <c r="B277" i="6"/>
  <c r="C277" i="6" s="1"/>
  <c r="B276" i="6"/>
  <c r="C276" i="6" s="1"/>
  <c r="B275" i="6"/>
  <c r="C275" i="6" s="1"/>
  <c r="B274" i="6"/>
  <c r="C274" i="6" s="1"/>
  <c r="B273" i="6"/>
  <c r="C273" i="6" s="1"/>
  <c r="B272" i="6"/>
  <c r="C272" i="6" s="1"/>
  <c r="B271" i="6"/>
  <c r="C271" i="6" s="1"/>
  <c r="B270" i="6"/>
  <c r="C270" i="6" s="1"/>
  <c r="B269" i="6"/>
  <c r="C269" i="6" s="1"/>
  <c r="B268" i="6"/>
  <c r="C268" i="6" s="1"/>
  <c r="B267" i="6"/>
  <c r="C267" i="6" s="1"/>
  <c r="B266" i="6"/>
  <c r="C266" i="6" s="1"/>
  <c r="B265" i="6"/>
  <c r="C265" i="6" s="1"/>
  <c r="B264" i="6"/>
  <c r="C264" i="6" s="1"/>
  <c r="B263" i="6"/>
  <c r="C263" i="6" s="1"/>
  <c r="B262" i="6"/>
  <c r="C262" i="6" s="1"/>
  <c r="B261" i="6"/>
  <c r="C261" i="6" s="1"/>
  <c r="B260" i="6"/>
  <c r="C260" i="6" s="1"/>
  <c r="B259" i="6"/>
  <c r="C259" i="6" s="1"/>
  <c r="B258" i="6"/>
  <c r="C258" i="6" s="1"/>
  <c r="B257" i="6"/>
  <c r="C257" i="6" s="1"/>
  <c r="B256" i="6"/>
  <c r="C256" i="6" s="1"/>
  <c r="B255" i="6"/>
  <c r="C255" i="6" s="1"/>
  <c r="B254" i="6"/>
  <c r="C254" i="6" s="1"/>
  <c r="B253" i="6"/>
  <c r="C253" i="6" s="1"/>
  <c r="B252" i="6"/>
  <c r="C252" i="6" s="1"/>
  <c r="B251" i="6"/>
  <c r="C251" i="6" s="1"/>
  <c r="B250" i="6"/>
  <c r="C250" i="6" s="1"/>
  <c r="B249" i="6"/>
  <c r="C249" i="6" s="1"/>
  <c r="B248" i="6"/>
  <c r="C248" i="6" s="1"/>
  <c r="B247" i="6"/>
  <c r="C247" i="6" s="1"/>
  <c r="B246" i="6"/>
  <c r="C246" i="6" s="1"/>
  <c r="B245" i="6"/>
  <c r="C245" i="6" s="1"/>
  <c r="B244" i="6"/>
  <c r="C244" i="6" s="1"/>
  <c r="B243" i="6"/>
  <c r="C243" i="6" s="1"/>
  <c r="B242" i="6"/>
  <c r="C242" i="6" s="1"/>
  <c r="B241" i="6"/>
  <c r="C241" i="6" s="1"/>
  <c r="B240" i="6"/>
  <c r="C240" i="6" s="1"/>
  <c r="B239" i="6"/>
  <c r="C239" i="6" s="1"/>
  <c r="B238" i="6"/>
  <c r="C238" i="6" s="1"/>
  <c r="B237" i="6"/>
  <c r="C237" i="6" s="1"/>
  <c r="B236" i="6"/>
  <c r="C236" i="6" s="1"/>
  <c r="B235" i="6"/>
  <c r="C235" i="6" s="1"/>
  <c r="B234" i="6"/>
  <c r="C234" i="6" s="1"/>
  <c r="B233" i="6"/>
  <c r="C233" i="6" s="1"/>
  <c r="B232" i="6"/>
  <c r="C232" i="6" s="1"/>
  <c r="B231" i="6"/>
  <c r="C231" i="6" s="1"/>
  <c r="B230" i="6"/>
  <c r="C230" i="6" s="1"/>
  <c r="B229" i="6"/>
  <c r="C229" i="6" s="1"/>
  <c r="B228" i="6"/>
  <c r="C228" i="6" s="1"/>
  <c r="B227" i="6"/>
  <c r="C227" i="6" s="1"/>
  <c r="B226" i="6"/>
  <c r="C226" i="6" s="1"/>
  <c r="B225" i="6"/>
  <c r="C225" i="6" s="1"/>
  <c r="B224" i="6"/>
  <c r="C224" i="6" s="1"/>
  <c r="B223" i="6"/>
  <c r="C223" i="6" s="1"/>
  <c r="B222" i="6"/>
  <c r="C222" i="6" s="1"/>
  <c r="B221" i="6"/>
  <c r="C221" i="6" s="1"/>
  <c r="B220" i="6"/>
  <c r="C220" i="6" s="1"/>
  <c r="B219" i="6"/>
  <c r="C219" i="6" s="1"/>
  <c r="B218" i="6"/>
  <c r="C218" i="6" s="1"/>
  <c r="B217" i="6"/>
  <c r="C217" i="6" s="1"/>
  <c r="B216" i="6"/>
  <c r="C216" i="6" s="1"/>
  <c r="B215" i="6"/>
  <c r="C215" i="6" s="1"/>
  <c r="B214" i="6"/>
  <c r="C214" i="6" s="1"/>
  <c r="B213" i="6"/>
  <c r="C213" i="6" s="1"/>
  <c r="B212" i="6"/>
  <c r="C212" i="6" s="1"/>
  <c r="B211" i="6"/>
  <c r="C211" i="6" s="1"/>
  <c r="B210" i="6"/>
  <c r="C210" i="6" s="1"/>
  <c r="B209" i="6"/>
  <c r="C209" i="6" s="1"/>
  <c r="B208" i="6"/>
  <c r="C208" i="6" s="1"/>
  <c r="B207" i="6"/>
  <c r="C207" i="6" s="1"/>
  <c r="B206" i="6"/>
  <c r="C206" i="6" s="1"/>
  <c r="B205" i="6"/>
  <c r="C205" i="6" s="1"/>
  <c r="B204" i="6"/>
  <c r="C204" i="6" s="1"/>
  <c r="B203" i="6"/>
  <c r="C203" i="6" s="1"/>
  <c r="B202" i="6"/>
  <c r="C202" i="6" s="1"/>
  <c r="B201" i="6"/>
  <c r="C201" i="6" s="1"/>
  <c r="B200" i="6"/>
  <c r="C200" i="6" s="1"/>
  <c r="B199" i="6"/>
  <c r="C199" i="6" s="1"/>
  <c r="B198" i="6"/>
  <c r="C198" i="6" s="1"/>
  <c r="B197" i="6"/>
  <c r="C197" i="6" s="1"/>
  <c r="B196" i="6"/>
  <c r="C196" i="6" s="1"/>
  <c r="B195" i="6"/>
  <c r="C195" i="6" s="1"/>
  <c r="B194" i="6"/>
  <c r="C194" i="6" s="1"/>
  <c r="B193" i="6"/>
  <c r="C193" i="6" s="1"/>
  <c r="B192" i="6"/>
  <c r="C192" i="6" s="1"/>
  <c r="B191" i="6"/>
  <c r="C191" i="6" s="1"/>
  <c r="B190" i="6"/>
  <c r="C190" i="6" s="1"/>
  <c r="B189" i="6"/>
  <c r="C189" i="6" s="1"/>
  <c r="B188" i="6"/>
  <c r="C188" i="6" s="1"/>
  <c r="B187" i="6"/>
  <c r="C187" i="6" s="1"/>
  <c r="B186" i="6"/>
  <c r="C186" i="6" s="1"/>
  <c r="B185" i="6"/>
  <c r="C185" i="6" s="1"/>
  <c r="B184" i="6"/>
  <c r="C184" i="6" s="1"/>
  <c r="B183" i="6"/>
  <c r="C183" i="6" s="1"/>
  <c r="B182" i="6"/>
  <c r="C182" i="6" s="1"/>
  <c r="B181" i="6"/>
  <c r="C181" i="6" s="1"/>
  <c r="B180" i="6"/>
  <c r="C180" i="6" s="1"/>
  <c r="B179" i="6"/>
  <c r="C179" i="6" s="1"/>
  <c r="B178" i="6"/>
  <c r="C178" i="6" s="1"/>
  <c r="B177" i="6"/>
  <c r="C177" i="6" s="1"/>
  <c r="B176" i="6"/>
  <c r="C176" i="6" s="1"/>
  <c r="B175" i="6"/>
  <c r="C175" i="6" s="1"/>
  <c r="B174" i="6"/>
  <c r="C174" i="6" s="1"/>
  <c r="B173" i="6"/>
  <c r="C173" i="6" s="1"/>
  <c r="B172" i="6"/>
  <c r="C172" i="6" s="1"/>
  <c r="B171" i="6"/>
  <c r="C171" i="6" s="1"/>
  <c r="B170" i="6"/>
  <c r="C170" i="6" s="1"/>
  <c r="B169" i="6"/>
  <c r="C169" i="6" s="1"/>
  <c r="B168" i="6"/>
  <c r="C168" i="6" s="1"/>
  <c r="B167" i="6"/>
  <c r="C167" i="6" s="1"/>
  <c r="B166" i="6"/>
  <c r="C166" i="6" s="1"/>
  <c r="B165" i="6"/>
  <c r="C165" i="6" s="1"/>
  <c r="B164" i="6"/>
  <c r="C164" i="6" s="1"/>
  <c r="B163" i="6"/>
  <c r="C163" i="6" s="1"/>
  <c r="B162" i="6"/>
  <c r="C162" i="6" s="1"/>
  <c r="B161" i="6"/>
  <c r="C161" i="6" s="1"/>
  <c r="B160" i="6"/>
  <c r="C160" i="6" s="1"/>
  <c r="B159" i="6"/>
  <c r="C159" i="6" s="1"/>
  <c r="B158" i="6"/>
  <c r="C158" i="6" s="1"/>
  <c r="B157" i="6"/>
  <c r="C157" i="6" s="1"/>
  <c r="B156" i="6"/>
  <c r="C156" i="6" s="1"/>
  <c r="B155" i="6"/>
  <c r="C155" i="6" s="1"/>
  <c r="B154" i="6"/>
  <c r="C154" i="6" s="1"/>
  <c r="B153" i="6"/>
  <c r="C153" i="6" s="1"/>
  <c r="B152" i="6"/>
  <c r="C152" i="6" s="1"/>
  <c r="B151" i="6"/>
  <c r="C151" i="6" s="1"/>
  <c r="B150" i="6"/>
  <c r="C150" i="6" s="1"/>
  <c r="B149" i="6"/>
  <c r="C149" i="6" s="1"/>
  <c r="B148" i="6"/>
  <c r="C148" i="6" s="1"/>
  <c r="B147" i="6"/>
  <c r="C147" i="6" s="1"/>
  <c r="B146" i="6"/>
  <c r="C146" i="6" s="1"/>
  <c r="B145" i="6"/>
  <c r="C145" i="6" s="1"/>
  <c r="B144" i="6"/>
  <c r="C144" i="6" s="1"/>
  <c r="B143" i="6"/>
  <c r="C143" i="6" s="1"/>
  <c r="B142" i="6"/>
  <c r="C142" i="6" s="1"/>
  <c r="B141" i="6"/>
  <c r="C141" i="6" s="1"/>
  <c r="B140" i="6"/>
  <c r="C140" i="6" s="1"/>
  <c r="B139" i="6"/>
  <c r="C139" i="6" s="1"/>
  <c r="B138" i="6"/>
  <c r="C138" i="6" s="1"/>
  <c r="B137" i="6"/>
  <c r="C137" i="6" s="1"/>
  <c r="B136" i="6"/>
  <c r="C136" i="6" s="1"/>
  <c r="B135" i="6"/>
  <c r="C135" i="6" s="1"/>
  <c r="B134" i="6"/>
  <c r="C134" i="6" s="1"/>
  <c r="B133" i="6"/>
  <c r="C133" i="6" s="1"/>
  <c r="B132" i="6"/>
  <c r="C132" i="6" s="1"/>
  <c r="B131" i="6"/>
  <c r="C131" i="6" s="1"/>
  <c r="B130" i="6"/>
  <c r="C130" i="6" s="1"/>
  <c r="B129" i="6"/>
  <c r="C129" i="6" s="1"/>
  <c r="B128" i="6"/>
  <c r="C128" i="6" s="1"/>
  <c r="B127" i="6"/>
  <c r="C127" i="6" s="1"/>
  <c r="B126" i="6"/>
  <c r="C126" i="6" s="1"/>
  <c r="B125" i="6"/>
  <c r="C125" i="6" s="1"/>
  <c r="B124" i="6"/>
  <c r="C124" i="6" s="1"/>
  <c r="B123" i="6"/>
  <c r="C123" i="6" s="1"/>
  <c r="B122" i="6"/>
  <c r="C122" i="6" s="1"/>
  <c r="B121" i="6"/>
  <c r="C121" i="6" s="1"/>
  <c r="B120" i="6"/>
  <c r="C120" i="6" s="1"/>
  <c r="B119" i="6"/>
  <c r="C119" i="6" s="1"/>
  <c r="B118" i="6"/>
  <c r="C118" i="6" s="1"/>
  <c r="B117" i="6"/>
  <c r="C117" i="6" s="1"/>
  <c r="B116" i="6"/>
  <c r="C116" i="6" s="1"/>
  <c r="B115" i="6"/>
  <c r="C115" i="6" s="1"/>
  <c r="B114" i="6"/>
  <c r="C114" i="6" s="1"/>
  <c r="B113" i="6"/>
  <c r="C113" i="6" s="1"/>
  <c r="B112" i="6"/>
  <c r="C112" i="6" s="1"/>
  <c r="B111" i="6"/>
  <c r="C111" i="6" s="1"/>
  <c r="B110" i="6"/>
  <c r="C110" i="6" s="1"/>
  <c r="B109" i="6"/>
  <c r="C109" i="6" s="1"/>
  <c r="B108" i="6"/>
  <c r="C108" i="6" s="1"/>
  <c r="B107" i="6"/>
  <c r="C107" i="6" s="1"/>
  <c r="B106" i="6"/>
  <c r="C106" i="6" s="1"/>
  <c r="B105" i="6"/>
  <c r="C105" i="6" s="1"/>
  <c r="B104" i="6"/>
  <c r="C104" i="6" s="1"/>
  <c r="B103" i="6"/>
  <c r="C103" i="6" s="1"/>
  <c r="B102" i="6"/>
  <c r="C102" i="6" s="1"/>
  <c r="B101" i="6"/>
  <c r="C101" i="6" s="1"/>
  <c r="B100" i="6"/>
  <c r="C100" i="6" s="1"/>
  <c r="B99" i="6"/>
  <c r="C99" i="6" s="1"/>
  <c r="B98" i="6"/>
  <c r="C98" i="6" s="1"/>
  <c r="B97" i="6"/>
  <c r="C97" i="6" s="1"/>
  <c r="B96" i="6"/>
  <c r="C96" i="6" s="1"/>
  <c r="B95" i="6"/>
  <c r="C95" i="6" s="1"/>
  <c r="B94" i="6"/>
  <c r="C94" i="6" s="1"/>
  <c r="B93" i="6"/>
  <c r="C93" i="6" s="1"/>
  <c r="B92" i="6"/>
  <c r="C92" i="6" s="1"/>
  <c r="B91" i="6"/>
  <c r="C91" i="6" s="1"/>
  <c r="B90" i="6"/>
  <c r="C90" i="6" s="1"/>
  <c r="B89" i="6"/>
  <c r="C89" i="6" s="1"/>
  <c r="B88" i="6"/>
  <c r="C88" i="6" s="1"/>
  <c r="B87" i="6"/>
  <c r="C87" i="6" s="1"/>
  <c r="B86" i="6"/>
  <c r="C86" i="6" s="1"/>
  <c r="B85" i="6"/>
  <c r="C85" i="6" s="1"/>
  <c r="B84" i="6"/>
  <c r="C84" i="6" s="1"/>
  <c r="B83" i="6"/>
  <c r="C83" i="6" s="1"/>
  <c r="B82" i="6"/>
  <c r="C82" i="6" s="1"/>
  <c r="B81" i="6"/>
  <c r="C81" i="6" s="1"/>
  <c r="B80" i="6"/>
  <c r="C80" i="6" s="1"/>
  <c r="B79" i="6"/>
  <c r="C79" i="6" s="1"/>
  <c r="B78" i="6"/>
  <c r="C78" i="6" s="1"/>
  <c r="B77" i="6"/>
  <c r="C77" i="6" s="1"/>
  <c r="B76" i="6"/>
  <c r="C76" i="6" s="1"/>
  <c r="B75" i="6"/>
  <c r="C75" i="6" s="1"/>
  <c r="B74" i="6"/>
  <c r="C74" i="6" s="1"/>
  <c r="B73" i="6"/>
  <c r="C73" i="6" s="1"/>
  <c r="B72" i="6"/>
  <c r="C72" i="6" s="1"/>
  <c r="B71" i="6"/>
  <c r="C71" i="6" s="1"/>
  <c r="B70" i="6"/>
  <c r="C70" i="6" s="1"/>
  <c r="B69" i="6"/>
  <c r="C69" i="6" s="1"/>
  <c r="B68" i="6"/>
  <c r="C68" i="6" s="1"/>
  <c r="B67" i="6"/>
  <c r="C67" i="6" s="1"/>
  <c r="B66" i="6"/>
  <c r="C66" i="6" s="1"/>
  <c r="B65" i="6"/>
  <c r="C65" i="6" s="1"/>
  <c r="B64" i="6"/>
  <c r="C64" i="6" s="1"/>
  <c r="B63" i="6"/>
  <c r="C63" i="6" s="1"/>
  <c r="B62" i="6"/>
  <c r="C62" i="6" s="1"/>
  <c r="B61" i="6"/>
  <c r="C61" i="6" s="1"/>
  <c r="B60" i="6"/>
  <c r="C60" i="6" s="1"/>
  <c r="B59" i="6"/>
  <c r="C59" i="6" s="1"/>
  <c r="B58" i="6"/>
  <c r="C58" i="6" s="1"/>
  <c r="B57" i="6"/>
  <c r="C57" i="6" s="1"/>
  <c r="B56" i="6"/>
  <c r="C56" i="6" s="1"/>
  <c r="B55" i="6"/>
  <c r="C55" i="6" s="1"/>
  <c r="B54" i="6"/>
  <c r="C54" i="6" s="1"/>
  <c r="B53" i="6"/>
  <c r="C53" i="6" s="1"/>
  <c r="B52" i="6"/>
  <c r="C52" i="6" s="1"/>
  <c r="B51" i="6"/>
  <c r="C51" i="6" s="1"/>
  <c r="B50" i="6"/>
  <c r="C50" i="6" s="1"/>
  <c r="B49" i="6"/>
  <c r="C49" i="6" s="1"/>
  <c r="B48" i="6"/>
  <c r="C48" i="6" s="1"/>
  <c r="B47" i="6"/>
  <c r="C47" i="6" s="1"/>
  <c r="B46" i="6"/>
  <c r="C46" i="6" s="1"/>
  <c r="B45" i="6"/>
  <c r="C45" i="6" s="1"/>
  <c r="B44" i="6"/>
  <c r="C44" i="6" s="1"/>
  <c r="B43" i="6"/>
  <c r="C43" i="6" s="1"/>
  <c r="B42" i="6"/>
  <c r="C42" i="6" s="1"/>
  <c r="B41" i="6"/>
  <c r="C41" i="6" s="1"/>
  <c r="B40" i="6"/>
  <c r="C40" i="6" s="1"/>
  <c r="B39" i="6"/>
  <c r="C39" i="6" s="1"/>
  <c r="B38" i="6"/>
  <c r="C38" i="6" s="1"/>
  <c r="B37" i="6"/>
  <c r="C37" i="6" s="1"/>
  <c r="B36" i="6"/>
  <c r="C36" i="6" s="1"/>
  <c r="B35" i="6"/>
  <c r="C35" i="6" s="1"/>
  <c r="B34" i="6"/>
  <c r="C34" i="6" s="1"/>
  <c r="B33" i="6"/>
  <c r="C33" i="6" s="1"/>
  <c r="B32" i="6"/>
  <c r="C32" i="6" s="1"/>
  <c r="B31" i="6"/>
  <c r="C31" i="6" s="1"/>
  <c r="B30" i="6"/>
  <c r="C30" i="6" s="1"/>
  <c r="B29" i="6"/>
  <c r="C29" i="6" s="1"/>
  <c r="B28" i="6"/>
  <c r="C28" i="6" s="1"/>
  <c r="B27" i="6"/>
  <c r="C27" i="6" s="1"/>
  <c r="B26" i="6"/>
  <c r="C26" i="6" s="1"/>
  <c r="B25" i="6"/>
  <c r="C25" i="6" s="1"/>
  <c r="B24" i="6"/>
  <c r="C24" i="6" s="1"/>
  <c r="B23" i="6"/>
  <c r="C23" i="6" s="1"/>
  <c r="B22" i="6"/>
  <c r="C22" i="6" s="1"/>
  <c r="B21" i="6"/>
  <c r="C21" i="6" s="1"/>
  <c r="B20" i="6"/>
  <c r="C20" i="6" s="1"/>
  <c r="B19" i="6"/>
  <c r="C19" i="6" s="1"/>
  <c r="B18" i="6"/>
  <c r="C18" i="6" s="1"/>
  <c r="B17" i="6"/>
  <c r="C17" i="6" s="1"/>
  <c r="B16" i="6"/>
  <c r="C16" i="6" s="1"/>
  <c r="B15" i="6"/>
  <c r="C15" i="6" s="1"/>
  <c r="B14" i="6"/>
  <c r="C14" i="6" s="1"/>
  <c r="B13" i="6"/>
  <c r="C13" i="6" s="1"/>
  <c r="B12" i="6"/>
  <c r="C12" i="6" s="1"/>
  <c r="B11" i="6"/>
  <c r="C11" i="6" s="1"/>
  <c r="B10" i="6"/>
  <c r="C10" i="6" s="1"/>
  <c r="B9" i="6"/>
  <c r="C9" i="6" s="1"/>
  <c r="B8" i="6"/>
  <c r="C8" i="6" s="1"/>
  <c r="B7" i="6"/>
  <c r="C7" i="6" s="1"/>
  <c r="B6" i="6"/>
  <c r="C6" i="6" s="1"/>
  <c r="B5" i="6"/>
  <c r="C5" i="6" s="1"/>
  <c r="B4" i="6"/>
  <c r="C4" i="6" s="1"/>
  <c r="B3" i="6"/>
  <c r="C3" i="6" s="1"/>
  <c r="B2" i="6"/>
  <c r="C2" i="6" s="1"/>
  <c r="B38" i="5"/>
  <c r="L38" i="5" s="1"/>
  <c r="B37" i="5"/>
  <c r="L37" i="5" s="1"/>
  <c r="B36" i="5"/>
  <c r="L36" i="5" s="1"/>
  <c r="B35" i="5"/>
  <c r="J35" i="5" s="1"/>
  <c r="B34" i="5"/>
  <c r="L34" i="5" s="1"/>
  <c r="B33" i="5"/>
  <c r="J33" i="5" s="1"/>
  <c r="B32" i="5"/>
  <c r="L32" i="5" s="1"/>
  <c r="B31" i="5"/>
  <c r="J31" i="5" s="1"/>
  <c r="B30" i="5"/>
  <c r="L30" i="5" s="1"/>
  <c r="B29" i="5"/>
  <c r="L29" i="5" s="1"/>
  <c r="B28" i="5"/>
  <c r="L28" i="5" s="1"/>
  <c r="B27" i="5"/>
  <c r="L27" i="5" s="1"/>
  <c r="B26" i="5"/>
  <c r="L26" i="5" s="1"/>
  <c r="B25" i="5"/>
  <c r="J25" i="5" s="1"/>
  <c r="B24" i="5"/>
  <c r="L24" i="5" s="1"/>
  <c r="B23" i="5"/>
  <c r="L23" i="5" s="1"/>
  <c r="B22" i="5"/>
  <c r="L22" i="5" s="1"/>
  <c r="B21" i="5"/>
  <c r="L21" i="5" s="1"/>
  <c r="B20" i="5"/>
  <c r="L20" i="5" s="1"/>
  <c r="B19" i="5"/>
  <c r="J19" i="5" s="1"/>
  <c r="B18" i="5"/>
  <c r="L18" i="5" s="1"/>
  <c r="B17" i="5"/>
  <c r="L17" i="5" s="1"/>
  <c r="B16" i="5"/>
  <c r="L16" i="5" s="1"/>
  <c r="B15" i="5"/>
  <c r="J15" i="5" s="1"/>
  <c r="B14" i="5"/>
  <c r="L14" i="5" s="1"/>
  <c r="B13" i="5"/>
  <c r="L13" i="5" s="1"/>
  <c r="B12" i="5"/>
  <c r="L12" i="5" s="1"/>
  <c r="B11" i="5"/>
  <c r="J11" i="5" s="1"/>
  <c r="B10" i="5"/>
  <c r="L10" i="5" s="1"/>
  <c r="B9" i="5"/>
  <c r="L9" i="5" s="1"/>
  <c r="B8" i="5"/>
  <c r="L8" i="5" s="1"/>
  <c r="B7" i="5"/>
  <c r="J7" i="5" s="1"/>
  <c r="B6" i="5"/>
  <c r="L6" i="5" s="1"/>
  <c r="B5" i="5"/>
  <c r="L5" i="5" s="1"/>
  <c r="B4" i="5"/>
  <c r="L4" i="5" s="1"/>
  <c r="B3" i="5"/>
  <c r="J3" i="5" s="1"/>
  <c r="B2" i="5"/>
  <c r="L2" i="5" s="1"/>
  <c r="B574" i="4"/>
  <c r="L574" i="4" s="1"/>
  <c r="K573" i="4"/>
  <c r="B573" i="4"/>
  <c r="L573" i="4" s="1"/>
  <c r="B572" i="4"/>
  <c r="L572" i="4" s="1"/>
  <c r="L571" i="4"/>
  <c r="K571" i="4"/>
  <c r="J571" i="4"/>
  <c r="B571" i="4"/>
  <c r="B570" i="4"/>
  <c r="L570" i="4" s="1"/>
  <c r="J569" i="4"/>
  <c r="B569" i="4"/>
  <c r="B568" i="4"/>
  <c r="L568" i="4" s="1"/>
  <c r="L567" i="4"/>
  <c r="J567" i="4"/>
  <c r="B567" i="4"/>
  <c r="K567" i="4" s="1"/>
  <c r="B566" i="4"/>
  <c r="L566" i="4" s="1"/>
  <c r="L565" i="4"/>
  <c r="K565" i="4"/>
  <c r="J565" i="4"/>
  <c r="B565" i="4"/>
  <c r="B564" i="4"/>
  <c r="L564" i="4" s="1"/>
  <c r="B563" i="4"/>
  <c r="B562" i="4"/>
  <c r="L562" i="4" s="1"/>
  <c r="B561" i="4"/>
  <c r="B560" i="4"/>
  <c r="L560" i="4" s="1"/>
  <c r="B559" i="4"/>
  <c r="B558" i="4"/>
  <c r="L558" i="4" s="1"/>
  <c r="K557" i="4"/>
  <c r="B557" i="4"/>
  <c r="L557" i="4" s="1"/>
  <c r="B556" i="4"/>
  <c r="L556" i="4" s="1"/>
  <c r="L555" i="4"/>
  <c r="K555" i="4"/>
  <c r="J555" i="4"/>
  <c r="B555" i="4"/>
  <c r="B554" i="4"/>
  <c r="L554" i="4" s="1"/>
  <c r="J553" i="4"/>
  <c r="B553" i="4"/>
  <c r="B552" i="4"/>
  <c r="L552" i="4" s="1"/>
  <c r="L551" i="4"/>
  <c r="K551" i="4"/>
  <c r="J551" i="4"/>
  <c r="B551" i="4"/>
  <c r="B550" i="4"/>
  <c r="L550" i="4" s="1"/>
  <c r="L549" i="4"/>
  <c r="K549" i="4"/>
  <c r="J549" i="4"/>
  <c r="B549" i="4"/>
  <c r="B548" i="4"/>
  <c r="L548" i="4" s="1"/>
  <c r="B547" i="4"/>
  <c r="B546" i="4"/>
  <c r="L546" i="4" s="1"/>
  <c r="L545" i="4"/>
  <c r="B545" i="4"/>
  <c r="B544" i="4"/>
  <c r="L544" i="4" s="1"/>
  <c r="K543" i="4"/>
  <c r="J543" i="4"/>
  <c r="B543" i="4"/>
  <c r="L543" i="4" s="1"/>
  <c r="B542" i="4"/>
  <c r="L542" i="4" s="1"/>
  <c r="L541" i="4"/>
  <c r="K541" i="4"/>
  <c r="B541" i="4"/>
  <c r="J541" i="4" s="1"/>
  <c r="B540" i="4"/>
  <c r="L540" i="4" s="1"/>
  <c r="B539" i="4"/>
  <c r="B538" i="4"/>
  <c r="L538" i="4" s="1"/>
  <c r="J537" i="4"/>
  <c r="B537" i="4"/>
  <c r="B536" i="4"/>
  <c r="L536" i="4" s="1"/>
  <c r="L535" i="4"/>
  <c r="K535" i="4"/>
  <c r="J535" i="4"/>
  <c r="B535" i="4"/>
  <c r="B534" i="4"/>
  <c r="L534" i="4" s="1"/>
  <c r="L533" i="4"/>
  <c r="K533" i="4"/>
  <c r="J533" i="4"/>
  <c r="B533" i="4"/>
  <c r="B532" i="4"/>
  <c r="L532" i="4" s="1"/>
  <c r="B531" i="4"/>
  <c r="B530" i="4"/>
  <c r="L530" i="4" s="1"/>
  <c r="B529" i="4"/>
  <c r="L529" i="4" s="1"/>
  <c r="B528" i="4"/>
  <c r="L528" i="4" s="1"/>
  <c r="L527" i="4"/>
  <c r="K527" i="4"/>
  <c r="J527" i="4"/>
  <c r="B527" i="4"/>
  <c r="B526" i="4"/>
  <c r="L526" i="4" s="1"/>
  <c r="L525" i="4"/>
  <c r="K525" i="4"/>
  <c r="B525" i="4"/>
  <c r="J525" i="4" s="1"/>
  <c r="B524" i="4"/>
  <c r="L524" i="4" s="1"/>
  <c r="L523" i="4"/>
  <c r="K523" i="4"/>
  <c r="B523" i="4"/>
  <c r="J523" i="4" s="1"/>
  <c r="B522" i="4"/>
  <c r="L522" i="4" s="1"/>
  <c r="B521" i="4"/>
  <c r="B520" i="4"/>
  <c r="L520" i="4" s="1"/>
  <c r="L519" i="4"/>
  <c r="K519" i="4"/>
  <c r="J519" i="4"/>
  <c r="B519" i="4"/>
  <c r="B518" i="4"/>
  <c r="L518" i="4" s="1"/>
  <c r="K517" i="4"/>
  <c r="J517" i="4"/>
  <c r="B517" i="4"/>
  <c r="L517" i="4" s="1"/>
  <c r="B516" i="4"/>
  <c r="L516" i="4" s="1"/>
  <c r="B515" i="4"/>
  <c r="K515" i="4" s="1"/>
  <c r="B514" i="4"/>
  <c r="L514" i="4" s="1"/>
  <c r="L513" i="4"/>
  <c r="K513" i="4"/>
  <c r="J513" i="4"/>
  <c r="B513" i="4"/>
  <c r="B512" i="4"/>
  <c r="L512" i="4" s="1"/>
  <c r="B511" i="4"/>
  <c r="B510" i="4"/>
  <c r="L510" i="4" s="1"/>
  <c r="L509" i="4"/>
  <c r="B509" i="4"/>
  <c r="J509" i="4" s="1"/>
  <c r="B508" i="4"/>
  <c r="L508" i="4" s="1"/>
  <c r="B507" i="4"/>
  <c r="B506" i="4"/>
  <c r="L506" i="4" s="1"/>
  <c r="K505" i="4"/>
  <c r="J505" i="4"/>
  <c r="B505" i="4"/>
  <c r="L505" i="4" s="1"/>
  <c r="B504" i="4"/>
  <c r="L504" i="4" s="1"/>
  <c r="L503" i="4"/>
  <c r="K503" i="4"/>
  <c r="J503" i="4"/>
  <c r="B503" i="4"/>
  <c r="B502" i="4"/>
  <c r="L502" i="4" s="1"/>
  <c r="L501" i="4"/>
  <c r="K501" i="4"/>
  <c r="J501" i="4"/>
  <c r="B501" i="4"/>
  <c r="B500" i="4"/>
  <c r="L500" i="4" s="1"/>
  <c r="L499" i="4"/>
  <c r="J499" i="4"/>
  <c r="B499" i="4"/>
  <c r="K499" i="4" s="1"/>
  <c r="B498" i="4"/>
  <c r="L498" i="4" s="1"/>
  <c r="K497" i="4"/>
  <c r="B497" i="4"/>
  <c r="B496" i="4"/>
  <c r="L496" i="4" s="1"/>
  <c r="L495" i="4"/>
  <c r="K495" i="4"/>
  <c r="J495" i="4"/>
  <c r="B495" i="4"/>
  <c r="B494" i="4"/>
  <c r="L494" i="4" s="1"/>
  <c r="K493" i="4"/>
  <c r="B493" i="4"/>
  <c r="B492" i="4"/>
  <c r="L492" i="4" s="1"/>
  <c r="B491" i="4"/>
  <c r="K491" i="4" s="1"/>
  <c r="B490" i="4"/>
  <c r="L490" i="4" s="1"/>
  <c r="B489" i="4"/>
  <c r="L489" i="4" s="1"/>
  <c r="B488" i="4"/>
  <c r="L488" i="4" s="1"/>
  <c r="L487" i="4"/>
  <c r="K487" i="4"/>
  <c r="J487" i="4"/>
  <c r="B487" i="4"/>
  <c r="B486" i="4"/>
  <c r="L486" i="4" s="1"/>
  <c r="L485" i="4"/>
  <c r="K485" i="4"/>
  <c r="B485" i="4"/>
  <c r="J485" i="4" s="1"/>
  <c r="B484" i="4"/>
  <c r="L484" i="4" s="1"/>
  <c r="B483" i="4"/>
  <c r="B482" i="4"/>
  <c r="L482" i="4" s="1"/>
  <c r="L481" i="4"/>
  <c r="K481" i="4"/>
  <c r="J481" i="4"/>
  <c r="B481" i="4"/>
  <c r="B480" i="4"/>
  <c r="L480" i="4" s="1"/>
  <c r="K479" i="4"/>
  <c r="J479" i="4"/>
  <c r="B479" i="4"/>
  <c r="L479" i="4" s="1"/>
  <c r="B478" i="4"/>
  <c r="B477" i="4"/>
  <c r="B476" i="4"/>
  <c r="L475" i="4"/>
  <c r="K475" i="4"/>
  <c r="J475" i="4"/>
  <c r="B475" i="4"/>
  <c r="B474" i="4"/>
  <c r="K473" i="4"/>
  <c r="J473" i="4"/>
  <c r="B473" i="4"/>
  <c r="L473" i="4" s="1"/>
  <c r="B472" i="4"/>
  <c r="L471" i="4"/>
  <c r="K471" i="4"/>
  <c r="J471" i="4"/>
  <c r="B471" i="4"/>
  <c r="B470" i="4"/>
  <c r="B469" i="4"/>
  <c r="B468" i="4"/>
  <c r="L467" i="4"/>
  <c r="J467" i="4"/>
  <c r="B467" i="4"/>
  <c r="K467" i="4" s="1"/>
  <c r="B466" i="4"/>
  <c r="B465" i="4"/>
  <c r="B464" i="4"/>
  <c r="L463" i="4"/>
  <c r="K463" i="4"/>
  <c r="J463" i="4"/>
  <c r="B463" i="4"/>
  <c r="B462" i="4"/>
  <c r="L461" i="4"/>
  <c r="K461" i="4"/>
  <c r="B461" i="4"/>
  <c r="J461" i="4" s="1"/>
  <c r="B460" i="4"/>
  <c r="K459" i="4"/>
  <c r="B459" i="4"/>
  <c r="B458" i="4"/>
  <c r="K457" i="4"/>
  <c r="B457" i="4"/>
  <c r="B456" i="4"/>
  <c r="L455" i="4"/>
  <c r="K455" i="4"/>
  <c r="J455" i="4"/>
  <c r="B455" i="4"/>
  <c r="B454" i="4"/>
  <c r="K453" i="4"/>
  <c r="B453" i="4"/>
  <c r="B452" i="4"/>
  <c r="L451" i="4"/>
  <c r="J451" i="4"/>
  <c r="B451" i="4"/>
  <c r="K451" i="4" s="1"/>
  <c r="B450" i="4"/>
  <c r="L449" i="4"/>
  <c r="K449" i="4"/>
  <c r="J449" i="4"/>
  <c r="B449" i="4"/>
  <c r="B448" i="4"/>
  <c r="L447" i="4"/>
  <c r="K447" i="4"/>
  <c r="B447" i="4"/>
  <c r="J447" i="4" s="1"/>
  <c r="B446" i="4"/>
  <c r="L445" i="4"/>
  <c r="B445" i="4"/>
  <c r="B444" i="4"/>
  <c r="L443" i="4"/>
  <c r="J443" i="4"/>
  <c r="B443" i="4"/>
  <c r="K443" i="4" s="1"/>
  <c r="B442" i="4"/>
  <c r="B441" i="4"/>
  <c r="B440" i="4"/>
  <c r="L439" i="4"/>
  <c r="K439" i="4"/>
  <c r="J439" i="4"/>
  <c r="B439" i="4"/>
  <c r="B438" i="4"/>
  <c r="L437" i="4"/>
  <c r="K437" i="4"/>
  <c r="J437" i="4"/>
  <c r="B437" i="4"/>
  <c r="B436" i="4"/>
  <c r="L435" i="4"/>
  <c r="J435" i="4"/>
  <c r="B435" i="4"/>
  <c r="K435" i="4" s="1"/>
  <c r="B434" i="4"/>
  <c r="B433" i="4"/>
  <c r="B432" i="4"/>
  <c r="L431" i="4"/>
  <c r="J431" i="4"/>
  <c r="B431" i="4"/>
  <c r="K431" i="4" s="1"/>
  <c r="B430" i="4"/>
  <c r="K429" i="4"/>
  <c r="B429" i="4"/>
  <c r="B428" i="4"/>
  <c r="K427" i="4"/>
  <c r="J427" i="4"/>
  <c r="B427" i="4"/>
  <c r="L427" i="4" s="1"/>
  <c r="B426" i="4"/>
  <c r="K425" i="4"/>
  <c r="J425" i="4"/>
  <c r="B425" i="4"/>
  <c r="L425" i="4" s="1"/>
  <c r="B424" i="4"/>
  <c r="L423" i="4"/>
  <c r="K423" i="4"/>
  <c r="J423" i="4"/>
  <c r="B423" i="4"/>
  <c r="B422" i="4"/>
  <c r="B421" i="4"/>
  <c r="B420" i="4"/>
  <c r="L419" i="4"/>
  <c r="B419" i="4"/>
  <c r="B418" i="4"/>
  <c r="L417" i="4"/>
  <c r="J417" i="4"/>
  <c r="B417" i="4"/>
  <c r="K417" i="4" s="1"/>
  <c r="B416" i="4"/>
  <c r="K415" i="4"/>
  <c r="J415" i="4"/>
  <c r="B415" i="4"/>
  <c r="L415" i="4" s="1"/>
  <c r="B414" i="4"/>
  <c r="L413" i="4"/>
  <c r="K413" i="4"/>
  <c r="B413" i="4"/>
  <c r="J413" i="4" s="1"/>
  <c r="B412" i="4"/>
  <c r="L411" i="4"/>
  <c r="K411" i="4"/>
  <c r="J411" i="4"/>
  <c r="B411" i="4"/>
  <c r="B410" i="4"/>
  <c r="K409" i="4"/>
  <c r="J409" i="4"/>
  <c r="B409" i="4"/>
  <c r="L409" i="4" s="1"/>
  <c r="B408" i="4"/>
  <c r="L407" i="4"/>
  <c r="K407" i="4"/>
  <c r="J407" i="4"/>
  <c r="B407" i="4"/>
  <c r="B406" i="4"/>
  <c r="J405" i="4"/>
  <c r="B405" i="4"/>
  <c r="L404" i="4"/>
  <c r="B404" i="4"/>
  <c r="B403" i="4"/>
  <c r="J403" i="4" s="1"/>
  <c r="L402" i="4"/>
  <c r="K402" i="4"/>
  <c r="B402" i="4"/>
  <c r="J402" i="4" s="1"/>
  <c r="L401" i="4"/>
  <c r="K401" i="4"/>
  <c r="J401" i="4"/>
  <c r="B401" i="4"/>
  <c r="B400" i="4"/>
  <c r="L399" i="4"/>
  <c r="K399" i="4"/>
  <c r="J399" i="4"/>
  <c r="B399" i="4"/>
  <c r="B398" i="4"/>
  <c r="B397" i="4"/>
  <c r="L397" i="4" s="1"/>
  <c r="L396" i="4"/>
  <c r="B396" i="4"/>
  <c r="B395" i="4"/>
  <c r="L394" i="4"/>
  <c r="K394" i="4"/>
  <c r="B394" i="4"/>
  <c r="J394" i="4" s="1"/>
  <c r="J393" i="4"/>
  <c r="B393" i="4"/>
  <c r="L393" i="4" s="1"/>
  <c r="B392" i="4"/>
  <c r="J392" i="4" s="1"/>
  <c r="K391" i="4"/>
  <c r="B391" i="4"/>
  <c r="L391" i="4" s="1"/>
  <c r="B390" i="4"/>
  <c r="L389" i="4"/>
  <c r="J389" i="4"/>
  <c r="B389" i="4"/>
  <c r="K389" i="4" s="1"/>
  <c r="B388" i="4"/>
  <c r="J388" i="4" s="1"/>
  <c r="K387" i="4"/>
  <c r="B387" i="4"/>
  <c r="L386" i="4"/>
  <c r="K386" i="4"/>
  <c r="B386" i="4"/>
  <c r="J386" i="4" s="1"/>
  <c r="L385" i="4"/>
  <c r="K385" i="4"/>
  <c r="J385" i="4"/>
  <c r="B385" i="4"/>
  <c r="L384" i="4"/>
  <c r="K384" i="4"/>
  <c r="B384" i="4"/>
  <c r="J384" i="4" s="1"/>
  <c r="K383" i="4"/>
  <c r="J383" i="4"/>
  <c r="B383" i="4"/>
  <c r="L383" i="4" s="1"/>
  <c r="B382" i="4"/>
  <c r="K382" i="4" s="1"/>
  <c r="L381" i="4"/>
  <c r="K381" i="4"/>
  <c r="B381" i="4"/>
  <c r="J381" i="4" s="1"/>
  <c r="L380" i="4"/>
  <c r="B380" i="4"/>
  <c r="L379" i="4"/>
  <c r="K379" i="4"/>
  <c r="J379" i="4"/>
  <c r="B379" i="4"/>
  <c r="L378" i="4"/>
  <c r="K378" i="4"/>
  <c r="B378" i="4"/>
  <c r="J378" i="4" s="1"/>
  <c r="B377" i="4"/>
  <c r="L377" i="4" s="1"/>
  <c r="L376" i="4"/>
  <c r="B376" i="4"/>
  <c r="J376" i="4" s="1"/>
  <c r="B375" i="4"/>
  <c r="L374" i="4"/>
  <c r="K374" i="4"/>
  <c r="B374" i="4"/>
  <c r="J374" i="4" s="1"/>
  <c r="B373" i="4"/>
  <c r="K373" i="4" s="1"/>
  <c r="B372" i="4"/>
  <c r="K372" i="4" s="1"/>
  <c r="L371" i="4"/>
  <c r="K371" i="4"/>
  <c r="B371" i="4"/>
  <c r="J371" i="4" s="1"/>
  <c r="L370" i="4"/>
  <c r="K370" i="4"/>
  <c r="B370" i="4"/>
  <c r="J370" i="4" s="1"/>
  <c r="L369" i="4"/>
  <c r="K369" i="4"/>
  <c r="J369" i="4"/>
  <c r="B369" i="4"/>
  <c r="B368" i="4"/>
  <c r="J368" i="4" s="1"/>
  <c r="B367" i="4"/>
  <c r="L367" i="4" s="1"/>
  <c r="K366" i="4"/>
  <c r="B366" i="4"/>
  <c r="B365" i="4"/>
  <c r="B364" i="4"/>
  <c r="B363" i="4"/>
  <c r="L363" i="4" s="1"/>
  <c r="L362" i="4"/>
  <c r="K362" i="4"/>
  <c r="B362" i="4"/>
  <c r="J362" i="4" s="1"/>
  <c r="L361" i="4"/>
  <c r="K361" i="4"/>
  <c r="B361" i="4"/>
  <c r="J361" i="4" s="1"/>
  <c r="B360" i="4"/>
  <c r="K359" i="4"/>
  <c r="J359" i="4"/>
  <c r="B359" i="4"/>
  <c r="L359" i="4" s="1"/>
  <c r="B358" i="4"/>
  <c r="J358" i="4" s="1"/>
  <c r="J357" i="4"/>
  <c r="B357" i="4"/>
  <c r="L356" i="4"/>
  <c r="K356" i="4"/>
  <c r="B356" i="4"/>
  <c r="J356" i="4" s="1"/>
  <c r="L355" i="4"/>
  <c r="K355" i="4"/>
  <c r="B355" i="4"/>
  <c r="J355" i="4" s="1"/>
  <c r="L354" i="4"/>
  <c r="K354" i="4"/>
  <c r="B354" i="4"/>
  <c r="J354" i="4" s="1"/>
  <c r="L353" i="4"/>
  <c r="K353" i="4"/>
  <c r="J353" i="4"/>
  <c r="B353" i="4"/>
  <c r="B352" i="4"/>
  <c r="L351" i="4"/>
  <c r="K351" i="4"/>
  <c r="B351" i="4"/>
  <c r="J351" i="4" s="1"/>
  <c r="B350" i="4"/>
  <c r="L349" i="4"/>
  <c r="K349" i="4"/>
  <c r="J349" i="4"/>
  <c r="B349" i="4"/>
  <c r="B348" i="4"/>
  <c r="B347" i="4"/>
  <c r="L346" i="4"/>
  <c r="K346" i="4"/>
  <c r="B346" i="4"/>
  <c r="J346" i="4" s="1"/>
  <c r="B345" i="4"/>
  <c r="L344" i="4"/>
  <c r="K344" i="4"/>
  <c r="B344" i="4"/>
  <c r="J344" i="4" s="1"/>
  <c r="B343" i="4"/>
  <c r="L343" i="4" s="1"/>
  <c r="B342" i="4"/>
  <c r="L341" i="4"/>
  <c r="J341" i="4"/>
  <c r="B341" i="4"/>
  <c r="K341" i="4" s="1"/>
  <c r="B340" i="4"/>
  <c r="J340" i="4" s="1"/>
  <c r="K339" i="4"/>
  <c r="B339" i="4"/>
  <c r="J339" i="4" s="1"/>
  <c r="L338" i="4"/>
  <c r="B338" i="4"/>
  <c r="J338" i="4" s="1"/>
  <c r="L337" i="4"/>
  <c r="K337" i="4"/>
  <c r="J337" i="4"/>
  <c r="B337" i="4"/>
  <c r="L336" i="4"/>
  <c r="K336" i="4"/>
  <c r="B336" i="4"/>
  <c r="J336" i="4" s="1"/>
  <c r="B335" i="4"/>
  <c r="B334" i="4"/>
  <c r="B333" i="4"/>
  <c r="L333" i="4" s="1"/>
  <c r="B332" i="4"/>
  <c r="L331" i="4"/>
  <c r="K331" i="4"/>
  <c r="J331" i="4"/>
  <c r="B331" i="4"/>
  <c r="L330" i="4"/>
  <c r="K330" i="4"/>
  <c r="B330" i="4"/>
  <c r="J330" i="4" s="1"/>
  <c r="L329" i="4"/>
  <c r="K329" i="4"/>
  <c r="J329" i="4"/>
  <c r="B329" i="4"/>
  <c r="B328" i="4"/>
  <c r="J328" i="4" s="1"/>
  <c r="B327" i="4"/>
  <c r="L326" i="4"/>
  <c r="K326" i="4"/>
  <c r="B326" i="4"/>
  <c r="J326" i="4" s="1"/>
  <c r="B325" i="4"/>
  <c r="K325" i="4" s="1"/>
  <c r="B324" i="4"/>
  <c r="J324" i="4" s="1"/>
  <c r="L323" i="4"/>
  <c r="B323" i="4"/>
  <c r="J323" i="4" s="1"/>
  <c r="B322" i="4"/>
  <c r="L321" i="4"/>
  <c r="K321" i="4"/>
  <c r="J321" i="4"/>
  <c r="B321" i="4"/>
  <c r="B320" i="4"/>
  <c r="J320" i="4" s="1"/>
  <c r="L319" i="4"/>
  <c r="K319" i="4"/>
  <c r="J319" i="4"/>
  <c r="B319" i="4"/>
  <c r="B318" i="4"/>
  <c r="B317" i="4"/>
  <c r="L316" i="4"/>
  <c r="B316" i="4"/>
  <c r="B315" i="4"/>
  <c r="L315" i="4" s="1"/>
  <c r="L314" i="4"/>
  <c r="K314" i="4"/>
  <c r="B314" i="4"/>
  <c r="J314" i="4" s="1"/>
  <c r="B313" i="4"/>
  <c r="L313" i="4" s="1"/>
  <c r="B312" i="4"/>
  <c r="K311" i="4"/>
  <c r="J311" i="4"/>
  <c r="B311" i="4"/>
  <c r="L311" i="4" s="1"/>
  <c r="B310" i="4"/>
  <c r="J310" i="4" s="1"/>
  <c r="B309" i="4"/>
  <c r="K309" i="4" s="1"/>
  <c r="L308" i="4"/>
  <c r="B308" i="4"/>
  <c r="J308" i="4" s="1"/>
  <c r="B307" i="4"/>
  <c r="L306" i="4"/>
  <c r="K306" i="4"/>
  <c r="B306" i="4"/>
  <c r="J306" i="4" s="1"/>
  <c r="L305" i="4"/>
  <c r="K305" i="4"/>
  <c r="J305" i="4"/>
  <c r="B305" i="4"/>
  <c r="B304" i="4"/>
  <c r="J304" i="4" s="1"/>
  <c r="B303" i="4"/>
  <c r="L303" i="4" s="1"/>
  <c r="B302" i="4"/>
  <c r="L301" i="4"/>
  <c r="K301" i="4"/>
  <c r="J301" i="4"/>
  <c r="B301" i="4"/>
  <c r="B300" i="4"/>
  <c r="K300" i="4" s="1"/>
  <c r="L299" i="4"/>
  <c r="K299" i="4"/>
  <c r="J299" i="4"/>
  <c r="B299" i="4"/>
  <c r="B298" i="4"/>
  <c r="K298" i="4" s="1"/>
  <c r="K297" i="4"/>
  <c r="J297" i="4"/>
  <c r="B297" i="4"/>
  <c r="L297" i="4" s="1"/>
  <c r="L296" i="4"/>
  <c r="B296" i="4"/>
  <c r="K296" i="4" s="1"/>
  <c r="B295" i="4"/>
  <c r="J295" i="4" s="1"/>
  <c r="L294" i="4"/>
  <c r="J294" i="4"/>
  <c r="B294" i="4"/>
  <c r="K294" i="4" s="1"/>
  <c r="B293" i="4"/>
  <c r="L292" i="4"/>
  <c r="J292" i="4"/>
  <c r="B292" i="4"/>
  <c r="K292" i="4" s="1"/>
  <c r="B291" i="4"/>
  <c r="L291" i="4" s="1"/>
  <c r="L290" i="4"/>
  <c r="J290" i="4"/>
  <c r="B290" i="4"/>
  <c r="K290" i="4" s="1"/>
  <c r="B289" i="4"/>
  <c r="L289" i="4" s="1"/>
  <c r="J288" i="4"/>
  <c r="B288" i="4"/>
  <c r="L287" i="4"/>
  <c r="K287" i="4"/>
  <c r="B287" i="4"/>
  <c r="J287" i="4" s="1"/>
  <c r="B286" i="4"/>
  <c r="L285" i="4"/>
  <c r="K285" i="4"/>
  <c r="J285" i="4"/>
  <c r="B285" i="4"/>
  <c r="B284" i="4"/>
  <c r="K284" i="4" s="1"/>
  <c r="L283" i="4"/>
  <c r="K283" i="4"/>
  <c r="J283" i="4"/>
  <c r="B283" i="4"/>
  <c r="B282" i="4"/>
  <c r="K282" i="4" s="1"/>
  <c r="B281" i="4"/>
  <c r="L281" i="4" s="1"/>
  <c r="L280" i="4"/>
  <c r="B280" i="4"/>
  <c r="K280" i="4" s="1"/>
  <c r="J279" i="4"/>
  <c r="B279" i="4"/>
  <c r="L278" i="4"/>
  <c r="J278" i="4"/>
  <c r="B278" i="4"/>
  <c r="K278" i="4" s="1"/>
  <c r="B277" i="4"/>
  <c r="L276" i="4"/>
  <c r="J276" i="4"/>
  <c r="B276" i="4"/>
  <c r="K276" i="4" s="1"/>
  <c r="B275" i="4"/>
  <c r="L275" i="4" s="1"/>
  <c r="J274" i="4"/>
  <c r="B274" i="4"/>
  <c r="K274" i="4" s="1"/>
  <c r="L273" i="4"/>
  <c r="B273" i="4"/>
  <c r="K273" i="4" s="1"/>
  <c r="B272" i="4"/>
  <c r="L271" i="4"/>
  <c r="K271" i="4"/>
  <c r="B271" i="4"/>
  <c r="J271" i="4" s="1"/>
  <c r="B270" i="4"/>
  <c r="L269" i="4"/>
  <c r="K269" i="4"/>
  <c r="J269" i="4"/>
  <c r="B269" i="4"/>
  <c r="B268" i="4"/>
  <c r="K268" i="4" s="1"/>
  <c r="L267" i="4"/>
  <c r="K267" i="4"/>
  <c r="J267" i="4"/>
  <c r="B267" i="4"/>
  <c r="B266" i="4"/>
  <c r="K266" i="4" s="1"/>
  <c r="K265" i="4"/>
  <c r="J265" i="4"/>
  <c r="B265" i="4"/>
  <c r="L265" i="4" s="1"/>
  <c r="L264" i="4"/>
  <c r="B264" i="4"/>
  <c r="K264" i="4" s="1"/>
  <c r="B263" i="4"/>
  <c r="L262" i="4"/>
  <c r="J262" i="4"/>
  <c r="B262" i="4"/>
  <c r="K262" i="4" s="1"/>
  <c r="B261" i="4"/>
  <c r="L260" i="4"/>
  <c r="J260" i="4"/>
  <c r="B260" i="4"/>
  <c r="K260" i="4" s="1"/>
  <c r="B259" i="4"/>
  <c r="L259" i="4" s="1"/>
  <c r="B258" i="4"/>
  <c r="K258" i="4" s="1"/>
  <c r="L257" i="4"/>
  <c r="B257" i="4"/>
  <c r="K257" i="4" s="1"/>
  <c r="J256" i="4"/>
  <c r="B256" i="4"/>
  <c r="L255" i="4"/>
  <c r="K255" i="4"/>
  <c r="B255" i="4"/>
  <c r="J255" i="4" s="1"/>
  <c r="B254" i="4"/>
  <c r="L253" i="4"/>
  <c r="K253" i="4"/>
  <c r="J253" i="4"/>
  <c r="B253" i="4"/>
  <c r="B252" i="4"/>
  <c r="K252" i="4" s="1"/>
  <c r="L251" i="4"/>
  <c r="K251" i="4"/>
  <c r="J251" i="4"/>
  <c r="B251" i="4"/>
  <c r="B250" i="4"/>
  <c r="K250" i="4" s="1"/>
  <c r="B249" i="4"/>
  <c r="L249" i="4" s="1"/>
  <c r="L248" i="4"/>
  <c r="B248" i="4"/>
  <c r="K248" i="4" s="1"/>
  <c r="J247" i="4"/>
  <c r="B247" i="4"/>
  <c r="L246" i="4"/>
  <c r="J246" i="4"/>
  <c r="B246" i="4"/>
  <c r="K246" i="4" s="1"/>
  <c r="B245" i="4"/>
  <c r="L244" i="4"/>
  <c r="J244" i="4"/>
  <c r="B244" i="4"/>
  <c r="K244" i="4" s="1"/>
  <c r="B243" i="4"/>
  <c r="L243" i="4" s="1"/>
  <c r="L242" i="4"/>
  <c r="J242" i="4"/>
  <c r="B242" i="4"/>
  <c r="K242" i="4" s="1"/>
  <c r="L241" i="4"/>
  <c r="B241" i="4"/>
  <c r="K241" i="4" s="1"/>
  <c r="B240" i="4"/>
  <c r="L239" i="4"/>
  <c r="K239" i="4"/>
  <c r="B239" i="4"/>
  <c r="J239" i="4" s="1"/>
  <c r="B238" i="4"/>
  <c r="L237" i="4"/>
  <c r="K237" i="4"/>
  <c r="J237" i="4"/>
  <c r="B237" i="4"/>
  <c r="B236" i="4"/>
  <c r="K236" i="4" s="1"/>
  <c r="L235" i="4"/>
  <c r="K235" i="4"/>
  <c r="J235" i="4"/>
  <c r="B235" i="4"/>
  <c r="B234" i="4"/>
  <c r="K234" i="4" s="1"/>
  <c r="K233" i="4"/>
  <c r="J233" i="4"/>
  <c r="B233" i="4"/>
  <c r="L233" i="4" s="1"/>
  <c r="L232" i="4"/>
  <c r="B232" i="4"/>
  <c r="K232" i="4" s="1"/>
  <c r="B231" i="4"/>
  <c r="L230" i="4"/>
  <c r="J230" i="4"/>
  <c r="B230" i="4"/>
  <c r="K230" i="4" s="1"/>
  <c r="B229" i="4"/>
  <c r="L228" i="4"/>
  <c r="J228" i="4"/>
  <c r="B228" i="4"/>
  <c r="K228" i="4" s="1"/>
  <c r="B227" i="4"/>
  <c r="L227" i="4" s="1"/>
  <c r="B226" i="4"/>
  <c r="K226" i="4" s="1"/>
  <c r="L225" i="4"/>
  <c r="B225" i="4"/>
  <c r="K225" i="4" s="1"/>
  <c r="J224" i="4"/>
  <c r="B224" i="4"/>
  <c r="L223" i="4"/>
  <c r="K223" i="4"/>
  <c r="B223" i="4"/>
  <c r="J223" i="4" s="1"/>
  <c r="B222" i="4"/>
  <c r="L221" i="4"/>
  <c r="K221" i="4"/>
  <c r="J221" i="4"/>
  <c r="B221" i="4"/>
  <c r="B220" i="4"/>
  <c r="K220" i="4" s="1"/>
  <c r="L219" i="4"/>
  <c r="K219" i="4"/>
  <c r="J219" i="4"/>
  <c r="B219" i="4"/>
  <c r="B218" i="4"/>
  <c r="K218" i="4" s="1"/>
  <c r="B217" i="4"/>
  <c r="L217" i="4" s="1"/>
  <c r="L216" i="4"/>
  <c r="B216" i="4"/>
  <c r="K216" i="4" s="1"/>
  <c r="J215" i="4"/>
  <c r="B215" i="4"/>
  <c r="L214" i="4"/>
  <c r="J214" i="4"/>
  <c r="B214" i="4"/>
  <c r="K214" i="4" s="1"/>
  <c r="B213" i="4"/>
  <c r="L212" i="4"/>
  <c r="J212" i="4"/>
  <c r="B212" i="4"/>
  <c r="K212" i="4" s="1"/>
  <c r="B211" i="4"/>
  <c r="L211" i="4" s="1"/>
  <c r="L210" i="4"/>
  <c r="J210" i="4"/>
  <c r="B210" i="4"/>
  <c r="K210" i="4" s="1"/>
  <c r="L209" i="4"/>
  <c r="B209" i="4"/>
  <c r="K209" i="4" s="1"/>
  <c r="B208" i="4"/>
  <c r="L207" i="4"/>
  <c r="K207" i="4"/>
  <c r="B207" i="4"/>
  <c r="J207" i="4" s="1"/>
  <c r="B206" i="4"/>
  <c r="L205" i="4"/>
  <c r="K205" i="4"/>
  <c r="J205" i="4"/>
  <c r="B205" i="4"/>
  <c r="B204" i="4"/>
  <c r="K204" i="4" s="1"/>
  <c r="B203" i="4"/>
  <c r="L203" i="4" s="1"/>
  <c r="B202" i="4"/>
  <c r="K202" i="4" s="1"/>
  <c r="K201" i="4"/>
  <c r="J201" i="4"/>
  <c r="B201" i="4"/>
  <c r="L201" i="4" s="1"/>
  <c r="L200" i="4"/>
  <c r="B200" i="4"/>
  <c r="K200" i="4" s="1"/>
  <c r="B199" i="4"/>
  <c r="L198" i="4"/>
  <c r="J198" i="4"/>
  <c r="B198" i="4"/>
  <c r="K198" i="4" s="1"/>
  <c r="B197" i="4"/>
  <c r="L196" i="4"/>
  <c r="J196" i="4"/>
  <c r="B196" i="4"/>
  <c r="K196" i="4" s="1"/>
  <c r="B195" i="4"/>
  <c r="L195" i="4" s="1"/>
  <c r="B194" i="4"/>
  <c r="K194" i="4" s="1"/>
  <c r="L193" i="4"/>
  <c r="B193" i="4"/>
  <c r="K193" i="4" s="1"/>
  <c r="J192" i="4"/>
  <c r="B192" i="4"/>
  <c r="L191" i="4"/>
  <c r="K191" i="4"/>
  <c r="B191" i="4"/>
  <c r="J191" i="4" s="1"/>
  <c r="B190" i="4"/>
  <c r="L189" i="4"/>
  <c r="K189" i="4"/>
  <c r="J189" i="4"/>
  <c r="B189" i="4"/>
  <c r="B188" i="4"/>
  <c r="K188" i="4" s="1"/>
  <c r="L187" i="4"/>
  <c r="K187" i="4"/>
  <c r="J187" i="4"/>
  <c r="B187" i="4"/>
  <c r="B186" i="4"/>
  <c r="K186" i="4" s="1"/>
  <c r="B185" i="4"/>
  <c r="L185" i="4" s="1"/>
  <c r="L184" i="4"/>
  <c r="B184" i="4"/>
  <c r="K184" i="4" s="1"/>
  <c r="J183" i="4"/>
  <c r="B183" i="4"/>
  <c r="L182" i="4"/>
  <c r="J182" i="4"/>
  <c r="B182" i="4"/>
  <c r="K182" i="4" s="1"/>
  <c r="B181" i="4"/>
  <c r="B180" i="4"/>
  <c r="K180" i="4" s="1"/>
  <c r="B179" i="4"/>
  <c r="L179" i="4" s="1"/>
  <c r="L178" i="4"/>
  <c r="J178" i="4"/>
  <c r="B178" i="4"/>
  <c r="K178" i="4" s="1"/>
  <c r="L177" i="4"/>
  <c r="B177" i="4"/>
  <c r="K177" i="4" s="1"/>
  <c r="B176" i="4"/>
  <c r="J176" i="4" s="1"/>
  <c r="L175" i="4"/>
  <c r="K175" i="4"/>
  <c r="B175" i="4"/>
  <c r="J175" i="4" s="1"/>
  <c r="B174" i="4"/>
  <c r="L173" i="4"/>
  <c r="K173" i="4"/>
  <c r="J173" i="4"/>
  <c r="B173" i="4"/>
  <c r="B172" i="4"/>
  <c r="K172" i="4" s="1"/>
  <c r="B171" i="4"/>
  <c r="L171" i="4" s="1"/>
  <c r="B170" i="4"/>
  <c r="K170" i="4" s="1"/>
  <c r="K169" i="4"/>
  <c r="J169" i="4"/>
  <c r="B169" i="4"/>
  <c r="L169" i="4" s="1"/>
  <c r="L168" i="4"/>
  <c r="B168" i="4"/>
  <c r="K168" i="4" s="1"/>
  <c r="B167" i="4"/>
  <c r="L166" i="4"/>
  <c r="J166" i="4"/>
  <c r="B166" i="4"/>
  <c r="K166" i="4" s="1"/>
  <c r="B165" i="4"/>
  <c r="L164" i="4"/>
  <c r="J164" i="4"/>
  <c r="B164" i="4"/>
  <c r="K164" i="4" s="1"/>
  <c r="B163" i="4"/>
  <c r="L163" i="4" s="1"/>
  <c r="B162" i="4"/>
  <c r="K162" i="4" s="1"/>
  <c r="L161" i="4"/>
  <c r="B161" i="4"/>
  <c r="K161" i="4" s="1"/>
  <c r="J160" i="4"/>
  <c r="B160" i="4"/>
  <c r="L159" i="4"/>
  <c r="K159" i="4"/>
  <c r="B159" i="4"/>
  <c r="J159" i="4" s="1"/>
  <c r="B158" i="4"/>
  <c r="L157" i="4"/>
  <c r="K157" i="4"/>
  <c r="J157" i="4"/>
  <c r="B157" i="4"/>
  <c r="B156" i="4"/>
  <c r="K156" i="4" s="1"/>
  <c r="L155" i="4"/>
  <c r="K155" i="4"/>
  <c r="J155" i="4"/>
  <c r="B155" i="4"/>
  <c r="B154" i="4"/>
  <c r="K154" i="4" s="1"/>
  <c r="B153" i="4"/>
  <c r="L153" i="4" s="1"/>
  <c r="L152" i="4"/>
  <c r="B152" i="4"/>
  <c r="K152" i="4" s="1"/>
  <c r="J151" i="4"/>
  <c r="B151" i="4"/>
  <c r="L150" i="4"/>
  <c r="J150" i="4"/>
  <c r="B150" i="4"/>
  <c r="K150" i="4" s="1"/>
  <c r="B149" i="4"/>
  <c r="B148" i="4"/>
  <c r="K148" i="4" s="1"/>
  <c r="B147" i="4"/>
  <c r="L147" i="4" s="1"/>
  <c r="L146" i="4"/>
  <c r="J146" i="4"/>
  <c r="B146" i="4"/>
  <c r="K146" i="4" s="1"/>
  <c r="L145" i="4"/>
  <c r="B145" i="4"/>
  <c r="K145" i="4" s="1"/>
  <c r="B144" i="4"/>
  <c r="L143" i="4"/>
  <c r="K143" i="4"/>
  <c r="B143" i="4"/>
  <c r="J143" i="4" s="1"/>
  <c r="B142" i="4"/>
  <c r="L141" i="4"/>
  <c r="K141" i="4"/>
  <c r="J141" i="4"/>
  <c r="B141" i="4"/>
  <c r="B140" i="4"/>
  <c r="K140" i="4" s="1"/>
  <c r="B139" i="4"/>
  <c r="L139" i="4" s="1"/>
  <c r="B138" i="4"/>
  <c r="K138" i="4" s="1"/>
  <c r="K137" i="4"/>
  <c r="J137" i="4"/>
  <c r="B137" i="4"/>
  <c r="L137" i="4" s="1"/>
  <c r="L136" i="4"/>
  <c r="B136" i="4"/>
  <c r="K136" i="4" s="1"/>
  <c r="B135" i="4"/>
  <c r="L134" i="4"/>
  <c r="J134" i="4"/>
  <c r="B134" i="4"/>
  <c r="K134" i="4" s="1"/>
  <c r="B133" i="4"/>
  <c r="L132" i="4"/>
  <c r="J132" i="4"/>
  <c r="B132" i="4"/>
  <c r="K132" i="4" s="1"/>
  <c r="B131" i="4"/>
  <c r="B130" i="4"/>
  <c r="K130" i="4" s="1"/>
  <c r="L129" i="4"/>
  <c r="B129" i="4"/>
  <c r="K129" i="4" s="1"/>
  <c r="B128" i="4"/>
  <c r="K128" i="4" s="1"/>
  <c r="L127" i="4"/>
  <c r="K127" i="4"/>
  <c r="B127" i="4"/>
  <c r="J127" i="4" s="1"/>
  <c r="B126" i="4"/>
  <c r="L125" i="4"/>
  <c r="K125" i="4"/>
  <c r="J125" i="4"/>
  <c r="B125" i="4"/>
  <c r="B124" i="4"/>
  <c r="L123" i="4"/>
  <c r="B123" i="4"/>
  <c r="K123" i="4" s="1"/>
  <c r="B122" i="4"/>
  <c r="K122" i="4" s="1"/>
  <c r="B121" i="4"/>
  <c r="K121" i="4" s="1"/>
  <c r="L120" i="4"/>
  <c r="B120" i="4"/>
  <c r="K120" i="4" s="1"/>
  <c r="B119" i="4"/>
  <c r="L119" i="4" s="1"/>
  <c r="L118" i="4"/>
  <c r="J118" i="4"/>
  <c r="B118" i="4"/>
  <c r="K118" i="4" s="1"/>
  <c r="B117" i="4"/>
  <c r="B116" i="4"/>
  <c r="K116" i="4" s="1"/>
  <c r="B115" i="4"/>
  <c r="L114" i="4"/>
  <c r="J114" i="4"/>
  <c r="B114" i="4"/>
  <c r="K114" i="4" s="1"/>
  <c r="L113" i="4"/>
  <c r="B113" i="4"/>
  <c r="K113" i="4" s="1"/>
  <c r="B112" i="4"/>
  <c r="K112" i="4" s="1"/>
  <c r="L111" i="4"/>
  <c r="K111" i="4"/>
  <c r="B111" i="4"/>
  <c r="J111" i="4" s="1"/>
  <c r="B110" i="4"/>
  <c r="L109" i="4"/>
  <c r="K109" i="4"/>
  <c r="J109" i="4"/>
  <c r="B109" i="4"/>
  <c r="B108" i="4"/>
  <c r="L107" i="4"/>
  <c r="K107" i="4"/>
  <c r="J107" i="4"/>
  <c r="B107" i="4"/>
  <c r="B106" i="4"/>
  <c r="K106" i="4" s="1"/>
  <c r="L105" i="4"/>
  <c r="K105" i="4"/>
  <c r="J105" i="4"/>
  <c r="B105" i="4"/>
  <c r="L104" i="4"/>
  <c r="B104" i="4"/>
  <c r="K104" i="4" s="1"/>
  <c r="B103" i="4"/>
  <c r="L103" i="4" s="1"/>
  <c r="L102" i="4"/>
  <c r="J102" i="4"/>
  <c r="B102" i="4"/>
  <c r="K102" i="4" s="1"/>
  <c r="B101" i="4"/>
  <c r="B100" i="4"/>
  <c r="K100" i="4" s="1"/>
  <c r="B99" i="4"/>
  <c r="L98" i="4"/>
  <c r="B98" i="4"/>
  <c r="K98" i="4" s="1"/>
  <c r="L97" i="4"/>
  <c r="B97" i="4"/>
  <c r="K97" i="4" s="1"/>
  <c r="B96" i="4"/>
  <c r="K96" i="4" s="1"/>
  <c r="L95" i="4"/>
  <c r="K95" i="4"/>
  <c r="B95" i="4"/>
  <c r="J95" i="4" s="1"/>
  <c r="J94" i="4"/>
  <c r="B94" i="4"/>
  <c r="L93" i="4"/>
  <c r="K93" i="4"/>
  <c r="J93" i="4"/>
  <c r="B93" i="4"/>
  <c r="B92" i="4"/>
  <c r="B91" i="4"/>
  <c r="L91" i="4" s="1"/>
  <c r="B90" i="4"/>
  <c r="K90" i="4" s="1"/>
  <c r="L89" i="4"/>
  <c r="K89" i="4"/>
  <c r="B89" i="4"/>
  <c r="J89" i="4" s="1"/>
  <c r="L88" i="4"/>
  <c r="B88" i="4"/>
  <c r="K88" i="4" s="1"/>
  <c r="B87" i="4"/>
  <c r="L87" i="4" s="1"/>
  <c r="L86" i="4"/>
  <c r="J86" i="4"/>
  <c r="B86" i="4"/>
  <c r="K86" i="4" s="1"/>
  <c r="B85" i="4"/>
  <c r="L85" i="4" s="1"/>
  <c r="B84" i="4"/>
  <c r="K84" i="4" s="1"/>
  <c r="B83" i="4"/>
  <c r="B82" i="4"/>
  <c r="K82" i="4" s="1"/>
  <c r="B81" i="4"/>
  <c r="L80" i="4"/>
  <c r="B80" i="4"/>
  <c r="K80" i="4" s="1"/>
  <c r="L79" i="4"/>
  <c r="K79" i="4"/>
  <c r="B79" i="4"/>
  <c r="J79" i="4" s="1"/>
  <c r="B78" i="4"/>
  <c r="K78" i="4" s="1"/>
  <c r="L77" i="4"/>
  <c r="K77" i="4"/>
  <c r="J77" i="4"/>
  <c r="B77" i="4"/>
  <c r="B76" i="4"/>
  <c r="J76" i="4" s="1"/>
  <c r="L75" i="4"/>
  <c r="K75" i="4"/>
  <c r="B75" i="4"/>
  <c r="J75" i="4" s="1"/>
  <c r="B74" i="4"/>
  <c r="B73" i="4"/>
  <c r="J73" i="4" s="1"/>
  <c r="L72" i="4"/>
  <c r="B72" i="4"/>
  <c r="K72" i="4" s="1"/>
  <c r="B71" i="4"/>
  <c r="L71" i="4" s="1"/>
  <c r="L70" i="4"/>
  <c r="J70" i="4"/>
  <c r="B70" i="4"/>
  <c r="K70" i="4" s="1"/>
  <c r="B69" i="4"/>
  <c r="L69" i="4" s="1"/>
  <c r="B68" i="4"/>
  <c r="K68" i="4" s="1"/>
  <c r="B67" i="4"/>
  <c r="J67" i="4" s="1"/>
  <c r="B66" i="4"/>
  <c r="K66" i="4" s="1"/>
  <c r="B65" i="4"/>
  <c r="B64" i="4"/>
  <c r="K64" i="4" s="1"/>
  <c r="L63" i="4"/>
  <c r="K63" i="4"/>
  <c r="B63" i="4"/>
  <c r="J63" i="4" s="1"/>
  <c r="B62" i="4"/>
  <c r="K62" i="4" s="1"/>
  <c r="L61" i="4"/>
  <c r="K61" i="4"/>
  <c r="J61" i="4"/>
  <c r="B61" i="4"/>
  <c r="J60" i="4"/>
  <c r="B60" i="4"/>
  <c r="B59" i="4"/>
  <c r="K59" i="4" s="1"/>
  <c r="B58" i="4"/>
  <c r="B57" i="4"/>
  <c r="L57" i="4" s="1"/>
  <c r="B56" i="4"/>
  <c r="L55" i="4"/>
  <c r="K55" i="4"/>
  <c r="J55" i="4"/>
  <c r="B55" i="4"/>
  <c r="B54" i="4"/>
  <c r="L53" i="4"/>
  <c r="K53" i="4"/>
  <c r="B53" i="4"/>
  <c r="J53" i="4" s="1"/>
  <c r="J52" i="4"/>
  <c r="B52" i="4"/>
  <c r="B51" i="4"/>
  <c r="J51" i="4" s="1"/>
  <c r="B50" i="4"/>
  <c r="B49" i="4"/>
  <c r="L49" i="4" s="1"/>
  <c r="B48" i="4"/>
  <c r="L47" i="4"/>
  <c r="K47" i="4"/>
  <c r="J47" i="4"/>
  <c r="B47" i="4"/>
  <c r="B46" i="4"/>
  <c r="L45" i="4"/>
  <c r="K45" i="4"/>
  <c r="B45" i="4"/>
  <c r="J45" i="4" s="1"/>
  <c r="J44" i="4"/>
  <c r="B44" i="4"/>
  <c r="B43" i="4"/>
  <c r="J43" i="4" s="1"/>
  <c r="B42" i="4"/>
  <c r="B41" i="4"/>
  <c r="L41" i="4" s="1"/>
  <c r="B40" i="4"/>
  <c r="L39" i="4"/>
  <c r="K39" i="4"/>
  <c r="J39" i="4"/>
  <c r="B39" i="4"/>
  <c r="B38" i="4"/>
  <c r="L37" i="4"/>
  <c r="K37" i="4"/>
  <c r="B37" i="4"/>
  <c r="J37" i="4" s="1"/>
  <c r="J36" i="4"/>
  <c r="B36" i="4"/>
  <c r="B35" i="4"/>
  <c r="K35" i="4" s="1"/>
  <c r="B34" i="4"/>
  <c r="B33" i="4"/>
  <c r="L33" i="4" s="1"/>
  <c r="B32" i="4"/>
  <c r="J32" i="4" s="1"/>
  <c r="L31" i="4"/>
  <c r="K31" i="4"/>
  <c r="J31" i="4"/>
  <c r="B31" i="4"/>
  <c r="B30" i="4"/>
  <c r="J30" i="4" s="1"/>
  <c r="L29" i="4"/>
  <c r="K29" i="4"/>
  <c r="B29" i="4"/>
  <c r="J29" i="4" s="1"/>
  <c r="J28" i="4"/>
  <c r="B28" i="4"/>
  <c r="B27" i="4"/>
  <c r="J27" i="4" s="1"/>
  <c r="B26" i="4"/>
  <c r="B25" i="4"/>
  <c r="L25" i="4" s="1"/>
  <c r="B24" i="4"/>
  <c r="L23" i="4"/>
  <c r="K23" i="4"/>
  <c r="J23" i="4"/>
  <c r="B23" i="4"/>
  <c r="B22" i="4"/>
  <c r="J22" i="4" s="1"/>
  <c r="L21" i="4"/>
  <c r="K21" i="4"/>
  <c r="B21" i="4"/>
  <c r="J21" i="4" s="1"/>
  <c r="J20" i="4"/>
  <c r="B20" i="4"/>
  <c r="B19" i="4"/>
  <c r="J19" i="4" s="1"/>
  <c r="B18" i="4"/>
  <c r="B17" i="4"/>
  <c r="L17" i="4" s="1"/>
  <c r="B16" i="4"/>
  <c r="L15" i="4"/>
  <c r="K15" i="4"/>
  <c r="J15" i="4"/>
  <c r="B15" i="4"/>
  <c r="B14" i="4"/>
  <c r="L13" i="4"/>
  <c r="K13" i="4"/>
  <c r="B13" i="4"/>
  <c r="J13" i="4" s="1"/>
  <c r="J12" i="4"/>
  <c r="B12" i="4"/>
  <c r="B11" i="4"/>
  <c r="K11" i="4" s="1"/>
  <c r="B10" i="4"/>
  <c r="B9" i="4"/>
  <c r="L9" i="4" s="1"/>
  <c r="B8" i="4"/>
  <c r="J8" i="4" s="1"/>
  <c r="L7" i="4"/>
  <c r="K7" i="4"/>
  <c r="J7" i="4"/>
  <c r="B7" i="4"/>
  <c r="B6" i="4"/>
  <c r="L5" i="4"/>
  <c r="K5" i="4"/>
  <c r="B5" i="4"/>
  <c r="J5" i="4" s="1"/>
  <c r="J4" i="4"/>
  <c r="B4" i="4"/>
  <c r="B3" i="4"/>
  <c r="K3" i="4" s="1"/>
  <c r="B2" i="4"/>
  <c r="L2988" i="2"/>
  <c r="L2987" i="2"/>
  <c r="L2986" i="2"/>
  <c r="L2985" i="2"/>
  <c r="L2981" i="2"/>
  <c r="L2980" i="2"/>
  <c r="L2974" i="2"/>
  <c r="L2973" i="2"/>
  <c r="L2966" i="2"/>
  <c r="L2963" i="2"/>
  <c r="L2961" i="2"/>
  <c r="L2954" i="2"/>
  <c r="L2952" i="2"/>
  <c r="L2949" i="2"/>
  <c r="L2945" i="2"/>
  <c r="L2942" i="2"/>
  <c r="L2940" i="2"/>
  <c r="L2939" i="2"/>
  <c r="L2936" i="2"/>
  <c r="L2935" i="2"/>
  <c r="L2928" i="2"/>
  <c r="L2926" i="2"/>
  <c r="L2921" i="2"/>
  <c r="L2920" i="2"/>
  <c r="L2918" i="2"/>
  <c r="L2913" i="2"/>
  <c r="L2911" i="2"/>
  <c r="L2909" i="2"/>
  <c r="L2905" i="2"/>
  <c r="L2903" i="2"/>
  <c r="L2900" i="2"/>
  <c r="L2895" i="2"/>
  <c r="L2894" i="2"/>
  <c r="L2877" i="2"/>
  <c r="L2870" i="2"/>
  <c r="L2866" i="2"/>
  <c r="L2864" i="2"/>
  <c r="L2861" i="2"/>
  <c r="L2860" i="2"/>
  <c r="L2859" i="2"/>
  <c r="L2855" i="2"/>
  <c r="L2854" i="2"/>
  <c r="L2852" i="2"/>
  <c r="L2851" i="2"/>
  <c r="L2849" i="2"/>
  <c r="L2848" i="2"/>
  <c r="L2845" i="2"/>
  <c r="L2844" i="2"/>
  <c r="L2843" i="2"/>
  <c r="L2841" i="2"/>
  <c r="L2840" i="2"/>
  <c r="L2838" i="2"/>
  <c r="L2836" i="2"/>
  <c r="L2833" i="2"/>
  <c r="L2832" i="2"/>
  <c r="L2830" i="2"/>
  <c r="L2829" i="2"/>
  <c r="L2827" i="2"/>
  <c r="L2825" i="2"/>
  <c r="L2822" i="2"/>
  <c r="L2821" i="2"/>
  <c r="L2820" i="2"/>
  <c r="L2818" i="2"/>
  <c r="L2816" i="2"/>
  <c r="L2813" i="2"/>
  <c r="L2812" i="2"/>
  <c r="L2807" i="2"/>
  <c r="L2805" i="2"/>
  <c r="L2802" i="2"/>
  <c r="L2800" i="2"/>
  <c r="L2799" i="2"/>
  <c r="L2796" i="2"/>
  <c r="L2795" i="2"/>
  <c r="L2792" i="2"/>
  <c r="L2791" i="2"/>
  <c r="L2783" i="2"/>
  <c r="L2772" i="2"/>
  <c r="L2768" i="2"/>
  <c r="L2767" i="2"/>
  <c r="L2760" i="2"/>
  <c r="L2759" i="2"/>
  <c r="L2758" i="2"/>
  <c r="L2757" i="2"/>
  <c r="L2752" i="2"/>
  <c r="L2749" i="2"/>
  <c r="L2747" i="2"/>
  <c r="L2742" i="2"/>
  <c r="L2740" i="2"/>
  <c r="L2739" i="2"/>
  <c r="L2737" i="2"/>
  <c r="L2735" i="2"/>
  <c r="L2734" i="2"/>
  <c r="L2733" i="2"/>
  <c r="L2731" i="2"/>
  <c r="L2728" i="2"/>
  <c r="L2727" i="2"/>
  <c r="L2726" i="2"/>
  <c r="L2725" i="2"/>
  <c r="L2721" i="2"/>
  <c r="L2719" i="2"/>
  <c r="L2718" i="2"/>
  <c r="L2717" i="2"/>
  <c r="L2714" i="2"/>
  <c r="L2710" i="2"/>
  <c r="L2709" i="2"/>
  <c r="L2706" i="2"/>
  <c r="L2702" i="2"/>
  <c r="L2697" i="2"/>
  <c r="L2696" i="2"/>
  <c r="L2695" i="2"/>
  <c r="L2693" i="2"/>
  <c r="L2675" i="2"/>
  <c r="L2667" i="2"/>
  <c r="L2638" i="2"/>
  <c r="L2621" i="2"/>
  <c r="L2612" i="2"/>
  <c r="L2609" i="2"/>
  <c r="L2607" i="2"/>
  <c r="L2595" i="2"/>
  <c r="L2591" i="2"/>
  <c r="L2589" i="2"/>
  <c r="L2587" i="2"/>
  <c r="L2584" i="2"/>
  <c r="L2583" i="2"/>
  <c r="L2582" i="2"/>
  <c r="L2580" i="2"/>
  <c r="L2579" i="2"/>
  <c r="L2575" i="2"/>
  <c r="L2571" i="2"/>
  <c r="L2569" i="2"/>
  <c r="L2566" i="2"/>
  <c r="L2563" i="2"/>
  <c r="L2560" i="2"/>
  <c r="L2556" i="2"/>
  <c r="L2540" i="2"/>
  <c r="L2536" i="2"/>
  <c r="L2534" i="2"/>
  <c r="L2528" i="2"/>
  <c r="L2526" i="2"/>
  <c r="L2517" i="2"/>
  <c r="L2515" i="2"/>
  <c r="L2514" i="2"/>
  <c r="L2509" i="2"/>
  <c r="L2508" i="2"/>
  <c r="L2507" i="2"/>
  <c r="L2505" i="2"/>
  <c r="L2503" i="2"/>
  <c r="L2501" i="2"/>
  <c r="L2494" i="2"/>
  <c r="L2493" i="2"/>
  <c r="L2491" i="2"/>
  <c r="L2489" i="2"/>
  <c r="L2485" i="2"/>
  <c r="L2484" i="2"/>
  <c r="L2480" i="2"/>
  <c r="L2477" i="2"/>
  <c r="L2473" i="2"/>
  <c r="L2470" i="2"/>
  <c r="L2469" i="2"/>
  <c r="L2465" i="2"/>
  <c r="L2463" i="2"/>
  <c r="L2460" i="2"/>
  <c r="L2456" i="2"/>
  <c r="L2451" i="2"/>
  <c r="L2449" i="2"/>
  <c r="L2445" i="2"/>
  <c r="L2444" i="2"/>
  <c r="L2441" i="2"/>
  <c r="L2436" i="2"/>
  <c r="L2431" i="2"/>
  <c r="L2420" i="2"/>
  <c r="L2419" i="2"/>
  <c r="L2412" i="2"/>
  <c r="L2411" i="2"/>
  <c r="L2375" i="2"/>
  <c r="L2373" i="2"/>
  <c r="L2370" i="2"/>
  <c r="L2368" i="2"/>
  <c r="L2366" i="2"/>
  <c r="L2362" i="2"/>
  <c r="L2360" i="2"/>
  <c r="L2352" i="2"/>
  <c r="L2351" i="2"/>
  <c r="L2349" i="2"/>
  <c r="L2347" i="2"/>
  <c r="L2344" i="2"/>
  <c r="L2343" i="2"/>
  <c r="L2339" i="2"/>
  <c r="L2337" i="2"/>
  <c r="L2335" i="2"/>
  <c r="L2332" i="2"/>
  <c r="L2331" i="2"/>
  <c r="L2329" i="2"/>
  <c r="L2328" i="2"/>
  <c r="L2327" i="2"/>
  <c r="L2325" i="2"/>
  <c r="L2322" i="2"/>
  <c r="L2317" i="2"/>
  <c r="L2316" i="2"/>
  <c r="L2315" i="2"/>
  <c r="L2314" i="2"/>
  <c r="L2313" i="2"/>
  <c r="L2311" i="2"/>
  <c r="L2310" i="2"/>
  <c r="L2309" i="2"/>
  <c r="L2308" i="2"/>
  <c r="L2304" i="2"/>
  <c r="L2303" i="2"/>
  <c r="L2302" i="2"/>
  <c r="L2301" i="2"/>
  <c r="L2299" i="2"/>
  <c r="L2298" i="2"/>
  <c r="L2297" i="2"/>
  <c r="L2296" i="2"/>
  <c r="L2294" i="2"/>
  <c r="L2292" i="2"/>
  <c r="L2291" i="2"/>
  <c r="L2287" i="2"/>
  <c r="L2285" i="2"/>
  <c r="L2282" i="2"/>
  <c r="L2279" i="2"/>
  <c r="L2278" i="2"/>
  <c r="L2275" i="2"/>
  <c r="L2273" i="2"/>
  <c r="L2272" i="2"/>
  <c r="L2271" i="2"/>
  <c r="L2270" i="2"/>
  <c r="L2269" i="2"/>
  <c r="L2268" i="2"/>
  <c r="L2267" i="2"/>
  <c r="L2265" i="2"/>
  <c r="L2264" i="2"/>
  <c r="L2263" i="2"/>
  <c r="L2262" i="2"/>
  <c r="L2261" i="2"/>
  <c r="L2260" i="2"/>
  <c r="L2258" i="2"/>
  <c r="L2256" i="2"/>
  <c r="L2255" i="2"/>
  <c r="L2254" i="2"/>
  <c r="L2253" i="2"/>
  <c r="L2252" i="2"/>
  <c r="L2251" i="2"/>
  <c r="L2250" i="2"/>
  <c r="L2248" i="2"/>
  <c r="L2246" i="2"/>
  <c r="L2245" i="2"/>
  <c r="L2244" i="2"/>
  <c r="L2242" i="2"/>
  <c r="L2241" i="2"/>
  <c r="L2240" i="2"/>
  <c r="L2239" i="2"/>
  <c r="L2237" i="2"/>
  <c r="L2236" i="2"/>
  <c r="L2235" i="2"/>
  <c r="L2234" i="2"/>
  <c r="L2233" i="2"/>
  <c r="L2232" i="2"/>
  <c r="L2230" i="2"/>
  <c r="L2229" i="2"/>
  <c r="L2228" i="2"/>
  <c r="L2227" i="2"/>
  <c r="L2226" i="2"/>
  <c r="L2225" i="2"/>
  <c r="L2222" i="2"/>
  <c r="L2220" i="2"/>
  <c r="L2219" i="2"/>
  <c r="L2217" i="2"/>
  <c r="L2214" i="2"/>
  <c r="L2212" i="2"/>
  <c r="L2211" i="2"/>
  <c r="L2209" i="2"/>
  <c r="L2204" i="2"/>
  <c r="L2202" i="2"/>
  <c r="L2200" i="2"/>
  <c r="L2197" i="2"/>
  <c r="L2196" i="2"/>
  <c r="L2195" i="2"/>
  <c r="L2194" i="2"/>
  <c r="L2190" i="2"/>
  <c r="L2189" i="2"/>
  <c r="L2188" i="2"/>
  <c r="L2184" i="2"/>
  <c r="L2183" i="2"/>
  <c r="L2182" i="2"/>
  <c r="L2181" i="2"/>
  <c r="L2179" i="2"/>
  <c r="L2174" i="2"/>
  <c r="L2162" i="2"/>
  <c r="L2158" i="2"/>
  <c r="L2156" i="2"/>
  <c r="L2152" i="2"/>
  <c r="L2149" i="2"/>
  <c r="L2144" i="2"/>
  <c r="L2141" i="2"/>
  <c r="L2137" i="2"/>
  <c r="L2127" i="2"/>
  <c r="L2101" i="2"/>
  <c r="L2099" i="2"/>
  <c r="L2097" i="2"/>
  <c r="L2095" i="2"/>
  <c r="L2093" i="2"/>
  <c r="L2092" i="2"/>
  <c r="L2091" i="2"/>
  <c r="L2090" i="2"/>
  <c r="L2089" i="2"/>
  <c r="L2088" i="2"/>
  <c r="L2087" i="2"/>
  <c r="L2085" i="2"/>
  <c r="L2084" i="2"/>
  <c r="L2081" i="2"/>
  <c r="L2080" i="2"/>
  <c r="L2078" i="2"/>
  <c r="L2077" i="2"/>
  <c r="L2076" i="2"/>
  <c r="L2073" i="2"/>
  <c r="L2070" i="2"/>
  <c r="L2068" i="2"/>
  <c r="L2065" i="2"/>
  <c r="L2064" i="2"/>
  <c r="L2062" i="2"/>
  <c r="L2060" i="2"/>
  <c r="L2057" i="2"/>
  <c r="L2055" i="2"/>
  <c r="L2054" i="2"/>
  <c r="L2053" i="2"/>
  <c r="L2051" i="2"/>
  <c r="L2048" i="2"/>
  <c r="L2045" i="2"/>
  <c r="L2043" i="2"/>
  <c r="L2041" i="2"/>
  <c r="L2040" i="2"/>
  <c r="L2038" i="2"/>
  <c r="L2035" i="2"/>
  <c r="L2034" i="2"/>
  <c r="L2031" i="2"/>
  <c r="L2029" i="2"/>
  <c r="L2026" i="2"/>
  <c r="L2024" i="2"/>
  <c r="L2022" i="2"/>
  <c r="L2020" i="2"/>
  <c r="L2019" i="2"/>
  <c r="L2018" i="2"/>
  <c r="L2015" i="2"/>
  <c r="L2013" i="2"/>
  <c r="L2009" i="2"/>
  <c r="L2008" i="2"/>
  <c r="L2006" i="2"/>
  <c r="L2004" i="2"/>
  <c r="L2002" i="2"/>
  <c r="L2000" i="2"/>
  <c r="L1998" i="2"/>
  <c r="L1995" i="2"/>
  <c r="L1993" i="2"/>
  <c r="L1992" i="2"/>
  <c r="L1991" i="2"/>
  <c r="L1989" i="2"/>
  <c r="L1968" i="2"/>
  <c r="L1965" i="2"/>
  <c r="L1938" i="2"/>
  <c r="L1936" i="2"/>
  <c r="L1934" i="2"/>
  <c r="L1932" i="2"/>
  <c r="L1930" i="2"/>
  <c r="L1928" i="2"/>
  <c r="L1926" i="2"/>
  <c r="L1923" i="2"/>
  <c r="L1921" i="2"/>
  <c r="L1916" i="2"/>
  <c r="L1915" i="2"/>
  <c r="L1913" i="2"/>
  <c r="L1911" i="2"/>
  <c r="L1909" i="2"/>
  <c r="L1908" i="2"/>
  <c r="L1907" i="2"/>
  <c r="L1905" i="2"/>
  <c r="L1903" i="2"/>
  <c r="L1902" i="2"/>
  <c r="L1899" i="2"/>
  <c r="L1897" i="2"/>
  <c r="L1896" i="2"/>
  <c r="L1895" i="2"/>
  <c r="L1893" i="2"/>
  <c r="L1892" i="2"/>
  <c r="L1889" i="2"/>
  <c r="L1886" i="2"/>
  <c r="L1885" i="2"/>
  <c r="L1883" i="2"/>
  <c r="L1882" i="2"/>
  <c r="L1881" i="2"/>
  <c r="L1880" i="2"/>
  <c r="L1879" i="2"/>
  <c r="L1878" i="2"/>
  <c r="L1877" i="2"/>
  <c r="L1876" i="2"/>
  <c r="L1875" i="2"/>
  <c r="L1874" i="2"/>
  <c r="L1872" i="2"/>
  <c r="L1869" i="2"/>
  <c r="L1867" i="2"/>
  <c r="L1865" i="2"/>
  <c r="L1862" i="2"/>
  <c r="L1859" i="2"/>
  <c r="L1857" i="2"/>
  <c r="L1855" i="2"/>
  <c r="L1853" i="2"/>
  <c r="L1851" i="2"/>
  <c r="L1850" i="2"/>
  <c r="L1847" i="2"/>
  <c r="L1844" i="2"/>
  <c r="L1841" i="2"/>
  <c r="L1840" i="2"/>
  <c r="L1839" i="2"/>
  <c r="L1838" i="2"/>
  <c r="L1835" i="2"/>
  <c r="L1834" i="2"/>
  <c r="L1830" i="2"/>
  <c r="L1829" i="2"/>
  <c r="L1827" i="2"/>
  <c r="L1825" i="2"/>
  <c r="L1822" i="2"/>
  <c r="L1821" i="2"/>
  <c r="L1819" i="2"/>
  <c r="L1818" i="2"/>
  <c r="L1817" i="2"/>
  <c r="L1813" i="2"/>
  <c r="L1811" i="2"/>
  <c r="L1809" i="2"/>
  <c r="L1807" i="2"/>
  <c r="L1806" i="2"/>
  <c r="L1804" i="2"/>
  <c r="L1802" i="2"/>
  <c r="L1801" i="2"/>
  <c r="L1798" i="2"/>
  <c r="L1797" i="2"/>
  <c r="L1794" i="2"/>
  <c r="L1793" i="2"/>
  <c r="L1790" i="2"/>
  <c r="L1785" i="2"/>
  <c r="L1784" i="2"/>
  <c r="L1783" i="2"/>
  <c r="L1782" i="2"/>
  <c r="L1781" i="2"/>
  <c r="L1778" i="2"/>
  <c r="L1776" i="2"/>
  <c r="L1774" i="2"/>
  <c r="L1772" i="2"/>
  <c r="L1766" i="2"/>
  <c r="L1764" i="2"/>
  <c r="L1762" i="2"/>
  <c r="L1745" i="2"/>
  <c r="L1737" i="2"/>
  <c r="L1726" i="2"/>
  <c r="L1721" i="2"/>
  <c r="L1718" i="2"/>
  <c r="L1714" i="2"/>
  <c r="L1712" i="2"/>
  <c r="L1710" i="2"/>
  <c r="L1709" i="2"/>
  <c r="L1707" i="2"/>
  <c r="L1705" i="2"/>
  <c r="L1704" i="2"/>
  <c r="L1701" i="2"/>
  <c r="L1700" i="2"/>
  <c r="L1699" i="2"/>
  <c r="L1698" i="2"/>
  <c r="L1696" i="2"/>
  <c r="L1695" i="2"/>
  <c r="L1694" i="2"/>
  <c r="L1693" i="2"/>
  <c r="L1690" i="2"/>
  <c r="L1684" i="2"/>
  <c r="L1682" i="2"/>
  <c r="L1679" i="2"/>
  <c r="L1678" i="2"/>
  <c r="L1677" i="2"/>
  <c r="L1676" i="2"/>
  <c r="L1675" i="2"/>
  <c r="L1674" i="2"/>
  <c r="L1673" i="2"/>
  <c r="L1672" i="2"/>
  <c r="L1670" i="2"/>
  <c r="L1669" i="2"/>
  <c r="L1668" i="2"/>
  <c r="L1666" i="2"/>
  <c r="L1665" i="2"/>
  <c r="L1664" i="2"/>
  <c r="L1662" i="2"/>
  <c r="L1660" i="2"/>
  <c r="L1655" i="2"/>
  <c r="L1654" i="2"/>
  <c r="L1649" i="2"/>
  <c r="L1647" i="2"/>
  <c r="L1646" i="2"/>
  <c r="L1645" i="2"/>
  <c r="L1620" i="2"/>
  <c r="L1616" i="2"/>
  <c r="L1595" i="2"/>
  <c r="L1594" i="2"/>
  <c r="L1591" i="2"/>
  <c r="L1590" i="2"/>
  <c r="L1589" i="2"/>
  <c r="L1588" i="2"/>
  <c r="L1582" i="2"/>
  <c r="L1575" i="2"/>
  <c r="L1574" i="2"/>
  <c r="L1571" i="2"/>
  <c r="L1568" i="2"/>
  <c r="L1562" i="2"/>
  <c r="L1561" i="2"/>
  <c r="L1550" i="2"/>
  <c r="L1542" i="2"/>
  <c r="L1538" i="2"/>
  <c r="L1537" i="2"/>
  <c r="L1489" i="2"/>
  <c r="L1488" i="2"/>
  <c r="L1481" i="2"/>
  <c r="L1477" i="2"/>
  <c r="L1474" i="2"/>
  <c r="L1472" i="2"/>
  <c r="L1471" i="2"/>
  <c r="L1470" i="2"/>
  <c r="L1468" i="2"/>
  <c r="L1463" i="2"/>
  <c r="L1458" i="2"/>
  <c r="L1456" i="2"/>
  <c r="L1452" i="2"/>
  <c r="L1451" i="2"/>
  <c r="L1445" i="2"/>
  <c r="L1443" i="2"/>
  <c r="L1441" i="2"/>
  <c r="L1437" i="2"/>
  <c r="L1435" i="2"/>
  <c r="L1433" i="2"/>
  <c r="L1397" i="2"/>
  <c r="L1395" i="2"/>
  <c r="L1392" i="2"/>
  <c r="L1380" i="2"/>
  <c r="L1373" i="2"/>
  <c r="L1371" i="2"/>
  <c r="L1369" i="2"/>
  <c r="L1367" i="2"/>
  <c r="L1363" i="2"/>
  <c r="L1354" i="2"/>
  <c r="L1331" i="2"/>
  <c r="L1328" i="2"/>
  <c r="L1321" i="2"/>
  <c r="L1319" i="2"/>
  <c r="L1318" i="2"/>
  <c r="L1316" i="2"/>
  <c r="L1314" i="2"/>
  <c r="L1311" i="2"/>
  <c r="L1310" i="2"/>
  <c r="L1308" i="2"/>
  <c r="L1306" i="2"/>
  <c r="L1303" i="2"/>
  <c r="L1301" i="2"/>
  <c r="L1298" i="2"/>
  <c r="L1295" i="2"/>
  <c r="L1292" i="2"/>
  <c r="L1290" i="2"/>
  <c r="L1288" i="2"/>
  <c r="L1286" i="2"/>
  <c r="L1284" i="2"/>
  <c r="L1282" i="2"/>
  <c r="L1280" i="2"/>
  <c r="L1278" i="2"/>
  <c r="L1276" i="2"/>
  <c r="L1274" i="2"/>
  <c r="L1272" i="2"/>
  <c r="L1270" i="2"/>
  <c r="L1267" i="2"/>
  <c r="L1265" i="2"/>
  <c r="L1262" i="2"/>
  <c r="L1260" i="2"/>
  <c r="L1258" i="2"/>
  <c r="L1256" i="2"/>
  <c r="L1251" i="2"/>
  <c r="L1249" i="2"/>
  <c r="L1247" i="2"/>
  <c r="L1246" i="2"/>
  <c r="L1244" i="2"/>
  <c r="L1242" i="2"/>
  <c r="L1240" i="2"/>
  <c r="L1238" i="2"/>
  <c r="L1236" i="2"/>
  <c r="L1234" i="2"/>
  <c r="L1232" i="2"/>
  <c r="L1230" i="2"/>
  <c r="L1229" i="2"/>
  <c r="L1228" i="2"/>
  <c r="L1226" i="2"/>
  <c r="L1225" i="2"/>
  <c r="L1222" i="2"/>
  <c r="L1219" i="2"/>
  <c r="L1216" i="2"/>
  <c r="L1214" i="2"/>
  <c r="L1212" i="2"/>
  <c r="L1210" i="2"/>
  <c r="L1209" i="2"/>
  <c r="L1208" i="2"/>
  <c r="L1206" i="2"/>
  <c r="L1204" i="2"/>
  <c r="L1202" i="2"/>
  <c r="L1201" i="2"/>
  <c r="L1198" i="2"/>
  <c r="L1197" i="2"/>
  <c r="L1196" i="2"/>
  <c r="L1195" i="2"/>
  <c r="L1194" i="2"/>
  <c r="L1192" i="2"/>
  <c r="L1190" i="2"/>
  <c r="L1185" i="2"/>
  <c r="L1182" i="2"/>
  <c r="L1180" i="2"/>
  <c r="L1179" i="2"/>
  <c r="L1178" i="2"/>
  <c r="L1173" i="2"/>
  <c r="L1172" i="2"/>
  <c r="L1164" i="2"/>
  <c r="L1163" i="2"/>
  <c r="L1161" i="2"/>
  <c r="L1160" i="2"/>
  <c r="L1156" i="2"/>
  <c r="L1147" i="2"/>
  <c r="L1146" i="2"/>
  <c r="L1143" i="2"/>
  <c r="L1142" i="2"/>
  <c r="L1141" i="2"/>
  <c r="L1137" i="2"/>
  <c r="L1135" i="2"/>
  <c r="L1132" i="2"/>
  <c r="L1129" i="2"/>
  <c r="L1127" i="2"/>
  <c r="L1125" i="2"/>
  <c r="L1123" i="2"/>
  <c r="L1121" i="2"/>
  <c r="L1119" i="2"/>
  <c r="L1118" i="2"/>
  <c r="L1116" i="2"/>
  <c r="L1114" i="2"/>
  <c r="L1112" i="2"/>
  <c r="L1109" i="2"/>
  <c r="L1106" i="2"/>
  <c r="L1104" i="2"/>
  <c r="L1102" i="2"/>
  <c r="L1100" i="2"/>
  <c r="L1098" i="2"/>
  <c r="L1096" i="2"/>
  <c r="L1095" i="2"/>
  <c r="L1093" i="2"/>
  <c r="L1091" i="2"/>
  <c r="L1089" i="2"/>
  <c r="L1087" i="2"/>
  <c r="L1086" i="2"/>
  <c r="L1085" i="2"/>
  <c r="L1083" i="2"/>
  <c r="L1081" i="2"/>
  <c r="L1079" i="2"/>
  <c r="L1078" i="2"/>
  <c r="L1076" i="2"/>
  <c r="L1074" i="2"/>
  <c r="L1072" i="2"/>
  <c r="L1071" i="2"/>
  <c r="L1069" i="2"/>
  <c r="L1067" i="2"/>
  <c r="L1065" i="2"/>
  <c r="L1063" i="2"/>
  <c r="L1061" i="2"/>
  <c r="L1060" i="2"/>
  <c r="L1058" i="2"/>
  <c r="L1055" i="2"/>
  <c r="L1052" i="2"/>
  <c r="L1050" i="2"/>
  <c r="L1048" i="2"/>
  <c r="L1044" i="2"/>
  <c r="L1038" i="2"/>
  <c r="L1035" i="2"/>
  <c r="L1033" i="2"/>
  <c r="L1031" i="2"/>
  <c r="L1029" i="2"/>
  <c r="L1027" i="2"/>
  <c r="L1025" i="2"/>
  <c r="L1023" i="2"/>
  <c r="L1021" i="2"/>
  <c r="L1014" i="2"/>
  <c r="L1009" i="2"/>
  <c r="L1007" i="2"/>
  <c r="L997" i="2"/>
  <c r="L985" i="2"/>
  <c r="L974" i="2"/>
  <c r="L972" i="2"/>
  <c r="L966" i="2"/>
  <c r="L964" i="2"/>
  <c r="L959" i="2"/>
  <c r="L957" i="2"/>
  <c r="L955" i="2"/>
  <c r="L953" i="2"/>
  <c r="L946" i="2"/>
  <c r="L944" i="2"/>
  <c r="L942" i="2"/>
  <c r="L939" i="2"/>
  <c r="L935" i="2"/>
  <c r="L934" i="2"/>
  <c r="L932" i="2"/>
  <c r="L930" i="2"/>
  <c r="L929" i="2"/>
  <c r="L927" i="2"/>
  <c r="L924" i="2"/>
  <c r="L920" i="2"/>
  <c r="L917" i="2"/>
  <c r="L916" i="2"/>
  <c r="L910" i="2"/>
  <c r="L909" i="2"/>
  <c r="L906" i="2"/>
  <c r="L905" i="2"/>
  <c r="L899" i="2"/>
  <c r="L895" i="2"/>
  <c r="L890" i="2"/>
  <c r="L886" i="2"/>
  <c r="L885" i="2"/>
  <c r="L878" i="2"/>
  <c r="L877" i="2"/>
  <c r="L876" i="2"/>
  <c r="L874" i="2"/>
  <c r="L872" i="2"/>
  <c r="L871" i="2"/>
  <c r="L868" i="2"/>
  <c r="L866" i="2"/>
  <c r="L865" i="2"/>
  <c r="L861" i="2"/>
  <c r="L860" i="2"/>
  <c r="L859" i="2"/>
  <c r="L853" i="2"/>
  <c r="L852" i="2"/>
  <c r="L851" i="2"/>
  <c r="L850" i="2"/>
  <c r="L849" i="2"/>
  <c r="L848" i="2"/>
  <c r="L845" i="2"/>
  <c r="L844" i="2"/>
  <c r="L842" i="2"/>
  <c r="L841" i="2"/>
  <c r="L840" i="2"/>
  <c r="L837" i="2"/>
  <c r="L836" i="2"/>
  <c r="L835" i="2"/>
  <c r="L834" i="2"/>
  <c r="L832" i="2"/>
  <c r="L828" i="2"/>
  <c r="L827" i="2"/>
  <c r="L825" i="2"/>
  <c r="L824" i="2"/>
  <c r="L823" i="2"/>
  <c r="L821" i="2"/>
  <c r="L820" i="2"/>
  <c r="L818" i="2"/>
  <c r="L815" i="2"/>
  <c r="L814" i="2"/>
  <c r="L812" i="2"/>
  <c r="L811" i="2"/>
  <c r="L810" i="2"/>
  <c r="L806" i="2"/>
  <c r="L803" i="2"/>
  <c r="L802" i="2"/>
  <c r="L801" i="2"/>
  <c r="L800" i="2"/>
  <c r="L797" i="2"/>
  <c r="L795" i="2"/>
  <c r="L792" i="2"/>
  <c r="L790" i="2"/>
  <c r="L787" i="2"/>
  <c r="L784" i="2"/>
  <c r="L783" i="2"/>
  <c r="L780" i="2"/>
  <c r="L776" i="2"/>
  <c r="L775" i="2"/>
  <c r="L774" i="2"/>
  <c r="L772" i="2"/>
  <c r="L771" i="2"/>
  <c r="L769" i="2"/>
  <c r="L767" i="2"/>
  <c r="L766" i="2"/>
  <c r="L762" i="2"/>
  <c r="L759" i="2"/>
  <c r="L750" i="2"/>
  <c r="L732" i="2"/>
  <c r="L728" i="2"/>
  <c r="L721" i="2"/>
  <c r="L707" i="2"/>
  <c r="L706" i="2"/>
  <c r="L701" i="2"/>
  <c r="L691" i="2"/>
  <c r="L686" i="2"/>
  <c r="L682" i="2"/>
  <c r="L681" i="2"/>
  <c r="L679" i="2"/>
  <c r="L676" i="2"/>
  <c r="L675" i="2"/>
  <c r="L671" i="2"/>
  <c r="L670" i="2"/>
  <c r="L669" i="2"/>
  <c r="L667" i="2"/>
  <c r="L665" i="2"/>
  <c r="L664" i="2"/>
  <c r="L659" i="2"/>
  <c r="L657" i="2"/>
  <c r="L655" i="2"/>
  <c r="L654" i="2"/>
  <c r="L650" i="2"/>
  <c r="L649" i="2"/>
  <c r="L646" i="2"/>
  <c r="L642" i="2"/>
  <c r="L639" i="2"/>
  <c r="L638" i="2"/>
  <c r="L637" i="2"/>
  <c r="L636" i="2"/>
  <c r="L634" i="2"/>
  <c r="L632" i="2"/>
  <c r="L630" i="2"/>
  <c r="L628" i="2"/>
  <c r="L625" i="2"/>
  <c r="L622" i="2"/>
  <c r="L619" i="2"/>
  <c r="L618" i="2"/>
  <c r="L617" i="2"/>
  <c r="L614" i="2"/>
  <c r="L611" i="2"/>
  <c r="L609" i="2"/>
  <c r="L608" i="2"/>
  <c r="L604" i="2"/>
  <c r="L602" i="2"/>
  <c r="L600" i="2"/>
  <c r="L595" i="2"/>
  <c r="L593" i="2"/>
  <c r="L592" i="2"/>
  <c r="L591" i="2"/>
  <c r="L590" i="2"/>
  <c r="L589" i="2"/>
  <c r="L586" i="2"/>
  <c r="L585" i="2"/>
  <c r="L584" i="2"/>
  <c r="L582" i="2"/>
  <c r="L579" i="2"/>
  <c r="L575" i="2"/>
  <c r="L571" i="2"/>
  <c r="L570" i="2"/>
  <c r="L569" i="2"/>
  <c r="L567" i="2"/>
  <c r="L565" i="2"/>
  <c r="L564" i="2"/>
  <c r="L558" i="2"/>
  <c r="L553" i="2"/>
  <c r="L552" i="2"/>
  <c r="L549" i="2"/>
  <c r="L539" i="2"/>
  <c r="L529" i="2"/>
  <c r="L505" i="2"/>
  <c r="L502" i="2"/>
  <c r="L501" i="2"/>
  <c r="L491" i="2"/>
  <c r="L490" i="2"/>
  <c r="L488" i="2"/>
  <c r="L484" i="2"/>
  <c r="L479" i="2"/>
  <c r="L476" i="2"/>
  <c r="L473" i="2"/>
  <c r="L469" i="2"/>
  <c r="L467" i="2"/>
  <c r="L465" i="2"/>
  <c r="L463" i="2"/>
  <c r="L462" i="2"/>
  <c r="L460" i="2"/>
  <c r="L458" i="2"/>
  <c r="L455" i="2"/>
  <c r="L453" i="2"/>
  <c r="L452" i="2"/>
  <c r="L450" i="2"/>
  <c r="L448" i="2"/>
  <c r="L443" i="2"/>
  <c r="L438" i="2"/>
  <c r="L435" i="2"/>
  <c r="L433" i="2"/>
  <c r="L428" i="2"/>
  <c r="L426" i="2"/>
  <c r="L424" i="2"/>
  <c r="L421" i="2"/>
  <c r="L419" i="2"/>
  <c r="L417" i="2"/>
  <c r="L415" i="2"/>
  <c r="L412" i="2"/>
  <c r="L411" i="2"/>
  <c r="L409" i="2"/>
  <c r="L408" i="2"/>
  <c r="L407" i="2"/>
  <c r="L405" i="2"/>
  <c r="L403" i="2"/>
  <c r="L400" i="2"/>
  <c r="L398" i="2"/>
  <c r="L393" i="2"/>
  <c r="L391" i="2"/>
  <c r="L389" i="2"/>
  <c r="L387" i="2"/>
  <c r="L385" i="2"/>
  <c r="L383" i="2"/>
  <c r="L382" i="2"/>
  <c r="L379" i="2"/>
  <c r="L376" i="2"/>
  <c r="L374" i="2"/>
  <c r="L371" i="2"/>
  <c r="L369" i="2"/>
  <c r="L367" i="2"/>
  <c r="L365" i="2"/>
  <c r="L364" i="2"/>
  <c r="L362" i="2"/>
  <c r="L360" i="2"/>
  <c r="L358" i="2"/>
  <c r="L356" i="2"/>
  <c r="L354" i="2"/>
  <c r="L352" i="2"/>
  <c r="L344" i="2"/>
  <c r="L341" i="2"/>
  <c r="L338" i="2"/>
  <c r="L324" i="2"/>
  <c r="L323" i="2"/>
  <c r="L316" i="2"/>
  <c r="L309" i="2"/>
  <c r="L306" i="2"/>
  <c r="L301" i="2"/>
  <c r="L296" i="2"/>
  <c r="L293" i="2"/>
  <c r="L291" i="2"/>
  <c r="L290" i="2"/>
  <c r="L289" i="2"/>
  <c r="L283" i="2"/>
  <c r="L281" i="2"/>
  <c r="L279" i="2"/>
  <c r="L277" i="2"/>
  <c r="L275" i="2"/>
  <c r="L270" i="2"/>
  <c r="L268" i="2"/>
  <c r="L265" i="2"/>
  <c r="L262" i="2"/>
  <c r="L260" i="2"/>
  <c r="L258" i="2"/>
  <c r="L254" i="2"/>
  <c r="L253" i="2"/>
  <c r="L250" i="2"/>
  <c r="L249" i="2"/>
  <c r="L247" i="2"/>
  <c r="L244" i="2"/>
  <c r="L242" i="2"/>
  <c r="L239" i="2"/>
  <c r="L238" i="2"/>
  <c r="L237" i="2"/>
  <c r="L235" i="2"/>
  <c r="L234" i="2"/>
  <c r="L233" i="2"/>
  <c r="L227" i="2"/>
  <c r="L225" i="2"/>
  <c r="L223" i="2"/>
  <c r="L219" i="2"/>
  <c r="L214" i="2"/>
  <c r="L212" i="2"/>
  <c r="L210" i="2"/>
  <c r="L208" i="2"/>
  <c r="L206" i="2"/>
  <c r="L203" i="2"/>
  <c r="L202" i="2"/>
  <c r="L199" i="2"/>
  <c r="L195" i="2"/>
  <c r="L192" i="2"/>
  <c r="L190" i="2"/>
  <c r="L188" i="2"/>
  <c r="L186" i="2"/>
  <c r="L159" i="2"/>
  <c r="L157" i="2"/>
  <c r="L155" i="2"/>
  <c r="L154" i="2"/>
  <c r="L153" i="2"/>
  <c r="L150" i="2"/>
  <c r="L149" i="2"/>
  <c r="L146" i="2"/>
  <c r="L141" i="2"/>
  <c r="L140" i="2"/>
  <c r="L134" i="2"/>
  <c r="L133" i="2"/>
  <c r="L132" i="2"/>
  <c r="L127" i="2"/>
  <c r="L125" i="2"/>
  <c r="L123" i="2"/>
  <c r="L120" i="2"/>
  <c r="L119" i="2"/>
  <c r="L117" i="2"/>
  <c r="L112" i="2"/>
  <c r="L109" i="2"/>
  <c r="L108" i="2"/>
  <c r="L107" i="2"/>
  <c r="L105" i="2"/>
  <c r="L104" i="2"/>
  <c r="L101" i="2"/>
  <c r="L98" i="2"/>
  <c r="L97" i="2"/>
  <c r="L96" i="2"/>
  <c r="L94" i="2"/>
  <c r="L93" i="2"/>
  <c r="L92" i="2"/>
  <c r="L91" i="2"/>
  <c r="L87" i="2"/>
  <c r="L83" i="2"/>
  <c r="L82" i="2"/>
  <c r="L81" i="2"/>
  <c r="L78" i="2"/>
  <c r="L77" i="2"/>
  <c r="L74" i="2"/>
  <c r="L73" i="2"/>
  <c r="L68" i="2"/>
  <c r="L67" i="2"/>
  <c r="L66" i="2"/>
  <c r="L65" i="2"/>
  <c r="L62" i="2"/>
  <c r="L60" i="2"/>
  <c r="L54" i="2"/>
  <c r="L52" i="2"/>
  <c r="L49" i="2"/>
  <c r="L48" i="2"/>
  <c r="L46" i="2"/>
  <c r="L45" i="2"/>
  <c r="L41" i="2"/>
  <c r="L40" i="2"/>
  <c r="L38" i="2"/>
  <c r="L10" i="2"/>
  <c r="L5" i="2"/>
  <c r="L4" i="2"/>
  <c r="L3" i="2"/>
  <c r="K3" i="2"/>
  <c r="K2988" i="2"/>
  <c r="K2987" i="2"/>
  <c r="K2986" i="2"/>
  <c r="K2985" i="2"/>
  <c r="K2981" i="2"/>
  <c r="K2980" i="2"/>
  <c r="K2974" i="2"/>
  <c r="K2973" i="2"/>
  <c r="K2966" i="2"/>
  <c r="K2963" i="2"/>
  <c r="K2961" i="2"/>
  <c r="K2954" i="2"/>
  <c r="K2952" i="2"/>
  <c r="K2949" i="2"/>
  <c r="K2945" i="2"/>
  <c r="K2942" i="2"/>
  <c r="K2940" i="2"/>
  <c r="K2939" i="2"/>
  <c r="K2936" i="2"/>
  <c r="K2935" i="2"/>
  <c r="K2928" i="2"/>
  <c r="K2926" i="2"/>
  <c r="K2921" i="2"/>
  <c r="K2920" i="2"/>
  <c r="K2918" i="2"/>
  <c r="K2913" i="2"/>
  <c r="K2911" i="2"/>
  <c r="K2909" i="2"/>
  <c r="K2905" i="2"/>
  <c r="K2903" i="2"/>
  <c r="K2900" i="2"/>
  <c r="K2895" i="2"/>
  <c r="K2894" i="2"/>
  <c r="K2877" i="2"/>
  <c r="K2870" i="2"/>
  <c r="K2866" i="2"/>
  <c r="K2864" i="2"/>
  <c r="K2861" i="2"/>
  <c r="K2860" i="2"/>
  <c r="K2859" i="2"/>
  <c r="K2855" i="2"/>
  <c r="K2854" i="2"/>
  <c r="K2852" i="2"/>
  <c r="K2851" i="2"/>
  <c r="K2849" i="2"/>
  <c r="K2848" i="2"/>
  <c r="K2845" i="2"/>
  <c r="K2844" i="2"/>
  <c r="K2843" i="2"/>
  <c r="K2841" i="2"/>
  <c r="K2840" i="2"/>
  <c r="K2838" i="2"/>
  <c r="K2836" i="2"/>
  <c r="K2833" i="2"/>
  <c r="K2832" i="2"/>
  <c r="K2830" i="2"/>
  <c r="K2829" i="2"/>
  <c r="K2827" i="2"/>
  <c r="K2825" i="2"/>
  <c r="K2822" i="2"/>
  <c r="K2821" i="2"/>
  <c r="K2820" i="2"/>
  <c r="K2818" i="2"/>
  <c r="K2816" i="2"/>
  <c r="K2813" i="2"/>
  <c r="K2812" i="2"/>
  <c r="K2807" i="2"/>
  <c r="K2805" i="2"/>
  <c r="K2802" i="2"/>
  <c r="K2800" i="2"/>
  <c r="K2799" i="2"/>
  <c r="K2796" i="2"/>
  <c r="K2795" i="2"/>
  <c r="K2792" i="2"/>
  <c r="K2791" i="2"/>
  <c r="K2783" i="2"/>
  <c r="K2772" i="2"/>
  <c r="K2768" i="2"/>
  <c r="K2767" i="2"/>
  <c r="K2760" i="2"/>
  <c r="K2759" i="2"/>
  <c r="K2758" i="2"/>
  <c r="K2757" i="2"/>
  <c r="K2752" i="2"/>
  <c r="K2749" i="2"/>
  <c r="K2747" i="2"/>
  <c r="K2742" i="2"/>
  <c r="K2740" i="2"/>
  <c r="K2739" i="2"/>
  <c r="K2737" i="2"/>
  <c r="K2735" i="2"/>
  <c r="K2734" i="2"/>
  <c r="K2733" i="2"/>
  <c r="K2731" i="2"/>
  <c r="K2728" i="2"/>
  <c r="K2727" i="2"/>
  <c r="K2726" i="2"/>
  <c r="K2725" i="2"/>
  <c r="K2721" i="2"/>
  <c r="K2719" i="2"/>
  <c r="K2718" i="2"/>
  <c r="K2717" i="2"/>
  <c r="K2714" i="2"/>
  <c r="K2710" i="2"/>
  <c r="K2709" i="2"/>
  <c r="K2706" i="2"/>
  <c r="K2702" i="2"/>
  <c r="K2697" i="2"/>
  <c r="K2696" i="2"/>
  <c r="K2695" i="2"/>
  <c r="K2693" i="2"/>
  <c r="K2675" i="2"/>
  <c r="K2667" i="2"/>
  <c r="K2638" i="2"/>
  <c r="K2621" i="2"/>
  <c r="K2612" i="2"/>
  <c r="K2609" i="2"/>
  <c r="K2607" i="2"/>
  <c r="K2595" i="2"/>
  <c r="K2591" i="2"/>
  <c r="K2589" i="2"/>
  <c r="K2587" i="2"/>
  <c r="K2584" i="2"/>
  <c r="K2583" i="2"/>
  <c r="K2582" i="2"/>
  <c r="K2580" i="2"/>
  <c r="K2579" i="2"/>
  <c r="K2575" i="2"/>
  <c r="K2571" i="2"/>
  <c r="K2569" i="2"/>
  <c r="K2566" i="2"/>
  <c r="K2563" i="2"/>
  <c r="K2560" i="2"/>
  <c r="K2556" i="2"/>
  <c r="K2540" i="2"/>
  <c r="K2536" i="2"/>
  <c r="K2534" i="2"/>
  <c r="K2528" i="2"/>
  <c r="K2526" i="2"/>
  <c r="K2517" i="2"/>
  <c r="K2515" i="2"/>
  <c r="K2514" i="2"/>
  <c r="K2509" i="2"/>
  <c r="K2508" i="2"/>
  <c r="K2507" i="2"/>
  <c r="K2505" i="2"/>
  <c r="K2503" i="2"/>
  <c r="K2501" i="2"/>
  <c r="K2494" i="2"/>
  <c r="K2493" i="2"/>
  <c r="K2491" i="2"/>
  <c r="K2489" i="2"/>
  <c r="K2485" i="2"/>
  <c r="K2484" i="2"/>
  <c r="K2480" i="2"/>
  <c r="K2477" i="2"/>
  <c r="K2473" i="2"/>
  <c r="K2470" i="2"/>
  <c r="K2469" i="2"/>
  <c r="K2465" i="2"/>
  <c r="K2463" i="2"/>
  <c r="K2460" i="2"/>
  <c r="K2456" i="2"/>
  <c r="K2451" i="2"/>
  <c r="K2449" i="2"/>
  <c r="K2445" i="2"/>
  <c r="K2444" i="2"/>
  <c r="K2441" i="2"/>
  <c r="K2436" i="2"/>
  <c r="K2431" i="2"/>
  <c r="K2420" i="2"/>
  <c r="K2419" i="2"/>
  <c r="K2412" i="2"/>
  <c r="K2411" i="2"/>
  <c r="K2375" i="2"/>
  <c r="K2373" i="2"/>
  <c r="K2370" i="2"/>
  <c r="K2368" i="2"/>
  <c r="K2366" i="2"/>
  <c r="K2362" i="2"/>
  <c r="K2360" i="2"/>
  <c r="K2352" i="2"/>
  <c r="K2351" i="2"/>
  <c r="K2349" i="2"/>
  <c r="K2347" i="2"/>
  <c r="K2344" i="2"/>
  <c r="K2343" i="2"/>
  <c r="K2339" i="2"/>
  <c r="K2337" i="2"/>
  <c r="K2335" i="2"/>
  <c r="K2332" i="2"/>
  <c r="K2331" i="2"/>
  <c r="K2329" i="2"/>
  <c r="K2328" i="2"/>
  <c r="K2327" i="2"/>
  <c r="K2325" i="2"/>
  <c r="K2322" i="2"/>
  <c r="K2317" i="2"/>
  <c r="K2316" i="2"/>
  <c r="K2315" i="2"/>
  <c r="K2314" i="2"/>
  <c r="K2313" i="2"/>
  <c r="K2311" i="2"/>
  <c r="K2310" i="2"/>
  <c r="K2309" i="2"/>
  <c r="K2308" i="2"/>
  <c r="K2304" i="2"/>
  <c r="K2303" i="2"/>
  <c r="K2302" i="2"/>
  <c r="K2301" i="2"/>
  <c r="K2299" i="2"/>
  <c r="K2298" i="2"/>
  <c r="K2297" i="2"/>
  <c r="K2296" i="2"/>
  <c r="K2294" i="2"/>
  <c r="K2292" i="2"/>
  <c r="K2291" i="2"/>
  <c r="K2287" i="2"/>
  <c r="K2285" i="2"/>
  <c r="K2282" i="2"/>
  <c r="K2279" i="2"/>
  <c r="K2278" i="2"/>
  <c r="K2275" i="2"/>
  <c r="K2273" i="2"/>
  <c r="K2272" i="2"/>
  <c r="K2271" i="2"/>
  <c r="K2270" i="2"/>
  <c r="K2269" i="2"/>
  <c r="K2268" i="2"/>
  <c r="K2267" i="2"/>
  <c r="K2265" i="2"/>
  <c r="K2264" i="2"/>
  <c r="K2263" i="2"/>
  <c r="K2262" i="2"/>
  <c r="K2261" i="2"/>
  <c r="K2260" i="2"/>
  <c r="K2258" i="2"/>
  <c r="K2256" i="2"/>
  <c r="K2255" i="2"/>
  <c r="K2254" i="2"/>
  <c r="K2253" i="2"/>
  <c r="K2252" i="2"/>
  <c r="K2251" i="2"/>
  <c r="K2250" i="2"/>
  <c r="K2248" i="2"/>
  <c r="K2246" i="2"/>
  <c r="K2245" i="2"/>
  <c r="K2244" i="2"/>
  <c r="K2242" i="2"/>
  <c r="K2241" i="2"/>
  <c r="K2240" i="2"/>
  <c r="K2239" i="2"/>
  <c r="K2237" i="2"/>
  <c r="K2236" i="2"/>
  <c r="K2235" i="2"/>
  <c r="K2234" i="2"/>
  <c r="K2233" i="2"/>
  <c r="K2232" i="2"/>
  <c r="K2230" i="2"/>
  <c r="K2229" i="2"/>
  <c r="K2228" i="2"/>
  <c r="K2227" i="2"/>
  <c r="K2226" i="2"/>
  <c r="K2225" i="2"/>
  <c r="K2222" i="2"/>
  <c r="K2220" i="2"/>
  <c r="K2219" i="2"/>
  <c r="K2217" i="2"/>
  <c r="K2214" i="2"/>
  <c r="K2212" i="2"/>
  <c r="K2211" i="2"/>
  <c r="K2209" i="2"/>
  <c r="K2204" i="2"/>
  <c r="K2202" i="2"/>
  <c r="K2200" i="2"/>
  <c r="K2197" i="2"/>
  <c r="K2196" i="2"/>
  <c r="K2195" i="2"/>
  <c r="K2194" i="2"/>
  <c r="K2190" i="2"/>
  <c r="K2189" i="2"/>
  <c r="K2188" i="2"/>
  <c r="K2184" i="2"/>
  <c r="K2183" i="2"/>
  <c r="K2182" i="2"/>
  <c r="K2181" i="2"/>
  <c r="K2179" i="2"/>
  <c r="K2174" i="2"/>
  <c r="K2162" i="2"/>
  <c r="K2158" i="2"/>
  <c r="K2156" i="2"/>
  <c r="K2152" i="2"/>
  <c r="K2149" i="2"/>
  <c r="K2144" i="2"/>
  <c r="K2141" i="2"/>
  <c r="K2137" i="2"/>
  <c r="K2127" i="2"/>
  <c r="K2101" i="2"/>
  <c r="K2099" i="2"/>
  <c r="K2097" i="2"/>
  <c r="K2095" i="2"/>
  <c r="K2093" i="2"/>
  <c r="K2092" i="2"/>
  <c r="K2091" i="2"/>
  <c r="K2090" i="2"/>
  <c r="K2089" i="2"/>
  <c r="K2088" i="2"/>
  <c r="K2087" i="2"/>
  <c r="K2085" i="2"/>
  <c r="K2084" i="2"/>
  <c r="K2081" i="2"/>
  <c r="K2080" i="2"/>
  <c r="K2078" i="2"/>
  <c r="K2077" i="2"/>
  <c r="K2076" i="2"/>
  <c r="K2073" i="2"/>
  <c r="K2070" i="2"/>
  <c r="K2068" i="2"/>
  <c r="K2065" i="2"/>
  <c r="K2064" i="2"/>
  <c r="K2062" i="2"/>
  <c r="K2060" i="2"/>
  <c r="K2057" i="2"/>
  <c r="K2055" i="2"/>
  <c r="K2054" i="2"/>
  <c r="K2053" i="2"/>
  <c r="K2051" i="2"/>
  <c r="K2048" i="2"/>
  <c r="K2045" i="2"/>
  <c r="K2043" i="2"/>
  <c r="K2041" i="2"/>
  <c r="K2040" i="2"/>
  <c r="K2038" i="2"/>
  <c r="K2035" i="2"/>
  <c r="K2034" i="2"/>
  <c r="K2031" i="2"/>
  <c r="K2029" i="2"/>
  <c r="K2026" i="2"/>
  <c r="K2024" i="2"/>
  <c r="K2022" i="2"/>
  <c r="K2020" i="2"/>
  <c r="K2019" i="2"/>
  <c r="K2018" i="2"/>
  <c r="K2015" i="2"/>
  <c r="K2013" i="2"/>
  <c r="K2009" i="2"/>
  <c r="K2008" i="2"/>
  <c r="K2006" i="2"/>
  <c r="K2004" i="2"/>
  <c r="K2002" i="2"/>
  <c r="K2000" i="2"/>
  <c r="K1998" i="2"/>
  <c r="K1995" i="2"/>
  <c r="K1993" i="2"/>
  <c r="K1992" i="2"/>
  <c r="K1991" i="2"/>
  <c r="K1989" i="2"/>
  <c r="K1968" i="2"/>
  <c r="K1965" i="2"/>
  <c r="K1938" i="2"/>
  <c r="K1936" i="2"/>
  <c r="K1934" i="2"/>
  <c r="K1932" i="2"/>
  <c r="K1930" i="2"/>
  <c r="K1928" i="2"/>
  <c r="K1926" i="2"/>
  <c r="K1923" i="2"/>
  <c r="K1921" i="2"/>
  <c r="K1916" i="2"/>
  <c r="K1915" i="2"/>
  <c r="K1913" i="2"/>
  <c r="K1911" i="2"/>
  <c r="K1909" i="2"/>
  <c r="K1908" i="2"/>
  <c r="K1907" i="2"/>
  <c r="K1905" i="2"/>
  <c r="K1903" i="2"/>
  <c r="K1902" i="2"/>
  <c r="K1899" i="2"/>
  <c r="K1897" i="2"/>
  <c r="K1896" i="2"/>
  <c r="K1895" i="2"/>
  <c r="K1893" i="2"/>
  <c r="K1892" i="2"/>
  <c r="K1889" i="2"/>
  <c r="K1886" i="2"/>
  <c r="K1885" i="2"/>
  <c r="K1883" i="2"/>
  <c r="K1882" i="2"/>
  <c r="K1881" i="2"/>
  <c r="K1880" i="2"/>
  <c r="K1879" i="2"/>
  <c r="K1878" i="2"/>
  <c r="K1877" i="2"/>
  <c r="K1876" i="2"/>
  <c r="K1875" i="2"/>
  <c r="K1874" i="2"/>
  <c r="K1872" i="2"/>
  <c r="K1869" i="2"/>
  <c r="K1867" i="2"/>
  <c r="K1865" i="2"/>
  <c r="K1862" i="2"/>
  <c r="K1859" i="2"/>
  <c r="K1857" i="2"/>
  <c r="K1855" i="2"/>
  <c r="K1853" i="2"/>
  <c r="K1851" i="2"/>
  <c r="K1850" i="2"/>
  <c r="K1847" i="2"/>
  <c r="K1844" i="2"/>
  <c r="K1841" i="2"/>
  <c r="K1840" i="2"/>
  <c r="K1839" i="2"/>
  <c r="K1838" i="2"/>
  <c r="K1835" i="2"/>
  <c r="K1834" i="2"/>
  <c r="K1830" i="2"/>
  <c r="K1829" i="2"/>
  <c r="K1827" i="2"/>
  <c r="K1825" i="2"/>
  <c r="K1822" i="2"/>
  <c r="K1821" i="2"/>
  <c r="K1819" i="2"/>
  <c r="K1818" i="2"/>
  <c r="K1817" i="2"/>
  <c r="K1813" i="2"/>
  <c r="K1811" i="2"/>
  <c r="K1809" i="2"/>
  <c r="K1807" i="2"/>
  <c r="K1806" i="2"/>
  <c r="K1804" i="2"/>
  <c r="K1802" i="2"/>
  <c r="K1801" i="2"/>
  <c r="K1798" i="2"/>
  <c r="K1797" i="2"/>
  <c r="K1794" i="2"/>
  <c r="K1793" i="2"/>
  <c r="K1790" i="2"/>
  <c r="K1785" i="2"/>
  <c r="K1784" i="2"/>
  <c r="K1783" i="2"/>
  <c r="K1782" i="2"/>
  <c r="K1781" i="2"/>
  <c r="K1778" i="2"/>
  <c r="K1776" i="2"/>
  <c r="K1774" i="2"/>
  <c r="K1772" i="2"/>
  <c r="K1766" i="2"/>
  <c r="K1764" i="2"/>
  <c r="K1762" i="2"/>
  <c r="K1745" i="2"/>
  <c r="K1737" i="2"/>
  <c r="K1726" i="2"/>
  <c r="K1721" i="2"/>
  <c r="K1718" i="2"/>
  <c r="K1714" i="2"/>
  <c r="K1712" i="2"/>
  <c r="K1710" i="2"/>
  <c r="K1709" i="2"/>
  <c r="K1707" i="2"/>
  <c r="K1705" i="2"/>
  <c r="K1704" i="2"/>
  <c r="K1701" i="2"/>
  <c r="K1700" i="2"/>
  <c r="K1699" i="2"/>
  <c r="K1698" i="2"/>
  <c r="K1696" i="2"/>
  <c r="K1695" i="2"/>
  <c r="K1694" i="2"/>
  <c r="K1693" i="2"/>
  <c r="K1690" i="2"/>
  <c r="K1684" i="2"/>
  <c r="K1682" i="2"/>
  <c r="K1679" i="2"/>
  <c r="K1678" i="2"/>
  <c r="K1677" i="2"/>
  <c r="K1676" i="2"/>
  <c r="K1675" i="2"/>
  <c r="K1674" i="2"/>
  <c r="K1673" i="2"/>
  <c r="K1672" i="2"/>
  <c r="K1670" i="2"/>
  <c r="K1669" i="2"/>
  <c r="K1668" i="2"/>
  <c r="K1666" i="2"/>
  <c r="K1665" i="2"/>
  <c r="K1664" i="2"/>
  <c r="K1662" i="2"/>
  <c r="K1660" i="2"/>
  <c r="K1655" i="2"/>
  <c r="K1654" i="2"/>
  <c r="K1649" i="2"/>
  <c r="K1647" i="2"/>
  <c r="K1646" i="2"/>
  <c r="K1645" i="2"/>
  <c r="K1620" i="2"/>
  <c r="K1616" i="2"/>
  <c r="K1595" i="2"/>
  <c r="K1594" i="2"/>
  <c r="K1591" i="2"/>
  <c r="K1590" i="2"/>
  <c r="K1589" i="2"/>
  <c r="K1588" i="2"/>
  <c r="K1582" i="2"/>
  <c r="K1575" i="2"/>
  <c r="K1574" i="2"/>
  <c r="K1571" i="2"/>
  <c r="K1568" i="2"/>
  <c r="K1562" i="2"/>
  <c r="K1561" i="2"/>
  <c r="K1550" i="2"/>
  <c r="K1542" i="2"/>
  <c r="K1538" i="2"/>
  <c r="K1537" i="2"/>
  <c r="K1489" i="2"/>
  <c r="K1488" i="2"/>
  <c r="K1481" i="2"/>
  <c r="K1477" i="2"/>
  <c r="K1474" i="2"/>
  <c r="K1472" i="2"/>
  <c r="K1471" i="2"/>
  <c r="K1470" i="2"/>
  <c r="K1468" i="2"/>
  <c r="K1463" i="2"/>
  <c r="K1458" i="2"/>
  <c r="K1456" i="2"/>
  <c r="K1452" i="2"/>
  <c r="K1451" i="2"/>
  <c r="K1445" i="2"/>
  <c r="K1443" i="2"/>
  <c r="K1441" i="2"/>
  <c r="K1437" i="2"/>
  <c r="K1435" i="2"/>
  <c r="K1433" i="2"/>
  <c r="K1397" i="2"/>
  <c r="K1395" i="2"/>
  <c r="K1392" i="2"/>
  <c r="K1380" i="2"/>
  <c r="K1373" i="2"/>
  <c r="K1371" i="2"/>
  <c r="K1369" i="2"/>
  <c r="K1367" i="2"/>
  <c r="K1363" i="2"/>
  <c r="K1354" i="2"/>
  <c r="K1331" i="2"/>
  <c r="K1328" i="2"/>
  <c r="K1321" i="2"/>
  <c r="K1319" i="2"/>
  <c r="K1318" i="2"/>
  <c r="K1316" i="2"/>
  <c r="K1314" i="2"/>
  <c r="K1311" i="2"/>
  <c r="K1310" i="2"/>
  <c r="K1308" i="2"/>
  <c r="K1306" i="2"/>
  <c r="K1303" i="2"/>
  <c r="K1301" i="2"/>
  <c r="K1298" i="2"/>
  <c r="K1295" i="2"/>
  <c r="K1292" i="2"/>
  <c r="K1290" i="2"/>
  <c r="K1288" i="2"/>
  <c r="K1286" i="2"/>
  <c r="K1284" i="2"/>
  <c r="K1282" i="2"/>
  <c r="K1280" i="2"/>
  <c r="K1278" i="2"/>
  <c r="K1276" i="2"/>
  <c r="K1274" i="2"/>
  <c r="K1272" i="2"/>
  <c r="K1270" i="2"/>
  <c r="K1267" i="2"/>
  <c r="K1265" i="2"/>
  <c r="K1262" i="2"/>
  <c r="K1260" i="2"/>
  <c r="K1258" i="2"/>
  <c r="K1256" i="2"/>
  <c r="K1251" i="2"/>
  <c r="K1249" i="2"/>
  <c r="K1247" i="2"/>
  <c r="K1246" i="2"/>
  <c r="K1244" i="2"/>
  <c r="K1242" i="2"/>
  <c r="K1240" i="2"/>
  <c r="K1238" i="2"/>
  <c r="K1236" i="2"/>
  <c r="K1234" i="2"/>
  <c r="K1232" i="2"/>
  <c r="K1230" i="2"/>
  <c r="K1229" i="2"/>
  <c r="K1228" i="2"/>
  <c r="K1226" i="2"/>
  <c r="K1225" i="2"/>
  <c r="K1222" i="2"/>
  <c r="K1219" i="2"/>
  <c r="K1216" i="2"/>
  <c r="K1214" i="2"/>
  <c r="K1212" i="2"/>
  <c r="K1210" i="2"/>
  <c r="K1209" i="2"/>
  <c r="K1208" i="2"/>
  <c r="K1206" i="2"/>
  <c r="K1204" i="2"/>
  <c r="K1202" i="2"/>
  <c r="K1201" i="2"/>
  <c r="K1198" i="2"/>
  <c r="K1197" i="2"/>
  <c r="K1196" i="2"/>
  <c r="K1195" i="2"/>
  <c r="K1194" i="2"/>
  <c r="K1192" i="2"/>
  <c r="K1190" i="2"/>
  <c r="K1185" i="2"/>
  <c r="K1182" i="2"/>
  <c r="K1180" i="2"/>
  <c r="K1179" i="2"/>
  <c r="K1178" i="2"/>
  <c r="K1173" i="2"/>
  <c r="K1172" i="2"/>
  <c r="K1164" i="2"/>
  <c r="K1163" i="2"/>
  <c r="K1161" i="2"/>
  <c r="K1160" i="2"/>
  <c r="K1156" i="2"/>
  <c r="K1147" i="2"/>
  <c r="K1146" i="2"/>
  <c r="K1143" i="2"/>
  <c r="K1142" i="2"/>
  <c r="K1141" i="2"/>
  <c r="K1137" i="2"/>
  <c r="K1135" i="2"/>
  <c r="K1132" i="2"/>
  <c r="K1129" i="2"/>
  <c r="K1127" i="2"/>
  <c r="K1125" i="2"/>
  <c r="K1123" i="2"/>
  <c r="K1121" i="2"/>
  <c r="K1119" i="2"/>
  <c r="K1118" i="2"/>
  <c r="K1116" i="2"/>
  <c r="K1114" i="2"/>
  <c r="K1112" i="2"/>
  <c r="K1109" i="2"/>
  <c r="K1106" i="2"/>
  <c r="K1104" i="2"/>
  <c r="K1102" i="2"/>
  <c r="K1100" i="2"/>
  <c r="K1098" i="2"/>
  <c r="K1096" i="2"/>
  <c r="K1095" i="2"/>
  <c r="K1093" i="2"/>
  <c r="K1091" i="2"/>
  <c r="K1089" i="2"/>
  <c r="K1087" i="2"/>
  <c r="K1086" i="2"/>
  <c r="K1085" i="2"/>
  <c r="K1083" i="2"/>
  <c r="K1081" i="2"/>
  <c r="K1079" i="2"/>
  <c r="K1078" i="2"/>
  <c r="K1076" i="2"/>
  <c r="K1074" i="2"/>
  <c r="K1072" i="2"/>
  <c r="K1071" i="2"/>
  <c r="K1069" i="2"/>
  <c r="K1067" i="2"/>
  <c r="K1065" i="2"/>
  <c r="K1063" i="2"/>
  <c r="K1061" i="2"/>
  <c r="K1060" i="2"/>
  <c r="K1058" i="2"/>
  <c r="K1055" i="2"/>
  <c r="K1052" i="2"/>
  <c r="K1050" i="2"/>
  <c r="K1048" i="2"/>
  <c r="K1044" i="2"/>
  <c r="K1038" i="2"/>
  <c r="K1035" i="2"/>
  <c r="K1033" i="2"/>
  <c r="K1031" i="2"/>
  <c r="K1029" i="2"/>
  <c r="K1027" i="2"/>
  <c r="K1025" i="2"/>
  <c r="K1023" i="2"/>
  <c r="K1021" i="2"/>
  <c r="K1014" i="2"/>
  <c r="K1009" i="2"/>
  <c r="K1007" i="2"/>
  <c r="K997" i="2"/>
  <c r="K985" i="2"/>
  <c r="K974" i="2"/>
  <c r="K972" i="2"/>
  <c r="K966" i="2"/>
  <c r="K964" i="2"/>
  <c r="K959" i="2"/>
  <c r="K957" i="2"/>
  <c r="K955" i="2"/>
  <c r="K953" i="2"/>
  <c r="K946" i="2"/>
  <c r="K944" i="2"/>
  <c r="K942" i="2"/>
  <c r="K939" i="2"/>
  <c r="K935" i="2"/>
  <c r="K934" i="2"/>
  <c r="K932" i="2"/>
  <c r="K930" i="2"/>
  <c r="K929" i="2"/>
  <c r="K927" i="2"/>
  <c r="K924" i="2"/>
  <c r="K920" i="2"/>
  <c r="K917" i="2"/>
  <c r="K916" i="2"/>
  <c r="K910" i="2"/>
  <c r="K909" i="2"/>
  <c r="K906" i="2"/>
  <c r="K905" i="2"/>
  <c r="K899" i="2"/>
  <c r="K895" i="2"/>
  <c r="K890" i="2"/>
  <c r="K886" i="2"/>
  <c r="K885" i="2"/>
  <c r="K878" i="2"/>
  <c r="K877" i="2"/>
  <c r="K876" i="2"/>
  <c r="K874" i="2"/>
  <c r="K872" i="2"/>
  <c r="K871" i="2"/>
  <c r="K868" i="2"/>
  <c r="K866" i="2"/>
  <c r="K865" i="2"/>
  <c r="K861" i="2"/>
  <c r="K860" i="2"/>
  <c r="K859" i="2"/>
  <c r="K853" i="2"/>
  <c r="K852" i="2"/>
  <c r="K851" i="2"/>
  <c r="K850" i="2"/>
  <c r="K849" i="2"/>
  <c r="K848" i="2"/>
  <c r="K845" i="2"/>
  <c r="K844" i="2"/>
  <c r="K842" i="2"/>
  <c r="K841" i="2"/>
  <c r="K840" i="2"/>
  <c r="K837" i="2"/>
  <c r="K836" i="2"/>
  <c r="K835" i="2"/>
  <c r="K834" i="2"/>
  <c r="K832" i="2"/>
  <c r="K828" i="2"/>
  <c r="K827" i="2"/>
  <c r="K825" i="2"/>
  <c r="K824" i="2"/>
  <c r="K823" i="2"/>
  <c r="K821" i="2"/>
  <c r="K820" i="2"/>
  <c r="K818" i="2"/>
  <c r="K815" i="2"/>
  <c r="K814" i="2"/>
  <c r="K812" i="2"/>
  <c r="K811" i="2"/>
  <c r="K810" i="2"/>
  <c r="K806" i="2"/>
  <c r="K803" i="2"/>
  <c r="K802" i="2"/>
  <c r="K801" i="2"/>
  <c r="K800" i="2"/>
  <c r="K797" i="2"/>
  <c r="K795" i="2"/>
  <c r="K792" i="2"/>
  <c r="K790" i="2"/>
  <c r="K787" i="2"/>
  <c r="K784" i="2"/>
  <c r="K783" i="2"/>
  <c r="K780" i="2"/>
  <c r="K776" i="2"/>
  <c r="K775" i="2"/>
  <c r="K774" i="2"/>
  <c r="K772" i="2"/>
  <c r="K771" i="2"/>
  <c r="K769" i="2"/>
  <c r="K767" i="2"/>
  <c r="K766" i="2"/>
  <c r="K762" i="2"/>
  <c r="K759" i="2"/>
  <c r="K750" i="2"/>
  <c r="K732" i="2"/>
  <c r="K728" i="2"/>
  <c r="K721" i="2"/>
  <c r="K707" i="2"/>
  <c r="K706" i="2"/>
  <c r="K701" i="2"/>
  <c r="K691" i="2"/>
  <c r="K686" i="2"/>
  <c r="K682" i="2"/>
  <c r="K681" i="2"/>
  <c r="K679" i="2"/>
  <c r="K676" i="2"/>
  <c r="K675" i="2"/>
  <c r="K671" i="2"/>
  <c r="K670" i="2"/>
  <c r="K669" i="2"/>
  <c r="K667" i="2"/>
  <c r="K665" i="2"/>
  <c r="K664" i="2"/>
  <c r="K659" i="2"/>
  <c r="K657" i="2"/>
  <c r="K655" i="2"/>
  <c r="K654" i="2"/>
  <c r="K650" i="2"/>
  <c r="K649" i="2"/>
  <c r="K646" i="2"/>
  <c r="K642" i="2"/>
  <c r="K639" i="2"/>
  <c r="K638" i="2"/>
  <c r="K637" i="2"/>
  <c r="K636" i="2"/>
  <c r="K634" i="2"/>
  <c r="K632" i="2"/>
  <c r="K630" i="2"/>
  <c r="K628" i="2"/>
  <c r="K625" i="2"/>
  <c r="K622" i="2"/>
  <c r="K619" i="2"/>
  <c r="K618" i="2"/>
  <c r="K617" i="2"/>
  <c r="K614" i="2"/>
  <c r="K611" i="2"/>
  <c r="K609" i="2"/>
  <c r="K608" i="2"/>
  <c r="K604" i="2"/>
  <c r="K602" i="2"/>
  <c r="K600" i="2"/>
  <c r="K595" i="2"/>
  <c r="K593" i="2"/>
  <c r="K592" i="2"/>
  <c r="K591" i="2"/>
  <c r="K590" i="2"/>
  <c r="K589" i="2"/>
  <c r="K586" i="2"/>
  <c r="K585" i="2"/>
  <c r="K584" i="2"/>
  <c r="K582" i="2"/>
  <c r="K579" i="2"/>
  <c r="K575" i="2"/>
  <c r="K571" i="2"/>
  <c r="K570" i="2"/>
  <c r="K569" i="2"/>
  <c r="K567" i="2"/>
  <c r="K565" i="2"/>
  <c r="K564" i="2"/>
  <c r="K558" i="2"/>
  <c r="K553" i="2"/>
  <c r="K552" i="2"/>
  <c r="K549" i="2"/>
  <c r="K539" i="2"/>
  <c r="K529" i="2"/>
  <c r="K505" i="2"/>
  <c r="K502" i="2"/>
  <c r="K501" i="2"/>
  <c r="K491" i="2"/>
  <c r="K490" i="2"/>
  <c r="K488" i="2"/>
  <c r="K484" i="2"/>
  <c r="K479" i="2"/>
  <c r="K476" i="2"/>
  <c r="K473" i="2"/>
  <c r="K469" i="2"/>
  <c r="K467" i="2"/>
  <c r="K465" i="2"/>
  <c r="K463" i="2"/>
  <c r="K462" i="2"/>
  <c r="K460" i="2"/>
  <c r="K458" i="2"/>
  <c r="K455" i="2"/>
  <c r="K453" i="2"/>
  <c r="K452" i="2"/>
  <c r="K450" i="2"/>
  <c r="K448" i="2"/>
  <c r="K443" i="2"/>
  <c r="K438" i="2"/>
  <c r="K435" i="2"/>
  <c r="K433" i="2"/>
  <c r="K428" i="2"/>
  <c r="K426" i="2"/>
  <c r="K424" i="2"/>
  <c r="K421" i="2"/>
  <c r="K419" i="2"/>
  <c r="K417" i="2"/>
  <c r="K415" i="2"/>
  <c r="K412" i="2"/>
  <c r="K411" i="2"/>
  <c r="K409" i="2"/>
  <c r="K408" i="2"/>
  <c r="K407" i="2"/>
  <c r="K405" i="2"/>
  <c r="K403" i="2"/>
  <c r="K400" i="2"/>
  <c r="K398" i="2"/>
  <c r="K393" i="2"/>
  <c r="K391" i="2"/>
  <c r="K389" i="2"/>
  <c r="K387" i="2"/>
  <c r="K385" i="2"/>
  <c r="K383" i="2"/>
  <c r="K382" i="2"/>
  <c r="K379" i="2"/>
  <c r="K376" i="2"/>
  <c r="K374" i="2"/>
  <c r="K371" i="2"/>
  <c r="K369" i="2"/>
  <c r="K367" i="2"/>
  <c r="K365" i="2"/>
  <c r="K364" i="2"/>
  <c r="K362" i="2"/>
  <c r="K360" i="2"/>
  <c r="K358" i="2"/>
  <c r="K356" i="2"/>
  <c r="K354" i="2"/>
  <c r="K352" i="2"/>
  <c r="K344" i="2"/>
  <c r="K341" i="2"/>
  <c r="K338" i="2"/>
  <c r="K324" i="2"/>
  <c r="K323" i="2"/>
  <c r="K316" i="2"/>
  <c r="K309" i="2"/>
  <c r="K306" i="2"/>
  <c r="K301" i="2"/>
  <c r="K296" i="2"/>
  <c r="K293" i="2"/>
  <c r="K291" i="2"/>
  <c r="K290" i="2"/>
  <c r="K289" i="2"/>
  <c r="K283" i="2"/>
  <c r="K281" i="2"/>
  <c r="K279" i="2"/>
  <c r="K277" i="2"/>
  <c r="K275" i="2"/>
  <c r="K270" i="2"/>
  <c r="K268" i="2"/>
  <c r="K265" i="2"/>
  <c r="K262" i="2"/>
  <c r="K260" i="2"/>
  <c r="K258" i="2"/>
  <c r="K254" i="2"/>
  <c r="K253" i="2"/>
  <c r="K250" i="2"/>
  <c r="K249" i="2"/>
  <c r="K247" i="2"/>
  <c r="K244" i="2"/>
  <c r="K242" i="2"/>
  <c r="K239" i="2"/>
  <c r="K238" i="2"/>
  <c r="K237" i="2"/>
  <c r="K235" i="2"/>
  <c r="K234" i="2"/>
  <c r="K233" i="2"/>
  <c r="K227" i="2"/>
  <c r="K225" i="2"/>
  <c r="K223" i="2"/>
  <c r="K219" i="2"/>
  <c r="K214" i="2"/>
  <c r="K212" i="2"/>
  <c r="K210" i="2"/>
  <c r="K208" i="2"/>
  <c r="K206" i="2"/>
  <c r="K203" i="2"/>
  <c r="K202" i="2"/>
  <c r="K199" i="2"/>
  <c r="K195" i="2"/>
  <c r="K192" i="2"/>
  <c r="K190" i="2"/>
  <c r="K188" i="2"/>
  <c r="K186" i="2"/>
  <c r="K159" i="2"/>
  <c r="K157" i="2"/>
  <c r="K155" i="2"/>
  <c r="K154" i="2"/>
  <c r="K153" i="2"/>
  <c r="K150" i="2"/>
  <c r="K149" i="2"/>
  <c r="K146" i="2"/>
  <c r="K141" i="2"/>
  <c r="K140" i="2"/>
  <c r="K134" i="2"/>
  <c r="K133" i="2"/>
  <c r="K132" i="2"/>
  <c r="K127" i="2"/>
  <c r="K125" i="2"/>
  <c r="K123" i="2"/>
  <c r="K120" i="2"/>
  <c r="K119" i="2"/>
  <c r="K117" i="2"/>
  <c r="K112" i="2"/>
  <c r="K109" i="2"/>
  <c r="K108" i="2"/>
  <c r="K107" i="2"/>
  <c r="K105" i="2"/>
  <c r="K104" i="2"/>
  <c r="K101" i="2"/>
  <c r="K98" i="2"/>
  <c r="K97" i="2"/>
  <c r="K96" i="2"/>
  <c r="K94" i="2"/>
  <c r="K93" i="2"/>
  <c r="K92" i="2"/>
  <c r="K91" i="2"/>
  <c r="K87" i="2"/>
  <c r="K83" i="2"/>
  <c r="K82" i="2"/>
  <c r="K81" i="2"/>
  <c r="K78" i="2"/>
  <c r="K77" i="2"/>
  <c r="K74" i="2"/>
  <c r="K73" i="2"/>
  <c r="K68" i="2"/>
  <c r="K67" i="2"/>
  <c r="K66" i="2"/>
  <c r="K65" i="2"/>
  <c r="K62" i="2"/>
  <c r="K60" i="2"/>
  <c r="K54" i="2"/>
  <c r="K52" i="2"/>
  <c r="K49" i="2"/>
  <c r="K48" i="2"/>
  <c r="K46" i="2"/>
  <c r="K45" i="2"/>
  <c r="K41" i="2"/>
  <c r="K40" i="2"/>
  <c r="K38" i="2"/>
  <c r="K10" i="2"/>
  <c r="K5" i="2"/>
  <c r="K4" i="2"/>
  <c r="J2988" i="2"/>
  <c r="J2987" i="2"/>
  <c r="J2986" i="2"/>
  <c r="J2985" i="2"/>
  <c r="J2981" i="2"/>
  <c r="J2980" i="2"/>
  <c r="J2974" i="2"/>
  <c r="J2973" i="2"/>
  <c r="J2966" i="2"/>
  <c r="J2963" i="2"/>
  <c r="J2961" i="2"/>
  <c r="J2954" i="2"/>
  <c r="J2952" i="2"/>
  <c r="J2949" i="2"/>
  <c r="J2945" i="2"/>
  <c r="J2942" i="2"/>
  <c r="J2940" i="2"/>
  <c r="J2939" i="2"/>
  <c r="J2936" i="2"/>
  <c r="J2935" i="2"/>
  <c r="J2928" i="2"/>
  <c r="J2926" i="2"/>
  <c r="J2921" i="2"/>
  <c r="J2920" i="2"/>
  <c r="J2918" i="2"/>
  <c r="J2913" i="2"/>
  <c r="J2911" i="2"/>
  <c r="J2909" i="2"/>
  <c r="J2905" i="2"/>
  <c r="J2903" i="2"/>
  <c r="J2900" i="2"/>
  <c r="J2895" i="2"/>
  <c r="J2894" i="2"/>
  <c r="J2877" i="2"/>
  <c r="J2870" i="2"/>
  <c r="J2866" i="2"/>
  <c r="J2864" i="2"/>
  <c r="J2861" i="2"/>
  <c r="J2860" i="2"/>
  <c r="J2859" i="2"/>
  <c r="J2855" i="2"/>
  <c r="J2854" i="2"/>
  <c r="J2852" i="2"/>
  <c r="J2851" i="2"/>
  <c r="J2849" i="2"/>
  <c r="J2848" i="2"/>
  <c r="J2845" i="2"/>
  <c r="J2844" i="2"/>
  <c r="J2843" i="2"/>
  <c r="J2841" i="2"/>
  <c r="J2840" i="2"/>
  <c r="J2838" i="2"/>
  <c r="J2836" i="2"/>
  <c r="J2833" i="2"/>
  <c r="J2832" i="2"/>
  <c r="J2830" i="2"/>
  <c r="J2829" i="2"/>
  <c r="J2827" i="2"/>
  <c r="J2825" i="2"/>
  <c r="J2822" i="2"/>
  <c r="J2821" i="2"/>
  <c r="J2820" i="2"/>
  <c r="J2818" i="2"/>
  <c r="J2816" i="2"/>
  <c r="J2813" i="2"/>
  <c r="J2812" i="2"/>
  <c r="J2807" i="2"/>
  <c r="J2805" i="2"/>
  <c r="J2802" i="2"/>
  <c r="J2800" i="2"/>
  <c r="J2799" i="2"/>
  <c r="J2796" i="2"/>
  <c r="J2795" i="2"/>
  <c r="J2792" i="2"/>
  <c r="J2791" i="2"/>
  <c r="J2783" i="2"/>
  <c r="J2772" i="2"/>
  <c r="J2768" i="2"/>
  <c r="J2767" i="2"/>
  <c r="J2760" i="2"/>
  <c r="J2759" i="2"/>
  <c r="J2758" i="2"/>
  <c r="J2757" i="2"/>
  <c r="J2752" i="2"/>
  <c r="J2749" i="2"/>
  <c r="J2747" i="2"/>
  <c r="J2742" i="2"/>
  <c r="J2740" i="2"/>
  <c r="J2739" i="2"/>
  <c r="J2737" i="2"/>
  <c r="J2735" i="2"/>
  <c r="J2734" i="2"/>
  <c r="J2733" i="2"/>
  <c r="J2731" i="2"/>
  <c r="J2728" i="2"/>
  <c r="J2727" i="2"/>
  <c r="J2726" i="2"/>
  <c r="J2725" i="2"/>
  <c r="J2721" i="2"/>
  <c r="J2719" i="2"/>
  <c r="J2718" i="2"/>
  <c r="J2717" i="2"/>
  <c r="J2714" i="2"/>
  <c r="J2710" i="2"/>
  <c r="J2709" i="2"/>
  <c r="J2706" i="2"/>
  <c r="J2702" i="2"/>
  <c r="J2697" i="2"/>
  <c r="J2696" i="2"/>
  <c r="J2695" i="2"/>
  <c r="J2693" i="2"/>
  <c r="J2675" i="2"/>
  <c r="J2667" i="2"/>
  <c r="J2638" i="2"/>
  <c r="J2621" i="2"/>
  <c r="J2612" i="2"/>
  <c r="J2609" i="2"/>
  <c r="J2607" i="2"/>
  <c r="J2595" i="2"/>
  <c r="J2591" i="2"/>
  <c r="J2589" i="2"/>
  <c r="J2587" i="2"/>
  <c r="J2584" i="2"/>
  <c r="J2583" i="2"/>
  <c r="J2582" i="2"/>
  <c r="J2580" i="2"/>
  <c r="J2579" i="2"/>
  <c r="J2575" i="2"/>
  <c r="J2571" i="2"/>
  <c r="J2569" i="2"/>
  <c r="J2566" i="2"/>
  <c r="J2563" i="2"/>
  <c r="J2560" i="2"/>
  <c r="J2556" i="2"/>
  <c r="J2540" i="2"/>
  <c r="J2536" i="2"/>
  <c r="J2534" i="2"/>
  <c r="J2528" i="2"/>
  <c r="J2526" i="2"/>
  <c r="J2517" i="2"/>
  <c r="J2515" i="2"/>
  <c r="J2514" i="2"/>
  <c r="J2509" i="2"/>
  <c r="J2508" i="2"/>
  <c r="J2507" i="2"/>
  <c r="J2505" i="2"/>
  <c r="J2503" i="2"/>
  <c r="J2501" i="2"/>
  <c r="J2494" i="2"/>
  <c r="J2493" i="2"/>
  <c r="J2491" i="2"/>
  <c r="J2489" i="2"/>
  <c r="J2485" i="2"/>
  <c r="J2484" i="2"/>
  <c r="J2480" i="2"/>
  <c r="J2477" i="2"/>
  <c r="J2473" i="2"/>
  <c r="J2470" i="2"/>
  <c r="J2469" i="2"/>
  <c r="J2465" i="2"/>
  <c r="J2463" i="2"/>
  <c r="J2460" i="2"/>
  <c r="J2456" i="2"/>
  <c r="J2451" i="2"/>
  <c r="J2449" i="2"/>
  <c r="J2445" i="2"/>
  <c r="J2444" i="2"/>
  <c r="J2441" i="2"/>
  <c r="J2436" i="2"/>
  <c r="J2431" i="2"/>
  <c r="J2420" i="2"/>
  <c r="J2419" i="2"/>
  <c r="J2412" i="2"/>
  <c r="J2411" i="2"/>
  <c r="J2375" i="2"/>
  <c r="J2373" i="2"/>
  <c r="J2370" i="2"/>
  <c r="J2368" i="2"/>
  <c r="J2366" i="2"/>
  <c r="J2362" i="2"/>
  <c r="J2360" i="2"/>
  <c r="J2352" i="2"/>
  <c r="J2351" i="2"/>
  <c r="J2349" i="2"/>
  <c r="J2347" i="2"/>
  <c r="J2344" i="2"/>
  <c r="J2343" i="2"/>
  <c r="J2339" i="2"/>
  <c r="J2337" i="2"/>
  <c r="J2335" i="2"/>
  <c r="J2332" i="2"/>
  <c r="J2331" i="2"/>
  <c r="J2329" i="2"/>
  <c r="J2328" i="2"/>
  <c r="J2327" i="2"/>
  <c r="J2325" i="2"/>
  <c r="J2322" i="2"/>
  <c r="J2317" i="2"/>
  <c r="J2316" i="2"/>
  <c r="J2315" i="2"/>
  <c r="J2314" i="2"/>
  <c r="J2313" i="2"/>
  <c r="J2311" i="2"/>
  <c r="J2310" i="2"/>
  <c r="J2309" i="2"/>
  <c r="J2308" i="2"/>
  <c r="J2304" i="2"/>
  <c r="J2303" i="2"/>
  <c r="J2302" i="2"/>
  <c r="J2301" i="2"/>
  <c r="J2299" i="2"/>
  <c r="J2298" i="2"/>
  <c r="J2297" i="2"/>
  <c r="J2296" i="2"/>
  <c r="J2294" i="2"/>
  <c r="J2292" i="2"/>
  <c r="J2291" i="2"/>
  <c r="J2287" i="2"/>
  <c r="J2285" i="2"/>
  <c r="J2282" i="2"/>
  <c r="J2279" i="2"/>
  <c r="J2278" i="2"/>
  <c r="J2275" i="2"/>
  <c r="J2273" i="2"/>
  <c r="J2272" i="2"/>
  <c r="J2271" i="2"/>
  <c r="J2270" i="2"/>
  <c r="J2269" i="2"/>
  <c r="J2268" i="2"/>
  <c r="J2267" i="2"/>
  <c r="J2265" i="2"/>
  <c r="J2264" i="2"/>
  <c r="J2263" i="2"/>
  <c r="J2262" i="2"/>
  <c r="J2261" i="2"/>
  <c r="J2260" i="2"/>
  <c r="J2258" i="2"/>
  <c r="J2256" i="2"/>
  <c r="J2255" i="2"/>
  <c r="J2254" i="2"/>
  <c r="J2253" i="2"/>
  <c r="J2252" i="2"/>
  <c r="J2251" i="2"/>
  <c r="J2250" i="2"/>
  <c r="J2248" i="2"/>
  <c r="J2246" i="2"/>
  <c r="J2245" i="2"/>
  <c r="J2244" i="2"/>
  <c r="J2242" i="2"/>
  <c r="J2241" i="2"/>
  <c r="J2240" i="2"/>
  <c r="J2239" i="2"/>
  <c r="J2237" i="2"/>
  <c r="J2236" i="2"/>
  <c r="J2235" i="2"/>
  <c r="J2234" i="2"/>
  <c r="J2233" i="2"/>
  <c r="J2232" i="2"/>
  <c r="J2230" i="2"/>
  <c r="J2229" i="2"/>
  <c r="J2228" i="2"/>
  <c r="J2227" i="2"/>
  <c r="J2226" i="2"/>
  <c r="J2225" i="2"/>
  <c r="J2222" i="2"/>
  <c r="J2220" i="2"/>
  <c r="J2219" i="2"/>
  <c r="J2217" i="2"/>
  <c r="J2214" i="2"/>
  <c r="J2212" i="2"/>
  <c r="J2211" i="2"/>
  <c r="J2209" i="2"/>
  <c r="J2204" i="2"/>
  <c r="J2202" i="2"/>
  <c r="J2200" i="2"/>
  <c r="J2197" i="2"/>
  <c r="J2196" i="2"/>
  <c r="J2195" i="2"/>
  <c r="J2194" i="2"/>
  <c r="J2190" i="2"/>
  <c r="J2189" i="2"/>
  <c r="J2188" i="2"/>
  <c r="J2184" i="2"/>
  <c r="J2183" i="2"/>
  <c r="J2182" i="2"/>
  <c r="J2181" i="2"/>
  <c r="J2179" i="2"/>
  <c r="J2174" i="2"/>
  <c r="J2162" i="2"/>
  <c r="J2158" i="2"/>
  <c r="J2156" i="2"/>
  <c r="J2152" i="2"/>
  <c r="J2149" i="2"/>
  <c r="J2144" i="2"/>
  <c r="J2141" i="2"/>
  <c r="J2137" i="2"/>
  <c r="J2127" i="2"/>
  <c r="J2101" i="2"/>
  <c r="J2099" i="2"/>
  <c r="J2097" i="2"/>
  <c r="J2095" i="2"/>
  <c r="J2093" i="2"/>
  <c r="J2092" i="2"/>
  <c r="J2091" i="2"/>
  <c r="J2090" i="2"/>
  <c r="J2089" i="2"/>
  <c r="J2088" i="2"/>
  <c r="J2087" i="2"/>
  <c r="J2085" i="2"/>
  <c r="J2084" i="2"/>
  <c r="J2081" i="2"/>
  <c r="J2080" i="2"/>
  <c r="J2078" i="2"/>
  <c r="J2077" i="2"/>
  <c r="J2076" i="2"/>
  <c r="J2073" i="2"/>
  <c r="J2070" i="2"/>
  <c r="J2068" i="2"/>
  <c r="J2065" i="2"/>
  <c r="J2064" i="2"/>
  <c r="J2062" i="2"/>
  <c r="J2060" i="2"/>
  <c r="J2057" i="2"/>
  <c r="J2055" i="2"/>
  <c r="J2054" i="2"/>
  <c r="J2053" i="2"/>
  <c r="J2051" i="2"/>
  <c r="J2048" i="2"/>
  <c r="J2045" i="2"/>
  <c r="J2043" i="2"/>
  <c r="J2041" i="2"/>
  <c r="J2040" i="2"/>
  <c r="J2038" i="2"/>
  <c r="J2035" i="2"/>
  <c r="J2034" i="2"/>
  <c r="J2031" i="2"/>
  <c r="J2029" i="2"/>
  <c r="J2026" i="2"/>
  <c r="J2024" i="2"/>
  <c r="J2022" i="2"/>
  <c r="J2020" i="2"/>
  <c r="J2019" i="2"/>
  <c r="J2018" i="2"/>
  <c r="J2015" i="2"/>
  <c r="J2013" i="2"/>
  <c r="J2009" i="2"/>
  <c r="J2008" i="2"/>
  <c r="J2006" i="2"/>
  <c r="J2004" i="2"/>
  <c r="J2002" i="2"/>
  <c r="J2000" i="2"/>
  <c r="J1998" i="2"/>
  <c r="J1995" i="2"/>
  <c r="J1993" i="2"/>
  <c r="J1992" i="2"/>
  <c r="J1991" i="2"/>
  <c r="J1989" i="2"/>
  <c r="J1968" i="2"/>
  <c r="J1965" i="2"/>
  <c r="J1938" i="2"/>
  <c r="J1936" i="2"/>
  <c r="J1934" i="2"/>
  <c r="J1932" i="2"/>
  <c r="J1930" i="2"/>
  <c r="J1928" i="2"/>
  <c r="J1926" i="2"/>
  <c r="J1923" i="2"/>
  <c r="J1921" i="2"/>
  <c r="J1916" i="2"/>
  <c r="J1915" i="2"/>
  <c r="J1913" i="2"/>
  <c r="J1911" i="2"/>
  <c r="J1909" i="2"/>
  <c r="J1908" i="2"/>
  <c r="J1907" i="2"/>
  <c r="J1905" i="2"/>
  <c r="J1903" i="2"/>
  <c r="J1902" i="2"/>
  <c r="J1899" i="2"/>
  <c r="J1897" i="2"/>
  <c r="J1896" i="2"/>
  <c r="J1895" i="2"/>
  <c r="J1893" i="2"/>
  <c r="J1892" i="2"/>
  <c r="J1889" i="2"/>
  <c r="J1886" i="2"/>
  <c r="J1885" i="2"/>
  <c r="J1883" i="2"/>
  <c r="J1882" i="2"/>
  <c r="J1881" i="2"/>
  <c r="J1880" i="2"/>
  <c r="J1879" i="2"/>
  <c r="J1878" i="2"/>
  <c r="J1877" i="2"/>
  <c r="J1876" i="2"/>
  <c r="J1875" i="2"/>
  <c r="J1874" i="2"/>
  <c r="J1872" i="2"/>
  <c r="J1869" i="2"/>
  <c r="J1867" i="2"/>
  <c r="J1865" i="2"/>
  <c r="J1862" i="2"/>
  <c r="J1859" i="2"/>
  <c r="J1857" i="2"/>
  <c r="J1855" i="2"/>
  <c r="J1853" i="2"/>
  <c r="J1851" i="2"/>
  <c r="J1850" i="2"/>
  <c r="J1847" i="2"/>
  <c r="J1844" i="2"/>
  <c r="J1841" i="2"/>
  <c r="J1840" i="2"/>
  <c r="J1839" i="2"/>
  <c r="J1838" i="2"/>
  <c r="J1835" i="2"/>
  <c r="J1834" i="2"/>
  <c r="J1830" i="2"/>
  <c r="J1829" i="2"/>
  <c r="J1827" i="2"/>
  <c r="J1825" i="2"/>
  <c r="J1822" i="2"/>
  <c r="J1821" i="2"/>
  <c r="J1819" i="2"/>
  <c r="J1818" i="2"/>
  <c r="J1817" i="2"/>
  <c r="J1813" i="2"/>
  <c r="J1811" i="2"/>
  <c r="J1809" i="2"/>
  <c r="J1807" i="2"/>
  <c r="J1806" i="2"/>
  <c r="J1804" i="2"/>
  <c r="J1802" i="2"/>
  <c r="J1801" i="2"/>
  <c r="J1798" i="2"/>
  <c r="J1797" i="2"/>
  <c r="J1794" i="2"/>
  <c r="J1793" i="2"/>
  <c r="J1790" i="2"/>
  <c r="J1785" i="2"/>
  <c r="J1784" i="2"/>
  <c r="J1783" i="2"/>
  <c r="J1782" i="2"/>
  <c r="J1781" i="2"/>
  <c r="J1778" i="2"/>
  <c r="J1776" i="2"/>
  <c r="J1774" i="2"/>
  <c r="J1772" i="2"/>
  <c r="J1766" i="2"/>
  <c r="J1764" i="2"/>
  <c r="J1762" i="2"/>
  <c r="J1745" i="2"/>
  <c r="J1737" i="2"/>
  <c r="J1726" i="2"/>
  <c r="J1721" i="2"/>
  <c r="J1718" i="2"/>
  <c r="J1714" i="2"/>
  <c r="J1712" i="2"/>
  <c r="J1710" i="2"/>
  <c r="J1709" i="2"/>
  <c r="J1707" i="2"/>
  <c r="J1705" i="2"/>
  <c r="J1704" i="2"/>
  <c r="J1701" i="2"/>
  <c r="J1700" i="2"/>
  <c r="J1699" i="2"/>
  <c r="J1698" i="2"/>
  <c r="J1696" i="2"/>
  <c r="J1695" i="2"/>
  <c r="J1694" i="2"/>
  <c r="J1693" i="2"/>
  <c r="J1690" i="2"/>
  <c r="J1684" i="2"/>
  <c r="J1682" i="2"/>
  <c r="J1679" i="2"/>
  <c r="J1678" i="2"/>
  <c r="J1677" i="2"/>
  <c r="J1676" i="2"/>
  <c r="J1675" i="2"/>
  <c r="J1674" i="2"/>
  <c r="J1673" i="2"/>
  <c r="J1672" i="2"/>
  <c r="J1670" i="2"/>
  <c r="J1669" i="2"/>
  <c r="J1668" i="2"/>
  <c r="J1666" i="2"/>
  <c r="J1665" i="2"/>
  <c r="J1664" i="2"/>
  <c r="J1662" i="2"/>
  <c r="J1660" i="2"/>
  <c r="J1655" i="2"/>
  <c r="J1654" i="2"/>
  <c r="J1649" i="2"/>
  <c r="J1647" i="2"/>
  <c r="J1646" i="2"/>
  <c r="J1645" i="2"/>
  <c r="J1620" i="2"/>
  <c r="J1616" i="2"/>
  <c r="J1595" i="2"/>
  <c r="J1594" i="2"/>
  <c r="J1591" i="2"/>
  <c r="J1590" i="2"/>
  <c r="J1589" i="2"/>
  <c r="J1588" i="2"/>
  <c r="J1582" i="2"/>
  <c r="J1575" i="2"/>
  <c r="J1574" i="2"/>
  <c r="J1571" i="2"/>
  <c r="J1568" i="2"/>
  <c r="J1562" i="2"/>
  <c r="J1561" i="2"/>
  <c r="J1550" i="2"/>
  <c r="J1542" i="2"/>
  <c r="J1538" i="2"/>
  <c r="J1537" i="2"/>
  <c r="J1489" i="2"/>
  <c r="J1488" i="2"/>
  <c r="J1481" i="2"/>
  <c r="J1477" i="2"/>
  <c r="J1474" i="2"/>
  <c r="J1472" i="2"/>
  <c r="J1471" i="2"/>
  <c r="J1470" i="2"/>
  <c r="J1468" i="2"/>
  <c r="J1463" i="2"/>
  <c r="J1458" i="2"/>
  <c r="J1456" i="2"/>
  <c r="J1452" i="2"/>
  <c r="J1451" i="2"/>
  <c r="J1445" i="2"/>
  <c r="J1443" i="2"/>
  <c r="J1441" i="2"/>
  <c r="J1437" i="2"/>
  <c r="J1435" i="2"/>
  <c r="J1433" i="2"/>
  <c r="J1397" i="2"/>
  <c r="J1395" i="2"/>
  <c r="J1392" i="2"/>
  <c r="J1380" i="2"/>
  <c r="J1373" i="2"/>
  <c r="J1371" i="2"/>
  <c r="J1369" i="2"/>
  <c r="J1367" i="2"/>
  <c r="J1363" i="2"/>
  <c r="J1354" i="2"/>
  <c r="J1331" i="2"/>
  <c r="J1328" i="2"/>
  <c r="J1321" i="2"/>
  <c r="J1319" i="2"/>
  <c r="J1318" i="2"/>
  <c r="J1316" i="2"/>
  <c r="J1314" i="2"/>
  <c r="J1311" i="2"/>
  <c r="J1310" i="2"/>
  <c r="J1308" i="2"/>
  <c r="J1306" i="2"/>
  <c r="J1303" i="2"/>
  <c r="J1301" i="2"/>
  <c r="J1298" i="2"/>
  <c r="J1295" i="2"/>
  <c r="J1292" i="2"/>
  <c r="J1290" i="2"/>
  <c r="J1288" i="2"/>
  <c r="J1286" i="2"/>
  <c r="J1284" i="2"/>
  <c r="J1282" i="2"/>
  <c r="J1280" i="2"/>
  <c r="J1278" i="2"/>
  <c r="J1276" i="2"/>
  <c r="J1274" i="2"/>
  <c r="J1272" i="2"/>
  <c r="J1270" i="2"/>
  <c r="J1267" i="2"/>
  <c r="J1265" i="2"/>
  <c r="J1262" i="2"/>
  <c r="J1260" i="2"/>
  <c r="J1258" i="2"/>
  <c r="J1256" i="2"/>
  <c r="J1251" i="2"/>
  <c r="J1249" i="2"/>
  <c r="J1247" i="2"/>
  <c r="J1246" i="2"/>
  <c r="J1244" i="2"/>
  <c r="J1242" i="2"/>
  <c r="J1240" i="2"/>
  <c r="J1238" i="2"/>
  <c r="J1236" i="2"/>
  <c r="J1234" i="2"/>
  <c r="J1232" i="2"/>
  <c r="J1230" i="2"/>
  <c r="J1229" i="2"/>
  <c r="J1228" i="2"/>
  <c r="J1226" i="2"/>
  <c r="J1225" i="2"/>
  <c r="J1222" i="2"/>
  <c r="J1219" i="2"/>
  <c r="J1216" i="2"/>
  <c r="J1214" i="2"/>
  <c r="J1212" i="2"/>
  <c r="J1210" i="2"/>
  <c r="J1209" i="2"/>
  <c r="J1208" i="2"/>
  <c r="J1206" i="2"/>
  <c r="J1204" i="2"/>
  <c r="J1202" i="2"/>
  <c r="J1201" i="2"/>
  <c r="J1198" i="2"/>
  <c r="J1197" i="2"/>
  <c r="J1196" i="2"/>
  <c r="J1195" i="2"/>
  <c r="J1194" i="2"/>
  <c r="J1192" i="2"/>
  <c r="J1190" i="2"/>
  <c r="J1185" i="2"/>
  <c r="J1182" i="2"/>
  <c r="J1180" i="2"/>
  <c r="J1179" i="2"/>
  <c r="J1178" i="2"/>
  <c r="J1173" i="2"/>
  <c r="J1172" i="2"/>
  <c r="J1164" i="2"/>
  <c r="J1163" i="2"/>
  <c r="J1161" i="2"/>
  <c r="J1160" i="2"/>
  <c r="J1156" i="2"/>
  <c r="J1147" i="2"/>
  <c r="J1146" i="2"/>
  <c r="J1143" i="2"/>
  <c r="J1142" i="2"/>
  <c r="J1141" i="2"/>
  <c r="J1137" i="2"/>
  <c r="J1135" i="2"/>
  <c r="J1132" i="2"/>
  <c r="J1129" i="2"/>
  <c r="J1127" i="2"/>
  <c r="J1125" i="2"/>
  <c r="J1123" i="2"/>
  <c r="J1121" i="2"/>
  <c r="J1119" i="2"/>
  <c r="J1118" i="2"/>
  <c r="J1116" i="2"/>
  <c r="J1114" i="2"/>
  <c r="J1112" i="2"/>
  <c r="J1109" i="2"/>
  <c r="J1106" i="2"/>
  <c r="J1104" i="2"/>
  <c r="J1102" i="2"/>
  <c r="J1100" i="2"/>
  <c r="J1098" i="2"/>
  <c r="J1096" i="2"/>
  <c r="J1095" i="2"/>
  <c r="J1093" i="2"/>
  <c r="J1091" i="2"/>
  <c r="J1089" i="2"/>
  <c r="J1087" i="2"/>
  <c r="J1086" i="2"/>
  <c r="J1085" i="2"/>
  <c r="J1083" i="2"/>
  <c r="J1081" i="2"/>
  <c r="J1079" i="2"/>
  <c r="J1078" i="2"/>
  <c r="J1076" i="2"/>
  <c r="J1074" i="2"/>
  <c r="J1072" i="2"/>
  <c r="J1071" i="2"/>
  <c r="J1069" i="2"/>
  <c r="J1067" i="2"/>
  <c r="J1065" i="2"/>
  <c r="J1063" i="2"/>
  <c r="J1061" i="2"/>
  <c r="J1060" i="2"/>
  <c r="J1058" i="2"/>
  <c r="J1055" i="2"/>
  <c r="J1052" i="2"/>
  <c r="J1050" i="2"/>
  <c r="J1048" i="2"/>
  <c r="J1044" i="2"/>
  <c r="J1038" i="2"/>
  <c r="J1035" i="2"/>
  <c r="J1033" i="2"/>
  <c r="J1031" i="2"/>
  <c r="J1029" i="2"/>
  <c r="J1027" i="2"/>
  <c r="J1025" i="2"/>
  <c r="J1023" i="2"/>
  <c r="J1021" i="2"/>
  <c r="J1014" i="2"/>
  <c r="J1009" i="2"/>
  <c r="J1007" i="2"/>
  <c r="J997" i="2"/>
  <c r="J985" i="2"/>
  <c r="J974" i="2"/>
  <c r="J972" i="2"/>
  <c r="J966" i="2"/>
  <c r="J964" i="2"/>
  <c r="J959" i="2"/>
  <c r="J957" i="2"/>
  <c r="J955" i="2"/>
  <c r="J953" i="2"/>
  <c r="J946" i="2"/>
  <c r="J944" i="2"/>
  <c r="J942" i="2"/>
  <c r="J939" i="2"/>
  <c r="J935" i="2"/>
  <c r="J934" i="2"/>
  <c r="J932" i="2"/>
  <c r="J930" i="2"/>
  <c r="J929" i="2"/>
  <c r="J927" i="2"/>
  <c r="J924" i="2"/>
  <c r="J920" i="2"/>
  <c r="J917" i="2"/>
  <c r="J916" i="2"/>
  <c r="J910" i="2"/>
  <c r="J909" i="2"/>
  <c r="J906" i="2"/>
  <c r="J905" i="2"/>
  <c r="J899" i="2"/>
  <c r="J895" i="2"/>
  <c r="J890" i="2"/>
  <c r="J886" i="2"/>
  <c r="J885" i="2"/>
  <c r="J878" i="2"/>
  <c r="J877" i="2"/>
  <c r="J876" i="2"/>
  <c r="J874" i="2"/>
  <c r="J872" i="2"/>
  <c r="J871" i="2"/>
  <c r="J868" i="2"/>
  <c r="J866" i="2"/>
  <c r="J865" i="2"/>
  <c r="J861" i="2"/>
  <c r="J860" i="2"/>
  <c r="J859" i="2"/>
  <c r="J853" i="2"/>
  <c r="J852" i="2"/>
  <c r="J851" i="2"/>
  <c r="J850" i="2"/>
  <c r="J849" i="2"/>
  <c r="J848" i="2"/>
  <c r="J845" i="2"/>
  <c r="J844" i="2"/>
  <c r="J842" i="2"/>
  <c r="J841" i="2"/>
  <c r="J840" i="2"/>
  <c r="J837" i="2"/>
  <c r="J836" i="2"/>
  <c r="J835" i="2"/>
  <c r="J834" i="2"/>
  <c r="J832" i="2"/>
  <c r="J828" i="2"/>
  <c r="J827" i="2"/>
  <c r="J825" i="2"/>
  <c r="J824" i="2"/>
  <c r="J823" i="2"/>
  <c r="J821" i="2"/>
  <c r="J820" i="2"/>
  <c r="J818" i="2"/>
  <c r="J815" i="2"/>
  <c r="J814" i="2"/>
  <c r="J812" i="2"/>
  <c r="J811" i="2"/>
  <c r="J810" i="2"/>
  <c r="J806" i="2"/>
  <c r="J803" i="2"/>
  <c r="J802" i="2"/>
  <c r="J801" i="2"/>
  <c r="J800" i="2"/>
  <c r="J797" i="2"/>
  <c r="J795" i="2"/>
  <c r="J792" i="2"/>
  <c r="J790" i="2"/>
  <c r="J787" i="2"/>
  <c r="J784" i="2"/>
  <c r="J783" i="2"/>
  <c r="J780" i="2"/>
  <c r="J776" i="2"/>
  <c r="J775" i="2"/>
  <c r="J774" i="2"/>
  <c r="J772" i="2"/>
  <c r="J771" i="2"/>
  <c r="J769" i="2"/>
  <c r="J767" i="2"/>
  <c r="J766" i="2"/>
  <c r="J762" i="2"/>
  <c r="J759" i="2"/>
  <c r="J750" i="2"/>
  <c r="J732" i="2"/>
  <c r="J728" i="2"/>
  <c r="J721" i="2"/>
  <c r="J707" i="2"/>
  <c r="J706" i="2"/>
  <c r="J701" i="2"/>
  <c r="J691" i="2"/>
  <c r="J686" i="2"/>
  <c r="J682" i="2"/>
  <c r="J681" i="2"/>
  <c r="J679" i="2"/>
  <c r="J676" i="2"/>
  <c r="J675" i="2"/>
  <c r="J671" i="2"/>
  <c r="J670" i="2"/>
  <c r="J669" i="2"/>
  <c r="J667" i="2"/>
  <c r="J665" i="2"/>
  <c r="J664" i="2"/>
  <c r="J659" i="2"/>
  <c r="J657" i="2"/>
  <c r="J655" i="2"/>
  <c r="J654" i="2"/>
  <c r="J650" i="2"/>
  <c r="J649" i="2"/>
  <c r="J646" i="2"/>
  <c r="J642" i="2"/>
  <c r="J639" i="2"/>
  <c r="J638" i="2"/>
  <c r="J637" i="2"/>
  <c r="J636" i="2"/>
  <c r="J634" i="2"/>
  <c r="J632" i="2"/>
  <c r="J630" i="2"/>
  <c r="J628" i="2"/>
  <c r="J625" i="2"/>
  <c r="J622" i="2"/>
  <c r="J619" i="2"/>
  <c r="J618" i="2"/>
  <c r="J617" i="2"/>
  <c r="J614" i="2"/>
  <c r="J611" i="2"/>
  <c r="J609" i="2"/>
  <c r="J608" i="2"/>
  <c r="J604" i="2"/>
  <c r="J602" i="2"/>
  <c r="J600" i="2"/>
  <c r="J595" i="2"/>
  <c r="J593" i="2"/>
  <c r="J592" i="2"/>
  <c r="J591" i="2"/>
  <c r="J590" i="2"/>
  <c r="J589" i="2"/>
  <c r="J586" i="2"/>
  <c r="J585" i="2"/>
  <c r="J584" i="2"/>
  <c r="J582" i="2"/>
  <c r="J579" i="2"/>
  <c r="J575" i="2"/>
  <c r="J571" i="2"/>
  <c r="J570" i="2"/>
  <c r="J569" i="2"/>
  <c r="J567" i="2"/>
  <c r="J565" i="2"/>
  <c r="J564" i="2"/>
  <c r="J558" i="2"/>
  <c r="J553" i="2"/>
  <c r="J552" i="2"/>
  <c r="J549" i="2"/>
  <c r="J539" i="2"/>
  <c r="J529" i="2"/>
  <c r="J505" i="2"/>
  <c r="J502" i="2"/>
  <c r="J501" i="2"/>
  <c r="J491" i="2"/>
  <c r="J490" i="2"/>
  <c r="J488" i="2"/>
  <c r="J484" i="2"/>
  <c r="J479" i="2"/>
  <c r="J476" i="2"/>
  <c r="J473" i="2"/>
  <c r="J469" i="2"/>
  <c r="J467" i="2"/>
  <c r="J465" i="2"/>
  <c r="J463" i="2"/>
  <c r="J462" i="2"/>
  <c r="J460" i="2"/>
  <c r="J458" i="2"/>
  <c r="J455" i="2"/>
  <c r="J453" i="2"/>
  <c r="J452" i="2"/>
  <c r="J450" i="2"/>
  <c r="J448" i="2"/>
  <c r="J443" i="2"/>
  <c r="J438" i="2"/>
  <c r="J435" i="2"/>
  <c r="J433" i="2"/>
  <c r="J428" i="2"/>
  <c r="J426" i="2"/>
  <c r="J424" i="2"/>
  <c r="J421" i="2"/>
  <c r="J419" i="2"/>
  <c r="J417" i="2"/>
  <c r="J415" i="2"/>
  <c r="J412" i="2"/>
  <c r="J411" i="2"/>
  <c r="J409" i="2"/>
  <c r="J408" i="2"/>
  <c r="J407" i="2"/>
  <c r="J405" i="2"/>
  <c r="J403" i="2"/>
  <c r="J400" i="2"/>
  <c r="J398" i="2"/>
  <c r="J393" i="2"/>
  <c r="J391" i="2"/>
  <c r="J389" i="2"/>
  <c r="J387" i="2"/>
  <c r="J385" i="2"/>
  <c r="J383" i="2"/>
  <c r="J382" i="2"/>
  <c r="J379" i="2"/>
  <c r="J376" i="2"/>
  <c r="J374" i="2"/>
  <c r="J371" i="2"/>
  <c r="J369" i="2"/>
  <c r="J367" i="2"/>
  <c r="J365" i="2"/>
  <c r="J364" i="2"/>
  <c r="J362" i="2"/>
  <c r="J360" i="2"/>
  <c r="J358" i="2"/>
  <c r="J356" i="2"/>
  <c r="J354" i="2"/>
  <c r="J352" i="2"/>
  <c r="J344" i="2"/>
  <c r="J341" i="2"/>
  <c r="J338" i="2"/>
  <c r="J324" i="2"/>
  <c r="J323" i="2"/>
  <c r="J316" i="2"/>
  <c r="J309" i="2"/>
  <c r="J306" i="2"/>
  <c r="J301" i="2"/>
  <c r="J296" i="2"/>
  <c r="J293" i="2"/>
  <c r="J291" i="2"/>
  <c r="J290" i="2"/>
  <c r="J289" i="2"/>
  <c r="J283" i="2"/>
  <c r="J281" i="2"/>
  <c r="J279" i="2"/>
  <c r="J277" i="2"/>
  <c r="J275" i="2"/>
  <c r="J270" i="2"/>
  <c r="J268" i="2"/>
  <c r="J265" i="2"/>
  <c r="J262" i="2"/>
  <c r="J260" i="2"/>
  <c r="J258" i="2"/>
  <c r="J254" i="2"/>
  <c r="J253" i="2"/>
  <c r="J250" i="2"/>
  <c r="J249" i="2"/>
  <c r="J247" i="2"/>
  <c r="J244" i="2"/>
  <c r="J242" i="2"/>
  <c r="J239" i="2"/>
  <c r="J238" i="2"/>
  <c r="J237" i="2"/>
  <c r="J235" i="2"/>
  <c r="J234" i="2"/>
  <c r="J233" i="2"/>
  <c r="J227" i="2"/>
  <c r="J225" i="2"/>
  <c r="J223" i="2"/>
  <c r="J219" i="2"/>
  <c r="J214" i="2"/>
  <c r="J212" i="2"/>
  <c r="J210" i="2"/>
  <c r="J208" i="2"/>
  <c r="J206" i="2"/>
  <c r="J203" i="2"/>
  <c r="J202" i="2"/>
  <c r="J199" i="2"/>
  <c r="J195" i="2"/>
  <c r="J192" i="2"/>
  <c r="J190" i="2"/>
  <c r="J188" i="2"/>
  <c r="J186" i="2"/>
  <c r="J159" i="2"/>
  <c r="J157" i="2"/>
  <c r="J155" i="2"/>
  <c r="J154" i="2"/>
  <c r="J153" i="2"/>
  <c r="J150" i="2"/>
  <c r="J149" i="2"/>
  <c r="J146" i="2"/>
  <c r="J141" i="2"/>
  <c r="J140" i="2"/>
  <c r="J134" i="2"/>
  <c r="J133" i="2"/>
  <c r="J132" i="2"/>
  <c r="J127" i="2"/>
  <c r="J125" i="2"/>
  <c r="J123" i="2"/>
  <c r="J120" i="2"/>
  <c r="J119" i="2"/>
  <c r="J117" i="2"/>
  <c r="J112" i="2"/>
  <c r="J109" i="2"/>
  <c r="J108" i="2"/>
  <c r="J107" i="2"/>
  <c r="J105" i="2"/>
  <c r="J104" i="2"/>
  <c r="J101" i="2"/>
  <c r="J98" i="2"/>
  <c r="J97" i="2"/>
  <c r="J96" i="2"/>
  <c r="J94" i="2"/>
  <c r="J93" i="2"/>
  <c r="J92" i="2"/>
  <c r="J91" i="2"/>
  <c r="J87" i="2"/>
  <c r="J83" i="2"/>
  <c r="J82" i="2"/>
  <c r="J81" i="2"/>
  <c r="J78" i="2"/>
  <c r="J77" i="2"/>
  <c r="J74" i="2"/>
  <c r="J73" i="2"/>
  <c r="J68" i="2"/>
  <c r="J67" i="2"/>
  <c r="J66" i="2"/>
  <c r="J65" i="2"/>
  <c r="J62" i="2"/>
  <c r="J60" i="2"/>
  <c r="J54" i="2"/>
  <c r="J52" i="2"/>
  <c r="J49" i="2"/>
  <c r="J48" i="2"/>
  <c r="J46" i="2"/>
  <c r="J45" i="2"/>
  <c r="J41" i="2"/>
  <c r="J40" i="2"/>
  <c r="J38" i="2"/>
  <c r="J10" i="2"/>
  <c r="J5" i="2"/>
  <c r="J4" i="2"/>
  <c r="J3" i="2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L5" i="9" l="1"/>
  <c r="C12" i="9"/>
  <c r="M5" i="9"/>
  <c r="M9" i="9"/>
  <c r="C3" i="9"/>
  <c r="D10" i="9" s="1"/>
  <c r="L4" i="9"/>
  <c r="N5" i="9"/>
  <c r="C7" i="9"/>
  <c r="L8" i="9"/>
  <c r="N9" i="9"/>
  <c r="C11" i="9"/>
  <c r="D11" i="9" s="1"/>
  <c r="L12" i="9"/>
  <c r="C4" i="9"/>
  <c r="L9" i="9"/>
  <c r="M4" i="9"/>
  <c r="M8" i="9"/>
  <c r="M12" i="9"/>
  <c r="C8" i="9"/>
  <c r="D9" i="9" s="1"/>
  <c r="D2754" i="6"/>
  <c r="D2746" i="6"/>
  <c r="D2762" i="6"/>
  <c r="D2738" i="6"/>
  <c r="D1535" i="6"/>
  <c r="C546" i="8"/>
  <c r="C317" i="8"/>
  <c r="C347" i="8"/>
  <c r="C490" i="8"/>
  <c r="C642" i="8"/>
  <c r="C321" i="8"/>
  <c r="C339" i="8"/>
  <c r="C510" i="8"/>
  <c r="C182" i="8"/>
  <c r="C189" i="8"/>
  <c r="C198" i="8"/>
  <c r="C136" i="8"/>
  <c r="C209" i="8"/>
  <c r="C257" i="8"/>
  <c r="C162" i="8"/>
  <c r="C247" i="8"/>
  <c r="C460" i="8"/>
  <c r="C72" i="8"/>
  <c r="C58" i="8"/>
  <c r="C62" i="8"/>
  <c r="C66" i="8"/>
  <c r="C144" i="8"/>
  <c r="C148" i="8"/>
  <c r="C152" i="8"/>
  <c r="C178" i="8"/>
  <c r="C229" i="8"/>
  <c r="C237" i="8"/>
  <c r="C249" i="8"/>
  <c r="C484" i="8"/>
  <c r="C146" i="8"/>
  <c r="C160" i="8"/>
  <c r="C427" i="8"/>
  <c r="C158" i="8"/>
  <c r="C200" i="8"/>
  <c r="C46" i="8"/>
  <c r="C301" i="8"/>
  <c r="C337" i="8"/>
  <c r="C518" i="8"/>
  <c r="C116" i="8"/>
  <c r="C44" i="8"/>
  <c r="D677" i="8" s="1"/>
  <c r="C60" i="8"/>
  <c r="C64" i="8"/>
  <c r="C68" i="8"/>
  <c r="C142" i="8"/>
  <c r="C150" i="8"/>
  <c r="C36" i="8"/>
  <c r="C52" i="8"/>
  <c r="C118" i="8"/>
  <c r="C456" i="8"/>
  <c r="C74" i="8"/>
  <c r="C120" i="8"/>
  <c r="C355" i="8"/>
  <c r="C363" i="8"/>
  <c r="C476" i="8"/>
  <c r="C205" i="8"/>
  <c r="C299" i="8"/>
  <c r="C315" i="8"/>
  <c r="C345" i="8"/>
  <c r="C353" i="8"/>
  <c r="C369" i="8"/>
  <c r="C482" i="8"/>
  <c r="C532" i="8"/>
  <c r="C562" i="8"/>
  <c r="C568" i="8"/>
  <c r="C628" i="8"/>
  <c r="C245" i="8"/>
  <c r="C253" i="8"/>
  <c r="C92" i="8"/>
  <c r="C94" i="8"/>
  <c r="C96" i="8"/>
  <c r="C98" i="8"/>
  <c r="C112" i="8"/>
  <c r="D622" i="8" s="1"/>
  <c r="C132" i="8"/>
  <c r="C174" i="8"/>
  <c r="C190" i="8"/>
  <c r="C203" i="8"/>
  <c r="C297" i="8"/>
  <c r="C307" i="8"/>
  <c r="C311" i="8"/>
  <c r="C351" i="8"/>
  <c r="C492" i="8"/>
  <c r="C548" i="8"/>
  <c r="C454" i="8"/>
  <c r="C130" i="8"/>
  <c r="C172" i="8"/>
  <c r="C215" i="8"/>
  <c r="C225" i="8"/>
  <c r="C243" i="8"/>
  <c r="C251" i="8"/>
  <c r="C309" i="8"/>
  <c r="C332" i="8"/>
  <c r="C367" i="8"/>
  <c r="C474" i="8"/>
  <c r="C480" i="8"/>
  <c r="C486" i="8"/>
  <c r="C498" i="8"/>
  <c r="C536" i="8"/>
  <c r="C186" i="8"/>
  <c r="C221" i="8"/>
  <c r="C357" i="8"/>
  <c r="C578" i="8"/>
  <c r="C650" i="8"/>
  <c r="C261" i="8"/>
  <c r="C263" i="8"/>
  <c r="C265" i="8"/>
  <c r="C331" i="8"/>
  <c r="C343" i="8"/>
  <c r="C359" i="8"/>
  <c r="C458" i="8"/>
  <c r="C488" i="8"/>
  <c r="C504" i="8"/>
  <c r="C514" i="8"/>
  <c r="C520" i="8"/>
  <c r="C552" i="8"/>
  <c r="C582" i="8"/>
  <c r="C618" i="8"/>
  <c r="C630" i="8"/>
  <c r="C506" i="8"/>
  <c r="C616" i="8"/>
  <c r="C648" i="8"/>
  <c r="C674" i="8"/>
  <c r="C526" i="8"/>
  <c r="C554" i="8"/>
  <c r="C584" i="8"/>
  <c r="C660" i="8"/>
  <c r="C676" i="8"/>
  <c r="C570" i="8"/>
  <c r="C614" i="8"/>
  <c r="C522" i="8"/>
  <c r="C602" i="8"/>
  <c r="C680" i="8"/>
  <c r="C538" i="8"/>
  <c r="C634" i="8"/>
  <c r="C586" i="8"/>
  <c r="C600" i="8"/>
  <c r="C612" i="8"/>
  <c r="C658" i="8"/>
  <c r="D668" i="8"/>
  <c r="C666" i="8"/>
  <c r="C682" i="8"/>
  <c r="D2714" i="6"/>
  <c r="D851" i="6"/>
  <c r="D2690" i="6"/>
  <c r="D2110" i="6"/>
  <c r="D2730" i="6"/>
  <c r="D2698" i="6"/>
  <c r="D1800" i="6"/>
  <c r="D2722" i="6"/>
  <c r="D2706" i="6"/>
  <c r="D1904" i="6"/>
  <c r="D2658" i="6"/>
  <c r="D2610" i="6"/>
  <c r="D2570" i="6"/>
  <c r="D2538" i="6"/>
  <c r="D1154" i="6"/>
  <c r="D306" i="6"/>
  <c r="D1536" i="6"/>
  <c r="D2705" i="6"/>
  <c r="D2561" i="6"/>
  <c r="D2497" i="6"/>
  <c r="D2369" i="6"/>
  <c r="D2305" i="6"/>
  <c r="D2025" i="6"/>
  <c r="D1705" i="6"/>
  <c r="D1185" i="6"/>
  <c r="D2564" i="6"/>
  <c r="D2760" i="6"/>
  <c r="D2728" i="6"/>
  <c r="D2688" i="6"/>
  <c r="D2640" i="6"/>
  <c r="D2608" i="6"/>
  <c r="D2560" i="6"/>
  <c r="D2520" i="6"/>
  <c r="D2488" i="6"/>
  <c r="D2440" i="6"/>
  <c r="D2400" i="6"/>
  <c r="D2352" i="6"/>
  <c r="D2312" i="6"/>
  <c r="D2280" i="6"/>
  <c r="D2232" i="6"/>
  <c r="D2184" i="6"/>
  <c r="D2136" i="6"/>
  <c r="D2104" i="6"/>
  <c r="D2064" i="6"/>
  <c r="D2024" i="6"/>
  <c r="D1976" i="6"/>
  <c r="D1960" i="6"/>
  <c r="D1920" i="6"/>
  <c r="D1912" i="6"/>
  <c r="D1896" i="6"/>
  <c r="D1888" i="6"/>
  <c r="D1880" i="6"/>
  <c r="D1872" i="6"/>
  <c r="D1864" i="6"/>
  <c r="D1856" i="6"/>
  <c r="D1848" i="6"/>
  <c r="D1840" i="6"/>
  <c r="D1832" i="6"/>
  <c r="D1824" i="6"/>
  <c r="D1816" i="6"/>
  <c r="D1808" i="6"/>
  <c r="D1792" i="6"/>
  <c r="D1784" i="6"/>
  <c r="D1776" i="6"/>
  <c r="D1768" i="6"/>
  <c r="D1760" i="6"/>
  <c r="D1752" i="6"/>
  <c r="D1744" i="6"/>
  <c r="D1736" i="6"/>
  <c r="D1728" i="6"/>
  <c r="D1704" i="6"/>
  <c r="D1680" i="6"/>
  <c r="D1672" i="6"/>
  <c r="D1656" i="6"/>
  <c r="D1632" i="6"/>
  <c r="D1616" i="6"/>
  <c r="D1600" i="6"/>
  <c r="D1592" i="6"/>
  <c r="D1576" i="6"/>
  <c r="D1552" i="6"/>
  <c r="D1528" i="6"/>
  <c r="D1520" i="6"/>
  <c r="D1496" i="6"/>
  <c r="D1480" i="6"/>
  <c r="D1464" i="6"/>
  <c r="D1408" i="6"/>
  <c r="D1344" i="6"/>
  <c r="D1304" i="6"/>
  <c r="D1240" i="6"/>
  <c r="D2721" i="6"/>
  <c r="D2501" i="6"/>
  <c r="D2245" i="6"/>
  <c r="D1399" i="6"/>
  <c r="D1720" i="6"/>
  <c r="D1712" i="6"/>
  <c r="D1696" i="6"/>
  <c r="D1688" i="6"/>
  <c r="D1664" i="6"/>
  <c r="D1648" i="6"/>
  <c r="D1640" i="6"/>
  <c r="D1624" i="6"/>
  <c r="D1608" i="6"/>
  <c r="D1584" i="6"/>
  <c r="D1568" i="6"/>
  <c r="D1560" i="6"/>
  <c r="D1544" i="6"/>
  <c r="D1512" i="6"/>
  <c r="D1504" i="6"/>
  <c r="D1488" i="6"/>
  <c r="D1472" i="6"/>
  <c r="D1456" i="6"/>
  <c r="D1448" i="6"/>
  <c r="D1395" i="6"/>
  <c r="D1529" i="6"/>
  <c r="D2005" i="6"/>
  <c r="D2105" i="6"/>
  <c r="D2243" i="6"/>
  <c r="D2371" i="6"/>
  <c r="D2499" i="6"/>
  <c r="D2627" i="6"/>
  <c r="D2716" i="6"/>
  <c r="D1666" i="6"/>
  <c r="D1799" i="6"/>
  <c r="D2179" i="6"/>
  <c r="D2307" i="6"/>
  <c r="D2435" i="6"/>
  <c r="D2563" i="6"/>
  <c r="D2673" i="6"/>
  <c r="D2756" i="6"/>
  <c r="D1312" i="6"/>
  <c r="D2055" i="6"/>
  <c r="D1879" i="6"/>
  <c r="D2717" i="6"/>
  <c r="D2500" i="6"/>
  <c r="D2244" i="6"/>
  <c r="D1903" i="6"/>
  <c r="D1396" i="6"/>
  <c r="D850" i="6"/>
  <c r="D2674" i="6"/>
  <c r="D2634" i="6"/>
  <c r="D2594" i="6"/>
  <c r="D2562" i="6"/>
  <c r="D1730" i="6"/>
  <c r="D1322" i="6"/>
  <c r="D162" i="6"/>
  <c r="D2007" i="6"/>
  <c r="D2745" i="6"/>
  <c r="D2609" i="6"/>
  <c r="D2513" i="6"/>
  <c r="D2465" i="6"/>
  <c r="D2401" i="6"/>
  <c r="D2337" i="6"/>
  <c r="D2257" i="6"/>
  <c r="D2225" i="6"/>
  <c r="D2193" i="6"/>
  <c r="D2129" i="6"/>
  <c r="D1593" i="6"/>
  <c r="D1225" i="6"/>
  <c r="D2752" i="6"/>
  <c r="D2704" i="6"/>
  <c r="D2672" i="6"/>
  <c r="D2632" i="6"/>
  <c r="D2592" i="6"/>
  <c r="D2544" i="6"/>
  <c r="D2504" i="6"/>
  <c r="D2464" i="6"/>
  <c r="D2416" i="6"/>
  <c r="D2384" i="6"/>
  <c r="D2336" i="6"/>
  <c r="D2296" i="6"/>
  <c r="D2264" i="6"/>
  <c r="D2216" i="6"/>
  <c r="D2200" i="6"/>
  <c r="D2160" i="6"/>
  <c r="D2112" i="6"/>
  <c r="D2080" i="6"/>
  <c r="D2032" i="6"/>
  <c r="D1992" i="6"/>
  <c r="D1944" i="6"/>
  <c r="D2766" i="6"/>
  <c r="D2734" i="6"/>
  <c r="D2694" i="6"/>
  <c r="D2670" i="6"/>
  <c r="D2630" i="6"/>
  <c r="D2598" i="6"/>
  <c r="D2566" i="6"/>
  <c r="D2526" i="6"/>
  <c r="D2502" i="6"/>
  <c r="D2462" i="6"/>
  <c r="D2430" i="6"/>
  <c r="D2390" i="6"/>
  <c r="D2358" i="6"/>
  <c r="D2334" i="6"/>
  <c r="D2294" i="6"/>
  <c r="D2262" i="6"/>
  <c r="D2222" i="6"/>
  <c r="D2198" i="6"/>
  <c r="D2158" i="6"/>
  <c r="D2126" i="6"/>
  <c r="D2102" i="6"/>
  <c r="D2054" i="6"/>
  <c r="D2022" i="6"/>
  <c r="D1982" i="6"/>
  <c r="D1942" i="6"/>
  <c r="D1910" i="6"/>
  <c r="D1902" i="6"/>
  <c r="D1870" i="6"/>
  <c r="D1854" i="6"/>
  <c r="D1838" i="6"/>
  <c r="D1258" i="6"/>
  <c r="D984" i="6"/>
  <c r="D843" i="6"/>
  <c r="D610" i="6"/>
  <c r="D320" i="6"/>
  <c r="D254" i="6"/>
  <c r="D182" i="6"/>
  <c r="D545" i="6"/>
  <c r="D2681" i="6"/>
  <c r="D2437" i="6"/>
  <c r="D2181" i="6"/>
  <c r="D1801" i="6"/>
  <c r="D1260" i="6"/>
  <c r="D617" i="6"/>
  <c r="D2650" i="6"/>
  <c r="D2618" i="6"/>
  <c r="D2578" i="6"/>
  <c r="D2530" i="6"/>
  <c r="D1218" i="6"/>
  <c r="D234" i="6"/>
  <c r="D991" i="6"/>
  <c r="D2641" i="6"/>
  <c r="D2577" i="6"/>
  <c r="D2481" i="6"/>
  <c r="D2433" i="6"/>
  <c r="D2353" i="6"/>
  <c r="D2289" i="6"/>
  <c r="D2081" i="6"/>
  <c r="D1697" i="6"/>
  <c r="D1497" i="6"/>
  <c r="D2308" i="6"/>
  <c r="D2768" i="6"/>
  <c r="D2720" i="6"/>
  <c r="D2680" i="6"/>
  <c r="D2648" i="6"/>
  <c r="D2600" i="6"/>
  <c r="D2568" i="6"/>
  <c r="D2528" i="6"/>
  <c r="D2480" i="6"/>
  <c r="D2448" i="6"/>
  <c r="D2392" i="6"/>
  <c r="D2360" i="6"/>
  <c r="D2320" i="6"/>
  <c r="D2272" i="6"/>
  <c r="D2240" i="6"/>
  <c r="D2176" i="6"/>
  <c r="D2144" i="6"/>
  <c r="D2096" i="6"/>
  <c r="D2056" i="6"/>
  <c r="D2016" i="6"/>
  <c r="D1984" i="6"/>
  <c r="D1936" i="6"/>
  <c r="D2750" i="6"/>
  <c r="D2718" i="6"/>
  <c r="D2686" i="6"/>
  <c r="D2654" i="6"/>
  <c r="D2622" i="6"/>
  <c r="D2606" i="6"/>
  <c r="D2574" i="6"/>
  <c r="D2542" i="6"/>
  <c r="D2510" i="6"/>
  <c r="D2478" i="6"/>
  <c r="D2446" i="6"/>
  <c r="D2414" i="6"/>
  <c r="D2382" i="6"/>
  <c r="D2342" i="6"/>
  <c r="D2310" i="6"/>
  <c r="D2278" i="6"/>
  <c r="D2246" i="6"/>
  <c r="D2214" i="6"/>
  <c r="D2182" i="6"/>
  <c r="D2150" i="6"/>
  <c r="D2118" i="6"/>
  <c r="D2078" i="6"/>
  <c r="D2046" i="6"/>
  <c r="D2014" i="6"/>
  <c r="D1974" i="6"/>
  <c r="D1950" i="6"/>
  <c r="D1918" i="6"/>
  <c r="D1894" i="6"/>
  <c r="D1862" i="6"/>
  <c r="D1846" i="6"/>
  <c r="D1830" i="6"/>
  <c r="D1121" i="6"/>
  <c r="D2733" i="6"/>
  <c r="D2693" i="6"/>
  <c r="D2653" i="6"/>
  <c r="D2645" i="6"/>
  <c r="D2581" i="6"/>
  <c r="D2517" i="6"/>
  <c r="D2677" i="6"/>
  <c r="D2436" i="6"/>
  <c r="D2180" i="6"/>
  <c r="D1259" i="6"/>
  <c r="D616" i="6"/>
  <c r="D2682" i="6"/>
  <c r="D2642" i="6"/>
  <c r="D2602" i="6"/>
  <c r="D2554" i="6"/>
  <c r="D1770" i="6"/>
  <c r="D1226" i="6"/>
  <c r="D2761" i="6"/>
  <c r="D2565" i="6"/>
  <c r="D248" i="6"/>
  <c r="D2593" i="6"/>
  <c r="D2529" i="6"/>
  <c r="D2449" i="6"/>
  <c r="D2385" i="6"/>
  <c r="D2321" i="6"/>
  <c r="D2273" i="6"/>
  <c r="D2241" i="6"/>
  <c r="D2177" i="6"/>
  <c r="D2145" i="6"/>
  <c r="D1897" i="6"/>
  <c r="D1633" i="6"/>
  <c r="D2757" i="6"/>
  <c r="D985" i="6"/>
  <c r="D2744" i="6"/>
  <c r="D2712" i="6"/>
  <c r="D2664" i="6"/>
  <c r="D2624" i="6"/>
  <c r="D2584" i="6"/>
  <c r="D2552" i="6"/>
  <c r="D2496" i="6"/>
  <c r="D2456" i="6"/>
  <c r="D2424" i="6"/>
  <c r="D2376" i="6"/>
  <c r="D2344" i="6"/>
  <c r="D2304" i="6"/>
  <c r="D2256" i="6"/>
  <c r="D2224" i="6"/>
  <c r="D2192" i="6"/>
  <c r="D2152" i="6"/>
  <c r="D2120" i="6"/>
  <c r="D2072" i="6"/>
  <c r="D2040" i="6"/>
  <c r="D2000" i="6"/>
  <c r="D1928" i="6"/>
  <c r="D2742" i="6"/>
  <c r="D2702" i="6"/>
  <c r="D2662" i="6"/>
  <c r="D2638" i="6"/>
  <c r="D2590" i="6"/>
  <c r="D2558" i="6"/>
  <c r="D2534" i="6"/>
  <c r="D2494" i="6"/>
  <c r="D2470" i="6"/>
  <c r="D2422" i="6"/>
  <c r="D2398" i="6"/>
  <c r="D2366" i="6"/>
  <c r="D2326" i="6"/>
  <c r="D2302" i="6"/>
  <c r="D2254" i="6"/>
  <c r="D2238" i="6"/>
  <c r="D2190" i="6"/>
  <c r="D2174" i="6"/>
  <c r="D2134" i="6"/>
  <c r="D2094" i="6"/>
  <c r="D2070" i="6"/>
  <c r="D2030" i="6"/>
  <c r="D1998" i="6"/>
  <c r="D1966" i="6"/>
  <c r="D1934" i="6"/>
  <c r="D1878" i="6"/>
  <c r="D2708" i="6"/>
  <c r="D2596" i="6"/>
  <c r="D2468" i="6"/>
  <c r="D2340" i="6"/>
  <c r="D2212" i="6"/>
  <c r="D1772" i="6"/>
  <c r="D1324" i="6"/>
  <c r="D916" i="6"/>
  <c r="D684" i="6"/>
  <c r="D460" i="6"/>
  <c r="D181" i="6"/>
  <c r="D2629" i="6"/>
  <c r="D2373" i="6"/>
  <c r="D1673" i="6"/>
  <c r="D1123" i="6"/>
  <c r="D322" i="6"/>
  <c r="D2666" i="6"/>
  <c r="D2626" i="6"/>
  <c r="D2586" i="6"/>
  <c r="D2546" i="6"/>
  <c r="D1634" i="6"/>
  <c r="D682" i="6"/>
  <c r="D2309" i="6"/>
  <c r="D2625" i="6"/>
  <c r="D2545" i="6"/>
  <c r="D2417" i="6"/>
  <c r="D2209" i="6"/>
  <c r="D2161" i="6"/>
  <c r="D1977" i="6"/>
  <c r="D1825" i="6"/>
  <c r="D1289" i="6"/>
  <c r="D2006" i="6"/>
  <c r="D2736" i="6"/>
  <c r="D2696" i="6"/>
  <c r="D2656" i="6"/>
  <c r="D2616" i="6"/>
  <c r="D2576" i="6"/>
  <c r="D2536" i="6"/>
  <c r="D2512" i="6"/>
  <c r="D2472" i="6"/>
  <c r="D2432" i="6"/>
  <c r="D2408" i="6"/>
  <c r="D2368" i="6"/>
  <c r="D2328" i="6"/>
  <c r="D2288" i="6"/>
  <c r="D2248" i="6"/>
  <c r="D2208" i="6"/>
  <c r="D2168" i="6"/>
  <c r="D2128" i="6"/>
  <c r="D2088" i="6"/>
  <c r="D2048" i="6"/>
  <c r="D2008" i="6"/>
  <c r="D1968" i="6"/>
  <c r="D1952" i="6"/>
  <c r="D2758" i="6"/>
  <c r="D2726" i="6"/>
  <c r="D2710" i="6"/>
  <c r="D2678" i="6"/>
  <c r="D2646" i="6"/>
  <c r="D2614" i="6"/>
  <c r="D2582" i="6"/>
  <c r="D2550" i="6"/>
  <c r="D2518" i="6"/>
  <c r="D2486" i="6"/>
  <c r="D2454" i="6"/>
  <c r="D2438" i="6"/>
  <c r="D2406" i="6"/>
  <c r="D2374" i="6"/>
  <c r="D2350" i="6"/>
  <c r="D2318" i="6"/>
  <c r="D2286" i="6"/>
  <c r="D2270" i="6"/>
  <c r="D2230" i="6"/>
  <c r="D2206" i="6"/>
  <c r="D2166" i="6"/>
  <c r="D2142" i="6"/>
  <c r="D2086" i="6"/>
  <c r="D2062" i="6"/>
  <c r="D2038" i="6"/>
  <c r="D1990" i="6"/>
  <c r="D1958" i="6"/>
  <c r="D1926" i="6"/>
  <c r="D1886" i="6"/>
  <c r="D2748" i="6"/>
  <c r="D2668" i="6"/>
  <c r="D2532" i="6"/>
  <c r="D2404" i="6"/>
  <c r="D2276" i="6"/>
  <c r="D2148" i="6"/>
  <c r="D1364" i="6"/>
  <c r="D2628" i="6"/>
  <c r="D2372" i="6"/>
  <c r="D2109" i="6"/>
  <c r="D1667" i="6"/>
  <c r="D1122" i="6"/>
  <c r="D321" i="6"/>
  <c r="D768" i="6"/>
  <c r="D1208" i="6"/>
  <c r="D896" i="6"/>
  <c r="D704" i="6"/>
  <c r="D2767" i="6"/>
  <c r="D2759" i="6"/>
  <c r="D2751" i="6"/>
  <c r="D2743" i="6"/>
  <c r="D2735" i="6"/>
  <c r="D2727" i="6"/>
  <c r="D2719" i="6"/>
  <c r="D2711" i="6"/>
  <c r="D2703" i="6"/>
  <c r="D2695" i="6"/>
  <c r="D2687" i="6"/>
  <c r="D2679" i="6"/>
  <c r="D2671" i="6"/>
  <c r="D2663" i="6"/>
  <c r="D2655" i="6"/>
  <c r="D2647" i="6"/>
  <c r="D2639" i="6"/>
  <c r="D2631" i="6"/>
  <c r="D2623" i="6"/>
  <c r="D2615" i="6"/>
  <c r="D2607" i="6"/>
  <c r="D2599" i="6"/>
  <c r="D2591" i="6"/>
  <c r="D2583" i="6"/>
  <c r="D2575" i="6"/>
  <c r="D2567" i="6"/>
  <c r="D2559" i="6"/>
  <c r="D2551" i="6"/>
  <c r="D2543" i="6"/>
  <c r="D2535" i="6"/>
  <c r="D2527" i="6"/>
  <c r="D2519" i="6"/>
  <c r="D2511" i="6"/>
  <c r="D2503" i="6"/>
  <c r="D2495" i="6"/>
  <c r="D2487" i="6"/>
  <c r="D2479" i="6"/>
  <c r="D2471" i="6"/>
  <c r="D2463" i="6"/>
  <c r="D2455" i="6"/>
  <c r="D2447" i="6"/>
  <c r="D2439" i="6"/>
  <c r="D2431" i="6"/>
  <c r="D2423" i="6"/>
  <c r="D2415" i="6"/>
  <c r="D2407" i="6"/>
  <c r="D2399" i="6"/>
  <c r="D2391" i="6"/>
  <c r="D2383" i="6"/>
  <c r="D2375" i="6"/>
  <c r="D2367" i="6"/>
  <c r="D2359" i="6"/>
  <c r="D2351" i="6"/>
  <c r="D2343" i="6"/>
  <c r="D2335" i="6"/>
  <c r="D2327" i="6"/>
  <c r="D2319" i="6"/>
  <c r="D2311" i="6"/>
  <c r="D2303" i="6"/>
  <c r="D2295" i="6"/>
  <c r="D2287" i="6"/>
  <c r="D2279" i="6"/>
  <c r="D2271" i="6"/>
  <c r="D2263" i="6"/>
  <c r="D2255" i="6"/>
  <c r="D2247" i="6"/>
  <c r="D2239" i="6"/>
  <c r="D2231" i="6"/>
  <c r="D2223" i="6"/>
  <c r="D2215" i="6"/>
  <c r="D2207" i="6"/>
  <c r="D2199" i="6"/>
  <c r="D2191" i="6"/>
  <c r="D2183" i="6"/>
  <c r="D2175" i="6"/>
  <c r="D2167" i="6"/>
  <c r="D2159" i="6"/>
  <c r="D2151" i="6"/>
  <c r="D2143" i="6"/>
  <c r="D2135" i="6"/>
  <c r="D2127" i="6"/>
  <c r="D2119" i="6"/>
  <c r="D2111" i="6"/>
  <c r="D2103" i="6"/>
  <c r="D2095" i="6"/>
  <c r="D2087" i="6"/>
  <c r="D2079" i="6"/>
  <c r="D2071" i="6"/>
  <c r="D2063" i="6"/>
  <c r="D2047" i="6"/>
  <c r="D2039" i="6"/>
  <c r="D2031" i="6"/>
  <c r="D2023" i="6"/>
  <c r="D2015" i="6"/>
  <c r="D1999" i="6"/>
  <c r="D1991" i="6"/>
  <c r="D1983" i="6"/>
  <c r="D1975" i="6"/>
  <c r="D1967" i="6"/>
  <c r="D1959" i="6"/>
  <c r="D1951" i="6"/>
  <c r="D1943" i="6"/>
  <c r="D1935" i="6"/>
  <c r="D1927" i="6"/>
  <c r="D1919" i="6"/>
  <c r="D1911" i="6"/>
  <c r="D1895" i="6"/>
  <c r="D1887" i="6"/>
  <c r="D1871" i="6"/>
  <c r="D1863" i="6"/>
  <c r="D1855" i="6"/>
  <c r="D1847" i="6"/>
  <c r="D1839" i="6"/>
  <c r="D1831" i="6"/>
  <c r="D1823" i="6"/>
  <c r="D1815" i="6"/>
  <c r="D1807" i="6"/>
  <c r="D1791" i="6"/>
  <c r="D1783" i="6"/>
  <c r="D1775" i="6"/>
  <c r="D1767" i="6"/>
  <c r="D1759" i="6"/>
  <c r="D1751" i="6"/>
  <c r="D1743" i="6"/>
  <c r="D1735" i="6"/>
  <c r="D1727" i="6"/>
  <c r="D1719" i="6"/>
  <c r="D1711" i="6"/>
  <c r="D1703" i="6"/>
  <c r="D1695" i="6"/>
  <c r="D1687" i="6"/>
  <c r="D1679" i="6"/>
  <c r="D1671" i="6"/>
  <c r="D1663" i="6"/>
  <c r="D1655" i="6"/>
  <c r="D1647" i="6"/>
  <c r="D1615" i="6"/>
  <c r="D1583" i="6"/>
  <c r="D1375" i="6"/>
  <c r="D1311" i="6"/>
  <c r="D1279" i="6"/>
  <c r="D1271" i="6"/>
  <c r="D1207" i="6"/>
  <c r="D1175" i="6"/>
  <c r="D1167" i="6"/>
  <c r="D1103" i="6"/>
  <c r="D1071" i="6"/>
  <c r="D863" i="6"/>
  <c r="D2613" i="6"/>
  <c r="D2549" i="6"/>
  <c r="D2485" i="6"/>
  <c r="D2421" i="6"/>
  <c r="D2357" i="6"/>
  <c r="D2293" i="6"/>
  <c r="D2229" i="6"/>
  <c r="D2165" i="6"/>
  <c r="D2085" i="6"/>
  <c r="D1635" i="6"/>
  <c r="D1503" i="6"/>
  <c r="D1227" i="6"/>
  <c r="D1090" i="6"/>
  <c r="D953" i="6"/>
  <c r="D800" i="6"/>
  <c r="D1798" i="6"/>
  <c r="D1750" i="6"/>
  <c r="D1718" i="6"/>
  <c r="D1686" i="6"/>
  <c r="D1662" i="6"/>
  <c r="D1630" i="6"/>
  <c r="D1606" i="6"/>
  <c r="D1574" i="6"/>
  <c r="D1542" i="6"/>
  <c r="D1502" i="6"/>
  <c r="D1478" i="6"/>
  <c r="D1438" i="6"/>
  <c r="D1414" i="6"/>
  <c r="D1382" i="6"/>
  <c r="D1358" i="6"/>
  <c r="D1318" i="6"/>
  <c r="D1302" i="6"/>
  <c r="D1278" i="6"/>
  <c r="D1254" i="6"/>
  <c r="D1230" i="6"/>
  <c r="D1222" i="6"/>
  <c r="D1206" i="6"/>
  <c r="D1182" i="6"/>
  <c r="D1174" i="6"/>
  <c r="D1150" i="6"/>
  <c r="D1142" i="6"/>
  <c r="D1126" i="6"/>
  <c r="D1102" i="6"/>
  <c r="D1086" i="6"/>
  <c r="D1070" i="6"/>
  <c r="D1054" i="6"/>
  <c r="D1038" i="6"/>
  <c r="D1014" i="6"/>
  <c r="D990" i="6"/>
  <c r="D974" i="6"/>
  <c r="D958" i="6"/>
  <c r="D942" i="6"/>
  <c r="D926" i="6"/>
  <c r="D910" i="6"/>
  <c r="D894" i="6"/>
  <c r="D878" i="6"/>
  <c r="D862" i="6"/>
  <c r="D854" i="6"/>
  <c r="D846" i="6"/>
  <c r="D830" i="6"/>
  <c r="D822" i="6"/>
  <c r="D814" i="6"/>
  <c r="D806" i="6"/>
  <c r="D798" i="6"/>
  <c r="D790" i="6"/>
  <c r="D782" i="6"/>
  <c r="D774" i="6"/>
  <c r="D766" i="6"/>
  <c r="D758" i="6"/>
  <c r="D750" i="6"/>
  <c r="D742" i="6"/>
  <c r="D734" i="6"/>
  <c r="D726" i="6"/>
  <c r="D718" i="6"/>
  <c r="D710" i="6"/>
  <c r="D702" i="6"/>
  <c r="D694" i="6"/>
  <c r="D686" i="6"/>
  <c r="D678" i="6"/>
  <c r="D670" i="6"/>
  <c r="D662" i="6"/>
  <c r="D654" i="6"/>
  <c r="D646" i="6"/>
  <c r="D638" i="6"/>
  <c r="D630" i="6"/>
  <c r="D622" i="6"/>
  <c r="D614" i="6"/>
  <c r="D606" i="6"/>
  <c r="D598" i="6"/>
  <c r="D590" i="6"/>
  <c r="D582" i="6"/>
  <c r="D574" i="6"/>
  <c r="D566" i="6"/>
  <c r="D558" i="6"/>
  <c r="D550" i="6"/>
  <c r="D542" i="6"/>
  <c r="D534" i="6"/>
  <c r="D526" i="6"/>
  <c r="D518" i="6"/>
  <c r="D510" i="6"/>
  <c r="D502" i="6"/>
  <c r="D494" i="6"/>
  <c r="D486" i="6"/>
  <c r="D478" i="6"/>
  <c r="D470" i="6"/>
  <c r="D462" i="6"/>
  <c r="D454" i="6"/>
  <c r="D446" i="6"/>
  <c r="D438" i="6"/>
  <c r="D430" i="6"/>
  <c r="D422" i="6"/>
  <c r="D414" i="6"/>
  <c r="D406" i="6"/>
  <c r="D398" i="6"/>
  <c r="D390" i="6"/>
  <c r="D382" i="6"/>
  <c r="D374" i="6"/>
  <c r="D366" i="6"/>
  <c r="D358" i="6"/>
  <c r="D350" i="6"/>
  <c r="D342" i="6"/>
  <c r="D334" i="6"/>
  <c r="D326" i="6"/>
  <c r="D318" i="6"/>
  <c r="D310" i="6"/>
  <c r="D302" i="6"/>
  <c r="D294" i="6"/>
  <c r="D286" i="6"/>
  <c r="D278" i="6"/>
  <c r="D270" i="6"/>
  <c r="D262" i="6"/>
  <c r="D246" i="6"/>
  <c r="D238" i="6"/>
  <c r="D230" i="6"/>
  <c r="D222" i="6"/>
  <c r="D214" i="6"/>
  <c r="D206" i="6"/>
  <c r="D198" i="6"/>
  <c r="D190" i="6"/>
  <c r="D174" i="6"/>
  <c r="D166" i="6"/>
  <c r="D158" i="6"/>
  <c r="D150" i="6"/>
  <c r="D142" i="6"/>
  <c r="D134" i="6"/>
  <c r="D126" i="6"/>
  <c r="D118" i="6"/>
  <c r="D110" i="6"/>
  <c r="D102" i="6"/>
  <c r="D94" i="6"/>
  <c r="D86" i="6"/>
  <c r="D78" i="6"/>
  <c r="D70" i="6"/>
  <c r="D62" i="6"/>
  <c r="D54" i="6"/>
  <c r="D46" i="6"/>
  <c r="D38" i="6"/>
  <c r="D30" i="6"/>
  <c r="D22" i="6"/>
  <c r="D14" i="6"/>
  <c r="D6" i="6"/>
  <c r="D2741" i="6"/>
  <c r="D2597" i="6"/>
  <c r="D2533" i="6"/>
  <c r="D2469" i="6"/>
  <c r="D2405" i="6"/>
  <c r="D2341" i="6"/>
  <c r="D2277" i="6"/>
  <c r="D2213" i="6"/>
  <c r="D2149" i="6"/>
  <c r="D2057" i="6"/>
  <c r="D1957" i="6"/>
  <c r="D1739" i="6"/>
  <c r="D1602" i="6"/>
  <c r="D1465" i="6"/>
  <c r="D1331" i="6"/>
  <c r="D1194" i="6"/>
  <c r="D1057" i="6"/>
  <c r="D920" i="6"/>
  <c r="D740" i="6"/>
  <c r="D477" i="6"/>
  <c r="D1806" i="6"/>
  <c r="D1774" i="6"/>
  <c r="D1766" i="6"/>
  <c r="D1710" i="6"/>
  <c r="D1702" i="6"/>
  <c r="D1670" i="6"/>
  <c r="D1614" i="6"/>
  <c r="D1590" i="6"/>
  <c r="D1558" i="6"/>
  <c r="D1526" i="6"/>
  <c r="D1494" i="6"/>
  <c r="D1462" i="6"/>
  <c r="D1430" i="6"/>
  <c r="D1398" i="6"/>
  <c r="D1366" i="6"/>
  <c r="D1334" i="6"/>
  <c r="D1310" i="6"/>
  <c r="D1286" i="6"/>
  <c r="D1262" i="6"/>
  <c r="D1246" i="6"/>
  <c r="D1238" i="6"/>
  <c r="D1214" i="6"/>
  <c r="D1198" i="6"/>
  <c r="D1190" i="6"/>
  <c r="D1166" i="6"/>
  <c r="D1158" i="6"/>
  <c r="D1134" i="6"/>
  <c r="D1118" i="6"/>
  <c r="D1110" i="6"/>
  <c r="D1094" i="6"/>
  <c r="D1078" i="6"/>
  <c r="D1062" i="6"/>
  <c r="D1046" i="6"/>
  <c r="D1030" i="6"/>
  <c r="D1022" i="6"/>
  <c r="D1006" i="6"/>
  <c r="D998" i="6"/>
  <c r="D982" i="6"/>
  <c r="D966" i="6"/>
  <c r="D950" i="6"/>
  <c r="D934" i="6"/>
  <c r="D918" i="6"/>
  <c r="D902" i="6"/>
  <c r="D886" i="6"/>
  <c r="D870" i="6"/>
  <c r="D838" i="6"/>
  <c r="D2765" i="6"/>
  <c r="D2749" i="6"/>
  <c r="D2725" i="6"/>
  <c r="D2709" i="6"/>
  <c r="D2701" i="6"/>
  <c r="D2685" i="6"/>
  <c r="D2669" i="6"/>
  <c r="D2661" i="6"/>
  <c r="D2637" i="6"/>
  <c r="D2621" i="6"/>
  <c r="D2605" i="6"/>
  <c r="D2589" i="6"/>
  <c r="D2573" i="6"/>
  <c r="D2557" i="6"/>
  <c r="D2541" i="6"/>
  <c r="D2525" i="6"/>
  <c r="D2053" i="6"/>
  <c r="D1981" i="6"/>
  <c r="D1925" i="6"/>
  <c r="D1877" i="6"/>
  <c r="D1797" i="6"/>
  <c r="D669" i="6"/>
  <c r="D597" i="6"/>
  <c r="D525" i="6"/>
  <c r="D253" i="6"/>
  <c r="D85" i="6"/>
  <c r="D77" i="6"/>
  <c r="D2737" i="6"/>
  <c r="D2697" i="6"/>
  <c r="D2657" i="6"/>
  <c r="D1953" i="6"/>
  <c r="D1853" i="6"/>
  <c r="D1738" i="6"/>
  <c r="D1601" i="6"/>
  <c r="D1327" i="6"/>
  <c r="D1193" i="6"/>
  <c r="D1056" i="6"/>
  <c r="D919" i="6"/>
  <c r="D737" i="6"/>
  <c r="D461" i="6"/>
  <c r="D1814" i="6"/>
  <c r="D1782" i="6"/>
  <c r="D1758" i="6"/>
  <c r="D1734" i="6"/>
  <c r="D1694" i="6"/>
  <c r="D1646" i="6"/>
  <c r="D1622" i="6"/>
  <c r="D1582" i="6"/>
  <c r="D1550" i="6"/>
  <c r="D1518" i="6"/>
  <c r="D1486" i="6"/>
  <c r="D1454" i="6"/>
  <c r="D1406" i="6"/>
  <c r="D1390" i="6"/>
  <c r="D1342" i="6"/>
  <c r="D1294" i="6"/>
  <c r="D2732" i="6"/>
  <c r="D2700" i="6"/>
  <c r="D2692" i="6"/>
  <c r="D2676" i="6"/>
  <c r="D2652" i="6"/>
  <c r="D2636" i="6"/>
  <c r="D2612" i="6"/>
  <c r="D2588" i="6"/>
  <c r="D2572" i="6"/>
  <c r="D2548" i="6"/>
  <c r="D2524" i="6"/>
  <c r="D2508" i="6"/>
  <c r="D2476" i="6"/>
  <c r="D2452" i="6"/>
  <c r="D2444" i="6"/>
  <c r="D2420" i="6"/>
  <c r="D2388" i="6"/>
  <c r="D2380" i="6"/>
  <c r="D2356" i="6"/>
  <c r="D2332" i="6"/>
  <c r="D2316" i="6"/>
  <c r="D2292" i="6"/>
  <c r="D2268" i="6"/>
  <c r="D2252" i="6"/>
  <c r="D2236" i="6"/>
  <c r="D2204" i="6"/>
  <c r="D2196" i="6"/>
  <c r="D2172" i="6"/>
  <c r="D2156" i="6"/>
  <c r="D2132" i="6"/>
  <c r="D2116" i="6"/>
  <c r="D2100" i="6"/>
  <c r="D2092" i="6"/>
  <c r="D2084" i="6"/>
  <c r="D2068" i="6"/>
  <c r="D2060" i="6"/>
  <c r="D2052" i="6"/>
  <c r="D2044" i="6"/>
  <c r="D2036" i="6"/>
  <c r="D2028" i="6"/>
  <c r="D2020" i="6"/>
  <c r="D2012" i="6"/>
  <c r="D2004" i="6"/>
  <c r="D1996" i="6"/>
  <c r="D1988" i="6"/>
  <c r="D1980" i="6"/>
  <c r="D1972" i="6"/>
  <c r="D1964" i="6"/>
  <c r="D1956" i="6"/>
  <c r="D1948" i="6"/>
  <c r="D1940" i="6"/>
  <c r="D1932" i="6"/>
  <c r="D1924" i="6"/>
  <c r="D1916" i="6"/>
  <c r="D1908" i="6"/>
  <c r="D1900" i="6"/>
  <c r="D1892" i="6"/>
  <c r="D1884" i="6"/>
  <c r="D1876" i="6"/>
  <c r="D1868" i="6"/>
  <c r="D1860" i="6"/>
  <c r="D1852" i="6"/>
  <c r="D1844" i="6"/>
  <c r="D1836" i="6"/>
  <c r="D1828" i="6"/>
  <c r="D1820" i="6"/>
  <c r="D1812" i="6"/>
  <c r="D1804" i="6"/>
  <c r="D1796" i="6"/>
  <c r="D1788" i="6"/>
  <c r="D1780" i="6"/>
  <c r="D1764" i="6"/>
  <c r="D1756" i="6"/>
  <c r="D1748" i="6"/>
  <c r="D1740" i="6"/>
  <c r="D1732" i="6"/>
  <c r="D1724" i="6"/>
  <c r="D1716" i="6"/>
  <c r="D1708" i="6"/>
  <c r="D1700" i="6"/>
  <c r="D1692" i="6"/>
  <c r="D1684" i="6"/>
  <c r="D1676" i="6"/>
  <c r="D1668" i="6"/>
  <c r="D1660" i="6"/>
  <c r="D1652" i="6"/>
  <c r="D1644" i="6"/>
  <c r="D1636" i="6"/>
  <c r="D1628" i="6"/>
  <c r="D1620" i="6"/>
  <c r="D1612" i="6"/>
  <c r="D1604" i="6"/>
  <c r="D1596" i="6"/>
  <c r="D1588" i="6"/>
  <c r="D1580" i="6"/>
  <c r="D1572" i="6"/>
  <c r="D1564" i="6"/>
  <c r="D1556" i="6"/>
  <c r="D1548" i="6"/>
  <c r="D1540" i="6"/>
  <c r="D1532" i="6"/>
  <c r="D1524" i="6"/>
  <c r="D1516" i="6"/>
  <c r="D1508" i="6"/>
  <c r="D1500" i="6"/>
  <c r="D1492" i="6"/>
  <c r="D1484" i="6"/>
  <c r="D1476" i="6"/>
  <c r="D1468" i="6"/>
  <c r="D1460" i="6"/>
  <c r="D1452" i="6"/>
  <c r="D1444" i="6"/>
  <c r="D1436" i="6"/>
  <c r="D1428" i="6"/>
  <c r="D1420" i="6"/>
  <c r="D1412" i="6"/>
  <c r="D1404" i="6"/>
  <c r="D1388" i="6"/>
  <c r="D1380" i="6"/>
  <c r="D1372" i="6"/>
  <c r="D1356" i="6"/>
  <c r="D1348" i="6"/>
  <c r="D1340" i="6"/>
  <c r="D1332" i="6"/>
  <c r="D1316" i="6"/>
  <c r="D1308" i="6"/>
  <c r="D1300" i="6"/>
  <c r="D1292" i="6"/>
  <c r="D1284" i="6"/>
  <c r="D1276" i="6"/>
  <c r="D1268" i="6"/>
  <c r="D1252" i="6"/>
  <c r="D1244" i="6"/>
  <c r="D1236" i="6"/>
  <c r="D1228" i="6"/>
  <c r="D1220" i="6"/>
  <c r="D1212" i="6"/>
  <c r="D1204" i="6"/>
  <c r="D1196" i="6"/>
  <c r="D1188" i="6"/>
  <c r="D1180" i="6"/>
  <c r="D1172" i="6"/>
  <c r="D1164" i="6"/>
  <c r="D1156" i="6"/>
  <c r="D1148" i="6"/>
  <c r="D1140" i="6"/>
  <c r="D1132" i="6"/>
  <c r="D1124" i="6"/>
  <c r="D1116" i="6"/>
  <c r="D1108" i="6"/>
  <c r="D1100" i="6"/>
  <c r="D1092" i="6"/>
  <c r="D1084" i="6"/>
  <c r="D1076" i="6"/>
  <c r="D1068" i="6"/>
  <c r="D1060" i="6"/>
  <c r="D1052" i="6"/>
  <c r="D1044" i="6"/>
  <c r="D1036" i="6"/>
  <c r="D1028" i="6"/>
  <c r="D1020" i="6"/>
  <c r="D1012" i="6"/>
  <c r="D1004" i="6"/>
  <c r="D996" i="6"/>
  <c r="D988" i="6"/>
  <c r="D980" i="6"/>
  <c r="D972" i="6"/>
  <c r="D964" i="6"/>
  <c r="D956" i="6"/>
  <c r="D948" i="6"/>
  <c r="D940" i="6"/>
  <c r="D932" i="6"/>
  <c r="D924" i="6"/>
  <c r="D908" i="6"/>
  <c r="D900" i="6"/>
  <c r="D892" i="6"/>
  <c r="D884" i="6"/>
  <c r="D876" i="6"/>
  <c r="D868" i="6"/>
  <c r="D860" i="6"/>
  <c r="D852" i="6"/>
  <c r="D844" i="6"/>
  <c r="D836" i="6"/>
  <c r="D828" i="6"/>
  <c r="D820" i="6"/>
  <c r="D812" i="6"/>
  <c r="D804" i="6"/>
  <c r="D796" i="6"/>
  <c r="D788" i="6"/>
  <c r="D780" i="6"/>
  <c r="D772" i="6"/>
  <c r="D764" i="6"/>
  <c r="D756" i="6"/>
  <c r="D748" i="6"/>
  <c r="D732" i="6"/>
  <c r="D724" i="6"/>
  <c r="D716" i="6"/>
  <c r="D708" i="6"/>
  <c r="D700" i="6"/>
  <c r="D692" i="6"/>
  <c r="D676" i="6"/>
  <c r="D668" i="6"/>
  <c r="D660" i="6"/>
  <c r="D652" i="6"/>
  <c r="D644" i="6"/>
  <c r="D636" i="6"/>
  <c r="D628" i="6"/>
  <c r="D620" i="6"/>
  <c r="D612" i="6"/>
  <c r="D604" i="6"/>
  <c r="D596" i="6"/>
  <c r="D588" i="6"/>
  <c r="D580" i="6"/>
  <c r="D572" i="6"/>
  <c r="D564" i="6"/>
  <c r="D556" i="6"/>
  <c r="D548" i="6"/>
  <c r="D540" i="6"/>
  <c r="D532" i="6"/>
  <c r="D524" i="6"/>
  <c r="D516" i="6"/>
  <c r="D508" i="6"/>
  <c r="D500" i="6"/>
  <c r="D492" i="6"/>
  <c r="D484" i="6"/>
  <c r="D476" i="6"/>
  <c r="D468" i="6"/>
  <c r="D452" i="6"/>
  <c r="D444" i="6"/>
  <c r="D436" i="6"/>
  <c r="D428" i="6"/>
  <c r="D420" i="6"/>
  <c r="D412" i="6"/>
  <c r="D404" i="6"/>
  <c r="D396" i="6"/>
  <c r="D388" i="6"/>
  <c r="D380" i="6"/>
  <c r="D372" i="6"/>
  <c r="D364" i="6"/>
  <c r="D356" i="6"/>
  <c r="D348" i="6"/>
  <c r="D340" i="6"/>
  <c r="D332" i="6"/>
  <c r="D324" i="6"/>
  <c r="D316" i="6"/>
  <c r="D308" i="6"/>
  <c r="D300" i="6"/>
  <c r="D292" i="6"/>
  <c r="D284" i="6"/>
  <c r="D276" i="6"/>
  <c r="D268" i="6"/>
  <c r="D260" i="6"/>
  <c r="D252" i="6"/>
  <c r="D244" i="6"/>
  <c r="D236" i="6"/>
  <c r="D228" i="6"/>
  <c r="D220" i="6"/>
  <c r="D212" i="6"/>
  <c r="D204" i="6"/>
  <c r="D196" i="6"/>
  <c r="D188" i="6"/>
  <c r="D180" i="6"/>
  <c r="D172" i="6"/>
  <c r="D164" i="6"/>
  <c r="D156" i="6"/>
  <c r="D148" i="6"/>
  <c r="D140" i="6"/>
  <c r="D132" i="6"/>
  <c r="D124" i="6"/>
  <c r="D116" i="6"/>
  <c r="D108" i="6"/>
  <c r="D100" i="6"/>
  <c r="D92" i="6"/>
  <c r="D84" i="6"/>
  <c r="D76" i="6"/>
  <c r="D68" i="6"/>
  <c r="D60" i="6"/>
  <c r="D52" i="6"/>
  <c r="D44" i="6"/>
  <c r="D36" i="6"/>
  <c r="D28" i="6"/>
  <c r="D20" i="6"/>
  <c r="D12" i="6"/>
  <c r="D4" i="6"/>
  <c r="D2595" i="6"/>
  <c r="D2531" i="6"/>
  <c r="D2467" i="6"/>
  <c r="D2403" i="6"/>
  <c r="D2339" i="6"/>
  <c r="D2275" i="6"/>
  <c r="D2211" i="6"/>
  <c r="D2147" i="6"/>
  <c r="D1849" i="6"/>
  <c r="D1737" i="6"/>
  <c r="D1463" i="6"/>
  <c r="D1187" i="6"/>
  <c r="D1055" i="6"/>
  <c r="D736" i="6"/>
  <c r="D169" i="6"/>
  <c r="D1822" i="6"/>
  <c r="D1790" i="6"/>
  <c r="D1742" i="6"/>
  <c r="D1726" i="6"/>
  <c r="D1678" i="6"/>
  <c r="D1654" i="6"/>
  <c r="D1638" i="6"/>
  <c r="D1598" i="6"/>
  <c r="D1566" i="6"/>
  <c r="D1534" i="6"/>
  <c r="D1510" i="6"/>
  <c r="D1470" i="6"/>
  <c r="D1446" i="6"/>
  <c r="D1422" i="6"/>
  <c r="D1374" i="6"/>
  <c r="D1350" i="6"/>
  <c r="D1326" i="6"/>
  <c r="D1270" i="6"/>
  <c r="D2764" i="6"/>
  <c r="D2740" i="6"/>
  <c r="D2724" i="6"/>
  <c r="D2684" i="6"/>
  <c r="D2660" i="6"/>
  <c r="D2644" i="6"/>
  <c r="D2620" i="6"/>
  <c r="D2604" i="6"/>
  <c r="D2580" i="6"/>
  <c r="D2556" i="6"/>
  <c r="D2540" i="6"/>
  <c r="D2516" i="6"/>
  <c r="D2492" i="6"/>
  <c r="D2484" i="6"/>
  <c r="D2460" i="6"/>
  <c r="D2428" i="6"/>
  <c r="D2412" i="6"/>
  <c r="D2396" i="6"/>
  <c r="D2364" i="6"/>
  <c r="D2348" i="6"/>
  <c r="D2324" i="6"/>
  <c r="D2300" i="6"/>
  <c r="D2284" i="6"/>
  <c r="D2260" i="6"/>
  <c r="D2228" i="6"/>
  <c r="D2220" i="6"/>
  <c r="D2188" i="6"/>
  <c r="D2164" i="6"/>
  <c r="D2140" i="6"/>
  <c r="D2124" i="6"/>
  <c r="D2108" i="6"/>
  <c r="D2076" i="6"/>
  <c r="D2755" i="6"/>
  <c r="D2747" i="6"/>
  <c r="D2723" i="6"/>
  <c r="D2707" i="6"/>
  <c r="D2683" i="6"/>
  <c r="D2667" i="6"/>
  <c r="D2659" i="6"/>
  <c r="D2643" i="6"/>
  <c r="D2611" i="6"/>
  <c r="D2579" i="6"/>
  <c r="D2547" i="6"/>
  <c r="D2515" i="6"/>
  <c r="D2483" i="6"/>
  <c r="D2451" i="6"/>
  <c r="D2419" i="6"/>
  <c r="D2387" i="6"/>
  <c r="D2355" i="6"/>
  <c r="D2323" i="6"/>
  <c r="D2291" i="6"/>
  <c r="D2259" i="6"/>
  <c r="D2227" i="6"/>
  <c r="D2195" i="6"/>
  <c r="D2163" i="6"/>
  <c r="D2131" i="6"/>
  <c r="D1771" i="6"/>
  <c r="D1763" i="6"/>
  <c r="D1699" i="6"/>
  <c r="D1459" i="6"/>
  <c r="D1363" i="6"/>
  <c r="D1355" i="6"/>
  <c r="D1291" i="6"/>
  <c r="D1251" i="6"/>
  <c r="D1155" i="6"/>
  <c r="D947" i="6"/>
  <c r="D883" i="6"/>
  <c r="D787" i="6"/>
  <c r="D731" i="6"/>
  <c r="D683" i="6"/>
  <c r="D2731" i="6"/>
  <c r="D2691" i="6"/>
  <c r="D2453" i="6"/>
  <c r="D2389" i="6"/>
  <c r="D2325" i="6"/>
  <c r="D2261" i="6"/>
  <c r="D2197" i="6"/>
  <c r="D2133" i="6"/>
  <c r="D1929" i="6"/>
  <c r="D1829" i="6"/>
  <c r="D1706" i="6"/>
  <c r="D1569" i="6"/>
  <c r="D1432" i="6"/>
  <c r="D1295" i="6"/>
  <c r="D1161" i="6"/>
  <c r="D1024" i="6"/>
  <c r="D887" i="6"/>
  <c r="D394" i="6"/>
  <c r="D104" i="6"/>
  <c r="D2509" i="6"/>
  <c r="D2493" i="6"/>
  <c r="D2477" i="6"/>
  <c r="D2461" i="6"/>
  <c r="D2445" i="6"/>
  <c r="D2429" i="6"/>
  <c r="D2413" i="6"/>
  <c r="D2397" i="6"/>
  <c r="D2381" i="6"/>
  <c r="D2365" i="6"/>
  <c r="D2349" i="6"/>
  <c r="D2333" i="6"/>
  <c r="D2317" i="6"/>
  <c r="D2301" i="6"/>
  <c r="D2285" i="6"/>
  <c r="D2269" i="6"/>
  <c r="D2253" i="6"/>
  <c r="D2237" i="6"/>
  <c r="D2221" i="6"/>
  <c r="D2205" i="6"/>
  <c r="D2189" i="6"/>
  <c r="D2173" i="6"/>
  <c r="D2157" i="6"/>
  <c r="D2141" i="6"/>
  <c r="D2125" i="6"/>
  <c r="D2117" i="6"/>
  <c r="D2101" i="6"/>
  <c r="D2093" i="6"/>
  <c r="D2077" i="6"/>
  <c r="D2069" i="6"/>
  <c r="D2061" i="6"/>
  <c r="D2045" i="6"/>
  <c r="D2037" i="6"/>
  <c r="D2029" i="6"/>
  <c r="D2021" i="6"/>
  <c r="D2013" i="6"/>
  <c r="D1997" i="6"/>
  <c r="D1989" i="6"/>
  <c r="D1973" i="6"/>
  <c r="D1965" i="6"/>
  <c r="D1949" i="6"/>
  <c r="D1941" i="6"/>
  <c r="D1933" i="6"/>
  <c r="D1917" i="6"/>
  <c r="D1909" i="6"/>
  <c r="D1901" i="6"/>
  <c r="D1893" i="6"/>
  <c r="D1885" i="6"/>
  <c r="D1869" i="6"/>
  <c r="D1861" i="6"/>
  <c r="D1845" i="6"/>
  <c r="D1837" i="6"/>
  <c r="D1821" i="6"/>
  <c r="D1813" i="6"/>
  <c r="D1805" i="6"/>
  <c r="D1789" i="6"/>
  <c r="D1781" i="6"/>
  <c r="D1773" i="6"/>
  <c r="D1765" i="6"/>
  <c r="D1757" i="6"/>
  <c r="D1749" i="6"/>
  <c r="D1741" i="6"/>
  <c r="D1733" i="6"/>
  <c r="D1725" i="6"/>
  <c r="D1717" i="6"/>
  <c r="D1709" i="6"/>
  <c r="D1701" i="6"/>
  <c r="D1693" i="6"/>
  <c r="D1685" i="6"/>
  <c r="D1677" i="6"/>
  <c r="D1669" i="6"/>
  <c r="D1661" i="6"/>
  <c r="D1653" i="6"/>
  <c r="D1645" i="6"/>
  <c r="D1637" i="6"/>
  <c r="D1629" i="6"/>
  <c r="D1621" i="6"/>
  <c r="D1613" i="6"/>
  <c r="D1605" i="6"/>
  <c r="D1597" i="6"/>
  <c r="D1589" i="6"/>
  <c r="D1581" i="6"/>
  <c r="D1573" i="6"/>
  <c r="D1565" i="6"/>
  <c r="D1557" i="6"/>
  <c r="D1549" i="6"/>
  <c r="D1541" i="6"/>
  <c r="D1533" i="6"/>
  <c r="D1525" i="6"/>
  <c r="D1517" i="6"/>
  <c r="D1509" i="6"/>
  <c r="D1501" i="6"/>
  <c r="D1493" i="6"/>
  <c r="D1485" i="6"/>
  <c r="D1477" i="6"/>
  <c r="D1469" i="6"/>
  <c r="D1461" i="6"/>
  <c r="D1453" i="6"/>
  <c r="D1445" i="6"/>
  <c r="D1437" i="6"/>
  <c r="D1429" i="6"/>
  <c r="D1421" i="6"/>
  <c r="D1413" i="6"/>
  <c r="D1405" i="6"/>
  <c r="D1397" i="6"/>
  <c r="D1389" i="6"/>
  <c r="D1381" i="6"/>
  <c r="D1373" i="6"/>
  <c r="D1365" i="6"/>
  <c r="D1357" i="6"/>
  <c r="D1349" i="6"/>
  <c r="D1341" i="6"/>
  <c r="D1333" i="6"/>
  <c r="D1325" i="6"/>
  <c r="D1317" i="6"/>
  <c r="D1309" i="6"/>
  <c r="D1301" i="6"/>
  <c r="D1293" i="6"/>
  <c r="D1285" i="6"/>
  <c r="D1277" i="6"/>
  <c r="D1269" i="6"/>
  <c r="D1261" i="6"/>
  <c r="D1253" i="6"/>
  <c r="D1245" i="6"/>
  <c r="D1237" i="6"/>
  <c r="D1229" i="6"/>
  <c r="D1221" i="6"/>
  <c r="D1213" i="6"/>
  <c r="D1205" i="6"/>
  <c r="D1197" i="6"/>
  <c r="D1189" i="6"/>
  <c r="D1181" i="6"/>
  <c r="D1173" i="6"/>
  <c r="D1165" i="6"/>
  <c r="D1157" i="6"/>
  <c r="D1149" i="6"/>
  <c r="D1141" i="6"/>
  <c r="D1133" i="6"/>
  <c r="D1125" i="6"/>
  <c r="D1117" i="6"/>
  <c r="D1109" i="6"/>
  <c r="D1101" i="6"/>
  <c r="D1093" i="6"/>
  <c r="D1085" i="6"/>
  <c r="D1077" i="6"/>
  <c r="D1069" i="6"/>
  <c r="D1061" i="6"/>
  <c r="D1053" i="6"/>
  <c r="D1045" i="6"/>
  <c r="D1037" i="6"/>
  <c r="D1029" i="6"/>
  <c r="D1021" i="6"/>
  <c r="D1013" i="6"/>
  <c r="D1005" i="6"/>
  <c r="D997" i="6"/>
  <c r="D989" i="6"/>
  <c r="D981" i="6"/>
  <c r="D973" i="6"/>
  <c r="D965" i="6"/>
  <c r="D957" i="6"/>
  <c r="D949" i="6"/>
  <c r="D941" i="6"/>
  <c r="D933" i="6"/>
  <c r="D925" i="6"/>
  <c r="D917" i="6"/>
  <c r="D909" i="6"/>
  <c r="D901" i="6"/>
  <c r="D893" i="6"/>
  <c r="D885" i="6"/>
  <c r="D877" i="6"/>
  <c r="D869" i="6"/>
  <c r="D861" i="6"/>
  <c r="D853" i="6"/>
  <c r="D845" i="6"/>
  <c r="D837" i="6"/>
  <c r="D829" i="6"/>
  <c r="D821" i="6"/>
  <c r="D813" i="6"/>
  <c r="D805" i="6"/>
  <c r="D797" i="6"/>
  <c r="D789" i="6"/>
  <c r="D781" i="6"/>
  <c r="D773" i="6"/>
  <c r="D765" i="6"/>
  <c r="D757" i="6"/>
  <c r="D749" i="6"/>
  <c r="D741" i="6"/>
  <c r="D733" i="6"/>
  <c r="D725" i="6"/>
  <c r="D717" i="6"/>
  <c r="D709" i="6"/>
  <c r="D701" i="6"/>
  <c r="D693" i="6"/>
  <c r="D685" i="6"/>
  <c r="D677" i="6"/>
  <c r="D661" i="6"/>
  <c r="D653" i="6"/>
  <c r="D645" i="6"/>
  <c r="D637" i="6"/>
  <c r="D629" i="6"/>
  <c r="D621" i="6"/>
  <c r="D613" i="6"/>
  <c r="D605" i="6"/>
  <c r="D589" i="6"/>
  <c r="D581" i="6"/>
  <c r="D573" i="6"/>
  <c r="D565" i="6"/>
  <c r="D557" i="6"/>
  <c r="D549" i="6"/>
  <c r="D541" i="6"/>
  <c r="D533" i="6"/>
  <c r="D517" i="6"/>
  <c r="D509" i="6"/>
  <c r="D501" i="6"/>
  <c r="D493" i="6"/>
  <c r="D485" i="6"/>
  <c r="D469" i="6"/>
  <c r="D453" i="6"/>
  <c r="D445" i="6"/>
  <c r="D437" i="6"/>
  <c r="D429" i="6"/>
  <c r="D421" i="6"/>
  <c r="D413" i="6"/>
  <c r="D405" i="6"/>
  <c r="D397" i="6"/>
  <c r="D389" i="6"/>
  <c r="D381" i="6"/>
  <c r="D373" i="6"/>
  <c r="D365" i="6"/>
  <c r="D357" i="6"/>
  <c r="D349" i="6"/>
  <c r="D341" i="6"/>
  <c r="D333" i="6"/>
  <c r="D325" i="6"/>
  <c r="D317" i="6"/>
  <c r="D309" i="6"/>
  <c r="D301" i="6"/>
  <c r="D293" i="6"/>
  <c r="D285" i="6"/>
  <c r="D277" i="6"/>
  <c r="D269" i="6"/>
  <c r="D261" i="6"/>
  <c r="D245" i="6"/>
  <c r="D237" i="6"/>
  <c r="D229" i="6"/>
  <c r="D221" i="6"/>
  <c r="D213" i="6"/>
  <c r="D205" i="6"/>
  <c r="D197" i="6"/>
  <c r="D189" i="6"/>
  <c r="D173" i="6"/>
  <c r="D165" i="6"/>
  <c r="D157" i="6"/>
  <c r="D149" i="6"/>
  <c r="D141" i="6"/>
  <c r="D133" i="6"/>
  <c r="D125" i="6"/>
  <c r="D117" i="6"/>
  <c r="D109" i="6"/>
  <c r="D101" i="6"/>
  <c r="D93" i="6"/>
  <c r="D69" i="6"/>
  <c r="D61" i="6"/>
  <c r="D53" i="6"/>
  <c r="D45" i="6"/>
  <c r="D37" i="6"/>
  <c r="D29" i="6"/>
  <c r="D21" i="6"/>
  <c r="D13" i="6"/>
  <c r="D5" i="6"/>
  <c r="D1527" i="6"/>
  <c r="D1119" i="6"/>
  <c r="D1048" i="6"/>
  <c r="D911" i="6"/>
  <c r="D457" i="6"/>
  <c r="D2763" i="6"/>
  <c r="D2739" i="6"/>
  <c r="D2715" i="6"/>
  <c r="D2699" i="6"/>
  <c r="D2675" i="6"/>
  <c r="D2651" i="6"/>
  <c r="D2635" i="6"/>
  <c r="D2619" i="6"/>
  <c r="D2603" i="6"/>
  <c r="D2587" i="6"/>
  <c r="D2571" i="6"/>
  <c r="D2555" i="6"/>
  <c r="D2539" i="6"/>
  <c r="D2523" i="6"/>
  <c r="D2507" i="6"/>
  <c r="D2491" i="6"/>
  <c r="D2475" i="6"/>
  <c r="D2459" i="6"/>
  <c r="D2443" i="6"/>
  <c r="D2427" i="6"/>
  <c r="D2411" i="6"/>
  <c r="D2395" i="6"/>
  <c r="D2379" i="6"/>
  <c r="D2363" i="6"/>
  <c r="D2347" i="6"/>
  <c r="D2331" i="6"/>
  <c r="D2315" i="6"/>
  <c r="D2299" i="6"/>
  <c r="D2283" i="6"/>
  <c r="D2267" i="6"/>
  <c r="D2251" i="6"/>
  <c r="D2235" i="6"/>
  <c r="D2219" i="6"/>
  <c r="D2203" i="6"/>
  <c r="D2187" i="6"/>
  <c r="D2171" i="6"/>
  <c r="D2155" i="6"/>
  <c r="D2139" i="6"/>
  <c r="D2123" i="6"/>
  <c r="D2115" i="6"/>
  <c r="D2107" i="6"/>
  <c r="D2099" i="6"/>
  <c r="D2091" i="6"/>
  <c r="D2083" i="6"/>
  <c r="D2075" i="6"/>
  <c r="D2067" i="6"/>
  <c r="D2059" i="6"/>
  <c r="D2051" i="6"/>
  <c r="D2043" i="6"/>
  <c r="D2035" i="6"/>
  <c r="D2027" i="6"/>
  <c r="D2019" i="6"/>
  <c r="D2011" i="6"/>
  <c r="D2003" i="6"/>
  <c r="D1995" i="6"/>
  <c r="D1987" i="6"/>
  <c r="D1979" i="6"/>
  <c r="D1971" i="6"/>
  <c r="D1963" i="6"/>
  <c r="D1955" i="6"/>
  <c r="D1947" i="6"/>
  <c r="D1939" i="6"/>
  <c r="D1931" i="6"/>
  <c r="D1923" i="6"/>
  <c r="D1915" i="6"/>
  <c r="D1907" i="6"/>
  <c r="D1899" i="6"/>
  <c r="D1891" i="6"/>
  <c r="D1883" i="6"/>
  <c r="D1875" i="6"/>
  <c r="D1867" i="6"/>
  <c r="D1859" i="6"/>
  <c r="D1851" i="6"/>
  <c r="D1843" i="6"/>
  <c r="D1835" i="6"/>
  <c r="D1827" i="6"/>
  <c r="D1819" i="6"/>
  <c r="D1811" i="6"/>
  <c r="D1803" i="6"/>
  <c r="D1795" i="6"/>
  <c r="D1787" i="6"/>
  <c r="D1779" i="6"/>
  <c r="D1755" i="6"/>
  <c r="D1747" i="6"/>
  <c r="D1731" i="6"/>
  <c r="D1723" i="6"/>
  <c r="D1715" i="6"/>
  <c r="D1707" i="6"/>
  <c r="D1691" i="6"/>
  <c r="D1683" i="6"/>
  <c r="D1675" i="6"/>
  <c r="D1659" i="6"/>
  <c r="D1651" i="6"/>
  <c r="D1643" i="6"/>
  <c r="D1627" i="6"/>
  <c r="D1619" i="6"/>
  <c r="D1611" i="6"/>
  <c r="D1603" i="6"/>
  <c r="D1595" i="6"/>
  <c r="D1587" i="6"/>
  <c r="D1579" i="6"/>
  <c r="D1571" i="6"/>
  <c r="D1563" i="6"/>
  <c r="D1555" i="6"/>
  <c r="D1547" i="6"/>
  <c r="D1539" i="6"/>
  <c r="D1531" i="6"/>
  <c r="D1523" i="6"/>
  <c r="D1515" i="6"/>
  <c r="D1507" i="6"/>
  <c r="D1499" i="6"/>
  <c r="D1491" i="6"/>
  <c r="D1483" i="6"/>
  <c r="D1475" i="6"/>
  <c r="D1467" i="6"/>
  <c r="D1451" i="6"/>
  <c r="D1443" i="6"/>
  <c r="D1435" i="6"/>
  <c r="D1427" i="6"/>
  <c r="D1419" i="6"/>
  <c r="D1411" i="6"/>
  <c r="D1403" i="6"/>
  <c r="D1387" i="6"/>
  <c r="D1379" i="6"/>
  <c r="D1371" i="6"/>
  <c r="D1347" i="6"/>
  <c r="D1339" i="6"/>
  <c r="D1323" i="6"/>
  <c r="D1315" i="6"/>
  <c r="D1307" i="6"/>
  <c r="D1299" i="6"/>
  <c r="D1283" i="6"/>
  <c r="D1275" i="6"/>
  <c r="D1267" i="6"/>
  <c r="D1243" i="6"/>
  <c r="D1235" i="6"/>
  <c r="D1219" i="6"/>
  <c r="D1211" i="6"/>
  <c r="D1203" i="6"/>
  <c r="D1195" i="6"/>
  <c r="D1179" i="6"/>
  <c r="D1171" i="6"/>
  <c r="D1163" i="6"/>
  <c r="D1147" i="6"/>
  <c r="D1139" i="6"/>
  <c r="D1131" i="6"/>
  <c r="D1115" i="6"/>
  <c r="D1107" i="6"/>
  <c r="D1099" i="6"/>
  <c r="D1091" i="6"/>
  <c r="D1083" i="6"/>
  <c r="D1075" i="6"/>
  <c r="D1067" i="6"/>
  <c r="D1059" i="6"/>
  <c r="D1051" i="6"/>
  <c r="D1043" i="6"/>
  <c r="D1035" i="6"/>
  <c r="D1027" i="6"/>
  <c r="D1019" i="6"/>
  <c r="D1011" i="6"/>
  <c r="D1003" i="6"/>
  <c r="D995" i="6"/>
  <c r="D987" i="6"/>
  <c r="D979" i="6"/>
  <c r="D971" i="6"/>
  <c r="D963" i="6"/>
  <c r="D955" i="6"/>
  <c r="D939" i="6"/>
  <c r="D931" i="6"/>
  <c r="D923" i="6"/>
  <c r="D915" i="6"/>
  <c r="D907" i="6"/>
  <c r="D899" i="6"/>
  <c r="D891" i="6"/>
  <c r="D875" i="6"/>
  <c r="D867" i="6"/>
  <c r="D859" i="6"/>
  <c r="D835" i="6"/>
  <c r="D827" i="6"/>
  <c r="D819" i="6"/>
  <c r="D811" i="6"/>
  <c r="D803" i="6"/>
  <c r="D795" i="6"/>
  <c r="D779" i="6"/>
  <c r="D771" i="6"/>
  <c r="D763" i="6"/>
  <c r="D755" i="6"/>
  <c r="D747" i="6"/>
  <c r="D739" i="6"/>
  <c r="D723" i="6"/>
  <c r="D715" i="6"/>
  <c r="D707" i="6"/>
  <c r="D699" i="6"/>
  <c r="D691" i="6"/>
  <c r="D675" i="6"/>
  <c r="D667" i="6"/>
  <c r="D659" i="6"/>
  <c r="D651" i="6"/>
  <c r="D643" i="6"/>
  <c r="D635" i="6"/>
  <c r="D627" i="6"/>
  <c r="D619" i="6"/>
  <c r="D611" i="6"/>
  <c r="D603" i="6"/>
  <c r="D595" i="6"/>
  <c r="D587" i="6"/>
  <c r="D579" i="6"/>
  <c r="D571" i="6"/>
  <c r="D563" i="6"/>
  <c r="D555" i="6"/>
  <c r="D547" i="6"/>
  <c r="D539" i="6"/>
  <c r="D531" i="6"/>
  <c r="D523" i="6"/>
  <c r="D515" i="6"/>
  <c r="D507" i="6"/>
  <c r="D499" i="6"/>
  <c r="D491" i="6"/>
  <c r="D483" i="6"/>
  <c r="D475" i="6"/>
  <c r="D467" i="6"/>
  <c r="D459" i="6"/>
  <c r="D451" i="6"/>
  <c r="D443" i="6"/>
  <c r="D435" i="6"/>
  <c r="D427" i="6"/>
  <c r="D419" i="6"/>
  <c r="D411" i="6"/>
  <c r="D403" i="6"/>
  <c r="D395" i="6"/>
  <c r="D387" i="6"/>
  <c r="D379" i="6"/>
  <c r="D371" i="6"/>
  <c r="D363" i="6"/>
  <c r="D355" i="6"/>
  <c r="D347" i="6"/>
  <c r="D339" i="6"/>
  <c r="D331" i="6"/>
  <c r="D323" i="6"/>
  <c r="D315" i="6"/>
  <c r="D307" i="6"/>
  <c r="D299" i="6"/>
  <c r="D291" i="6"/>
  <c r="D283" i="6"/>
  <c r="D275" i="6"/>
  <c r="D267" i="6"/>
  <c r="D259" i="6"/>
  <c r="D251" i="6"/>
  <c r="D243" i="6"/>
  <c r="D235" i="6"/>
  <c r="D227" i="6"/>
  <c r="D219" i="6"/>
  <c r="D211" i="6"/>
  <c r="D203" i="6"/>
  <c r="D195" i="6"/>
  <c r="D187" i="6"/>
  <c r="D179" i="6"/>
  <c r="D171" i="6"/>
  <c r="D163" i="6"/>
  <c r="D155" i="6"/>
  <c r="D147" i="6"/>
  <c r="D139" i="6"/>
  <c r="D131" i="6"/>
  <c r="D123" i="6"/>
  <c r="D115" i="6"/>
  <c r="D107" i="6"/>
  <c r="D99" i="6"/>
  <c r="D91" i="6"/>
  <c r="D83" i="6"/>
  <c r="D75" i="6"/>
  <c r="D67" i="6"/>
  <c r="D59" i="6"/>
  <c r="D51" i="6"/>
  <c r="D43" i="6"/>
  <c r="D35" i="6"/>
  <c r="D27" i="6"/>
  <c r="D19" i="6"/>
  <c r="D11" i="6"/>
  <c r="D3" i="6"/>
  <c r="D1431" i="6"/>
  <c r="D1089" i="6"/>
  <c r="D1023" i="6"/>
  <c r="D952" i="6"/>
  <c r="D793" i="6"/>
  <c r="D544" i="6"/>
  <c r="D393" i="6"/>
  <c r="D2522" i="6"/>
  <c r="D2514" i="6"/>
  <c r="D2506" i="6"/>
  <c r="D2498" i="6"/>
  <c r="D2490" i="6"/>
  <c r="D2482" i="6"/>
  <c r="D2474" i="6"/>
  <c r="D2466" i="6"/>
  <c r="D2458" i="6"/>
  <c r="D2450" i="6"/>
  <c r="D2442" i="6"/>
  <c r="D2434" i="6"/>
  <c r="D2426" i="6"/>
  <c r="D2418" i="6"/>
  <c r="D2410" i="6"/>
  <c r="D2402" i="6"/>
  <c r="D2394" i="6"/>
  <c r="D2386" i="6"/>
  <c r="D2378" i="6"/>
  <c r="D2370" i="6"/>
  <c r="D2362" i="6"/>
  <c r="D2354" i="6"/>
  <c r="D2346" i="6"/>
  <c r="D2338" i="6"/>
  <c r="D2330" i="6"/>
  <c r="D2322" i="6"/>
  <c r="D2314" i="6"/>
  <c r="D2306" i="6"/>
  <c r="D2298" i="6"/>
  <c r="D2290" i="6"/>
  <c r="D2282" i="6"/>
  <c r="D2274" i="6"/>
  <c r="D2266" i="6"/>
  <c r="D2258" i="6"/>
  <c r="D2250" i="6"/>
  <c r="D2242" i="6"/>
  <c r="D2234" i="6"/>
  <c r="D2226" i="6"/>
  <c r="D2218" i="6"/>
  <c r="D2210" i="6"/>
  <c r="D2202" i="6"/>
  <c r="D2194" i="6"/>
  <c r="D2186" i="6"/>
  <c r="D2178" i="6"/>
  <c r="D2170" i="6"/>
  <c r="D2162" i="6"/>
  <c r="D2154" i="6"/>
  <c r="D2146" i="6"/>
  <c r="D2138" i="6"/>
  <c r="D2130" i="6"/>
  <c r="D2122" i="6"/>
  <c r="D2114" i="6"/>
  <c r="D2106" i="6"/>
  <c r="D2098" i="6"/>
  <c r="D2090" i="6"/>
  <c r="D2082" i="6"/>
  <c r="D2074" i="6"/>
  <c r="D2066" i="6"/>
  <c r="D2058" i="6"/>
  <c r="D2050" i="6"/>
  <c r="D2042" i="6"/>
  <c r="D2034" i="6"/>
  <c r="D2026" i="6"/>
  <c r="D2018" i="6"/>
  <c r="D2010" i="6"/>
  <c r="D2002" i="6"/>
  <c r="D1994" i="6"/>
  <c r="D1986" i="6"/>
  <c r="D1978" i="6"/>
  <c r="D1970" i="6"/>
  <c r="D1962" i="6"/>
  <c r="D1954" i="6"/>
  <c r="D1946" i="6"/>
  <c r="D1938" i="6"/>
  <c r="D1930" i="6"/>
  <c r="D1922" i="6"/>
  <c r="D1914" i="6"/>
  <c r="D1906" i="6"/>
  <c r="D1898" i="6"/>
  <c r="D1890" i="6"/>
  <c r="D1882" i="6"/>
  <c r="D1874" i="6"/>
  <c r="D1866" i="6"/>
  <c r="D1858" i="6"/>
  <c r="D1850" i="6"/>
  <c r="D1842" i="6"/>
  <c r="D1834" i="6"/>
  <c r="D1826" i="6"/>
  <c r="D1818" i="6"/>
  <c r="D1810" i="6"/>
  <c r="D1802" i="6"/>
  <c r="D1794" i="6"/>
  <c r="D1786" i="6"/>
  <c r="D1778" i="6"/>
  <c r="D1762" i="6"/>
  <c r="D1754" i="6"/>
  <c r="D1746" i="6"/>
  <c r="D1722" i="6"/>
  <c r="D1714" i="6"/>
  <c r="D1698" i="6"/>
  <c r="D1690" i="6"/>
  <c r="D1682" i="6"/>
  <c r="D1674" i="6"/>
  <c r="D1658" i="6"/>
  <c r="D1650" i="6"/>
  <c r="D1642" i="6"/>
  <c r="D1626" i="6"/>
  <c r="D1618" i="6"/>
  <c r="D1610" i="6"/>
  <c r="D1594" i="6"/>
  <c r="D1586" i="6"/>
  <c r="D1578" i="6"/>
  <c r="D1570" i="6"/>
  <c r="D1562" i="6"/>
  <c r="D1554" i="6"/>
  <c r="D1546" i="6"/>
  <c r="D1538" i="6"/>
  <c r="D1530" i="6"/>
  <c r="D1522" i="6"/>
  <c r="D1514" i="6"/>
  <c r="D1506" i="6"/>
  <c r="D1498" i="6"/>
  <c r="D1490" i="6"/>
  <c r="D1482" i="6"/>
  <c r="D1474" i="6"/>
  <c r="D1466" i="6"/>
  <c r="D1458" i="6"/>
  <c r="D1450" i="6"/>
  <c r="D1442" i="6"/>
  <c r="D1434" i="6"/>
  <c r="D1426" i="6"/>
  <c r="D1418" i="6"/>
  <c r="D1410" i="6"/>
  <c r="D1402" i="6"/>
  <c r="D1394" i="6"/>
  <c r="D1386" i="6"/>
  <c r="D1378" i="6"/>
  <c r="D1370" i="6"/>
  <c r="D1362" i="6"/>
  <c r="D1354" i="6"/>
  <c r="D1346" i="6"/>
  <c r="D1338" i="6"/>
  <c r="D1330" i="6"/>
  <c r="D1314" i="6"/>
  <c r="D1306" i="6"/>
  <c r="D1298" i="6"/>
  <c r="D1290" i="6"/>
  <c r="D1282" i="6"/>
  <c r="D1274" i="6"/>
  <c r="D1266" i="6"/>
  <c r="D1250" i="6"/>
  <c r="D1242" i="6"/>
  <c r="D1234" i="6"/>
  <c r="D1210" i="6"/>
  <c r="D1202" i="6"/>
  <c r="D1186" i="6"/>
  <c r="D1178" i="6"/>
  <c r="D1170" i="6"/>
  <c r="D1162" i="6"/>
  <c r="D1146" i="6"/>
  <c r="D1138" i="6"/>
  <c r="D1130" i="6"/>
  <c r="D1114" i="6"/>
  <c r="D1106" i="6"/>
  <c r="D1098" i="6"/>
  <c r="D1082" i="6"/>
  <c r="D1074" i="6"/>
  <c r="D1066" i="6"/>
  <c r="D1058" i="6"/>
  <c r="D1050" i="6"/>
  <c r="D1042" i="6"/>
  <c r="D1034" i="6"/>
  <c r="D1026" i="6"/>
  <c r="D1018" i="6"/>
  <c r="D1010" i="6"/>
  <c r="D1002" i="6"/>
  <c r="D994" i="6"/>
  <c r="D986" i="6"/>
  <c r="D978" i="6"/>
  <c r="D970" i="6"/>
  <c r="D962" i="6"/>
  <c r="D954" i="6"/>
  <c r="D946" i="6"/>
  <c r="D938" i="6"/>
  <c r="D930" i="6"/>
  <c r="D922" i="6"/>
  <c r="D914" i="6"/>
  <c r="D906" i="6"/>
  <c r="D898" i="6"/>
  <c r="D890" i="6"/>
  <c r="D882" i="6"/>
  <c r="D874" i="6"/>
  <c r="D866" i="6"/>
  <c r="D858" i="6"/>
  <c r="D842" i="6"/>
  <c r="D834" i="6"/>
  <c r="D826" i="6"/>
  <c r="D818" i="6"/>
  <c r="D810" i="6"/>
  <c r="D802" i="6"/>
  <c r="D794" i="6"/>
  <c r="D786" i="6"/>
  <c r="D778" i="6"/>
  <c r="D770" i="6"/>
  <c r="D762" i="6"/>
  <c r="D754" i="6"/>
  <c r="D746" i="6"/>
  <c r="D738" i="6"/>
  <c r="D730" i="6"/>
  <c r="D722" i="6"/>
  <c r="D714" i="6"/>
  <c r="D706" i="6"/>
  <c r="D698" i="6"/>
  <c r="D690" i="6"/>
  <c r="D674" i="6"/>
  <c r="D666" i="6"/>
  <c r="D658" i="6"/>
  <c r="D650" i="6"/>
  <c r="D642" i="6"/>
  <c r="D634" i="6"/>
  <c r="D626" i="6"/>
  <c r="D618" i="6"/>
  <c r="D602" i="6"/>
  <c r="D594" i="6"/>
  <c r="D586" i="6"/>
  <c r="D578" i="6"/>
  <c r="D570" i="6"/>
  <c r="D562" i="6"/>
  <c r="D554" i="6"/>
  <c r="D546" i="6"/>
  <c r="D538" i="6"/>
  <c r="D530" i="6"/>
  <c r="D522" i="6"/>
  <c r="D514" i="6"/>
  <c r="D506" i="6"/>
  <c r="D498" i="6"/>
  <c r="D490" i="6"/>
  <c r="D482" i="6"/>
  <c r="D474" i="6"/>
  <c r="D466" i="6"/>
  <c r="D458" i="6"/>
  <c r="D450" i="6"/>
  <c r="D442" i="6"/>
  <c r="D434" i="6"/>
  <c r="D426" i="6"/>
  <c r="D418" i="6"/>
  <c r="D410" i="6"/>
  <c r="D402" i="6"/>
  <c r="D386" i="6"/>
  <c r="D378" i="6"/>
  <c r="D370" i="6"/>
  <c r="D362" i="6"/>
  <c r="D354" i="6"/>
  <c r="D346" i="6"/>
  <c r="D338" i="6"/>
  <c r="D330" i="6"/>
  <c r="D314" i="6"/>
  <c r="D298" i="6"/>
  <c r="D290" i="6"/>
  <c r="D282" i="6"/>
  <c r="D274" i="6"/>
  <c r="D266" i="6"/>
  <c r="D258" i="6"/>
  <c r="D250" i="6"/>
  <c r="D242" i="6"/>
  <c r="D226" i="6"/>
  <c r="D218" i="6"/>
  <c r="D210" i="6"/>
  <c r="D202" i="6"/>
  <c r="D194" i="6"/>
  <c r="D186" i="6"/>
  <c r="D178" i="6"/>
  <c r="D170" i="6"/>
  <c r="D154" i="6"/>
  <c r="D146" i="6"/>
  <c r="D138" i="6"/>
  <c r="D130" i="6"/>
  <c r="D122" i="6"/>
  <c r="D114" i="6"/>
  <c r="D106" i="6"/>
  <c r="D98" i="6"/>
  <c r="D90" i="6"/>
  <c r="D82" i="6"/>
  <c r="D74" i="6"/>
  <c r="D66" i="6"/>
  <c r="D58" i="6"/>
  <c r="D50" i="6"/>
  <c r="D42" i="6"/>
  <c r="D34" i="6"/>
  <c r="D26" i="6"/>
  <c r="D18" i="6"/>
  <c r="D10" i="6"/>
  <c r="D2" i="6"/>
  <c r="D1567" i="6"/>
  <c r="D1359" i="6"/>
  <c r="D1088" i="6"/>
  <c r="D1017" i="6"/>
  <c r="D951" i="6"/>
  <c r="D392" i="6"/>
  <c r="D33" i="6"/>
  <c r="D129" i="6"/>
  <c r="D168" i="6"/>
  <c r="D344" i="6"/>
  <c r="D352" i="6"/>
  <c r="D137" i="6"/>
  <c r="D504" i="6"/>
  <c r="D576" i="6"/>
  <c r="D648" i="6"/>
  <c r="D577" i="6"/>
  <c r="D824" i="6"/>
  <c r="D905" i="6"/>
  <c r="D1039" i="6"/>
  <c r="D1143" i="6"/>
  <c r="D1176" i="6"/>
  <c r="D1247" i="6"/>
  <c r="D1280" i="6"/>
  <c r="D1551" i="6"/>
  <c r="D2753" i="6"/>
  <c r="D2729" i="6"/>
  <c r="D2713" i="6"/>
  <c r="D2689" i="6"/>
  <c r="D2665" i="6"/>
  <c r="D2649" i="6"/>
  <c r="D2633" i="6"/>
  <c r="D2617" i="6"/>
  <c r="D2601" i="6"/>
  <c r="D2585" i="6"/>
  <c r="D2569" i="6"/>
  <c r="D2553" i="6"/>
  <c r="D2537" i="6"/>
  <c r="D2521" i="6"/>
  <c r="D2505" i="6"/>
  <c r="D2489" i="6"/>
  <c r="D2473" i="6"/>
  <c r="D2457" i="6"/>
  <c r="D2441" i="6"/>
  <c r="D2425" i="6"/>
  <c r="D2409" i="6"/>
  <c r="D2393" i="6"/>
  <c r="D2377" i="6"/>
  <c r="D2361" i="6"/>
  <c r="D2345" i="6"/>
  <c r="D2329" i="6"/>
  <c r="D2313" i="6"/>
  <c r="D2297" i="6"/>
  <c r="D2281" i="6"/>
  <c r="D2265" i="6"/>
  <c r="D2249" i="6"/>
  <c r="D2233" i="6"/>
  <c r="D2217" i="6"/>
  <c r="D2201" i="6"/>
  <c r="D2185" i="6"/>
  <c r="D2169" i="6"/>
  <c r="D2153" i="6"/>
  <c r="D2137" i="6"/>
  <c r="D2121" i="6"/>
  <c r="D2113" i="6"/>
  <c r="D2097" i="6"/>
  <c r="D2089" i="6"/>
  <c r="D2073" i="6"/>
  <c r="D2065" i="6"/>
  <c r="D2049" i="6"/>
  <c r="D2041" i="6"/>
  <c r="D2033" i="6"/>
  <c r="D2017" i="6"/>
  <c r="D2009" i="6"/>
  <c r="D2001" i="6"/>
  <c r="D1993" i="6"/>
  <c r="D1985" i="6"/>
  <c r="D1969" i="6"/>
  <c r="D1961" i="6"/>
  <c r="D1945" i="6"/>
  <c r="D1937" i="6"/>
  <c r="D1921" i="6"/>
  <c r="D1913" i="6"/>
  <c r="D1905" i="6"/>
  <c r="D1889" i="6"/>
  <c r="D1881" i="6"/>
  <c r="D1873" i="6"/>
  <c r="D1865" i="6"/>
  <c r="D1857" i="6"/>
  <c r="D1841" i="6"/>
  <c r="D1833" i="6"/>
  <c r="D1817" i="6"/>
  <c r="D1809" i="6"/>
  <c r="D1793" i="6"/>
  <c r="D1785" i="6"/>
  <c r="D1777" i="6"/>
  <c r="D1769" i="6"/>
  <c r="D1761" i="6"/>
  <c r="D1753" i="6"/>
  <c r="D1745" i="6"/>
  <c r="D1729" i="6"/>
  <c r="D1721" i="6"/>
  <c r="D1713" i="6"/>
  <c r="D1689" i="6"/>
  <c r="D1681" i="6"/>
  <c r="D1665" i="6"/>
  <c r="D1657" i="6"/>
  <c r="D1649" i="6"/>
  <c r="D1641" i="6"/>
  <c r="D1625" i="6"/>
  <c r="D1617" i="6"/>
  <c r="D1609" i="6"/>
  <c r="D1585" i="6"/>
  <c r="D1577" i="6"/>
  <c r="D1561" i="6"/>
  <c r="D1553" i="6"/>
  <c r="D1545" i="6"/>
  <c r="D1537" i="6"/>
  <c r="D1521" i="6"/>
  <c r="D1513" i="6"/>
  <c r="D1505" i="6"/>
  <c r="D1489" i="6"/>
  <c r="D1481" i="6"/>
  <c r="D1473" i="6"/>
  <c r="D1457" i="6"/>
  <c r="D1449" i="6"/>
  <c r="D1441" i="6"/>
  <c r="D1433" i="6"/>
  <c r="D1425" i="6"/>
  <c r="D1417" i="6"/>
  <c r="D1409" i="6"/>
  <c r="D1401" i="6"/>
  <c r="D1393" i="6"/>
  <c r="D1385" i="6"/>
  <c r="D1377" i="6"/>
  <c r="D1369" i="6"/>
  <c r="D1361" i="6"/>
  <c r="D1353" i="6"/>
  <c r="D1345" i="6"/>
  <c r="D1337" i="6"/>
  <c r="D1329" i="6"/>
  <c r="D1321" i="6"/>
  <c r="D1313" i="6"/>
  <c r="D1305" i="6"/>
  <c r="D1297" i="6"/>
  <c r="D1281" i="6"/>
  <c r="D1273" i="6"/>
  <c r="D1265" i="6"/>
  <c r="D1257" i="6"/>
  <c r="D1249" i="6"/>
  <c r="D1241" i="6"/>
  <c r="D1233" i="6"/>
  <c r="D1217" i="6"/>
  <c r="D1209" i="6"/>
  <c r="D1201" i="6"/>
  <c r="D1177" i="6"/>
  <c r="D1169" i="6"/>
  <c r="D1153" i="6"/>
  <c r="D1145" i="6"/>
  <c r="D1137" i="6"/>
  <c r="D1129" i="6"/>
  <c r="D1033" i="6"/>
  <c r="D969" i="6"/>
  <c r="D937" i="6"/>
  <c r="D929" i="6"/>
  <c r="D865" i="6"/>
  <c r="D809" i="6"/>
  <c r="D769" i="6"/>
  <c r="D489" i="6"/>
  <c r="D361" i="6"/>
  <c r="D1631" i="6"/>
  <c r="D1423" i="6"/>
  <c r="D1152" i="6"/>
  <c r="D1081" i="6"/>
  <c r="D1015" i="6"/>
  <c r="D785" i="6"/>
  <c r="D385" i="6"/>
  <c r="D1113" i="6"/>
  <c r="D1105" i="6"/>
  <c r="D1097" i="6"/>
  <c r="D1073" i="6"/>
  <c r="D1065" i="6"/>
  <c r="D1049" i="6"/>
  <c r="D1041" i="6"/>
  <c r="D1025" i="6"/>
  <c r="D1009" i="6"/>
  <c r="D1001" i="6"/>
  <c r="D993" i="6"/>
  <c r="D977" i="6"/>
  <c r="D961" i="6"/>
  <c r="D945" i="6"/>
  <c r="D921" i="6"/>
  <c r="D913" i="6"/>
  <c r="D897" i="6"/>
  <c r="D889" i="6"/>
  <c r="D881" i="6"/>
  <c r="D873" i="6"/>
  <c r="D857" i="6"/>
  <c r="D849" i="6"/>
  <c r="D841" i="6"/>
  <c r="D833" i="6"/>
  <c r="D825" i="6"/>
  <c r="D817" i="6"/>
  <c r="D801" i="6"/>
  <c r="D777" i="6"/>
  <c r="D761" i="6"/>
  <c r="D753" i="6"/>
  <c r="D745" i="6"/>
  <c r="D729" i="6"/>
  <c r="D721" i="6"/>
  <c r="D713" i="6"/>
  <c r="D705" i="6"/>
  <c r="D697" i="6"/>
  <c r="D689" i="6"/>
  <c r="D681" i="6"/>
  <c r="D673" i="6"/>
  <c r="D665" i="6"/>
  <c r="D657" i="6"/>
  <c r="D649" i="6"/>
  <c r="D641" i="6"/>
  <c r="D633" i="6"/>
  <c r="D625" i="6"/>
  <c r="D609" i="6"/>
  <c r="D601" i="6"/>
  <c r="D593" i="6"/>
  <c r="D585" i="6"/>
  <c r="D569" i="6"/>
  <c r="D561" i="6"/>
  <c r="D553" i="6"/>
  <c r="D537" i="6"/>
  <c r="D529" i="6"/>
  <c r="D521" i="6"/>
  <c r="D513" i="6"/>
  <c r="D505" i="6"/>
  <c r="D497" i="6"/>
  <c r="D481" i="6"/>
  <c r="D473" i="6"/>
  <c r="D465" i="6"/>
  <c r="D449" i="6"/>
  <c r="D441" i="6"/>
  <c r="D433" i="6"/>
  <c r="D425" i="6"/>
  <c r="D417" i="6"/>
  <c r="D409" i="6"/>
  <c r="D401" i="6"/>
  <c r="D377" i="6"/>
  <c r="D369" i="6"/>
  <c r="D353" i="6"/>
  <c r="D345" i="6"/>
  <c r="D337" i="6"/>
  <c r="D329" i="6"/>
  <c r="D313" i="6"/>
  <c r="D305" i="6"/>
  <c r="D297" i="6"/>
  <c r="D289" i="6"/>
  <c r="D257" i="6"/>
  <c r="D233" i="6"/>
  <c r="D225" i="6"/>
  <c r="D105" i="6"/>
  <c r="D73" i="6"/>
  <c r="D1440" i="6"/>
  <c r="D1424" i="6"/>
  <c r="D1416" i="6"/>
  <c r="D1400" i="6"/>
  <c r="D1392" i="6"/>
  <c r="D1384" i="6"/>
  <c r="D1376" i="6"/>
  <c r="D1368" i="6"/>
  <c r="D1360" i="6"/>
  <c r="D1352" i="6"/>
  <c r="D1336" i="6"/>
  <c r="D1328" i="6"/>
  <c r="D1320" i="6"/>
  <c r="D1296" i="6"/>
  <c r="D1288" i="6"/>
  <c r="D1272" i="6"/>
  <c r="D1264" i="6"/>
  <c r="D1256" i="6"/>
  <c r="D1248" i="6"/>
  <c r="D1232" i="6"/>
  <c r="D1224" i="6"/>
  <c r="D1216" i="6"/>
  <c r="D1200" i="6"/>
  <c r="D1192" i="6"/>
  <c r="D1184" i="6"/>
  <c r="D1168" i="6"/>
  <c r="D1160" i="6"/>
  <c r="D1144" i="6"/>
  <c r="D1136" i="6"/>
  <c r="D1128" i="6"/>
  <c r="D1120" i="6"/>
  <c r="D1112" i="6"/>
  <c r="D1104" i="6"/>
  <c r="D1096" i="6"/>
  <c r="D1080" i="6"/>
  <c r="D1072" i="6"/>
  <c r="D1064" i="6"/>
  <c r="D1040" i="6"/>
  <c r="D1032" i="6"/>
  <c r="D1016" i="6"/>
  <c r="D1008" i="6"/>
  <c r="D1000" i="6"/>
  <c r="D992" i="6"/>
  <c r="D976" i="6"/>
  <c r="D968" i="6"/>
  <c r="D960" i="6"/>
  <c r="D944" i="6"/>
  <c r="D936" i="6"/>
  <c r="D928" i="6"/>
  <c r="D912" i="6"/>
  <c r="D904" i="6"/>
  <c r="D888" i="6"/>
  <c r="D880" i="6"/>
  <c r="D872" i="6"/>
  <c r="D864" i="6"/>
  <c r="D856" i="6"/>
  <c r="D848" i="6"/>
  <c r="D840" i="6"/>
  <c r="D832" i="6"/>
  <c r="D816" i="6"/>
  <c r="D808" i="6"/>
  <c r="D792" i="6"/>
  <c r="D784" i="6"/>
  <c r="D776" i="6"/>
  <c r="D760" i="6"/>
  <c r="D752" i="6"/>
  <c r="D744" i="6"/>
  <c r="D728" i="6"/>
  <c r="D720" i="6"/>
  <c r="D712" i="6"/>
  <c r="D696" i="6"/>
  <c r="D664" i="6"/>
  <c r="D632" i="6"/>
  <c r="D552" i="6"/>
  <c r="D480" i="6"/>
  <c r="D456" i="6"/>
  <c r="D440" i="6"/>
  <c r="D408" i="6"/>
  <c r="D328" i="6"/>
  <c r="D296" i="6"/>
  <c r="D256" i="6"/>
  <c r="D224" i="6"/>
  <c r="D184" i="6"/>
  <c r="D1639" i="6"/>
  <c r="D1623" i="6"/>
  <c r="D1607" i="6"/>
  <c r="D1599" i="6"/>
  <c r="D1591" i="6"/>
  <c r="D1575" i="6"/>
  <c r="D1559" i="6"/>
  <c r="D1543" i="6"/>
  <c r="D1519" i="6"/>
  <c r="D1511" i="6"/>
  <c r="D1495" i="6"/>
  <c r="D1487" i="6"/>
  <c r="D1479" i="6"/>
  <c r="D1471" i="6"/>
  <c r="D1455" i="6"/>
  <c r="D1447" i="6"/>
  <c r="D1439" i="6"/>
  <c r="D1415" i="6"/>
  <c r="D1407" i="6"/>
  <c r="D1391" i="6"/>
  <c r="D1383" i="6"/>
  <c r="D1367" i="6"/>
  <c r="D1351" i="6"/>
  <c r="D1343" i="6"/>
  <c r="D1335" i="6"/>
  <c r="D1319" i="6"/>
  <c r="D1303" i="6"/>
  <c r="D1287" i="6"/>
  <c r="D1263" i="6"/>
  <c r="D1255" i="6"/>
  <c r="D1239" i="6"/>
  <c r="D1231" i="6"/>
  <c r="D1223" i="6"/>
  <c r="D1215" i="6"/>
  <c r="D1199" i="6"/>
  <c r="D1191" i="6"/>
  <c r="D1183" i="6"/>
  <c r="D1159" i="6"/>
  <c r="D1151" i="6"/>
  <c r="D1135" i="6"/>
  <c r="D1127" i="6"/>
  <c r="D1111" i="6"/>
  <c r="D1095" i="6"/>
  <c r="D1087" i="6"/>
  <c r="D1079" i="6"/>
  <c r="D1063" i="6"/>
  <c r="D1047" i="6"/>
  <c r="D1031" i="6"/>
  <c r="D1007" i="6"/>
  <c r="D999" i="6"/>
  <c r="D983" i="6"/>
  <c r="D975" i="6"/>
  <c r="D967" i="6"/>
  <c r="D959" i="6"/>
  <c r="D943" i="6"/>
  <c r="D935" i="6"/>
  <c r="D927" i="6"/>
  <c r="D903" i="6"/>
  <c r="D895" i="6"/>
  <c r="D879" i="6"/>
  <c r="D871" i="6"/>
  <c r="D855" i="6"/>
  <c r="D847" i="6"/>
  <c r="D839" i="6"/>
  <c r="D831" i="6"/>
  <c r="D823" i="6"/>
  <c r="D815" i="6"/>
  <c r="D807" i="6"/>
  <c r="D799" i="6"/>
  <c r="D791" i="6"/>
  <c r="D783" i="6"/>
  <c r="D775" i="6"/>
  <c r="D767" i="6"/>
  <c r="D759" i="6"/>
  <c r="D751" i="6"/>
  <c r="D743" i="6"/>
  <c r="D735" i="6"/>
  <c r="D727" i="6"/>
  <c r="D719" i="6"/>
  <c r="D711" i="6"/>
  <c r="D703" i="6"/>
  <c r="D695" i="6"/>
  <c r="D687" i="6"/>
  <c r="D679" i="6"/>
  <c r="D671" i="6"/>
  <c r="D663" i="6"/>
  <c r="D655" i="6"/>
  <c r="D647" i="6"/>
  <c r="D639" i="6"/>
  <c r="D631" i="6"/>
  <c r="D623" i="6"/>
  <c r="D615" i="6"/>
  <c r="D607" i="6"/>
  <c r="D599" i="6"/>
  <c r="D591" i="6"/>
  <c r="D583" i="6"/>
  <c r="D281" i="6"/>
  <c r="D273" i="6"/>
  <c r="D265" i="6"/>
  <c r="D249" i="6"/>
  <c r="D241" i="6"/>
  <c r="D217" i="6"/>
  <c r="D209" i="6"/>
  <c r="D201" i="6"/>
  <c r="D193" i="6"/>
  <c r="D185" i="6"/>
  <c r="D177" i="6"/>
  <c r="D161" i="6"/>
  <c r="D153" i="6"/>
  <c r="D145" i="6"/>
  <c r="D121" i="6"/>
  <c r="D113" i="6"/>
  <c r="D97" i="6"/>
  <c r="D89" i="6"/>
  <c r="D81" i="6"/>
  <c r="D65" i="6"/>
  <c r="D57" i="6"/>
  <c r="D49" i="6"/>
  <c r="D41" i="6"/>
  <c r="D25" i="6"/>
  <c r="D17" i="6"/>
  <c r="D9" i="6"/>
  <c r="D688" i="6"/>
  <c r="D680" i="6"/>
  <c r="D672" i="6"/>
  <c r="D656" i="6"/>
  <c r="D640" i="6"/>
  <c r="D624" i="6"/>
  <c r="D608" i="6"/>
  <c r="D600" i="6"/>
  <c r="D592" i="6"/>
  <c r="D584" i="6"/>
  <c r="D568" i="6"/>
  <c r="D560" i="6"/>
  <c r="D536" i="6"/>
  <c r="D528" i="6"/>
  <c r="D520" i="6"/>
  <c r="D512" i="6"/>
  <c r="D496" i="6"/>
  <c r="D488" i="6"/>
  <c r="D472" i="6"/>
  <c r="D464" i="6"/>
  <c r="D448" i="6"/>
  <c r="D432" i="6"/>
  <c r="D424" i="6"/>
  <c r="D416" i="6"/>
  <c r="D400" i="6"/>
  <c r="D384" i="6"/>
  <c r="D376" i="6"/>
  <c r="D368" i="6"/>
  <c r="D360" i="6"/>
  <c r="D336" i="6"/>
  <c r="D312" i="6"/>
  <c r="D304" i="6"/>
  <c r="D288" i="6"/>
  <c r="D280" i="6"/>
  <c r="D272" i="6"/>
  <c r="D264" i="6"/>
  <c r="D240" i="6"/>
  <c r="D232" i="6"/>
  <c r="D216" i="6"/>
  <c r="D208" i="6"/>
  <c r="D200" i="6"/>
  <c r="D192" i="6"/>
  <c r="D176" i="6"/>
  <c r="D160" i="6"/>
  <c r="D152" i="6"/>
  <c r="D144" i="6"/>
  <c r="D136" i="6"/>
  <c r="D128" i="6"/>
  <c r="D120" i="6"/>
  <c r="D112" i="6"/>
  <c r="D96" i="6"/>
  <c r="D88" i="6"/>
  <c r="D80" i="6"/>
  <c r="D72" i="6"/>
  <c r="D64" i="6"/>
  <c r="D56" i="6"/>
  <c r="D48" i="6"/>
  <c r="D40" i="6"/>
  <c r="D32" i="6"/>
  <c r="D24" i="6"/>
  <c r="D16" i="6"/>
  <c r="D8" i="6"/>
  <c r="D575" i="6"/>
  <c r="D567" i="6"/>
  <c r="D559" i="6"/>
  <c r="D551" i="6"/>
  <c r="D543" i="6"/>
  <c r="D535" i="6"/>
  <c r="D527" i="6"/>
  <c r="D519" i="6"/>
  <c r="D511" i="6"/>
  <c r="D503" i="6"/>
  <c r="D495" i="6"/>
  <c r="D487" i="6"/>
  <c r="D479" i="6"/>
  <c r="D471" i="6"/>
  <c r="D463" i="6"/>
  <c r="D455" i="6"/>
  <c r="D447" i="6"/>
  <c r="D439" i="6"/>
  <c r="D431" i="6"/>
  <c r="D423" i="6"/>
  <c r="D415" i="6"/>
  <c r="D407" i="6"/>
  <c r="D399" i="6"/>
  <c r="D391" i="6"/>
  <c r="D383" i="6"/>
  <c r="D375" i="6"/>
  <c r="D367" i="6"/>
  <c r="D359" i="6"/>
  <c r="D351" i="6"/>
  <c r="D343" i="6"/>
  <c r="D335" i="6"/>
  <c r="D327" i="6"/>
  <c r="D319" i="6"/>
  <c r="D311" i="6"/>
  <c r="D303" i="6"/>
  <c r="D295" i="6"/>
  <c r="D287" i="6"/>
  <c r="D279" i="6"/>
  <c r="D271" i="6"/>
  <c r="D263" i="6"/>
  <c r="D255" i="6"/>
  <c r="D247" i="6"/>
  <c r="D239" i="6"/>
  <c r="D231" i="6"/>
  <c r="D223" i="6"/>
  <c r="D215" i="6"/>
  <c r="D207" i="6"/>
  <c r="D199" i="6"/>
  <c r="D191" i="6"/>
  <c r="D183" i="6"/>
  <c r="D175" i="6"/>
  <c r="D167" i="6"/>
  <c r="D159" i="6"/>
  <c r="D151" i="6"/>
  <c r="D143" i="6"/>
  <c r="D135" i="6"/>
  <c r="D127" i="6"/>
  <c r="D119" i="6"/>
  <c r="D111" i="6"/>
  <c r="D103" i="6"/>
  <c r="D95" i="6"/>
  <c r="D87" i="6"/>
  <c r="D79" i="6"/>
  <c r="D71" i="6"/>
  <c r="D63" i="6"/>
  <c r="D55" i="6"/>
  <c r="D47" i="6"/>
  <c r="D39" i="6"/>
  <c r="D31" i="6"/>
  <c r="D23" i="6"/>
  <c r="D15" i="6"/>
  <c r="D7" i="6"/>
  <c r="J137" i="7"/>
  <c r="J145" i="7"/>
  <c r="J151" i="7"/>
  <c r="L178" i="7"/>
  <c r="K178" i="7"/>
  <c r="J181" i="7"/>
  <c r="K194" i="7"/>
  <c r="L204" i="7"/>
  <c r="K204" i="7"/>
  <c r="J204" i="7"/>
  <c r="L208" i="7"/>
  <c r="K208" i="7"/>
  <c r="J208" i="7"/>
  <c r="L181" i="7"/>
  <c r="L180" i="7"/>
  <c r="K180" i="7"/>
  <c r="L9" i="7"/>
  <c r="K21" i="7"/>
  <c r="J24" i="7"/>
  <c r="L27" i="7"/>
  <c r="K31" i="7"/>
  <c r="L70" i="7"/>
  <c r="J118" i="7"/>
  <c r="L230" i="7"/>
  <c r="K230" i="7"/>
  <c r="J230" i="7"/>
  <c r="J19" i="7"/>
  <c r="L24" i="7"/>
  <c r="J76" i="7"/>
  <c r="K78" i="7"/>
  <c r="L80" i="7"/>
  <c r="K118" i="7"/>
  <c r="K131" i="7"/>
  <c r="K139" i="7"/>
  <c r="K147" i="7"/>
  <c r="K10" i="7"/>
  <c r="K19" i="7"/>
  <c r="J22" i="7"/>
  <c r="J41" i="7"/>
  <c r="K43" i="7"/>
  <c r="J74" i="7"/>
  <c r="K76" i="7"/>
  <c r="L78" i="7"/>
  <c r="L95" i="7"/>
  <c r="L98" i="7"/>
  <c r="L114" i="7"/>
  <c r="K114" i="7"/>
  <c r="L3" i="7"/>
  <c r="L10" i="7"/>
  <c r="L22" i="7"/>
  <c r="J25" i="7"/>
  <c r="J39" i="7"/>
  <c r="K41" i="7"/>
  <c r="L43" i="7"/>
  <c r="L53" i="7"/>
  <c r="K74" i="7"/>
  <c r="L84" i="7"/>
  <c r="J93" i="7"/>
  <c r="J114" i="7"/>
  <c r="K129" i="7"/>
  <c r="K137" i="7"/>
  <c r="K145" i="7"/>
  <c r="L151" i="7"/>
  <c r="K16" i="7"/>
  <c r="J20" i="7"/>
  <c r="K25" i="7"/>
  <c r="J37" i="7"/>
  <c r="K39" i="7"/>
  <c r="J62" i="7"/>
  <c r="L93" i="7"/>
  <c r="K96" i="7"/>
  <c r="J127" i="7"/>
  <c r="J135" i="7"/>
  <c r="J143" i="7"/>
  <c r="K172" i="7"/>
  <c r="L182" i="7"/>
  <c r="K182" i="7"/>
  <c r="J185" i="7"/>
  <c r="K192" i="7"/>
  <c r="K200" i="7"/>
  <c r="L228" i="7"/>
  <c r="K228" i="7"/>
  <c r="J228" i="7"/>
  <c r="K83" i="7"/>
  <c r="K104" i="7"/>
  <c r="J131" i="7"/>
  <c r="J139" i="7"/>
  <c r="J147" i="7"/>
  <c r="J180" i="7"/>
  <c r="J46" i="7"/>
  <c r="K87" i="7"/>
  <c r="J95" i="7"/>
  <c r="K98" i="7"/>
  <c r="L184" i="7"/>
  <c r="K184" i="7"/>
  <c r="J194" i="7"/>
  <c r="K3" i="7"/>
  <c r="K46" i="7"/>
  <c r="K53" i="7"/>
  <c r="J84" i="7"/>
  <c r="L87" i="7"/>
  <c r="J129" i="7"/>
  <c r="K99" i="7"/>
  <c r="J99" i="7"/>
  <c r="L16" i="7"/>
  <c r="L20" i="7"/>
  <c r="L96" i="7"/>
  <c r="K127" i="7"/>
  <c r="K135" i="7"/>
  <c r="K143" i="7"/>
  <c r="L185" i="7"/>
  <c r="K97" i="7"/>
  <c r="J97" i="7"/>
  <c r="L186" i="7"/>
  <c r="K186" i="7"/>
  <c r="L206" i="7"/>
  <c r="K206" i="7"/>
  <c r="J206" i="7"/>
  <c r="L210" i="7"/>
  <c r="K210" i="7"/>
  <c r="J210" i="7"/>
  <c r="J213" i="7"/>
  <c r="J215" i="7"/>
  <c r="J220" i="7"/>
  <c r="J222" i="7"/>
  <c r="J224" i="7"/>
  <c r="K213" i="7"/>
  <c r="K215" i="7"/>
  <c r="K220" i="7"/>
  <c r="K222" i="7"/>
  <c r="K224" i="7"/>
  <c r="J234" i="7"/>
  <c r="K234" i="7"/>
  <c r="J5" i="5"/>
  <c r="J9" i="5"/>
  <c r="J13" i="5"/>
  <c r="J17" i="5"/>
  <c r="J21" i="5"/>
  <c r="J23" i="5"/>
  <c r="J27" i="5"/>
  <c r="J29" i="5"/>
  <c r="J37" i="5"/>
  <c r="K3" i="5"/>
  <c r="K5" i="5"/>
  <c r="K7" i="5"/>
  <c r="K9" i="5"/>
  <c r="K11" i="5"/>
  <c r="K13" i="5"/>
  <c r="K15" i="5"/>
  <c r="K17" i="5"/>
  <c r="K19" i="5"/>
  <c r="K21" i="5"/>
  <c r="K23" i="5"/>
  <c r="K25" i="5"/>
  <c r="K27" i="5"/>
  <c r="K29" i="5"/>
  <c r="K31" i="5"/>
  <c r="K33" i="5"/>
  <c r="K35" i="5"/>
  <c r="K37" i="5"/>
  <c r="L3" i="5"/>
  <c r="L7" i="5"/>
  <c r="L11" i="5"/>
  <c r="L15" i="5"/>
  <c r="L19" i="5"/>
  <c r="L25" i="5"/>
  <c r="L31" i="5"/>
  <c r="L33" i="5"/>
  <c r="L35" i="5"/>
  <c r="J2" i="5"/>
  <c r="J4" i="5"/>
  <c r="J6" i="5"/>
  <c r="J8" i="5"/>
  <c r="J10" i="5"/>
  <c r="J12" i="5"/>
  <c r="J14" i="5"/>
  <c r="J16" i="5"/>
  <c r="J18" i="5"/>
  <c r="J20" i="5"/>
  <c r="J22" i="5"/>
  <c r="J24" i="5"/>
  <c r="J26" i="5"/>
  <c r="J28" i="5"/>
  <c r="J30" i="5"/>
  <c r="J32" i="5"/>
  <c r="J34" i="5"/>
  <c r="J36" i="5"/>
  <c r="J38" i="5"/>
  <c r="K2" i="5"/>
  <c r="K4" i="5"/>
  <c r="K6" i="5"/>
  <c r="K8" i="5"/>
  <c r="K10" i="5"/>
  <c r="K12" i="5"/>
  <c r="K14" i="5"/>
  <c r="K16" i="5"/>
  <c r="K18" i="5"/>
  <c r="K20" i="5"/>
  <c r="K22" i="5"/>
  <c r="K24" i="5"/>
  <c r="K26" i="5"/>
  <c r="K28" i="5"/>
  <c r="K30" i="5"/>
  <c r="K32" i="5"/>
  <c r="K34" i="5"/>
  <c r="K36" i="5"/>
  <c r="K38" i="5"/>
  <c r="K240" i="4"/>
  <c r="L240" i="4"/>
  <c r="J334" i="4"/>
  <c r="L334" i="4"/>
  <c r="K531" i="4"/>
  <c r="L531" i="4"/>
  <c r="L539" i="4"/>
  <c r="K539" i="4"/>
  <c r="J539" i="4"/>
  <c r="K563" i="4"/>
  <c r="J563" i="4"/>
  <c r="J531" i="4"/>
  <c r="L563" i="4"/>
  <c r="L24" i="4"/>
  <c r="K24" i="4"/>
  <c r="L40" i="4"/>
  <c r="K40" i="4"/>
  <c r="L56" i="4"/>
  <c r="K56" i="4"/>
  <c r="K286" i="4"/>
  <c r="L286" i="4"/>
  <c r="J286" i="4"/>
  <c r="L327" i="4"/>
  <c r="K327" i="4"/>
  <c r="L507" i="4"/>
  <c r="K507" i="4"/>
  <c r="L521" i="4"/>
  <c r="K521" i="4"/>
  <c r="J521" i="4"/>
  <c r="J11" i="4"/>
  <c r="J64" i="4"/>
  <c r="J121" i="4"/>
  <c r="K124" i="4"/>
  <c r="L124" i="4"/>
  <c r="J124" i="4"/>
  <c r="J162" i="4"/>
  <c r="J180" i="4"/>
  <c r="J327" i="4"/>
  <c r="K334" i="4"/>
  <c r="L345" i="4"/>
  <c r="K345" i="4"/>
  <c r="J345" i="4"/>
  <c r="K392" i="4"/>
  <c r="L436" i="4"/>
  <c r="K436" i="4"/>
  <c r="J436" i="4"/>
  <c r="L444" i="4"/>
  <c r="K444" i="4"/>
  <c r="J444" i="4"/>
  <c r="L465" i="4"/>
  <c r="K465" i="4"/>
  <c r="J465" i="4"/>
  <c r="J507" i="4"/>
  <c r="L6" i="4"/>
  <c r="K6" i="4"/>
  <c r="L14" i="4"/>
  <c r="K14" i="4"/>
  <c r="K19" i="4"/>
  <c r="K27" i="4"/>
  <c r="L38" i="4"/>
  <c r="K38" i="4"/>
  <c r="L46" i="4"/>
  <c r="K46" i="4"/>
  <c r="L54" i="4"/>
  <c r="K54" i="4"/>
  <c r="L78" i="4"/>
  <c r="L84" i="4"/>
  <c r="J87" i="4"/>
  <c r="L130" i="4"/>
  <c r="L148" i="4"/>
  <c r="L162" i="4"/>
  <c r="L180" i="4"/>
  <c r="L317" i="4"/>
  <c r="K317" i="4"/>
  <c r="K483" i="4"/>
  <c r="J483" i="4"/>
  <c r="L3" i="4"/>
  <c r="J6" i="4"/>
  <c r="J9" i="4"/>
  <c r="L11" i="4"/>
  <c r="J14" i="4"/>
  <c r="J17" i="4"/>
  <c r="L19" i="4"/>
  <c r="J25" i="4"/>
  <c r="L27" i="4"/>
  <c r="J33" i="4"/>
  <c r="L35" i="4"/>
  <c r="J38" i="4"/>
  <c r="J41" i="4"/>
  <c r="L43" i="4"/>
  <c r="J46" i="4"/>
  <c r="J49" i="4"/>
  <c r="L51" i="4"/>
  <c r="J54" i="4"/>
  <c r="J57" i="4"/>
  <c r="L59" i="4"/>
  <c r="J62" i="4"/>
  <c r="K65" i="4"/>
  <c r="J65" i="4"/>
  <c r="J68" i="4"/>
  <c r="K73" i="4"/>
  <c r="K87" i="4"/>
  <c r="L96" i="4"/>
  <c r="J100" i="4"/>
  <c r="J103" i="4"/>
  <c r="J112" i="4"/>
  <c r="L121" i="4"/>
  <c r="L131" i="4"/>
  <c r="K131" i="4"/>
  <c r="J131" i="4"/>
  <c r="L135" i="4"/>
  <c r="K135" i="4"/>
  <c r="L149" i="4"/>
  <c r="K149" i="4"/>
  <c r="J149" i="4"/>
  <c r="L167" i="4"/>
  <c r="K167" i="4"/>
  <c r="L181" i="4"/>
  <c r="K181" i="4"/>
  <c r="J181" i="4"/>
  <c r="L199" i="4"/>
  <c r="K199" i="4"/>
  <c r="L213" i="4"/>
  <c r="K213" i="4"/>
  <c r="J213" i="4"/>
  <c r="L231" i="4"/>
  <c r="K231" i="4"/>
  <c r="L245" i="4"/>
  <c r="K245" i="4"/>
  <c r="J245" i="4"/>
  <c r="L263" i="4"/>
  <c r="K263" i="4"/>
  <c r="L277" i="4"/>
  <c r="K277" i="4"/>
  <c r="J277" i="4"/>
  <c r="J302" i="4"/>
  <c r="L302" i="4"/>
  <c r="K302" i="4"/>
  <c r="J309" i="4"/>
  <c r="J317" i="4"/>
  <c r="L324" i="4"/>
  <c r="J342" i="4"/>
  <c r="L342" i="4"/>
  <c r="J367" i="4"/>
  <c r="K377" i="4"/>
  <c r="J400" i="4"/>
  <c r="L400" i="4"/>
  <c r="K400" i="4"/>
  <c r="L483" i="4"/>
  <c r="L4" i="4"/>
  <c r="K4" i="4"/>
  <c r="K9" i="4"/>
  <c r="L12" i="4"/>
  <c r="K12" i="4"/>
  <c r="K17" i="4"/>
  <c r="L20" i="4"/>
  <c r="K20" i="4"/>
  <c r="K25" i="4"/>
  <c r="L28" i="4"/>
  <c r="K28" i="4"/>
  <c r="K33" i="4"/>
  <c r="L36" i="4"/>
  <c r="K36" i="4"/>
  <c r="K41" i="4"/>
  <c r="L44" i="4"/>
  <c r="K44" i="4"/>
  <c r="K49" i="4"/>
  <c r="L52" i="4"/>
  <c r="K52" i="4"/>
  <c r="K57" i="4"/>
  <c r="K60" i="4"/>
  <c r="L60" i="4"/>
  <c r="L62" i="4"/>
  <c r="L65" i="4"/>
  <c r="L68" i="4"/>
  <c r="J71" i="4"/>
  <c r="L73" i="4"/>
  <c r="J82" i="4"/>
  <c r="J85" i="4"/>
  <c r="J91" i="4"/>
  <c r="K94" i="4"/>
  <c r="L94" i="4"/>
  <c r="L100" i="4"/>
  <c r="K103" i="4"/>
  <c r="L112" i="4"/>
  <c r="J116" i="4"/>
  <c r="J119" i="4"/>
  <c r="J128" i="4"/>
  <c r="J135" i="4"/>
  <c r="J139" i="4"/>
  <c r="K142" i="4"/>
  <c r="L142" i="4"/>
  <c r="J142" i="4"/>
  <c r="J153" i="4"/>
  <c r="K160" i="4"/>
  <c r="L160" i="4"/>
  <c r="J167" i="4"/>
  <c r="J171" i="4"/>
  <c r="K174" i="4"/>
  <c r="L174" i="4"/>
  <c r="J174" i="4"/>
  <c r="J185" i="4"/>
  <c r="K192" i="4"/>
  <c r="L192" i="4"/>
  <c r="J199" i="4"/>
  <c r="J203" i="4"/>
  <c r="K206" i="4"/>
  <c r="L206" i="4"/>
  <c r="J206" i="4"/>
  <c r="J217" i="4"/>
  <c r="K224" i="4"/>
  <c r="L224" i="4"/>
  <c r="J231" i="4"/>
  <c r="K238" i="4"/>
  <c r="L238" i="4"/>
  <c r="J238" i="4"/>
  <c r="J249" i="4"/>
  <c r="K256" i="4"/>
  <c r="L256" i="4"/>
  <c r="J263" i="4"/>
  <c r="K270" i="4"/>
  <c r="L270" i="4"/>
  <c r="J270" i="4"/>
  <c r="J281" i="4"/>
  <c r="K288" i="4"/>
  <c r="L288" i="4"/>
  <c r="L309" i="4"/>
  <c r="K342" i="4"/>
  <c r="K367" i="4"/>
  <c r="J397" i="4"/>
  <c r="L428" i="4"/>
  <c r="K428" i="4"/>
  <c r="J428" i="4"/>
  <c r="J433" i="4"/>
  <c r="L433" i="4"/>
  <c r="K433" i="4"/>
  <c r="L48" i="4"/>
  <c r="K48" i="4"/>
  <c r="K144" i="4"/>
  <c r="L144" i="4"/>
  <c r="K158" i="4"/>
  <c r="L158" i="4"/>
  <c r="J158" i="4"/>
  <c r="K190" i="4"/>
  <c r="L190" i="4"/>
  <c r="J190" i="4"/>
  <c r="K272" i="4"/>
  <c r="L272" i="4"/>
  <c r="J352" i="4"/>
  <c r="L352" i="4"/>
  <c r="J382" i="4"/>
  <c r="L382" i="4"/>
  <c r="L395" i="4"/>
  <c r="K395" i="4"/>
  <c r="J395" i="4"/>
  <c r="J3" i="4"/>
  <c r="J24" i="4"/>
  <c r="J35" i="4"/>
  <c r="J56" i="4"/>
  <c r="J59" i="4"/>
  <c r="K81" i="4"/>
  <c r="J81" i="4"/>
  <c r="J194" i="4"/>
  <c r="J226" i="4"/>
  <c r="J312" i="4"/>
  <c r="L312" i="4"/>
  <c r="K352" i="4"/>
  <c r="K51" i="4"/>
  <c r="K76" i="4"/>
  <c r="L76" i="4"/>
  <c r="L81" i="4"/>
  <c r="J96" i="4"/>
  <c r="L226" i="4"/>
  <c r="K312" i="4"/>
  <c r="K324" i="4"/>
  <c r="L335" i="4"/>
  <c r="K335" i="4"/>
  <c r="J335" i="4"/>
  <c r="J377" i="4"/>
  <c r="K71" i="4"/>
  <c r="K74" i="4"/>
  <c r="L74" i="4"/>
  <c r="J74" i="4"/>
  <c r="L82" i="4"/>
  <c r="K85" i="4"/>
  <c r="K91" i="4"/>
  <c r="L101" i="4"/>
  <c r="K101" i="4"/>
  <c r="K110" i="4"/>
  <c r="L110" i="4"/>
  <c r="L116" i="4"/>
  <c r="K119" i="4"/>
  <c r="L128" i="4"/>
  <c r="K139" i="4"/>
  <c r="K153" i="4"/>
  <c r="K171" i="4"/>
  <c r="K185" i="4"/>
  <c r="K203" i="4"/>
  <c r="K217" i="4"/>
  <c r="K249" i="4"/>
  <c r="K281" i="4"/>
  <c r="L347" i="4"/>
  <c r="K347" i="4"/>
  <c r="J360" i="4"/>
  <c r="L360" i="4"/>
  <c r="K360" i="4"/>
  <c r="J364" i="4"/>
  <c r="K364" i="4"/>
  <c r="J390" i="4"/>
  <c r="L390" i="4"/>
  <c r="K390" i="4"/>
  <c r="K397" i="4"/>
  <c r="L408" i="4"/>
  <c r="K408" i="4"/>
  <c r="J408" i="4"/>
  <c r="L420" i="4"/>
  <c r="K420" i="4"/>
  <c r="J420" i="4"/>
  <c r="L472" i="4"/>
  <c r="K472" i="4"/>
  <c r="J472" i="4"/>
  <c r="L8" i="4"/>
  <c r="K8" i="4"/>
  <c r="L16" i="4"/>
  <c r="K16" i="4"/>
  <c r="L32" i="4"/>
  <c r="K32" i="4"/>
  <c r="L22" i="4"/>
  <c r="K22" i="4"/>
  <c r="L30" i="4"/>
  <c r="K30" i="4"/>
  <c r="K43" i="4"/>
  <c r="L64" i="4"/>
  <c r="L115" i="4"/>
  <c r="K115" i="4"/>
  <c r="J115" i="4"/>
  <c r="L194" i="4"/>
  <c r="L258" i="4"/>
  <c r="L295" i="4"/>
  <c r="K295" i="4"/>
  <c r="L392" i="4"/>
  <c r="L2" i="4"/>
  <c r="K2" i="4"/>
  <c r="L10" i="4"/>
  <c r="K10" i="4"/>
  <c r="L18" i="4"/>
  <c r="K18" i="4"/>
  <c r="L26" i="4"/>
  <c r="K26" i="4"/>
  <c r="L34" i="4"/>
  <c r="K34" i="4"/>
  <c r="L42" i="4"/>
  <c r="K42" i="4"/>
  <c r="L50" i="4"/>
  <c r="K50" i="4"/>
  <c r="L58" i="4"/>
  <c r="K58" i="4"/>
  <c r="J66" i="4"/>
  <c r="J69" i="4"/>
  <c r="L83" i="4"/>
  <c r="K83" i="4"/>
  <c r="J101" i="4"/>
  <c r="J110" i="4"/>
  <c r="L117" i="4"/>
  <c r="K117" i="4"/>
  <c r="J123" i="4"/>
  <c r="K126" i="4"/>
  <c r="L126" i="4"/>
  <c r="L274" i="4"/>
  <c r="L293" i="4"/>
  <c r="K293" i="4"/>
  <c r="J293" i="4"/>
  <c r="K304" i="4"/>
  <c r="J322" i="4"/>
  <c r="L322" i="4"/>
  <c r="K322" i="4"/>
  <c r="J332" i="4"/>
  <c r="K332" i="4"/>
  <c r="L332" i="4"/>
  <c r="L339" i="4"/>
  <c r="J347" i="4"/>
  <c r="L364" i="4"/>
  <c r="L375" i="4"/>
  <c r="K375" i="4"/>
  <c r="J375" i="4"/>
  <c r="K405" i="4"/>
  <c r="L405" i="4"/>
  <c r="J421" i="4"/>
  <c r="L421" i="4"/>
  <c r="K421" i="4"/>
  <c r="L468" i="4"/>
  <c r="K468" i="4"/>
  <c r="J468" i="4"/>
  <c r="L67" i="4"/>
  <c r="K67" i="4"/>
  <c r="K108" i="4"/>
  <c r="L108" i="4"/>
  <c r="J108" i="4"/>
  <c r="K176" i="4"/>
  <c r="L176" i="4"/>
  <c r="K208" i="4"/>
  <c r="L208" i="4"/>
  <c r="K222" i="4"/>
  <c r="L222" i="4"/>
  <c r="J222" i="4"/>
  <c r="K254" i="4"/>
  <c r="L254" i="4"/>
  <c r="J254" i="4"/>
  <c r="J372" i="4"/>
  <c r="L372" i="4"/>
  <c r="L491" i="4"/>
  <c r="J491" i="4"/>
  <c r="J16" i="4"/>
  <c r="J40" i="4"/>
  <c r="J48" i="4"/>
  <c r="J78" i="4"/>
  <c r="J84" i="4"/>
  <c r="L99" i="4"/>
  <c r="K99" i="4"/>
  <c r="J99" i="4"/>
  <c r="J130" i="4"/>
  <c r="J144" i="4"/>
  <c r="J148" i="4"/>
  <c r="J208" i="4"/>
  <c r="J240" i="4"/>
  <c r="J258" i="4"/>
  <c r="J272" i="4"/>
  <c r="J2" i="4"/>
  <c r="J10" i="4"/>
  <c r="J18" i="4"/>
  <c r="J26" i="4"/>
  <c r="J34" i="4"/>
  <c r="J42" i="4"/>
  <c r="J50" i="4"/>
  <c r="J58" i="4"/>
  <c r="L66" i="4"/>
  <c r="K69" i="4"/>
  <c r="J80" i="4"/>
  <c r="J83" i="4"/>
  <c r="K92" i="4"/>
  <c r="L92" i="4"/>
  <c r="J92" i="4"/>
  <c r="J98" i="4"/>
  <c r="J117" i="4"/>
  <c r="J126" i="4"/>
  <c r="L133" i="4"/>
  <c r="K133" i="4"/>
  <c r="J133" i="4"/>
  <c r="L151" i="4"/>
  <c r="K151" i="4"/>
  <c r="L165" i="4"/>
  <c r="K165" i="4"/>
  <c r="J165" i="4"/>
  <c r="L183" i="4"/>
  <c r="K183" i="4"/>
  <c r="L197" i="4"/>
  <c r="K197" i="4"/>
  <c r="J197" i="4"/>
  <c r="L215" i="4"/>
  <c r="K215" i="4"/>
  <c r="L229" i="4"/>
  <c r="K229" i="4"/>
  <c r="J229" i="4"/>
  <c r="L247" i="4"/>
  <c r="K247" i="4"/>
  <c r="L261" i="4"/>
  <c r="K261" i="4"/>
  <c r="J261" i="4"/>
  <c r="L279" i="4"/>
  <c r="K279" i="4"/>
  <c r="L304" i="4"/>
  <c r="J307" i="4"/>
  <c r="L307" i="4"/>
  <c r="K307" i="4"/>
  <c r="K357" i="4"/>
  <c r="L357" i="4"/>
  <c r="L365" i="4"/>
  <c r="K365" i="4"/>
  <c r="J365" i="4"/>
  <c r="J387" i="4"/>
  <c r="L387" i="4"/>
  <c r="L460" i="4"/>
  <c r="K460" i="4"/>
  <c r="J460" i="4"/>
  <c r="K469" i="4"/>
  <c r="L469" i="4"/>
  <c r="J469" i="4"/>
  <c r="J350" i="4"/>
  <c r="L350" i="4"/>
  <c r="J380" i="4"/>
  <c r="K380" i="4"/>
  <c r="J429" i="4"/>
  <c r="L429" i="4"/>
  <c r="L440" i="4"/>
  <c r="K440" i="4"/>
  <c r="J440" i="4"/>
  <c r="J445" i="4"/>
  <c r="K445" i="4"/>
  <c r="L453" i="4"/>
  <c r="J453" i="4"/>
  <c r="L457" i="4"/>
  <c r="J457" i="4"/>
  <c r="J493" i="4"/>
  <c r="L493" i="4"/>
  <c r="L497" i="4"/>
  <c r="J497" i="4"/>
  <c r="J140" i="4"/>
  <c r="J147" i="4"/>
  <c r="J156" i="4"/>
  <c r="J163" i="4"/>
  <c r="J172" i="4"/>
  <c r="J179" i="4"/>
  <c r="J188" i="4"/>
  <c r="J195" i="4"/>
  <c r="J204" i="4"/>
  <c r="J211" i="4"/>
  <c r="J220" i="4"/>
  <c r="J227" i="4"/>
  <c r="J236" i="4"/>
  <c r="J243" i="4"/>
  <c r="J252" i="4"/>
  <c r="J259" i="4"/>
  <c r="J268" i="4"/>
  <c r="J275" i="4"/>
  <c r="J284" i="4"/>
  <c r="J291" i="4"/>
  <c r="J300" i="4"/>
  <c r="K310" i="4"/>
  <c r="J315" i="4"/>
  <c r="K320" i="4"/>
  <c r="J325" i="4"/>
  <c r="K340" i="4"/>
  <c r="K350" i="4"/>
  <c r="J398" i="4"/>
  <c r="L398" i="4"/>
  <c r="L406" i="4"/>
  <c r="K406" i="4"/>
  <c r="J406" i="4"/>
  <c r="L441" i="4"/>
  <c r="K441" i="4"/>
  <c r="L462" i="4"/>
  <c r="K462" i="4"/>
  <c r="J462" i="4"/>
  <c r="J477" i="4"/>
  <c r="K477" i="4"/>
  <c r="J90" i="4"/>
  <c r="J97" i="4"/>
  <c r="J106" i="4"/>
  <c r="J113" i="4"/>
  <c r="J122" i="4"/>
  <c r="J129" i="4"/>
  <c r="J138" i="4"/>
  <c r="L140" i="4"/>
  <c r="J145" i="4"/>
  <c r="K147" i="4"/>
  <c r="J154" i="4"/>
  <c r="L156" i="4"/>
  <c r="J161" i="4"/>
  <c r="K163" i="4"/>
  <c r="J170" i="4"/>
  <c r="L172" i="4"/>
  <c r="J177" i="4"/>
  <c r="K179" i="4"/>
  <c r="J186" i="4"/>
  <c r="L188" i="4"/>
  <c r="J193" i="4"/>
  <c r="K195" i="4"/>
  <c r="J202" i="4"/>
  <c r="L204" i="4"/>
  <c r="J209" i="4"/>
  <c r="K211" i="4"/>
  <c r="J218" i="4"/>
  <c r="L220" i="4"/>
  <c r="J225" i="4"/>
  <c r="K227" i="4"/>
  <c r="J234" i="4"/>
  <c r="L236" i="4"/>
  <c r="J241" i="4"/>
  <c r="K243" i="4"/>
  <c r="J250" i="4"/>
  <c r="L252" i="4"/>
  <c r="J257" i="4"/>
  <c r="K259" i="4"/>
  <c r="J266" i="4"/>
  <c r="L268" i="4"/>
  <c r="J273" i="4"/>
  <c r="K275" i="4"/>
  <c r="J282" i="4"/>
  <c r="L284" i="4"/>
  <c r="J289" i="4"/>
  <c r="K291" i="4"/>
  <c r="J298" i="4"/>
  <c r="L300" i="4"/>
  <c r="J303" i="4"/>
  <c r="L310" i="4"/>
  <c r="J313" i="4"/>
  <c r="K315" i="4"/>
  <c r="J318" i="4"/>
  <c r="L318" i="4"/>
  <c r="L320" i="4"/>
  <c r="L325" i="4"/>
  <c r="K328" i="4"/>
  <c r="J333" i="4"/>
  <c r="L340" i="4"/>
  <c r="J343" i="4"/>
  <c r="J348" i="4"/>
  <c r="K348" i="4"/>
  <c r="K358" i="4"/>
  <c r="J363" i="4"/>
  <c r="K368" i="4"/>
  <c r="J373" i="4"/>
  <c r="K388" i="4"/>
  <c r="K393" i="4"/>
  <c r="K398" i="4"/>
  <c r="K403" i="4"/>
  <c r="L410" i="4"/>
  <c r="K410" i="4"/>
  <c r="J410" i="4"/>
  <c r="L422" i="4"/>
  <c r="K422" i="4"/>
  <c r="J422" i="4"/>
  <c r="L430" i="4"/>
  <c r="K430" i="4"/>
  <c r="J430" i="4"/>
  <c r="L434" i="4"/>
  <c r="K434" i="4"/>
  <c r="J434" i="4"/>
  <c r="J441" i="4"/>
  <c r="L446" i="4"/>
  <c r="K446" i="4"/>
  <c r="J446" i="4"/>
  <c r="L454" i="4"/>
  <c r="K454" i="4"/>
  <c r="J454" i="4"/>
  <c r="L458" i="4"/>
  <c r="K458" i="4"/>
  <c r="J458" i="4"/>
  <c r="L466" i="4"/>
  <c r="K466" i="4"/>
  <c r="J466" i="4"/>
  <c r="L477" i="4"/>
  <c r="J489" i="4"/>
  <c r="L559" i="4"/>
  <c r="K559" i="4"/>
  <c r="J559" i="4"/>
  <c r="J72" i="4"/>
  <c r="J88" i="4"/>
  <c r="L90" i="4"/>
  <c r="J104" i="4"/>
  <c r="L106" i="4"/>
  <c r="J120" i="4"/>
  <c r="L122" i="4"/>
  <c r="J136" i="4"/>
  <c r="L138" i="4"/>
  <c r="J152" i="4"/>
  <c r="L154" i="4"/>
  <c r="J168" i="4"/>
  <c r="L170" i="4"/>
  <c r="J184" i="4"/>
  <c r="L186" i="4"/>
  <c r="J200" i="4"/>
  <c r="L202" i="4"/>
  <c r="J216" i="4"/>
  <c r="L218" i="4"/>
  <c r="J232" i="4"/>
  <c r="L234" i="4"/>
  <c r="J248" i="4"/>
  <c r="L250" i="4"/>
  <c r="J264" i="4"/>
  <c r="L266" i="4"/>
  <c r="J280" i="4"/>
  <c r="L282" i="4"/>
  <c r="K289" i="4"/>
  <c r="J296" i="4"/>
  <c r="L298" i="4"/>
  <c r="K303" i="4"/>
  <c r="K308" i="4"/>
  <c r="K313" i="4"/>
  <c r="K318" i="4"/>
  <c r="K323" i="4"/>
  <c r="L328" i="4"/>
  <c r="K333" i="4"/>
  <c r="K338" i="4"/>
  <c r="K343" i="4"/>
  <c r="L348" i="4"/>
  <c r="L358" i="4"/>
  <c r="K363" i="4"/>
  <c r="J366" i="4"/>
  <c r="L366" i="4"/>
  <c r="L368" i="4"/>
  <c r="L373" i="4"/>
  <c r="K376" i="4"/>
  <c r="L388" i="4"/>
  <c r="J391" i="4"/>
  <c r="J396" i="4"/>
  <c r="K396" i="4"/>
  <c r="L403" i="4"/>
  <c r="L418" i="4"/>
  <c r="K418" i="4"/>
  <c r="J418" i="4"/>
  <c r="L442" i="4"/>
  <c r="K442" i="4"/>
  <c r="J442" i="4"/>
  <c r="L459" i="4"/>
  <c r="J459" i="4"/>
  <c r="L474" i="4"/>
  <c r="K474" i="4"/>
  <c r="J474" i="4"/>
  <c r="K489" i="4"/>
  <c r="L511" i="4"/>
  <c r="K511" i="4"/>
  <c r="J511" i="4"/>
  <c r="K547" i="4"/>
  <c r="J547" i="4"/>
  <c r="L547" i="4"/>
  <c r="J316" i="4"/>
  <c r="K316" i="4"/>
  <c r="J404" i="4"/>
  <c r="K404" i="4"/>
  <c r="K419" i="4"/>
  <c r="J419" i="4"/>
  <c r="L414" i="4"/>
  <c r="K414" i="4"/>
  <c r="J414" i="4"/>
  <c r="L424" i="4"/>
  <c r="K424" i="4"/>
  <c r="J424" i="4"/>
  <c r="L438" i="4"/>
  <c r="K438" i="4"/>
  <c r="J438" i="4"/>
  <c r="L452" i="4"/>
  <c r="K452" i="4"/>
  <c r="J452" i="4"/>
  <c r="L476" i="4"/>
  <c r="K476" i="4"/>
  <c r="J476" i="4"/>
  <c r="L456" i="4"/>
  <c r="K456" i="4"/>
  <c r="J456" i="4"/>
  <c r="L470" i="4"/>
  <c r="K470" i="4"/>
  <c r="J470" i="4"/>
  <c r="J515" i="4"/>
  <c r="J529" i="4"/>
  <c r="L569" i="4"/>
  <c r="K569" i="4"/>
  <c r="L515" i="4"/>
  <c r="K529" i="4"/>
  <c r="K561" i="4"/>
  <c r="J561" i="4"/>
  <c r="L412" i="4"/>
  <c r="K412" i="4"/>
  <c r="J412" i="4"/>
  <c r="L426" i="4"/>
  <c r="K426" i="4"/>
  <c r="J426" i="4"/>
  <c r="L450" i="4"/>
  <c r="K450" i="4"/>
  <c r="J450" i="4"/>
  <c r="L478" i="4"/>
  <c r="K478" i="4"/>
  <c r="J478" i="4"/>
  <c r="K509" i="4"/>
  <c r="L537" i="4"/>
  <c r="K537" i="4"/>
  <c r="K545" i="4"/>
  <c r="J545" i="4"/>
  <c r="L553" i="4"/>
  <c r="K553" i="4"/>
  <c r="L561" i="4"/>
  <c r="L416" i="4"/>
  <c r="K416" i="4"/>
  <c r="J416" i="4"/>
  <c r="L432" i="4"/>
  <c r="K432" i="4"/>
  <c r="J432" i="4"/>
  <c r="L448" i="4"/>
  <c r="K448" i="4"/>
  <c r="J448" i="4"/>
  <c r="L464" i="4"/>
  <c r="K464" i="4"/>
  <c r="J464" i="4"/>
  <c r="J557" i="4"/>
  <c r="J573" i="4"/>
  <c r="J480" i="4"/>
  <c r="J482" i="4"/>
  <c r="J484" i="4"/>
  <c r="J486" i="4"/>
  <c r="J488" i="4"/>
  <c r="J490" i="4"/>
  <c r="J492" i="4"/>
  <c r="J494" i="4"/>
  <c r="J496" i="4"/>
  <c r="J498" i="4"/>
  <c r="J500" i="4"/>
  <c r="J502" i="4"/>
  <c r="J504" i="4"/>
  <c r="J506" i="4"/>
  <c r="J508" i="4"/>
  <c r="J510" i="4"/>
  <c r="J512" i="4"/>
  <c r="J514" i="4"/>
  <c r="J516" i="4"/>
  <c r="J518" i="4"/>
  <c r="J520" i="4"/>
  <c r="J522" i="4"/>
  <c r="J524" i="4"/>
  <c r="J526" i="4"/>
  <c r="J528" i="4"/>
  <c r="J530" i="4"/>
  <c r="J532" i="4"/>
  <c r="J534" i="4"/>
  <c r="J536" i="4"/>
  <c r="J538" i="4"/>
  <c r="J540" i="4"/>
  <c r="J542" i="4"/>
  <c r="J544" i="4"/>
  <c r="J546" i="4"/>
  <c r="J548" i="4"/>
  <c r="J550" i="4"/>
  <c r="J552" i="4"/>
  <c r="J554" i="4"/>
  <c r="J556" i="4"/>
  <c r="J558" i="4"/>
  <c r="J560" i="4"/>
  <c r="J562" i="4"/>
  <c r="J564" i="4"/>
  <c r="J566" i="4"/>
  <c r="J568" i="4"/>
  <c r="J570" i="4"/>
  <c r="J572" i="4"/>
  <c r="J574" i="4"/>
  <c r="K480" i="4"/>
  <c r="K482" i="4"/>
  <c r="K484" i="4"/>
  <c r="K486" i="4"/>
  <c r="K488" i="4"/>
  <c r="K490" i="4"/>
  <c r="K492" i="4"/>
  <c r="K494" i="4"/>
  <c r="K496" i="4"/>
  <c r="K498" i="4"/>
  <c r="K500" i="4"/>
  <c r="K502" i="4"/>
  <c r="K504" i="4"/>
  <c r="K506" i="4"/>
  <c r="K508" i="4"/>
  <c r="K510" i="4"/>
  <c r="K512" i="4"/>
  <c r="K514" i="4"/>
  <c r="K516" i="4"/>
  <c r="K518" i="4"/>
  <c r="K520" i="4"/>
  <c r="K522" i="4"/>
  <c r="K524" i="4"/>
  <c r="K526" i="4"/>
  <c r="K528" i="4"/>
  <c r="K530" i="4"/>
  <c r="K532" i="4"/>
  <c r="K534" i="4"/>
  <c r="K536" i="4"/>
  <c r="K538" i="4"/>
  <c r="K540" i="4"/>
  <c r="K542" i="4"/>
  <c r="K544" i="4"/>
  <c r="K546" i="4"/>
  <c r="K548" i="4"/>
  <c r="K550" i="4"/>
  <c r="K552" i="4"/>
  <c r="K554" i="4"/>
  <c r="K556" i="4"/>
  <c r="K558" i="4"/>
  <c r="K560" i="4"/>
  <c r="K562" i="4"/>
  <c r="K564" i="4"/>
  <c r="K566" i="4"/>
  <c r="K568" i="4"/>
  <c r="K570" i="4"/>
  <c r="K572" i="4"/>
  <c r="K574" i="4"/>
  <c r="D6" i="9" l="1"/>
  <c r="D8" i="9"/>
  <c r="D12" i="9"/>
  <c r="D7" i="9"/>
  <c r="D4" i="9"/>
  <c r="D3" i="9"/>
  <c r="D5" i="9"/>
  <c r="D2" i="9"/>
  <c r="D34" i="8"/>
  <c r="D464" i="8"/>
  <c r="D95" i="8"/>
  <c r="D19" i="8"/>
  <c r="D426" i="8"/>
  <c r="D600" i="8"/>
  <c r="D432" i="8"/>
  <c r="D145" i="8"/>
  <c r="D306" i="8"/>
  <c r="D30" i="8"/>
  <c r="D169" i="8"/>
  <c r="D47" i="8"/>
  <c r="D549" i="8"/>
  <c r="D21" i="8"/>
  <c r="D490" i="8"/>
  <c r="D344" i="8"/>
  <c r="D81" i="8"/>
  <c r="D440" i="8"/>
  <c r="D315" i="8"/>
  <c r="D502" i="8"/>
  <c r="D14" i="8"/>
  <c r="D658" i="8"/>
  <c r="D526" i="8"/>
  <c r="D667" i="8"/>
  <c r="D210" i="8"/>
  <c r="D276" i="8"/>
  <c r="D418" i="8"/>
  <c r="D457" i="8"/>
  <c r="D253" i="8"/>
  <c r="D559" i="8"/>
  <c r="D295" i="8"/>
  <c r="D530" i="8"/>
  <c r="D445" i="8"/>
  <c r="D204" i="8"/>
  <c r="D580" i="8"/>
  <c r="D679" i="8"/>
  <c r="D552" i="8"/>
  <c r="D636" i="8"/>
  <c r="D396" i="8"/>
  <c r="D223" i="8"/>
  <c r="D537" i="8"/>
  <c r="D515" i="8"/>
  <c r="D604" i="8"/>
  <c r="D474" i="8"/>
  <c r="D349" i="8"/>
  <c r="D438" i="8"/>
  <c r="D369" i="8"/>
  <c r="D299" i="8"/>
  <c r="D567" i="8"/>
  <c r="D433" i="8"/>
  <c r="D270" i="8"/>
  <c r="D24" i="8"/>
  <c r="D466" i="8"/>
  <c r="D171" i="8"/>
  <c r="D200" i="8"/>
  <c r="D180" i="8"/>
  <c r="D216" i="8"/>
  <c r="D18" i="8"/>
  <c r="D413" i="8"/>
  <c r="D543" i="8"/>
  <c r="D140" i="8"/>
  <c r="D99" i="8"/>
  <c r="D434" i="8"/>
  <c r="D548" i="8"/>
  <c r="D443" i="8"/>
  <c r="D235" i="8"/>
  <c r="D288" i="8"/>
  <c r="D343" i="8"/>
  <c r="D233" i="8"/>
  <c r="D357" i="8"/>
  <c r="D285" i="8"/>
  <c r="D531" i="8"/>
  <c r="D12" i="8"/>
  <c r="D131" i="8"/>
  <c r="D7" i="8"/>
  <c r="D8" i="8"/>
  <c r="D641" i="8"/>
  <c r="D534" i="8"/>
  <c r="D617" i="8"/>
  <c r="D452" i="8"/>
  <c r="D542" i="8"/>
  <c r="D536" i="8"/>
  <c r="D419" i="8"/>
  <c r="D123" i="8"/>
  <c r="D84" i="8"/>
  <c r="D408" i="8"/>
  <c r="D150" i="8"/>
  <c r="D68" i="8"/>
  <c r="D15" i="8"/>
  <c r="D191" i="8"/>
  <c r="D178" i="8"/>
  <c r="D148" i="8"/>
  <c r="D106" i="8"/>
  <c r="D124" i="8"/>
  <c r="D45" i="8"/>
  <c r="D303" i="8"/>
  <c r="D162" i="8"/>
  <c r="D88" i="8"/>
  <c r="D468" i="8"/>
  <c r="D669" i="8"/>
  <c r="D155" i="8"/>
  <c r="D26" i="8"/>
  <c r="D356" i="8"/>
  <c r="D398" i="8"/>
  <c r="D199" i="8"/>
  <c r="D113" i="8"/>
  <c r="D570" i="8"/>
  <c r="D516" i="8"/>
  <c r="D554" i="8"/>
  <c r="D517" i="8"/>
  <c r="D640" i="8"/>
  <c r="D262" i="8"/>
  <c r="D197" i="8"/>
  <c r="D348" i="8"/>
  <c r="D105" i="8"/>
  <c r="D639" i="8"/>
  <c r="D529" i="8"/>
  <c r="D685" i="8"/>
  <c r="D673" i="8"/>
  <c r="D582" i="8"/>
  <c r="D598" i="8"/>
  <c r="D590" i="8"/>
  <c r="D675" i="8"/>
  <c r="D479" i="8"/>
  <c r="D112" i="8"/>
  <c r="D3" i="8"/>
  <c r="D606" i="8"/>
  <c r="D508" i="8"/>
  <c r="D111" i="8"/>
  <c r="D381" i="8"/>
  <c r="D619" i="8"/>
  <c r="D159" i="8"/>
  <c r="D167" i="8"/>
  <c r="D244" i="8"/>
  <c r="D5" i="8"/>
  <c r="D428" i="8"/>
  <c r="D168" i="8"/>
  <c r="D66" i="8"/>
  <c r="D58" i="8"/>
  <c r="D72" i="8"/>
  <c r="D11" i="8"/>
  <c r="D250" i="8"/>
  <c r="D189" i="8"/>
  <c r="D459" i="8"/>
  <c r="D97" i="8"/>
  <c r="D16" i="8"/>
  <c r="D39" i="8"/>
  <c r="D302" i="8"/>
  <c r="D50" i="8"/>
  <c r="D649" i="8"/>
  <c r="D586" i="8"/>
  <c r="D584" i="8"/>
  <c r="D444" i="8"/>
  <c r="D674" i="8"/>
  <c r="D2" i="8"/>
  <c r="D420" i="8"/>
  <c r="D449" i="8"/>
  <c r="D161" i="8"/>
  <c r="D577" i="8"/>
  <c r="D683" i="8"/>
  <c r="D651" i="8"/>
  <c r="D671" i="8"/>
  <c r="D589" i="8"/>
  <c r="D527" i="8"/>
  <c r="D599" i="8"/>
  <c r="D280" i="8"/>
  <c r="D563" i="8"/>
  <c r="D461" i="8"/>
  <c r="D190" i="8"/>
  <c r="D104" i="8"/>
  <c r="D603" i="8"/>
  <c r="D494" i="8"/>
  <c r="D473" i="8"/>
  <c r="D141" i="8"/>
  <c r="D91" i="8"/>
  <c r="D394" i="8"/>
  <c r="D334" i="8"/>
  <c r="D336" i="8"/>
  <c r="D282" i="8"/>
  <c r="D165" i="8"/>
  <c r="D627" i="8"/>
  <c r="D227" i="8"/>
  <c r="D182" i="8"/>
  <c r="D347" i="8"/>
  <c r="D342" i="8"/>
  <c r="D362" i="8"/>
  <c r="D234" i="8"/>
  <c r="D86" i="8"/>
  <c r="D202" i="8"/>
  <c r="D614" i="8"/>
  <c r="D613" i="8"/>
  <c r="D399" i="8"/>
  <c r="D545" i="8"/>
  <c r="D436" i="8"/>
  <c r="D185" i="8"/>
  <c r="D158" i="8"/>
  <c r="D469" i="8"/>
  <c r="D672" i="8"/>
  <c r="D682" i="8"/>
  <c r="D607" i="8"/>
  <c r="D575" i="8"/>
  <c r="D573" i="8"/>
  <c r="D676" i="8"/>
  <c r="D670" i="8"/>
  <c r="D643" i="8"/>
  <c r="D664" i="8"/>
  <c r="D359" i="8"/>
  <c r="D650" i="8"/>
  <c r="D495" i="8"/>
  <c r="D300" i="8"/>
  <c r="D170" i="8"/>
  <c r="D41" i="8"/>
  <c r="D379" i="8"/>
  <c r="D192" i="8"/>
  <c r="D560" i="8"/>
  <c r="D451" i="8"/>
  <c r="D307" i="8"/>
  <c r="D287" i="8"/>
  <c r="D482" i="8"/>
  <c r="D453" i="8"/>
  <c r="D36" i="8"/>
  <c r="D61" i="8"/>
  <c r="D143" i="8"/>
  <c r="D85" i="8"/>
  <c r="D177" i="8"/>
  <c r="D122" i="8"/>
  <c r="D56" i="8"/>
  <c r="D213" i="8"/>
  <c r="D151" i="8"/>
  <c r="D42" i="8"/>
  <c r="D372" i="8"/>
  <c r="D509" i="8"/>
  <c r="D681" i="8"/>
  <c r="D327" i="8"/>
  <c r="D156" i="8"/>
  <c r="D346" i="8"/>
  <c r="D78" i="8"/>
  <c r="D108" i="8"/>
  <c r="D232" i="8"/>
  <c r="D214" i="8"/>
  <c r="D29" i="8"/>
  <c r="D310" i="8"/>
  <c r="D477" i="8"/>
  <c r="D239" i="8"/>
  <c r="D260" i="8"/>
  <c r="D371" i="8"/>
  <c r="D601" i="8"/>
  <c r="D272" i="8"/>
  <c r="D481" i="8"/>
  <c r="D256" i="8"/>
  <c r="D289" i="8"/>
  <c r="D621" i="8"/>
  <c r="D114" i="8"/>
  <c r="D248" i="8"/>
  <c r="D43" i="8"/>
  <c r="D175" i="8"/>
  <c r="D323" i="8"/>
  <c r="D478" i="8"/>
  <c r="D655" i="8"/>
  <c r="D383" i="8"/>
  <c r="D571" i="8"/>
  <c r="D326" i="8"/>
  <c r="D519" i="8"/>
  <c r="D176" i="8"/>
  <c r="D304" i="8"/>
  <c r="D127" i="8"/>
  <c r="D401" i="8"/>
  <c r="D523" i="8"/>
  <c r="D611" i="8"/>
  <c r="D293" i="8"/>
  <c r="D70" i="8"/>
  <c r="D656" i="8"/>
  <c r="D686" i="8"/>
  <c r="D533" i="8"/>
  <c r="D450" i="8"/>
  <c r="D472" i="8"/>
  <c r="D259" i="8"/>
  <c r="D318" i="8"/>
  <c r="D380" i="8"/>
  <c r="D447" i="8"/>
  <c r="D324" i="8"/>
  <c r="D623" i="8"/>
  <c r="D653" i="8"/>
  <c r="D555" i="8"/>
  <c r="D576" i="8"/>
  <c r="D592" i="8"/>
  <c r="D377" i="8"/>
  <c r="D591" i="8"/>
  <c r="D626" i="8"/>
  <c r="D609" i="8"/>
  <c r="D605" i="8"/>
  <c r="D410" i="8"/>
  <c r="D110" i="8"/>
  <c r="D147" i="8"/>
  <c r="D164" i="8"/>
  <c r="D101" i="8"/>
  <c r="D236" i="8"/>
  <c r="D135" i="8"/>
  <c r="D103" i="8"/>
  <c r="D246" i="8"/>
  <c r="D208" i="8"/>
  <c r="D75" i="8"/>
  <c r="D397" i="8"/>
  <c r="D329" i="8"/>
  <c r="D551" i="8"/>
  <c r="D687" i="8"/>
  <c r="D501" i="8"/>
  <c r="D166" i="8"/>
  <c r="D439" i="8"/>
  <c r="D121" i="8"/>
  <c r="D240" i="8"/>
  <c r="D33" i="8"/>
  <c r="D368" i="8"/>
  <c r="D153" i="8"/>
  <c r="D268" i="8"/>
  <c r="D17" i="8"/>
  <c r="D76" i="8"/>
  <c r="D49" i="8"/>
  <c r="D149" i="8"/>
  <c r="D594" i="8"/>
  <c r="D126" i="8"/>
  <c r="D25" i="8"/>
  <c r="D51" i="8"/>
  <c r="D9" i="8"/>
  <c r="D333" i="8"/>
  <c r="D109" i="8"/>
  <c r="D187" i="8"/>
  <c r="D374" i="8"/>
  <c r="D493" i="8"/>
  <c r="D662" i="8"/>
  <c r="D385" i="8"/>
  <c r="D194" i="8"/>
  <c r="D255" i="8"/>
  <c r="D400" i="8"/>
  <c r="D637" i="8"/>
  <c r="D196" i="8"/>
  <c r="D485" i="8"/>
  <c r="D403" i="8"/>
  <c r="D635" i="8"/>
  <c r="D125" i="8"/>
  <c r="D595" i="8"/>
  <c r="D663" i="8"/>
  <c r="D654" i="8"/>
  <c r="D448" i="8"/>
  <c r="D365" i="8"/>
  <c r="D181" i="8"/>
  <c r="D274" i="8"/>
  <c r="D320" i="8"/>
  <c r="D382" i="8"/>
  <c r="D455" i="8"/>
  <c r="D361" i="8"/>
  <c r="D557" i="8"/>
  <c r="D412" i="8"/>
  <c r="D558" i="8"/>
  <c r="D579" i="8"/>
  <c r="D624" i="8"/>
  <c r="D652" i="8"/>
  <c r="D442" i="8"/>
  <c r="D625" i="8"/>
  <c r="D524" i="8"/>
  <c r="D620" i="8"/>
  <c r="D59" i="8"/>
  <c r="D507" i="8"/>
  <c r="D254" i="8"/>
  <c r="D437" i="8"/>
  <c r="D87" i="8"/>
  <c r="D195" i="8"/>
  <c r="D173" i="8"/>
  <c r="D291" i="8"/>
  <c r="D266" i="8"/>
  <c r="D93" i="8"/>
  <c r="D462" i="8"/>
  <c r="D335" i="8"/>
  <c r="D350" i="8"/>
  <c r="D107" i="8"/>
  <c r="D366" i="8"/>
  <c r="D528" i="8"/>
  <c r="D661" i="8"/>
  <c r="D258" i="8"/>
  <c r="D37" i="8"/>
  <c r="D409" i="8"/>
  <c r="D499" i="8"/>
  <c r="D305" i="8"/>
  <c r="D57" i="8"/>
  <c r="D137" i="8"/>
  <c r="D90" i="8"/>
  <c r="D230" i="8"/>
  <c r="D376" i="8"/>
  <c r="D179" i="8"/>
  <c r="D13" i="8"/>
  <c r="D183" i="8"/>
  <c r="D23" i="8"/>
  <c r="D352" i="8"/>
  <c r="D115" i="8"/>
  <c r="D219" i="8"/>
  <c r="D402" i="8"/>
  <c r="D496" i="8"/>
  <c r="D392" i="8"/>
  <c r="D267" i="8"/>
  <c r="D423" i="8"/>
  <c r="D421" i="8"/>
  <c r="D224" i="8"/>
  <c r="D535" i="8"/>
  <c r="D283" i="8"/>
  <c r="D322" i="8"/>
  <c r="D405" i="8"/>
  <c r="D82" i="8"/>
  <c r="D308" i="8"/>
  <c r="D491" i="8"/>
  <c r="D129" i="8"/>
  <c r="D574" i="8"/>
  <c r="D547" i="8"/>
  <c r="D646" i="8"/>
  <c r="D446" i="8"/>
  <c r="D328" i="8"/>
  <c r="D281" i="8"/>
  <c r="D325" i="8"/>
  <c r="D384" i="8"/>
  <c r="D471" i="8"/>
  <c r="D564" i="8"/>
  <c r="D414" i="8"/>
  <c r="D431" i="8"/>
  <c r="D566" i="8"/>
  <c r="D583" i="8"/>
  <c r="D631" i="8"/>
  <c r="D465" i="8"/>
  <c r="D665" i="8"/>
  <c r="D463" i="8"/>
  <c r="D539" i="8"/>
  <c r="D633" i="8"/>
  <c r="D553" i="8"/>
  <c r="D561" i="8"/>
  <c r="D231" i="8"/>
  <c r="D157" i="8"/>
  <c r="D284" i="8"/>
  <c r="D28" i="8"/>
  <c r="D228" i="8"/>
  <c r="D48" i="8"/>
  <c r="D264" i="8"/>
  <c r="D435" i="8"/>
  <c r="D277" i="8"/>
  <c r="D252" i="8"/>
  <c r="D269" i="8"/>
  <c r="D370" i="8"/>
  <c r="D313" i="8"/>
  <c r="D373" i="8"/>
  <c r="D596" i="8"/>
  <c r="D6" i="8"/>
  <c r="D217" i="8"/>
  <c r="D319" i="8"/>
  <c r="D184" i="8"/>
  <c r="D411" i="8"/>
  <c r="D505" i="8"/>
  <c r="D63" i="8"/>
  <c r="D354" i="8"/>
  <c r="D54" i="8"/>
  <c r="D100" i="8"/>
  <c r="D222" i="8"/>
  <c r="D138" i="8"/>
  <c r="D238" i="8"/>
  <c r="D378" i="8"/>
  <c r="D67" i="8"/>
  <c r="D212" i="8"/>
  <c r="D35" i="8"/>
  <c r="D226" i="8"/>
  <c r="D415" i="8"/>
  <c r="D500" i="8"/>
  <c r="D404" i="8"/>
  <c r="D271" i="8"/>
  <c r="D425" i="8"/>
  <c r="D565" i="8"/>
  <c r="D294" i="8"/>
  <c r="D407" i="8"/>
  <c r="D134" i="8"/>
  <c r="D358" i="8"/>
  <c r="D388" i="8"/>
  <c r="D629" i="8"/>
  <c r="D511" i="8"/>
  <c r="D610" i="8"/>
  <c r="D417" i="8"/>
  <c r="D4" i="8"/>
  <c r="D290" i="8"/>
  <c r="D338" i="8"/>
  <c r="D386" i="8"/>
  <c r="D483" i="8"/>
  <c r="D569" i="8"/>
  <c r="D587" i="8"/>
  <c r="D638" i="8"/>
  <c r="D503" i="8"/>
  <c r="D550" i="8"/>
  <c r="D657" i="8"/>
  <c r="D556" i="8"/>
  <c r="D597" i="8"/>
  <c r="D540" i="8"/>
  <c r="D684" i="8"/>
  <c r="D678" i="8"/>
  <c r="D430" i="8"/>
  <c r="D211" i="8"/>
  <c r="D330" i="8"/>
  <c r="D22" i="8"/>
  <c r="D69" i="8"/>
  <c r="D79" i="8"/>
  <c r="D279" i="8"/>
  <c r="D65" i="8"/>
  <c r="D314" i="8"/>
  <c r="D275" i="8"/>
  <c r="D278" i="8"/>
  <c r="D375" i="8"/>
  <c r="D387" i="8"/>
  <c r="D632" i="8"/>
  <c r="D40" i="8"/>
  <c r="D201" i="8"/>
  <c r="D31" i="8"/>
  <c r="D154" i="8"/>
  <c r="D487" i="8"/>
  <c r="D364" i="8"/>
  <c r="D218" i="8"/>
  <c r="D424" i="8"/>
  <c r="D521" i="8"/>
  <c r="D77" i="8"/>
  <c r="D585" i="8"/>
  <c r="D117" i="8"/>
  <c r="D139" i="8"/>
  <c r="D360" i="8"/>
  <c r="D163" i="8"/>
  <c r="D241" i="8"/>
  <c r="D422" i="8"/>
  <c r="D242" i="8"/>
  <c r="D80" i="8"/>
  <c r="D220" i="8"/>
  <c r="D340" i="8"/>
  <c r="D10" i="8"/>
  <c r="D55" i="8"/>
  <c r="D441" i="8"/>
  <c r="D615" i="8"/>
  <c r="D406" i="8"/>
  <c r="D296" i="8"/>
  <c r="D470" i="8"/>
  <c r="D541" i="8"/>
  <c r="D581" i="8"/>
  <c r="D572" i="8"/>
  <c r="D390" i="8"/>
  <c r="D102" i="8"/>
  <c r="D429" i="8"/>
  <c r="D207" i="8"/>
  <c r="D393" i="8"/>
  <c r="D416" i="8"/>
  <c r="D544" i="8"/>
  <c r="D467" i="8"/>
  <c r="D608" i="8"/>
  <c r="D395" i="8"/>
  <c r="D27" i="8"/>
  <c r="D119" i="8"/>
  <c r="D188" i="8"/>
  <c r="D292" i="8"/>
  <c r="D341" i="8"/>
  <c r="D391" i="8"/>
  <c r="D489" i="8"/>
  <c r="D593" i="8"/>
  <c r="D645" i="8"/>
  <c r="D525" i="8"/>
  <c r="D688" i="8"/>
  <c r="D644" i="8"/>
  <c r="D513" i="8"/>
  <c r="D659" i="8"/>
  <c r="D497" i="8"/>
  <c r="D588" i="8"/>
  <c r="D689" i="8"/>
  <c r="D647" i="8"/>
  <c r="D389" i="8"/>
  <c r="D193" i="8"/>
  <c r="D53" i="8"/>
  <c r="D73" i="8"/>
  <c r="D133" i="8"/>
  <c r="D32" i="8"/>
  <c r="D89" i="8"/>
  <c r="D83" i="8"/>
  <c r="D286" i="8"/>
  <c r="D273" i="8"/>
  <c r="D512" i="8"/>
  <c r="D475" i="8"/>
  <c r="D298" i="8"/>
  <c r="D20" i="8"/>
  <c r="D128" i="8"/>
  <c r="D38" i="8"/>
  <c r="D249" i="8"/>
  <c r="D312" i="8"/>
  <c r="D316" i="8"/>
  <c r="D206" i="8"/>
  <c r="D71" i="8"/>
  <c r="D317" i="8"/>
  <c r="D634" i="8"/>
  <c r="D660" i="8"/>
  <c r="D506" i="8"/>
  <c r="D488" i="8"/>
  <c r="D331" i="8"/>
  <c r="D578" i="8"/>
  <c r="D498" i="8"/>
  <c r="D251" i="8"/>
  <c r="D225" i="8"/>
  <c r="D172" i="8"/>
  <c r="D297" i="8"/>
  <c r="D245" i="8"/>
  <c r="D353" i="8"/>
  <c r="D363" i="8"/>
  <c r="D52" i="8"/>
  <c r="D64" i="8"/>
  <c r="D44" i="8"/>
  <c r="D160" i="8"/>
  <c r="D257" i="8"/>
  <c r="D321" i="8"/>
  <c r="D616" i="8"/>
  <c r="D630" i="8"/>
  <c r="D520" i="8"/>
  <c r="D458" i="8"/>
  <c r="D265" i="8"/>
  <c r="D221" i="8"/>
  <c r="D186" i="8"/>
  <c r="D486" i="8"/>
  <c r="D215" i="8"/>
  <c r="D351" i="8"/>
  <c r="D174" i="8"/>
  <c r="D98" i="8"/>
  <c r="D568" i="8"/>
  <c r="D532" i="8"/>
  <c r="D345" i="8"/>
  <c r="D355" i="8"/>
  <c r="D120" i="8"/>
  <c r="D456" i="8"/>
  <c r="D427" i="8"/>
  <c r="D146" i="8"/>
  <c r="D144" i="8"/>
  <c r="D666" i="8"/>
  <c r="D538" i="8"/>
  <c r="D602" i="8"/>
  <c r="D263" i="8"/>
  <c r="D480" i="8"/>
  <c r="D332" i="8"/>
  <c r="D130" i="8"/>
  <c r="D492" i="8"/>
  <c r="D96" i="8"/>
  <c r="D205" i="8"/>
  <c r="D142" i="8"/>
  <c r="D518" i="8"/>
  <c r="D62" i="8"/>
  <c r="D247" i="8"/>
  <c r="D209" i="8"/>
  <c r="D136" i="8"/>
  <c r="D198" i="8"/>
  <c r="D546" i="8"/>
  <c r="D642" i="8"/>
  <c r="D618" i="8"/>
  <c r="D514" i="8"/>
  <c r="D261" i="8"/>
  <c r="D243" i="8"/>
  <c r="D203" i="8"/>
  <c r="D132" i="8"/>
  <c r="D94" i="8"/>
  <c r="D118" i="8"/>
  <c r="D337" i="8"/>
  <c r="D301" i="8"/>
  <c r="D484" i="8"/>
  <c r="D237" i="8"/>
  <c r="D339" i="8"/>
  <c r="D612" i="8"/>
  <c r="D680" i="8"/>
  <c r="D522" i="8"/>
  <c r="D648" i="8"/>
  <c r="D504" i="8"/>
  <c r="D367" i="8"/>
  <c r="D309" i="8"/>
  <c r="D454" i="8"/>
  <c r="D311" i="8"/>
  <c r="D92" i="8"/>
  <c r="D628" i="8"/>
  <c r="D562" i="8"/>
  <c r="D476" i="8"/>
  <c r="D74" i="8"/>
  <c r="D60" i="8"/>
  <c r="D116" i="8"/>
  <c r="D46" i="8"/>
  <c r="D229" i="8"/>
  <c r="D152" i="8"/>
  <c r="D460" i="8"/>
  <c r="D510" i="8"/>
</calcChain>
</file>

<file path=xl/sharedStrings.xml><?xml version="1.0" encoding="utf-8"?>
<sst xmlns="http://schemas.openxmlformats.org/spreadsheetml/2006/main" count="104048" uniqueCount="5808">
  <si>
    <t>DpId</t>
  </si>
  <si>
    <t>NIK</t>
  </si>
  <si>
    <t>Nama</t>
  </si>
  <si>
    <t>Status</t>
  </si>
  <si>
    <t>StatusTps</t>
  </si>
  <si>
    <t>Provinsi</t>
  </si>
  <si>
    <t>Kabupaten</t>
  </si>
  <si>
    <t>Kecamatan</t>
  </si>
  <si>
    <t>Kelurahan</t>
  </si>
  <si>
    <t>DEDEN SESWADI</t>
  </si>
  <si>
    <t>aktif</t>
  </si>
  <si>
    <t>Reguler</t>
  </si>
  <si>
    <t>SUMATERA BARAT</t>
  </si>
  <si>
    <t>SOLOK</t>
  </si>
  <si>
    <t>BUKIT SUNDI</t>
  </si>
  <si>
    <t>KINARI</t>
  </si>
  <si>
    <t>DEDEN SISWADI</t>
  </si>
  <si>
    <t>baru</t>
  </si>
  <si>
    <t>JAWA TENGAH</t>
  </si>
  <si>
    <t>TEGAL</t>
  </si>
  <si>
    <t>MARGASARI</t>
  </si>
  <si>
    <t>KARANGDAWA</t>
  </si>
  <si>
    <t>SAAT</t>
  </si>
  <si>
    <t>PAKULAUT</t>
  </si>
  <si>
    <t>JAMBI</t>
  </si>
  <si>
    <t>MUARO JAMBI</t>
  </si>
  <si>
    <t>SEKERNAN</t>
  </si>
  <si>
    <t>PULAU KAYU ARO</t>
  </si>
  <si>
    <t>GALI SATRIA</t>
  </si>
  <si>
    <t>GALI STARIA.PP</t>
  </si>
  <si>
    <t>ATUN</t>
  </si>
  <si>
    <t>ATUN FITRIANI</t>
  </si>
  <si>
    <t>A KHOIRIRI</t>
  </si>
  <si>
    <t>SUMATERA SELATAN</t>
  </si>
  <si>
    <t>OGAN KOMERING ULU TIMUR</t>
  </si>
  <si>
    <t>BUAY PEMUKA PELIUNG</t>
  </si>
  <si>
    <t>NEGERI PAKUAN</t>
  </si>
  <si>
    <t>KALISALAK</t>
  </si>
  <si>
    <t>WINDI PUSPITA SARI</t>
  </si>
  <si>
    <t>EMPAT LAWANG</t>
  </si>
  <si>
    <t>MUARA PINANG</t>
  </si>
  <si>
    <t>LUBUK TANJUNG</t>
  </si>
  <si>
    <t>Windi puspitasari</t>
  </si>
  <si>
    <t>PAJRI</t>
  </si>
  <si>
    <t>LAMPUNG</t>
  </si>
  <si>
    <t>TANGGAMUS</t>
  </si>
  <si>
    <t>PULAU PANGGUNG</t>
  </si>
  <si>
    <t>WAY ILAHAN</t>
  </si>
  <si>
    <t>PRUPUK UTARA</t>
  </si>
  <si>
    <t>SUBUR HADI SISWOYO</t>
  </si>
  <si>
    <t>DKI JAKARTA</t>
  </si>
  <si>
    <t>KOTA JAKARTA UTARA</t>
  </si>
  <si>
    <t>PENJARINGAN</t>
  </si>
  <si>
    <t>PRUPUK SELATAN</t>
  </si>
  <si>
    <t>AHMAD ABDUL MAJID</t>
  </si>
  <si>
    <t>JEMBAYAT</t>
  </si>
  <si>
    <t>AHMAD ABDUL MAJID BIN MAD KOSIM (ALM)</t>
  </si>
  <si>
    <t>Khusus</t>
  </si>
  <si>
    <t>KOTA JAKARTA TIMUR</t>
  </si>
  <si>
    <t>JATINEGARA</t>
  </si>
  <si>
    <t>CIPINANG BESAR UTARA</t>
  </si>
  <si>
    <t>DEWI MARDIANA S</t>
  </si>
  <si>
    <t>TANJUNG PRIOK</t>
  </si>
  <si>
    <t>KEBON BAWANG</t>
  </si>
  <si>
    <t>JUMAROH</t>
  </si>
  <si>
    <t>DANARAJA</t>
  </si>
  <si>
    <t>MICHAEL JEKSON PANJAITAN</t>
  </si>
  <si>
    <t>BANTEN</t>
  </si>
  <si>
    <t>KOTA TANGERANG SELATAN</t>
  </si>
  <si>
    <t>CIPUTAT</t>
  </si>
  <si>
    <t>Herman</t>
  </si>
  <si>
    <t>SAMSUDIN</t>
  </si>
  <si>
    <t>KOTA JAKARTA SELATAN</t>
  </si>
  <si>
    <t>PASAR MINGGU</t>
  </si>
  <si>
    <t>JATI PADANG</t>
  </si>
  <si>
    <t>Gani Aries Sucandra</t>
  </si>
  <si>
    <t>DUKUH TENGAH</t>
  </si>
  <si>
    <t>GANI ARIES SUCANDRA</t>
  </si>
  <si>
    <t>CILINCING</t>
  </si>
  <si>
    <t>ROROTAN</t>
  </si>
  <si>
    <t>ETI KURYAENI</t>
  </si>
  <si>
    <t>SUKAPURA</t>
  </si>
  <si>
    <t>sopiyah</t>
  </si>
  <si>
    <t>MARINA LUTFIANA</t>
  </si>
  <si>
    <t>MARUNDA</t>
  </si>
  <si>
    <t>SUEDI</t>
  </si>
  <si>
    <t>KOTA JAKARTA BARAT</t>
  </si>
  <si>
    <t>KALIDERES</t>
  </si>
  <si>
    <t>TEGAL ALUR</t>
  </si>
  <si>
    <t>KASIH</t>
  </si>
  <si>
    <t>RODIYANTO</t>
  </si>
  <si>
    <t>JAWA BARAT</t>
  </si>
  <si>
    <t>BEKASI</t>
  </si>
  <si>
    <t>BABELAN</t>
  </si>
  <si>
    <t>KEBALEN</t>
  </si>
  <si>
    <t>rodiyanto</t>
  </si>
  <si>
    <t>KEMALA HAYATI SULHARIS</t>
  </si>
  <si>
    <t>KRAMATJATI</t>
  </si>
  <si>
    <t>DUKUH</t>
  </si>
  <si>
    <t>Alicia anjelika Febriyanti</t>
  </si>
  <si>
    <t>TEZA MAULANA YUSUP</t>
  </si>
  <si>
    <t>SUKABUMI</t>
  </si>
  <si>
    <t>CISOLOK</t>
  </si>
  <si>
    <t>Teza Maulana yusup</t>
  </si>
  <si>
    <t>RENDI ARDIANSYAH</t>
  </si>
  <si>
    <t>CIKARANG BARAT</t>
  </si>
  <si>
    <t>TELAGA ASIH</t>
  </si>
  <si>
    <t>Rendi ardiansyah</t>
  </si>
  <si>
    <t>SARIP HIDAYAT</t>
  </si>
  <si>
    <t>KUNINGAN</t>
  </si>
  <si>
    <t>LEBAKWANGI</t>
  </si>
  <si>
    <t>MANGGARI</t>
  </si>
  <si>
    <t>Sarip hidayat</t>
  </si>
  <si>
    <t>MISTA</t>
  </si>
  <si>
    <t>INDRAMAYU</t>
  </si>
  <si>
    <t>KARANGAMPEL</t>
  </si>
  <si>
    <t>DUKUH JERUK</t>
  </si>
  <si>
    <t>mista</t>
  </si>
  <si>
    <t>ILHAM NURGROHO</t>
  </si>
  <si>
    <t>PURWAKARTA</t>
  </si>
  <si>
    <t>PASAWAHAN</t>
  </si>
  <si>
    <t>PASAWAHANKIDUL</t>
  </si>
  <si>
    <t>ILHAM NUGROHO</t>
  </si>
  <si>
    <t>WIWIN EVIANA</t>
  </si>
  <si>
    <t>TARUMAJAYA</t>
  </si>
  <si>
    <t>SEGARAJAYA</t>
  </si>
  <si>
    <t>wiwin eviana</t>
  </si>
  <si>
    <t>BANGGA</t>
  </si>
  <si>
    <t>CIKARANG UTARA</t>
  </si>
  <si>
    <t>WALUYA</t>
  </si>
  <si>
    <t>Bangga</t>
  </si>
  <si>
    <t>KALIGAYAM</t>
  </si>
  <si>
    <t>GALCYKA NASYWA RAMADHANI</t>
  </si>
  <si>
    <t>Galcyka Nasywa Ramadhani</t>
  </si>
  <si>
    <t>NUNUNG ARDI SELOWATI</t>
  </si>
  <si>
    <t>Nunung Ardi Selowati</t>
  </si>
  <si>
    <t>MUHAMAD SOLEH</t>
  </si>
  <si>
    <t>BANDUNG BARAT</t>
  </si>
  <si>
    <t>CISARUA</t>
  </si>
  <si>
    <t>KERTAWANGI</t>
  </si>
  <si>
    <t>MUHAMMAD SOLEH</t>
  </si>
  <si>
    <t>SARTOMO. G</t>
  </si>
  <si>
    <t>PADALARANG</t>
  </si>
  <si>
    <t>KERTAMULYA</t>
  </si>
  <si>
    <t>sartomo</t>
  </si>
  <si>
    <t>JATILABA</t>
  </si>
  <si>
    <t>SITI NURHIKMAH</t>
  </si>
  <si>
    <t>siti nurhikmah</t>
  </si>
  <si>
    <t>M. KHAERUL UMAM</t>
  </si>
  <si>
    <t>KOTA BANDUNG</t>
  </si>
  <si>
    <t>SUKASARI</t>
  </si>
  <si>
    <t>ISOLA</t>
  </si>
  <si>
    <t>TASMUI</t>
  </si>
  <si>
    <t>SITI AISYAH</t>
  </si>
  <si>
    <t>KHANSA AULIA</t>
  </si>
  <si>
    <t>KOTA CIREBON</t>
  </si>
  <si>
    <t>KEJAKSAN</t>
  </si>
  <si>
    <t>KEBONBARU</t>
  </si>
  <si>
    <t>EKA NURHAYATI</t>
  </si>
  <si>
    <t>KOTA BEKASI</t>
  </si>
  <si>
    <t>RAWALUMBU</t>
  </si>
  <si>
    <t>PENGASINAN</t>
  </si>
  <si>
    <t>WOKO PRASTOWO</t>
  </si>
  <si>
    <t>CILACAP</t>
  </si>
  <si>
    <t>KESUGIHAN</t>
  </si>
  <si>
    <t>KARANGJENGKOL</t>
  </si>
  <si>
    <t>INDAH NURHANA</t>
  </si>
  <si>
    <t>BANYUMAS</t>
  </si>
  <si>
    <t>PURWOKERTO BARAT</t>
  </si>
  <si>
    <t>REJASARI</t>
  </si>
  <si>
    <t>AYU ANGGUN LESTARI</t>
  </si>
  <si>
    <t>KEBUMEN</t>
  </si>
  <si>
    <t>BULUSPESANTREN</t>
  </si>
  <si>
    <t>SIDOMORO</t>
  </si>
  <si>
    <t>FAJAR TEGUH ADITYA</t>
  </si>
  <si>
    <t>Fajar Teguh Aditya</t>
  </si>
  <si>
    <t>MAJENANG</t>
  </si>
  <si>
    <t>SINDANGSARI</t>
  </si>
  <si>
    <t>ISTIKHAROH PRIHATIN</t>
  </si>
  <si>
    <t>YULIANTI</t>
  </si>
  <si>
    <t>GROBOGAN</t>
  </si>
  <si>
    <t>PENAWANGAN</t>
  </si>
  <si>
    <t>KLUWAN</t>
  </si>
  <si>
    <t>NAJIA RAHMAH YAHYA</t>
  </si>
  <si>
    <t>KENDAL</t>
  </si>
  <si>
    <t>PEGANDON</t>
  </si>
  <si>
    <t>PENANGGULAN</t>
  </si>
  <si>
    <t>NAJLA R. YAHYA</t>
  </si>
  <si>
    <t>MASLAKHAH</t>
  </si>
  <si>
    <t>ubah</t>
  </si>
  <si>
    <t>BATANG</t>
  </si>
  <si>
    <t>SUBAH</t>
  </si>
  <si>
    <t>KUMEJING</t>
  </si>
  <si>
    <t>TAMINAH</t>
  </si>
  <si>
    <t>ROMASIYAH</t>
  </si>
  <si>
    <t>PEKALONGAN</t>
  </si>
  <si>
    <t>KESESI</t>
  </si>
  <si>
    <t>WINDUROJO</t>
  </si>
  <si>
    <t>ARIZ BUDIYANTO</t>
  </si>
  <si>
    <t>PEMALANG</t>
  </si>
  <si>
    <t>PETARUKAN</t>
  </si>
  <si>
    <t>KENDALDOYONG</t>
  </si>
  <si>
    <t>MA'RUPI</t>
  </si>
  <si>
    <t>WARUNGPRING</t>
  </si>
  <si>
    <t>WINARNO</t>
  </si>
  <si>
    <t>GROGOL PETAMBURAN</t>
  </si>
  <si>
    <t>JELAMBAR</t>
  </si>
  <si>
    <t>RUMANTO</t>
  </si>
  <si>
    <t>AMPELGADING</t>
  </si>
  <si>
    <t>UJUNGGEDE</t>
  </si>
  <si>
    <t>DARSO</t>
  </si>
  <si>
    <t>PAPUA BARAT DAYA</t>
  </si>
  <si>
    <t>SORONG</t>
  </si>
  <si>
    <t>AIMAS</t>
  </si>
  <si>
    <t>MALAWELE</t>
  </si>
  <si>
    <t>Darso</t>
  </si>
  <si>
    <t>SUKIRNO</t>
  </si>
  <si>
    <t>sukirno</t>
  </si>
  <si>
    <t>LEMBANG</t>
  </si>
  <si>
    <t>CIBODAS</t>
  </si>
  <si>
    <t>UNTUNG WIHADI</t>
  </si>
  <si>
    <t>KOTA TASIKMALAYA</t>
  </si>
  <si>
    <t>TAMANSARI</t>
  </si>
  <si>
    <t>Untung Wihadi</t>
  </si>
  <si>
    <t>MOHAMAD NUR SOKHEH</t>
  </si>
  <si>
    <t>KEPULAUAN BANGKA BELITUNG</t>
  </si>
  <si>
    <t>BANGKA</t>
  </si>
  <si>
    <t>RIAU SILIP</t>
  </si>
  <si>
    <t>RIAU</t>
  </si>
  <si>
    <t>MOH. ROSUL</t>
  </si>
  <si>
    <t>MOHAMAD ROSUL</t>
  </si>
  <si>
    <t>ZULFIKAR TEGAR LEGOWO</t>
  </si>
  <si>
    <t>KALIMANTAN TIMUR</t>
  </si>
  <si>
    <t>KOTA BALIKPAPAN</t>
  </si>
  <si>
    <t>BALIKPAPAN UTARA</t>
  </si>
  <si>
    <t>GRAHA INDAH</t>
  </si>
  <si>
    <t>NUR ZAMAN</t>
  </si>
  <si>
    <t>SERANG BARU</t>
  </si>
  <si>
    <t>Nur zaman</t>
  </si>
  <si>
    <t>DONI INDRAWAN</t>
  </si>
  <si>
    <t>KALIMANTAN SELATAN</t>
  </si>
  <si>
    <t>BANJAR</t>
  </si>
  <si>
    <t>MARTAPURA</t>
  </si>
  <si>
    <t>CINDAI ALUS</t>
  </si>
  <si>
    <t>ZAENUDIN MEILANA</t>
  </si>
  <si>
    <t>MULYONO</t>
  </si>
  <si>
    <t>PANCORAN</t>
  </si>
  <si>
    <t>PENGADEGAN</t>
  </si>
  <si>
    <t>WANASARI</t>
  </si>
  <si>
    <t>DAVID BECKAM</t>
  </si>
  <si>
    <t>ROIHAN FAJAR RAMDANI</t>
  </si>
  <si>
    <t>SLAWI</t>
  </si>
  <si>
    <t>SLAWI WETAN</t>
  </si>
  <si>
    <t>PATHURI</t>
  </si>
  <si>
    <t>PESAWARAN</t>
  </si>
  <si>
    <t>NEGERI KATON</t>
  </si>
  <si>
    <t>HALANGAN RATU</t>
  </si>
  <si>
    <t>ARIS SUSANTO</t>
  </si>
  <si>
    <t>ARIS SUSANTO BIN TARJUKI</t>
  </si>
  <si>
    <t>CAHYONO</t>
  </si>
  <si>
    <t>PASAR REBO</t>
  </si>
  <si>
    <t>CIJANTUNG</t>
  </si>
  <si>
    <t>FIRDAOS MARFONI</t>
  </si>
  <si>
    <t>MUJONO</t>
  </si>
  <si>
    <t>BREBES</t>
  </si>
  <si>
    <t>JATIBARANG</t>
  </si>
  <si>
    <t>KRAMAT</t>
  </si>
  <si>
    <t>Japar maulana</t>
  </si>
  <si>
    <t>KOTA TEGAL</t>
  </si>
  <si>
    <t>TEGAL SELATAN</t>
  </si>
  <si>
    <t>DEBONG TENGAH</t>
  </si>
  <si>
    <t>JAPAR MAULANA</t>
  </si>
  <si>
    <t>SUKRON MARDANI</t>
  </si>
  <si>
    <t>SONGGOM</t>
  </si>
  <si>
    <t>GEGERKUNCI</t>
  </si>
  <si>
    <t>SADI</t>
  </si>
  <si>
    <t>ROSADI BIN SUKARNA</t>
  </si>
  <si>
    <t>TEGAL BARAT</t>
  </si>
  <si>
    <t>TEGALSARI</t>
  </si>
  <si>
    <t>FELLEN ARAFI PURNOMO</t>
  </si>
  <si>
    <t>KOTA JAKARTA PUSAT</t>
  </si>
  <si>
    <t>TANAH ABANG</t>
  </si>
  <si>
    <t>KARET TENGSIN</t>
  </si>
  <si>
    <t>WASHARI</t>
  </si>
  <si>
    <t>KOJA</t>
  </si>
  <si>
    <t>TUGU UTARA</t>
  </si>
  <si>
    <t>TRIYANTO</t>
  </si>
  <si>
    <t>CIBITUNG</t>
  </si>
  <si>
    <t>ROSIDI</t>
  </si>
  <si>
    <t>SIRAMPOG</t>
  </si>
  <si>
    <t>BENDA</t>
  </si>
  <si>
    <t>FERI HANDIKA</t>
  </si>
  <si>
    <t>WANAREJA</t>
  </si>
  <si>
    <t>MALABAR</t>
  </si>
  <si>
    <t>SUKARNO</t>
  </si>
  <si>
    <t>KENDALSARI</t>
  </si>
  <si>
    <t>Sukarno</t>
  </si>
  <si>
    <t>MUHAMMAD AFRIZA</t>
  </si>
  <si>
    <t>KOTA MAGELANG</t>
  </si>
  <si>
    <t>MAGELANG SELATAN</t>
  </si>
  <si>
    <t>JURANGOMBO SELATAN</t>
  </si>
  <si>
    <t>MARGA AYU</t>
  </si>
  <si>
    <t>AHMAD SUPRIYONO</t>
  </si>
  <si>
    <t>JAWA TIMUR</t>
  </si>
  <si>
    <t>NGAWI</t>
  </si>
  <si>
    <t>JOGOROGO</t>
  </si>
  <si>
    <t>INDRA PERMANA</t>
  </si>
  <si>
    <t>KAJEN</t>
  </si>
  <si>
    <t>LINGGOASRI</t>
  </si>
  <si>
    <t>INDRA BAYU AJI</t>
  </si>
  <si>
    <t>REBAN</t>
  </si>
  <si>
    <t>KUMESU</t>
  </si>
  <si>
    <t>CANDRA NUGROHO</t>
  </si>
  <si>
    <t>KEBON JERUK</t>
  </si>
  <si>
    <t>MOHAMMAD RIFALDI</t>
  </si>
  <si>
    <t>MOHAMMAD RIVALDI</t>
  </si>
  <si>
    <t>CIPAYUNG</t>
  </si>
  <si>
    <t>BAMBU APUS</t>
  </si>
  <si>
    <t>SUBUR MA'MURI</t>
  </si>
  <si>
    <t>subur ma'muri</t>
  </si>
  <si>
    <t>KARAWANG</t>
  </si>
  <si>
    <t>PANGKALAN</t>
  </si>
  <si>
    <t>RIZA HILMI FADHILLAH</t>
  </si>
  <si>
    <t>Riza hilmi fadillah</t>
  </si>
  <si>
    <t>KERSANA</t>
  </si>
  <si>
    <t>SINDANGJAYA</t>
  </si>
  <si>
    <t>Untung Waluyo</t>
  </si>
  <si>
    <t>UNTUNG WALUYO</t>
  </si>
  <si>
    <t>CILILITAN</t>
  </si>
  <si>
    <t>SURINTO</t>
  </si>
  <si>
    <t>LARANGAN</t>
  </si>
  <si>
    <t>WLAHAR</t>
  </si>
  <si>
    <t>Surinto</t>
  </si>
  <si>
    <t>IRFAN NURSIDIK</t>
  </si>
  <si>
    <t>SEMPER BARAT</t>
  </si>
  <si>
    <t>WAKHORI</t>
  </si>
  <si>
    <t>TAKBIR</t>
  </si>
  <si>
    <t>AFROTSIN MAHESYA ROKHMAN</t>
  </si>
  <si>
    <t>MUSI BANYUASIN</t>
  </si>
  <si>
    <t>TUNGKAL JAYA</t>
  </si>
  <si>
    <t>BEJI MULYO</t>
  </si>
  <si>
    <t>SHUGIONO</t>
  </si>
  <si>
    <t>TENGAH</t>
  </si>
  <si>
    <t>MOH. ALFIN BARUDIN LUTFI</t>
  </si>
  <si>
    <t>KETANGGUNGAN</t>
  </si>
  <si>
    <t>KUBANGJATI</t>
  </si>
  <si>
    <t>MOH. ALPIN BARUDIN LUTFI</t>
  </si>
  <si>
    <t>RACHMAT APRIYONO SETIABUDI</t>
  </si>
  <si>
    <t>ADIWERNA</t>
  </si>
  <si>
    <t>TEMBOK KIDUL</t>
  </si>
  <si>
    <t>NUROKHMAN</t>
  </si>
  <si>
    <t>NUROKMAN</t>
  </si>
  <si>
    <t>CILONGOK</t>
  </si>
  <si>
    <t>KARANGTENGAH</t>
  </si>
  <si>
    <t>AGUS FIRMAN SISWANTO</t>
  </si>
  <si>
    <t>SADANG</t>
  </si>
  <si>
    <t>SADANGKULON</t>
  </si>
  <si>
    <t>IMAM BAEHAKI</t>
  </si>
  <si>
    <t>IMAM BAEHAKI BIN ROMIUN</t>
  </si>
  <si>
    <t>DEDI</t>
  </si>
  <si>
    <t>PEDES</t>
  </si>
  <si>
    <t>KERTARAHARJA</t>
  </si>
  <si>
    <t>WASIPAH</t>
  </si>
  <si>
    <t>ROWOKELE</t>
  </si>
  <si>
    <t>KALISARI</t>
  </si>
  <si>
    <t>VARIHA</t>
  </si>
  <si>
    <t>PARIHA</t>
  </si>
  <si>
    <t>NURUL ANNISA</t>
  </si>
  <si>
    <t>KLARI</t>
  </si>
  <si>
    <t>DUREN</t>
  </si>
  <si>
    <t>RITASARI</t>
  </si>
  <si>
    <t>TEGAL TIMUR</t>
  </si>
  <si>
    <t>MINTARAGEN</t>
  </si>
  <si>
    <t>RITA SARI</t>
  </si>
  <si>
    <t>NOVILA FARADELIA</t>
  </si>
  <si>
    <t>SERANG</t>
  </si>
  <si>
    <t>KIBIN</t>
  </si>
  <si>
    <t>TAMBAK</t>
  </si>
  <si>
    <t>NURAZIZAH</t>
  </si>
  <si>
    <t>DAERAH ISTIMEWA YOGYAKARTA</t>
  </si>
  <si>
    <t>KOTA YOGYAKARTA</t>
  </si>
  <si>
    <t>UMBULHARJO</t>
  </si>
  <si>
    <t>TAHUNAN</t>
  </si>
  <si>
    <t>NUR AZIZAH</t>
  </si>
  <si>
    <t>KHOLIPATUL JANAH</t>
  </si>
  <si>
    <t>KLATEN</t>
  </si>
  <si>
    <t>KLATEN UTARA</t>
  </si>
  <si>
    <t>JEBUGAN</t>
  </si>
  <si>
    <t>NURAENI</t>
  </si>
  <si>
    <t>INDAH PRIHATIN N.</t>
  </si>
  <si>
    <t>indah prihatin Nur halimah</t>
  </si>
  <si>
    <t>RUMYATI</t>
  </si>
  <si>
    <t>WONOSOBO</t>
  </si>
  <si>
    <t>KEPIL</t>
  </si>
  <si>
    <t>BERAN</t>
  </si>
  <si>
    <t>SELY SYAH DESUNDARI</t>
  </si>
  <si>
    <t>PAGUYANGAN</t>
  </si>
  <si>
    <t>PAGOJENGAN</t>
  </si>
  <si>
    <t>ZULFATUNNI'MAH</t>
  </si>
  <si>
    <t>ZULFATUN NIMAH</t>
  </si>
  <si>
    <t>RAWA BADAK SELATAN</t>
  </si>
  <si>
    <t>SRI HARYATI</t>
  </si>
  <si>
    <t>KEMAYORAN</t>
  </si>
  <si>
    <t>Sri haryati</t>
  </si>
  <si>
    <t>ROYANAH</t>
  </si>
  <si>
    <t>YANI ASMAWATI</t>
  </si>
  <si>
    <t>MATRAMAN</t>
  </si>
  <si>
    <t>KAYU MANIS</t>
  </si>
  <si>
    <t>NAZA AMELIA APRIYANTI</t>
  </si>
  <si>
    <t>TELUKJAMBE TIMUR</t>
  </si>
  <si>
    <t>PINAYUNGAN</t>
  </si>
  <si>
    <t>SITI HAMDALAH</t>
  </si>
  <si>
    <t>ACEH</t>
  </si>
  <si>
    <t>ACEH BARAT DAYA</t>
  </si>
  <si>
    <t>LEMBAH SABIL</t>
  </si>
  <si>
    <t>MEUNASAH TENGAH</t>
  </si>
  <si>
    <t>SAIROH</t>
  </si>
  <si>
    <t>CAKUNG</t>
  </si>
  <si>
    <t>PENGGILINGAN</t>
  </si>
  <si>
    <t>Sairoh</t>
  </si>
  <si>
    <t>KARMILA</t>
  </si>
  <si>
    <t>USWATUN KHASANAH</t>
  </si>
  <si>
    <t>KLATEN SELATAN</t>
  </si>
  <si>
    <t>NGLINGGI</t>
  </si>
  <si>
    <t>NUR AYATI</t>
  </si>
  <si>
    <t>KELAPA GADING</t>
  </si>
  <si>
    <t>PEGANGSAAN DUA</t>
  </si>
  <si>
    <t>TETI SAGITA</t>
  </si>
  <si>
    <t>GANDRUNGMANGU</t>
  </si>
  <si>
    <t>MUKTISARI</t>
  </si>
  <si>
    <t>MARIA ULFA</t>
  </si>
  <si>
    <t>Sri Wiyati</t>
  </si>
  <si>
    <t>SRI WIYATI</t>
  </si>
  <si>
    <t>MARSYA NUR ANDHITA</t>
  </si>
  <si>
    <t>PUTI SUMYATI</t>
  </si>
  <si>
    <t>PUJI SUMIYATI</t>
  </si>
  <si>
    <t>SEMPER TIMUR</t>
  </si>
  <si>
    <t>SRI SOLICHATUN</t>
  </si>
  <si>
    <t>KOTA BOGOR</t>
  </si>
  <si>
    <t>BOGOR BARAT</t>
  </si>
  <si>
    <t>MENTENG</t>
  </si>
  <si>
    <t>SRI SHOLICATUN</t>
  </si>
  <si>
    <t>TURSINAH</t>
  </si>
  <si>
    <t>ROPI'AH</t>
  </si>
  <si>
    <t>FIFI DAMAYANTI</t>
  </si>
  <si>
    <t>TAMBORA</t>
  </si>
  <si>
    <t>KRENDANG</t>
  </si>
  <si>
    <t>SEPTIA PUTRI WULANDARI</t>
  </si>
  <si>
    <t>MARGADANA</t>
  </si>
  <si>
    <t>KRANDON</t>
  </si>
  <si>
    <t>SOPIYAH</t>
  </si>
  <si>
    <t>KARANGRAHARJA</t>
  </si>
  <si>
    <t>Novia Nur Hidayati</t>
  </si>
  <si>
    <t>NOVIA NUR HIDAYATI</t>
  </si>
  <si>
    <t>RONI</t>
  </si>
  <si>
    <t>SAWAH BESAR</t>
  </si>
  <si>
    <t>MANGGA DUA SELATAN</t>
  </si>
  <si>
    <t>Roni</t>
  </si>
  <si>
    <t>ROSIKIN</t>
  </si>
  <si>
    <t>PEDESLOHOR</t>
  </si>
  <si>
    <t>AGUS MAULANA</t>
  </si>
  <si>
    <t>BUMIAYU</t>
  </si>
  <si>
    <t>PENGGARUTAN</t>
  </si>
  <si>
    <t>MARPUAH</t>
  </si>
  <si>
    <t>TINAH</t>
  </si>
  <si>
    <t>Tinah</t>
  </si>
  <si>
    <t>PLOMPONG</t>
  </si>
  <si>
    <t>ALIP MAHRUS</t>
  </si>
  <si>
    <t>TONJONG</t>
  </si>
  <si>
    <t>KUTAMENDALA</t>
  </si>
  <si>
    <t>BUARAN</t>
  </si>
  <si>
    <t>TAFRUROZI</t>
  </si>
  <si>
    <t>SIASEM</t>
  </si>
  <si>
    <t>FAJAR RENDRA BAYU AJI</t>
  </si>
  <si>
    <t>RANDUSANGA WETAN</t>
  </si>
  <si>
    <t>SORI</t>
  </si>
  <si>
    <t>CARTUM</t>
  </si>
  <si>
    <t>BULAKAMBA</t>
  </si>
  <si>
    <t>GRINTING</t>
  </si>
  <si>
    <t>ATI SRI SUBEKTI</t>
  </si>
  <si>
    <t>CIMOHONG</t>
  </si>
  <si>
    <t>WIYONO</t>
  </si>
  <si>
    <t>SUBIYAR REGI</t>
  </si>
  <si>
    <t>EDY MULYANTO</t>
  </si>
  <si>
    <t>Edy mulyanto</t>
  </si>
  <si>
    <t>NUNUNG TRI RESTIANI</t>
  </si>
  <si>
    <t>Nunung tri restiani</t>
  </si>
  <si>
    <t>WASLI</t>
  </si>
  <si>
    <t>WATIAH</t>
  </si>
  <si>
    <t>PAMULIHAN</t>
  </si>
  <si>
    <t>ISIM MEGA SAPUTRI</t>
  </si>
  <si>
    <t>Isim Mega Saputri</t>
  </si>
  <si>
    <t>KARANGMALANG</t>
  </si>
  <si>
    <t>DARMI</t>
  </si>
  <si>
    <t>Darmi</t>
  </si>
  <si>
    <t>KUBANGWUNGU</t>
  </si>
  <si>
    <t>USAMA</t>
  </si>
  <si>
    <t>PANGGUNG</t>
  </si>
  <si>
    <t>MOHAMAD SUCHIDIN</t>
  </si>
  <si>
    <t>FAISAL NATA BUANA</t>
  </si>
  <si>
    <t>MALANG</t>
  </si>
  <si>
    <t>WONOSARI</t>
  </si>
  <si>
    <t>MOCHAMAD SUBEKHI</t>
  </si>
  <si>
    <t>MOCHAMAD ADI MASHURI</t>
  </si>
  <si>
    <t>PRAWOTO</t>
  </si>
  <si>
    <t>WIDODAREN</t>
  </si>
  <si>
    <t>KAUMAN</t>
  </si>
  <si>
    <t>Prawoto</t>
  </si>
  <si>
    <t>MUSTOFA</t>
  </si>
  <si>
    <t>SAMPANG</t>
  </si>
  <si>
    <t>JRENGIK</t>
  </si>
  <si>
    <t>WULAN APRILIA ANGGRIANI</t>
  </si>
  <si>
    <t>KOTA TANGERANG</t>
  </si>
  <si>
    <t>CILEDUG</t>
  </si>
  <si>
    <t>SUDIMARA TIMUR</t>
  </si>
  <si>
    <t>ASIF ENJOY</t>
  </si>
  <si>
    <t>KALIMANTAN BARAT</t>
  </si>
  <si>
    <t>BENGKAYANG</t>
  </si>
  <si>
    <t>LEDO</t>
  </si>
  <si>
    <t>DAYUNG</t>
  </si>
  <si>
    <t>ROHIMAH</t>
  </si>
  <si>
    <t>KALIMANTAN TENGAH</t>
  </si>
  <si>
    <t>KAPUAS</t>
  </si>
  <si>
    <t>KAPUAS MURUNG</t>
  </si>
  <si>
    <t>BUMI RAHAYU</t>
  </si>
  <si>
    <t>M.SODIKIN</t>
  </si>
  <si>
    <t>M. SODIKIN</t>
  </si>
  <si>
    <t>BUMIJAWA</t>
  </si>
  <si>
    <t>DUKUHBENDA</t>
  </si>
  <si>
    <t>MARWAH</t>
  </si>
  <si>
    <t>KEMBANGAN</t>
  </si>
  <si>
    <t>KEMBANGAN UTARA</t>
  </si>
  <si>
    <t>CINTAMANIK</t>
  </si>
  <si>
    <t>SOPIAH</t>
  </si>
  <si>
    <t>MERUYA SELATAN</t>
  </si>
  <si>
    <t>SOKASARI</t>
  </si>
  <si>
    <t>AROPAH</t>
  </si>
  <si>
    <t>MERUYA UTARA</t>
  </si>
  <si>
    <t>AROFAH</t>
  </si>
  <si>
    <t>SOKATENGAH</t>
  </si>
  <si>
    <t>SURIAH</t>
  </si>
  <si>
    <t>PESANGGRAHAN</t>
  </si>
  <si>
    <t>PETUKANGAN SELATAN</t>
  </si>
  <si>
    <t>GUNUNGAGUNG</t>
  </si>
  <si>
    <t>DARWIEN SYAHHAR</t>
  </si>
  <si>
    <t>KEBON MANGGIS</t>
  </si>
  <si>
    <t>DARWINSYAH HARAHAP</t>
  </si>
  <si>
    <t>RASIMUN</t>
  </si>
  <si>
    <t>BALEKAMBANG</t>
  </si>
  <si>
    <t>MUPRIHATI</t>
  </si>
  <si>
    <t>HAMDAN</t>
  </si>
  <si>
    <t>SURADE</t>
  </si>
  <si>
    <t>BUNIWANGI</t>
  </si>
  <si>
    <t>DAMURAH</t>
  </si>
  <si>
    <t>DADAN</t>
  </si>
  <si>
    <t>CIANJUR</t>
  </si>
  <si>
    <t>CAMPAKA</t>
  </si>
  <si>
    <t>KARYAMUKTI</t>
  </si>
  <si>
    <t>DEDE RAMLAN</t>
  </si>
  <si>
    <t>Dede Ramlan</t>
  </si>
  <si>
    <t>BATUMIRAH</t>
  </si>
  <si>
    <t>ADI WANTO</t>
  </si>
  <si>
    <t>KEDOKAN BUNDER</t>
  </si>
  <si>
    <t>KEDOKAN AGUNG</t>
  </si>
  <si>
    <t>SUMBAGA</t>
  </si>
  <si>
    <t>SOLIHIN</t>
  </si>
  <si>
    <t>BATUJAYA</t>
  </si>
  <si>
    <t>SYAFEI</t>
  </si>
  <si>
    <t>TEMPURAN</t>
  </si>
  <si>
    <t>CIPARAGEJAYA</t>
  </si>
  <si>
    <t>WANDI ANDRIYANA</t>
  </si>
  <si>
    <t>CIKARANG SELATAN</t>
  </si>
  <si>
    <t>SUKADAMI</t>
  </si>
  <si>
    <t>ROBBY AKHMAD HIDAYAT</t>
  </si>
  <si>
    <t>ACEH BARAT</t>
  </si>
  <si>
    <t>JOHAN PAHLAWAN</t>
  </si>
  <si>
    <t>SEUNEUBOK</t>
  </si>
  <si>
    <t>YUYUN YUNIASIH</t>
  </si>
  <si>
    <t>MOHAMAD BAYU FIRDAUS</t>
  </si>
  <si>
    <t>Mohamad Bayu fir</t>
  </si>
  <si>
    <t>DEDI SUMARDI</t>
  </si>
  <si>
    <t>SUKOHARJO</t>
  </si>
  <si>
    <t>BENDOSARI</t>
  </si>
  <si>
    <t>MOJOREJO</t>
  </si>
  <si>
    <t>TOTOK PRAYITNO</t>
  </si>
  <si>
    <t>KAMSO</t>
  </si>
  <si>
    <t>PANINGGARAN</t>
  </si>
  <si>
    <t>LAMBANGGELUN</t>
  </si>
  <si>
    <t>HARIYANTO</t>
  </si>
  <si>
    <t>SRI WIGATI</t>
  </si>
  <si>
    <t>MUNCANGLARANG</t>
  </si>
  <si>
    <t>Dewi sabila</t>
  </si>
  <si>
    <t>SUPRIONO</t>
  </si>
  <si>
    <t>SAMBONG</t>
  </si>
  <si>
    <t>AGUS SATOTO</t>
  </si>
  <si>
    <t>PULOSARI</t>
  </si>
  <si>
    <t>CIKENDUNG</t>
  </si>
  <si>
    <t>TUTUR</t>
  </si>
  <si>
    <t>LIHIN</t>
  </si>
  <si>
    <t>BELIK</t>
  </si>
  <si>
    <t>MENDELEM</t>
  </si>
  <si>
    <t>Lihin</t>
  </si>
  <si>
    <t>GUCI</t>
  </si>
  <si>
    <t>SIGIT BURHANZAH</t>
  </si>
  <si>
    <t>sigit burhanzah</t>
  </si>
  <si>
    <t>CAWITALI</t>
  </si>
  <si>
    <t>MUKHAMAD KHASAN ISMAIL FATKHU RIZQI</t>
  </si>
  <si>
    <t>M.KHASAN ISMAIL FATKHURIZQI</t>
  </si>
  <si>
    <t>KEDIRI</t>
  </si>
  <si>
    <t>MOJO</t>
  </si>
  <si>
    <t>PLOSO</t>
  </si>
  <si>
    <t>SLAMET BAHRUDIN</t>
  </si>
  <si>
    <t>Slamet bahrudin</t>
  </si>
  <si>
    <t>DAWUHAN</t>
  </si>
  <si>
    <t>FIKI FURKONUL HAKIM</t>
  </si>
  <si>
    <t>SUNTER JAYA</t>
  </si>
  <si>
    <t>SIGEDONG</t>
  </si>
  <si>
    <t>ABDULLAH KAFABIH</t>
  </si>
  <si>
    <t>M. NURDIN SULISTIO</t>
  </si>
  <si>
    <t>M. NURDIN SULISTIO BIN SUSWANTO</t>
  </si>
  <si>
    <t>BUKI RISMANTO</t>
  </si>
  <si>
    <t>KARANGJONGKENG</t>
  </si>
  <si>
    <t>Buki Rismanto</t>
  </si>
  <si>
    <t>ISKANDAR</t>
  </si>
  <si>
    <t>NGELUK</t>
  </si>
  <si>
    <t>MUHAMMAD ROHMAT</t>
  </si>
  <si>
    <t>GEDONG</t>
  </si>
  <si>
    <t>JAMAL</t>
  </si>
  <si>
    <t>KEBAYORAN BARU</t>
  </si>
  <si>
    <t>RAWA BARAT</t>
  </si>
  <si>
    <t>DARJO</t>
  </si>
  <si>
    <t>MAJALENGKA</t>
  </si>
  <si>
    <t>JATITUJUH</t>
  </si>
  <si>
    <t>RANDEGAN KULON</t>
  </si>
  <si>
    <t>Eko purnomo</t>
  </si>
  <si>
    <t>EKO PURNOMO</t>
  </si>
  <si>
    <t>ASROFI MAULANA</t>
  </si>
  <si>
    <t>CIOMAS</t>
  </si>
  <si>
    <t>LEBAK</t>
  </si>
  <si>
    <t>RAGIL ADJI PRABANDARU</t>
  </si>
  <si>
    <t>CEMPAKA</t>
  </si>
  <si>
    <t>ragil adji prabandaru</t>
  </si>
  <si>
    <t>BERAU</t>
  </si>
  <si>
    <t>TANJUNG REDEB</t>
  </si>
  <si>
    <t>GAYAM</t>
  </si>
  <si>
    <t>ANDI HERMAWAN</t>
  </si>
  <si>
    <t>ANDI HERMAWAN BIN SATIM</t>
  </si>
  <si>
    <t>KOTA BANJARBARU</t>
  </si>
  <si>
    <t>SUNGAI TIUNG</t>
  </si>
  <si>
    <t>AKHMAD KHUJAENI</t>
  </si>
  <si>
    <t>BOGOR</t>
  </si>
  <si>
    <t>CIAMPEA</t>
  </si>
  <si>
    <t>CIAMPEA UDIK</t>
  </si>
  <si>
    <t>MUKHAMAD WIZAMUL ISHOM</t>
  </si>
  <si>
    <t>HILAL KHAMDI</t>
  </si>
  <si>
    <t>HILAL HAMDI</t>
  </si>
  <si>
    <t>RISKI ARIF</t>
  </si>
  <si>
    <t>KOTAWARINGIN BARAT</t>
  </si>
  <si>
    <t>ARUT SELATAN</t>
  </si>
  <si>
    <t>UMPANG</t>
  </si>
  <si>
    <t>AJI SAPUTRA</t>
  </si>
  <si>
    <t>AJI SAPUTRA BIN SAPUDIN</t>
  </si>
  <si>
    <t>MUHAMMAD ARYA MAOLADANI</t>
  </si>
  <si>
    <t>M. WAWAN EFENDI</t>
  </si>
  <si>
    <t>KARAWANG BARAT</t>
  </si>
  <si>
    <t>KARAWANG KULON</t>
  </si>
  <si>
    <t>SAEFUL ANAM</t>
  </si>
  <si>
    <t>SUMATERA UTARA</t>
  </si>
  <si>
    <t>ASAHAN</t>
  </si>
  <si>
    <t>PULO BANDRING</t>
  </si>
  <si>
    <t>SUKA DAMAI BARAT</t>
  </si>
  <si>
    <t>TRAJU</t>
  </si>
  <si>
    <t>IMAMUDIN</t>
  </si>
  <si>
    <t>TAMBUN SELATAN</t>
  </si>
  <si>
    <t>JATIMULYA</t>
  </si>
  <si>
    <t>LUKY NUR HAIKAL</t>
  </si>
  <si>
    <t>LUKI NUR HAIKAL</t>
  </si>
  <si>
    <t>SYARIFUDIN</t>
  </si>
  <si>
    <t>SETU</t>
  </si>
  <si>
    <t>RUSTAM AGUS SUSANTO</t>
  </si>
  <si>
    <t>KALIBARU</t>
  </si>
  <si>
    <t>SAMSUL ARIFIN</t>
  </si>
  <si>
    <t>BEGAWAT</t>
  </si>
  <si>
    <t>JUNAIDI</t>
  </si>
  <si>
    <t>CARUL</t>
  </si>
  <si>
    <t>BEKASI TIMUR</t>
  </si>
  <si>
    <t>ARENJAYA</t>
  </si>
  <si>
    <t>MUHAMMAD ABRORI</t>
  </si>
  <si>
    <t>CILEUNGSI</t>
  </si>
  <si>
    <t>PASIRANGIN</t>
  </si>
  <si>
    <t>ILMAN NAPIA</t>
  </si>
  <si>
    <t>JEJEG</t>
  </si>
  <si>
    <t>MUHAMMAD ALFIN</t>
  </si>
  <si>
    <t>CEPIRING</t>
  </si>
  <si>
    <t>JUWIRING</t>
  </si>
  <si>
    <t>ZAZRI</t>
  </si>
  <si>
    <t>KOTA SERANG</t>
  </si>
  <si>
    <t>KASEMEN</t>
  </si>
  <si>
    <t>ZASRI</t>
  </si>
  <si>
    <t>M. ROZAKI</t>
  </si>
  <si>
    <t>DUKUHMAJA</t>
  </si>
  <si>
    <t>M.ROZAKI</t>
  </si>
  <si>
    <t>APAN SUWENDI</t>
  </si>
  <si>
    <t>SETIABUDI</t>
  </si>
  <si>
    <t>KUNINGAN TIMUR</t>
  </si>
  <si>
    <t>AGUS PAISAL</t>
  </si>
  <si>
    <t>MOGA</t>
  </si>
  <si>
    <t>SIMA</t>
  </si>
  <si>
    <t>wildan ramadani</t>
  </si>
  <si>
    <t>WILDAN RAMADHANI</t>
  </si>
  <si>
    <t>M. KHOERUL MUTAKIN</t>
  </si>
  <si>
    <t>BANTUL</t>
  </si>
  <si>
    <t>IMOGIRI</t>
  </si>
  <si>
    <t>KARANGTALUN</t>
  </si>
  <si>
    <t>ZAENAL ARIPIN</t>
  </si>
  <si>
    <t>ZAENAL ARIFIN</t>
  </si>
  <si>
    <t>MUKHAMAD IHYA ULUMUDIN</t>
  </si>
  <si>
    <t>Mukhamad Ihya Ulumudin</t>
  </si>
  <si>
    <t>SEWON</t>
  </si>
  <si>
    <t>PANGGUNGHARJO</t>
  </si>
  <si>
    <t>HISYAM</t>
  </si>
  <si>
    <t>ARIF RAHMAN BEHAKI</t>
  </si>
  <si>
    <t>ARIF RAHMAN BEHAKI BIN SUBEHAN (ALM)</t>
  </si>
  <si>
    <t>CILACAP SELATAN</t>
  </si>
  <si>
    <t>TAMBAKREJA</t>
  </si>
  <si>
    <t>M.FATCHU ROKHMAN</t>
  </si>
  <si>
    <t>M. FATCHU ROKHMAN</t>
  </si>
  <si>
    <t>PAPUA TENGAH</t>
  </si>
  <si>
    <t>MIMIKA</t>
  </si>
  <si>
    <t>TEMBAGAPURA</t>
  </si>
  <si>
    <t>GILANG FAIRLIZA IRAWAN OCTAVA</t>
  </si>
  <si>
    <t>GILANG FAIRULIZA IRAWAN OCTAVA</t>
  </si>
  <si>
    <t>ZAINAL ARIFIN</t>
  </si>
  <si>
    <t>DEMAK</t>
  </si>
  <si>
    <t>BINTORO</t>
  </si>
  <si>
    <t>IKRAM MAARIF PUTRA</t>
  </si>
  <si>
    <t>IKRAM MAARIF PUTRA BIN SAMSUL MAARIF</t>
  </si>
  <si>
    <t>JOKO PRASETYO</t>
  </si>
  <si>
    <t>JAGAKARSA</t>
  </si>
  <si>
    <t>CIPEDAK</t>
  </si>
  <si>
    <t>BAGUS ALAMSYAH</t>
  </si>
  <si>
    <t>MUHAMMAD DANI</t>
  </si>
  <si>
    <t>Muhammad Dani</t>
  </si>
  <si>
    <t>PONDOK RANGGON</t>
  </si>
  <si>
    <t>SLAMET</t>
  </si>
  <si>
    <t>BALAPULANG</t>
  </si>
  <si>
    <t>KARANGJAMBU</t>
  </si>
  <si>
    <t>PEJAGALAN</t>
  </si>
  <si>
    <t>SITI MAESAROH</t>
  </si>
  <si>
    <t>MUFARIKHATUN KHASANAH</t>
  </si>
  <si>
    <t>Mufarikhatun Khasanah</t>
  </si>
  <si>
    <t>ARNIYATUL JANAH</t>
  </si>
  <si>
    <t>KHODIJAH KANYEM</t>
  </si>
  <si>
    <t>HODIJAH KANYEM</t>
  </si>
  <si>
    <t>PANGANDARAN</t>
  </si>
  <si>
    <t>MANGUNJAYA</t>
  </si>
  <si>
    <t>JANGRAGA</t>
  </si>
  <si>
    <t>SITI MAHFIROH</t>
  </si>
  <si>
    <t>KALIGIRI</t>
  </si>
  <si>
    <t>RUMINI</t>
  </si>
  <si>
    <t>TANAH SAREAL</t>
  </si>
  <si>
    <t>KEDUNG WARINGIN</t>
  </si>
  <si>
    <t>SYIFA NUR ARINA WAKHDAH</t>
  </si>
  <si>
    <t>SYIFA NUR ARINA W.</t>
  </si>
  <si>
    <t>ATNAH</t>
  </si>
  <si>
    <t>SUCI SALAFIAH</t>
  </si>
  <si>
    <t>LEKSONO</t>
  </si>
  <si>
    <t>SAWANGAN</t>
  </si>
  <si>
    <t>NINGSIH</t>
  </si>
  <si>
    <t>Fitria Ningsih</t>
  </si>
  <si>
    <t>fitri</t>
  </si>
  <si>
    <t>Fitri</t>
  </si>
  <si>
    <t>SA'DIYAH AMALIA</t>
  </si>
  <si>
    <t>TANJUNG</t>
  </si>
  <si>
    <t>PEJAGAN</t>
  </si>
  <si>
    <t>USRIPAH</t>
  </si>
  <si>
    <t>CEMPAKA PUTIH</t>
  </si>
  <si>
    <t>RAWASARI</t>
  </si>
  <si>
    <t>SITI UMAROH</t>
  </si>
  <si>
    <t>KELUANG</t>
  </si>
  <si>
    <t>TEGAL MULYO</t>
  </si>
  <si>
    <t>AMAROH</t>
  </si>
  <si>
    <t>WAIMAH</t>
  </si>
  <si>
    <t>PAPUA</t>
  </si>
  <si>
    <t>KEPULAUAN YAPEN</t>
  </si>
  <si>
    <t>ANOTAUREI</t>
  </si>
  <si>
    <t>ANATOREI</t>
  </si>
  <si>
    <t>EKA SEPTI SUNAH FITRIA DANIYATI</t>
  </si>
  <si>
    <t>EKA SEPTI PITRIA</t>
  </si>
  <si>
    <t>SRENGSENG</t>
  </si>
  <si>
    <t>RINI</t>
  </si>
  <si>
    <t>TANGERANG</t>
  </si>
  <si>
    <t>PASAR KEMIS</t>
  </si>
  <si>
    <t>GELAM JAYA</t>
  </si>
  <si>
    <t>RISKA SUSILOWATI</t>
  </si>
  <si>
    <t>CIBOGO</t>
  </si>
  <si>
    <t>Riska susilowati</t>
  </si>
  <si>
    <t>MINAH ANGGRAINI</t>
  </si>
  <si>
    <t>SITI MABRUROH</t>
  </si>
  <si>
    <t>IIS NURSEHA</t>
  </si>
  <si>
    <t>PEJATEN TIMUR</t>
  </si>
  <si>
    <t>PAGERKASIH</t>
  </si>
  <si>
    <t>ROHMATIKA</t>
  </si>
  <si>
    <t>KEBAYORAN LAMA</t>
  </si>
  <si>
    <t>CIPULIR</t>
  </si>
  <si>
    <t>AFIATUN NISA</t>
  </si>
  <si>
    <t>OGAN KOMERING ULU</t>
  </si>
  <si>
    <t>SINAR PENINJAUAN</t>
  </si>
  <si>
    <t>KARYA MUKTI</t>
  </si>
  <si>
    <t>ISTIANUL MAULA</t>
  </si>
  <si>
    <t>ERMAWATI</t>
  </si>
  <si>
    <t>KEPULAUAN RIAU</t>
  </si>
  <si>
    <t>KOTA BATAM</t>
  </si>
  <si>
    <t>NONGSA</t>
  </si>
  <si>
    <t>SAMBAU</t>
  </si>
  <si>
    <t>RIYADLIN DANIFATUS SUNNAH</t>
  </si>
  <si>
    <t>NINA FANI ASTUTI</t>
  </si>
  <si>
    <t>NINA FANI A</t>
  </si>
  <si>
    <t>BALQIS BIRRUN LANA</t>
  </si>
  <si>
    <t>FAIRUZA KHAERINA</t>
  </si>
  <si>
    <t>PARHATUN ADIMAH</t>
  </si>
  <si>
    <t>parhatun adimah</t>
  </si>
  <si>
    <t>MLAYANG</t>
  </si>
  <si>
    <t>ANGGRE FEBRIYANI</t>
  </si>
  <si>
    <t>CIPINANG BESAR SELATAN</t>
  </si>
  <si>
    <t>SAIDATUS SA'DIYAH</t>
  </si>
  <si>
    <t>SEPANJANGJAYA</t>
  </si>
  <si>
    <t>Saidatus Sa'diyah</t>
  </si>
  <si>
    <t>IIS ZAETUN</t>
  </si>
  <si>
    <t>Nanda Nurafia Likhanti</t>
  </si>
  <si>
    <t>NANDA NURAFIA</t>
  </si>
  <si>
    <t>NABILA NA'MA AISYAH</t>
  </si>
  <si>
    <t>YENI</t>
  </si>
  <si>
    <t>NUR AMALIA</t>
  </si>
  <si>
    <t>IGIRKLANCENG</t>
  </si>
  <si>
    <t>SLAMET WIJOYO</t>
  </si>
  <si>
    <t>CARYA</t>
  </si>
  <si>
    <t>SARIFULAMALUDIN</t>
  </si>
  <si>
    <t>SARIFULAMALUDIN BIN MUNJIRIN</t>
  </si>
  <si>
    <t>KEBONDALEM</t>
  </si>
  <si>
    <t>NOPI HIDIYANINGSIH</t>
  </si>
  <si>
    <t>NOPI HIDAYANINGSIH</t>
  </si>
  <si>
    <t>LANGKAP</t>
  </si>
  <si>
    <t>SUPRIYATI</t>
  </si>
  <si>
    <t>WINDUAJI</t>
  </si>
  <si>
    <t>SESTRI WIDIYANTI</t>
  </si>
  <si>
    <t>PANDANSARI</t>
  </si>
  <si>
    <t>SESTI WIDIYATI</t>
  </si>
  <si>
    <t>TAUFIK HIDAYAT</t>
  </si>
  <si>
    <t>RUDI SISWANTO</t>
  </si>
  <si>
    <t>M.ROJIKIN</t>
  </si>
  <si>
    <t>DARYONO</t>
  </si>
  <si>
    <t>DAKRIM</t>
  </si>
  <si>
    <t>SRIDADI</t>
  </si>
  <si>
    <t>SHOLIKHIN</t>
  </si>
  <si>
    <t>FAISAL TANJUNG</t>
  </si>
  <si>
    <t>paisal tanjung</t>
  </si>
  <si>
    <t>AHMAD FADLIL KIROM</t>
  </si>
  <si>
    <t>NURUL HIKMAH</t>
  </si>
  <si>
    <t>NAIRAH</t>
  </si>
  <si>
    <t>PUTRI MULYANI</t>
  </si>
  <si>
    <t>NEGARAYU</t>
  </si>
  <si>
    <t>LUKMAN NOFIANTO</t>
  </si>
  <si>
    <t>JATIBARANG LOR</t>
  </si>
  <si>
    <t>IHZAM MAHADIKA</t>
  </si>
  <si>
    <t>PAMENGGER</t>
  </si>
  <si>
    <t>Ihzam mahardika</t>
  </si>
  <si>
    <t>LHATIFATU ZAHRO</t>
  </si>
  <si>
    <t>PESANTUNAN</t>
  </si>
  <si>
    <t>ONO NURDIANSYAH</t>
  </si>
  <si>
    <t>ONO NURDIANSSH</t>
  </si>
  <si>
    <t>RANGDA</t>
  </si>
  <si>
    <t>DEWI SUSWANTI</t>
  </si>
  <si>
    <t>PADASUGIH</t>
  </si>
  <si>
    <t>AHMAD WAHIDIN</t>
  </si>
  <si>
    <t>JATIROKEH</t>
  </si>
  <si>
    <t>M. HAMZAH</t>
  </si>
  <si>
    <t>LOSARI</t>
  </si>
  <si>
    <t>PENGABEAN</t>
  </si>
  <si>
    <t>ATIKAH</t>
  </si>
  <si>
    <t>FERI IRAWAN</t>
  </si>
  <si>
    <t>BANJARHARJO</t>
  </si>
  <si>
    <t>SUKAREJA</t>
  </si>
  <si>
    <t>NUR CHAYATI</t>
  </si>
  <si>
    <t>PEKAUMAN</t>
  </si>
  <si>
    <t>BAMBANG BUDI SETIAWAN</t>
  </si>
  <si>
    <t>WATNI</t>
  </si>
  <si>
    <t>YUSUF</t>
  </si>
  <si>
    <t>KALIGANGSA</t>
  </si>
  <si>
    <t>NURLATIFAH</t>
  </si>
  <si>
    <t>PANDEGLANG</t>
  </si>
  <si>
    <t>PAGELARAN</t>
  </si>
  <si>
    <t>NUR LATIPAH</t>
  </si>
  <si>
    <t>AME</t>
  </si>
  <si>
    <t>CIMARGA</t>
  </si>
  <si>
    <t>JAYASARI</t>
  </si>
  <si>
    <t>SUNAWATI</t>
  </si>
  <si>
    <t>SUNAWAH</t>
  </si>
  <si>
    <t>TELUKNAGA</t>
  </si>
  <si>
    <t>KAMPUNG BESAR</t>
  </si>
  <si>
    <t>NENGSIH</t>
  </si>
  <si>
    <t>PADARINCANG</t>
  </si>
  <si>
    <t>JERI AGUSMAN</t>
  </si>
  <si>
    <t>KOTA DEPOK</t>
  </si>
  <si>
    <t>CILODONG</t>
  </si>
  <si>
    <t>KALIMULYA</t>
  </si>
  <si>
    <t>BOJONG</t>
  </si>
  <si>
    <t>DANASARI</t>
  </si>
  <si>
    <t>MARYANA ANDRIYANI</t>
  </si>
  <si>
    <t>LAMPUNG SELATAN</t>
  </si>
  <si>
    <t>CANDIPURO</t>
  </si>
  <si>
    <t>BUMI JAYA</t>
  </si>
  <si>
    <t>maryana andriyani</t>
  </si>
  <si>
    <t>KALIJAMBU</t>
  </si>
  <si>
    <t>SITI RAHAYU</t>
  </si>
  <si>
    <t>CIMANGGIS</t>
  </si>
  <si>
    <t>TUGU</t>
  </si>
  <si>
    <t>SUMBER SUNADI</t>
  </si>
  <si>
    <t>PAPANGGO</t>
  </si>
  <si>
    <t>Sumber sunadi</t>
  </si>
  <si>
    <t>KAJENENGAN</t>
  </si>
  <si>
    <t>SOPYAN KRISTIONO</t>
  </si>
  <si>
    <t>PADEMANGAN</t>
  </si>
  <si>
    <t>PADEMANGAN BARAT</t>
  </si>
  <si>
    <t>RUDI PRAYITNO</t>
  </si>
  <si>
    <t>PAL MERAH</t>
  </si>
  <si>
    <t>KOTA BAMBU UTARA</t>
  </si>
  <si>
    <t>GUNUNGJATI</t>
  </si>
  <si>
    <t>UMROTUN</t>
  </si>
  <si>
    <t>BUNIWAH</t>
  </si>
  <si>
    <t>NAILATUL SALWA SIREGAR</t>
  </si>
  <si>
    <t>SUHERLI</t>
  </si>
  <si>
    <t>Suherli</t>
  </si>
  <si>
    <t>KARANGMULYA</t>
  </si>
  <si>
    <t>MURNINGSIH</t>
  </si>
  <si>
    <t>CAWANG</t>
  </si>
  <si>
    <t>SRI NINGSIH</t>
  </si>
  <si>
    <t>ANI SURYANI</t>
  </si>
  <si>
    <t>TAPOS</t>
  </si>
  <si>
    <t>DUKUHTENGAH</t>
  </si>
  <si>
    <t>PIPIT YUNIAR SUTRISNO</t>
  </si>
  <si>
    <t>GABUSWETAN</t>
  </si>
  <si>
    <t>TUWEL</t>
  </si>
  <si>
    <t>SUPRIYANTO</t>
  </si>
  <si>
    <t>KERTASEMAYA</t>
  </si>
  <si>
    <t>TENAJAR KIDUL</t>
  </si>
  <si>
    <t>SIGIT PRASETIO</t>
  </si>
  <si>
    <t>ARINA NURFALAH FAIDA</t>
  </si>
  <si>
    <t>PURWASARI</t>
  </si>
  <si>
    <t>CENGKONG</t>
  </si>
  <si>
    <t>SYIFA NUR AFIFAH</t>
  </si>
  <si>
    <t>BANJARNEGARA</t>
  </si>
  <si>
    <t>PURWANEGARA</t>
  </si>
  <si>
    <t>M. IRFAN</t>
  </si>
  <si>
    <t>SULAWESI SELATAN</t>
  </si>
  <si>
    <t>SIDENRENG RAPPANG</t>
  </si>
  <si>
    <t>MARITENGNGAE</t>
  </si>
  <si>
    <t>MAJJELLING</t>
  </si>
  <si>
    <t>WAHYU AJI WIBOWO</t>
  </si>
  <si>
    <t>KEDAWUNG</t>
  </si>
  <si>
    <t>WAHYU AJI WIBOWO BIN MARWANTO</t>
  </si>
  <si>
    <t>MAFTUHAH RIZQIYAH</t>
  </si>
  <si>
    <t>MAGELANG</t>
  </si>
  <si>
    <t>GRABAG</t>
  </si>
  <si>
    <t>BANYUSARI</t>
  </si>
  <si>
    <t>TUROH</t>
  </si>
  <si>
    <t>PUNCANGLUWUK</t>
  </si>
  <si>
    <t>WAHYUDIN</t>
  </si>
  <si>
    <t>KURIPAN</t>
  </si>
  <si>
    <t>DAMIYAH</t>
  </si>
  <si>
    <t>BADAK</t>
  </si>
  <si>
    <t>SOLIHATI</t>
  </si>
  <si>
    <t>SANGKANAYU</t>
  </si>
  <si>
    <t>EFA SAFITRI</t>
  </si>
  <si>
    <t>BANTARBOLANG</t>
  </si>
  <si>
    <t>PEGIRINGAN</t>
  </si>
  <si>
    <t>USGIANTO</t>
  </si>
  <si>
    <t>DURI KEPA</t>
  </si>
  <si>
    <t>BATUNYANA</t>
  </si>
  <si>
    <t>NURIDIN</t>
  </si>
  <si>
    <t>BOJONG RAWALUMBU</t>
  </si>
  <si>
    <t>ADI SUCIPTO</t>
  </si>
  <si>
    <t>KEBOGADUNG</t>
  </si>
  <si>
    <t>Adi Sucipto</t>
  </si>
  <si>
    <t>ANGGA PRATAMA</t>
  </si>
  <si>
    <t>CIREBON</t>
  </si>
  <si>
    <t>PLUMBON</t>
  </si>
  <si>
    <t>GOMBANG</t>
  </si>
  <si>
    <t>angga pratama</t>
  </si>
  <si>
    <t>CIKURA</t>
  </si>
  <si>
    <t>KIDIN</t>
  </si>
  <si>
    <t>MUHAMAD IKHYAN AZKIA</t>
  </si>
  <si>
    <t>LENGKONG</t>
  </si>
  <si>
    <t>M. IKHYAN AZKIA</t>
  </si>
  <si>
    <t>MUHAMAD ZIYA ZIDKIYA</t>
  </si>
  <si>
    <t>Ali Syakhyudin</t>
  </si>
  <si>
    <t>RANDUGUNTING</t>
  </si>
  <si>
    <t>ALI SYAKHYUDIN</t>
  </si>
  <si>
    <t>ARKHAMUL IKHSAN</t>
  </si>
  <si>
    <t>SUNIARSIH</t>
  </si>
  <si>
    <t>ARHAMUL IKHSAN</t>
  </si>
  <si>
    <t>MUHAMAD KHAPIDIN</t>
  </si>
  <si>
    <t>MUHAMMAD KHAPIDIN</t>
  </si>
  <si>
    <t>M.HASANUDIN</t>
  </si>
  <si>
    <t>M. HASANUDIN</t>
  </si>
  <si>
    <t>MOHAMMAD AGUNG APRILIYANTO</t>
  </si>
  <si>
    <t>TOPIK</t>
  </si>
  <si>
    <t>TOPIK S.H.i</t>
  </si>
  <si>
    <t>KUBANGSARI</t>
  </si>
  <si>
    <t>IRTIFAUL KHUSNI</t>
  </si>
  <si>
    <t>MUHAMAD ARZIQ AZIZI</t>
  </si>
  <si>
    <t>REMBUL</t>
  </si>
  <si>
    <t>M. ARZIQ AZIZI</t>
  </si>
  <si>
    <t>FATIKHUL HAMAM AL-QAUSAR</t>
  </si>
  <si>
    <t>FATIKHUL HAMAM AL QAUSAR</t>
  </si>
  <si>
    <t>M. CHOIRUL AN'AMMILANI</t>
  </si>
  <si>
    <t>M. CHOIRUL ANAM MILANI</t>
  </si>
  <si>
    <t>PANGKAJENE KEPULAUAN</t>
  </si>
  <si>
    <t>PANGKAJENE</t>
  </si>
  <si>
    <t>BONTO PERAK</t>
  </si>
  <si>
    <t>BANI NAUFIK</t>
  </si>
  <si>
    <t>KHOZIN</t>
  </si>
  <si>
    <t>ZANUBA FEBRIYANTIKA</t>
  </si>
  <si>
    <t>DANANG AVAN MAULANA</t>
  </si>
  <si>
    <t>KOTA MAKASSAR</t>
  </si>
  <si>
    <t>TAMALANREA</t>
  </si>
  <si>
    <t>MUHAMAD FARID ANWAR FAROKHI</t>
  </si>
  <si>
    <t>MUHAMMAD FARID ANWAR FAROKHI</t>
  </si>
  <si>
    <t>MUHAMMAD YUNAR ARSYADANI</t>
  </si>
  <si>
    <t>ROFI'UL AZMI</t>
  </si>
  <si>
    <t>DODI SAPUTRA</t>
  </si>
  <si>
    <t>HAINUN ZULFA ASA</t>
  </si>
  <si>
    <t>M. BAHRUL QIROM</t>
  </si>
  <si>
    <t>M BAHRUL QIROM</t>
  </si>
  <si>
    <t>M ALFAINI YAFIE</t>
  </si>
  <si>
    <t>M. ALFAINI YAFIE BIN KOIM</t>
  </si>
  <si>
    <t>M. IBNU HIBAN</t>
  </si>
  <si>
    <t>M. IBNU HIBBAN</t>
  </si>
  <si>
    <t>RENDI SAPUTRA</t>
  </si>
  <si>
    <t>M. ALI UBI</t>
  </si>
  <si>
    <t>LAMPUNG TENGAH</t>
  </si>
  <si>
    <t>PUTRA RUMBIA</t>
  </si>
  <si>
    <t>BINA KARYA BARU</t>
  </si>
  <si>
    <t>DURHIM</t>
  </si>
  <si>
    <t>M.ALI ROHMAT</t>
  </si>
  <si>
    <t>M. ALI ROHMAT</t>
  </si>
  <si>
    <t>TEGALREJO</t>
  </si>
  <si>
    <t>M. FAIZ AMRULLOH</t>
  </si>
  <si>
    <t>M FAIZ AMRULLOH</t>
  </si>
  <si>
    <t>GILANG RAMADHAN</t>
  </si>
  <si>
    <t>SUKARAJA</t>
  </si>
  <si>
    <t>PASIRLAJA</t>
  </si>
  <si>
    <t>TEGUH SHIDARTA</t>
  </si>
  <si>
    <t>BIREUEN</t>
  </si>
  <si>
    <t>KOTA JUANG</t>
  </si>
  <si>
    <t>GEULANGGANG GAMPONG</t>
  </si>
  <si>
    <t>MANDAR MAHESTA</t>
  </si>
  <si>
    <t>BEJI</t>
  </si>
  <si>
    <t>KUKUSAN</t>
  </si>
  <si>
    <t>FAWAZ RUSYDAN AHMADI</t>
  </si>
  <si>
    <t>FAWWAZ RUSYDAN AHMADI</t>
  </si>
  <si>
    <t>MENTENG ATAS</t>
  </si>
  <si>
    <t>M.FAHMI WAHYUDI</t>
  </si>
  <si>
    <t>FAIRUZ ADZAELAMI</t>
  </si>
  <si>
    <t>AFRIZAL</t>
  </si>
  <si>
    <t>Afrizal</t>
  </si>
  <si>
    <t>LUFI MAULANA</t>
  </si>
  <si>
    <t>LUFFI MAULANA</t>
  </si>
  <si>
    <t>FERI SUDARMINTO</t>
  </si>
  <si>
    <t>BIDARA CINA</t>
  </si>
  <si>
    <t>NAUFAL MUZADI KHILMI</t>
  </si>
  <si>
    <t>Muhamad Afkar Minan</t>
  </si>
  <si>
    <t>MUHAMMAD AFKAR MINAN</t>
  </si>
  <si>
    <t>ikhsan abdillah</t>
  </si>
  <si>
    <t>IKHSAN ABDILLAH</t>
  </si>
  <si>
    <t>MUKHAMAD INDRA SATRIA</t>
  </si>
  <si>
    <t>MUHAMAD INDRA SATRIA</t>
  </si>
  <si>
    <t>M. AGHNAN FARUQ</t>
  </si>
  <si>
    <t>JAZA'UL AUFA</t>
  </si>
  <si>
    <t>JAZAUL AUFA</t>
  </si>
  <si>
    <t>MUHAMAD IVAN SHIDNI</t>
  </si>
  <si>
    <t>MUHAMMAD IVAN SHIDNI</t>
  </si>
  <si>
    <t>OMAR GUNAWAN</t>
  </si>
  <si>
    <t>SAWAH BARU</t>
  </si>
  <si>
    <t>MUHAMMAD ZACKY FADILLAH</t>
  </si>
  <si>
    <t>NGAMPEL</t>
  </si>
  <si>
    <t>SUDIPAYUNG</t>
  </si>
  <si>
    <t>AHMAD MIZAN FALAHI</t>
  </si>
  <si>
    <t>MUHAMMAD MIZAN FALAHI</t>
  </si>
  <si>
    <t>SEMEN</t>
  </si>
  <si>
    <t>SIDOMULYO</t>
  </si>
  <si>
    <t>HOSI AMBIA URIZKI</t>
  </si>
  <si>
    <t>MUHAMAD FADIL</t>
  </si>
  <si>
    <t>CILANDAK</t>
  </si>
  <si>
    <t>LEBAK BULUS</t>
  </si>
  <si>
    <t>MOHAMAD REZA ADE FIRDAUS</t>
  </si>
  <si>
    <t>SRENGSENG SAWAH</t>
  </si>
  <si>
    <t>M. REZA ADE FIRDAUS</t>
  </si>
  <si>
    <t>GIGIH ARFAN ABDULLOH</t>
  </si>
  <si>
    <t>GIGIH ARFAN ABDULLAH</t>
  </si>
  <si>
    <t>M. TRISNO</t>
  </si>
  <si>
    <t>M.TRISNO</t>
  </si>
  <si>
    <t>FAHEED ABDUL AZIZ</t>
  </si>
  <si>
    <t>MISBAHUSUDUR</t>
  </si>
  <si>
    <t>MIFTAH MAULANASSURUR</t>
  </si>
  <si>
    <t>KALORI</t>
  </si>
  <si>
    <t>PALABUHANRATU</t>
  </si>
  <si>
    <t>NAZIATUN FADILAH</t>
  </si>
  <si>
    <t>CISAUK</t>
  </si>
  <si>
    <t>SURADITA</t>
  </si>
  <si>
    <t>Naziatun Fadilah</t>
  </si>
  <si>
    <t>NOVITA ISNAENI</t>
  </si>
  <si>
    <t>KOTA JAYAPURA</t>
  </si>
  <si>
    <t>JAYAPURA UTARA</t>
  </si>
  <si>
    <t>TANJUNG RIA</t>
  </si>
  <si>
    <t>FARAH FITRIA ALFANI</t>
  </si>
  <si>
    <t>Farah Fitria Alfani</t>
  </si>
  <si>
    <t>MEIYSI SOPIANA</t>
  </si>
  <si>
    <t>MAIYSI SOPIANA</t>
  </si>
  <si>
    <t>INDAH SRI RAHAYU</t>
  </si>
  <si>
    <t>SITI NUR PUJIYANTY</t>
  </si>
  <si>
    <t>GAMBIR</t>
  </si>
  <si>
    <t>PETOJO SELATAN</t>
  </si>
  <si>
    <t>NUR PUJIATI</t>
  </si>
  <si>
    <t>KURNIASIH</t>
  </si>
  <si>
    <t>AULA MAULIDA</t>
  </si>
  <si>
    <t>ISY KARIMA</t>
  </si>
  <si>
    <t>MRANGGEN</t>
  </si>
  <si>
    <t>TRIAS HELMINA</t>
  </si>
  <si>
    <t>TENOGO</t>
  </si>
  <si>
    <t>SARONAH</t>
  </si>
  <si>
    <t>PULO GEBANG</t>
  </si>
  <si>
    <t>UMI AFIFAH</t>
  </si>
  <si>
    <t>PANCORAN MAS</t>
  </si>
  <si>
    <t>DEPOK JAYA</t>
  </si>
  <si>
    <t>BINURI MA'RIFATIKA</t>
  </si>
  <si>
    <t>BINURI MA’RIFATIKA</t>
  </si>
  <si>
    <t>Indy fairiz lazuardah</t>
  </si>
  <si>
    <t>INDY FAIRIZ LAZUARDAH</t>
  </si>
  <si>
    <t>IBNAH MUNAYA</t>
  </si>
  <si>
    <t>ANI MAWADAH MUHLISOH</t>
  </si>
  <si>
    <t>NI'MAH</t>
  </si>
  <si>
    <t>SIWUNGKUK</t>
  </si>
  <si>
    <t>SOLIKHA</t>
  </si>
  <si>
    <t>MUTIA ARIFAH</t>
  </si>
  <si>
    <t>AGHNIA ILMI DINYA</t>
  </si>
  <si>
    <t>DLIMAS</t>
  </si>
  <si>
    <t>ELLY ARYANI</t>
  </si>
  <si>
    <t>MUHAMMAD KAFABIK AL FALY</t>
  </si>
  <si>
    <t>FASIKHATUN</t>
  </si>
  <si>
    <t>TIKA FAUZIAH</t>
  </si>
  <si>
    <t>MUSTAMIROH</t>
  </si>
  <si>
    <t>HAFIZ FATHUROHMAN</t>
  </si>
  <si>
    <t>EDELLIA ISQI FAIDHA RIZQI</t>
  </si>
  <si>
    <t>EDELLIA ISQI FAIDHA R.</t>
  </si>
  <si>
    <t>KHAERUNISA NUR INAYAH</t>
  </si>
  <si>
    <t>KARANGSEMBUNG</t>
  </si>
  <si>
    <t>KARANGMEKAR</t>
  </si>
  <si>
    <t>MAYA KHOLIDA</t>
  </si>
  <si>
    <t>MUHAMAD AHYARUZANDY</t>
  </si>
  <si>
    <t>SITI NUR AFIFAH</t>
  </si>
  <si>
    <t>FITRIYANA</t>
  </si>
  <si>
    <t>FITRIANA</t>
  </si>
  <si>
    <t>ZUBAEDAH</t>
  </si>
  <si>
    <t>MUSRINGAH</t>
  </si>
  <si>
    <t>MADUKARA</t>
  </si>
  <si>
    <t>KALIURIP</t>
  </si>
  <si>
    <t>SUSANTI</t>
  </si>
  <si>
    <t>MAULIDA RIZQI YANI</t>
  </si>
  <si>
    <t>ENGGAR KARTIKA SARI</t>
  </si>
  <si>
    <t>JATIASIH</t>
  </si>
  <si>
    <t>SITI NUR KHAEFA IFA</t>
  </si>
  <si>
    <t>MAMPANG PRAPATAN</t>
  </si>
  <si>
    <t>PELA MAMPANG</t>
  </si>
  <si>
    <t>NURUL ARIPIN</t>
  </si>
  <si>
    <t>MUHAMAD NADORI</t>
  </si>
  <si>
    <t>ADI WIBOWO</t>
  </si>
  <si>
    <t>BRILIANDESTA WIBOWO</t>
  </si>
  <si>
    <t>NENENG MURDIANAH</t>
  </si>
  <si>
    <t>MUHAMMAD AMRULLOH</t>
  </si>
  <si>
    <t>Muhammad Amrulloh</t>
  </si>
  <si>
    <t>PRUWATAN</t>
  </si>
  <si>
    <t>KARTIKA WIJAYA</t>
  </si>
  <si>
    <t>SUBANDI</t>
  </si>
  <si>
    <t>Subandi</t>
  </si>
  <si>
    <t>SULIMAH</t>
  </si>
  <si>
    <t>Sulimah</t>
  </si>
  <si>
    <t>PUTRI PRATAMI</t>
  </si>
  <si>
    <t>PURBAYASA</t>
  </si>
  <si>
    <t>ROKHAYATI</t>
  </si>
  <si>
    <t>DRAJAT</t>
  </si>
  <si>
    <t>KARANGDEMPEL</t>
  </si>
  <si>
    <t>MAHMUDI</t>
  </si>
  <si>
    <t>Mahmudi</t>
  </si>
  <si>
    <t>DEWI RIANA</t>
  </si>
  <si>
    <t>KHALIMATUS SA'DIYAH</t>
  </si>
  <si>
    <t>KHALIMATU SA'DIAH</t>
  </si>
  <si>
    <t>AZMI SETIAWAN</t>
  </si>
  <si>
    <t>SETIAMEKAR</t>
  </si>
  <si>
    <t>MU'MIN</t>
  </si>
  <si>
    <t>mu'min</t>
  </si>
  <si>
    <t>SARIDO</t>
  </si>
  <si>
    <t>GUNUNGKIDUL</t>
  </si>
  <si>
    <t>PONJONG</t>
  </si>
  <si>
    <t>SUMBERGIRI</t>
  </si>
  <si>
    <t>SAPTO PAMUNGKAS</t>
  </si>
  <si>
    <t>SLEMAN</t>
  </si>
  <si>
    <t>DEPOK</t>
  </si>
  <si>
    <t>CONDONGCATUR</t>
  </si>
  <si>
    <t>YUDA FIRMANSYAH</t>
  </si>
  <si>
    <t>Yuda firmansyah</t>
  </si>
  <si>
    <t>BOJONGMANIK</t>
  </si>
  <si>
    <t>HARJAWANA</t>
  </si>
  <si>
    <t>IANALIF FAJRIN</t>
  </si>
  <si>
    <t>BATUCEPER</t>
  </si>
  <si>
    <t>PORIS GAGA</t>
  </si>
  <si>
    <t>Ianalif Fajrin</t>
  </si>
  <si>
    <t>SUHENDRI</t>
  </si>
  <si>
    <t>WATANG SIDENRENG</t>
  </si>
  <si>
    <t>TALUMAE</t>
  </si>
  <si>
    <t>SUHENNDRI</t>
  </si>
  <si>
    <t>HALIMATU SADIYAH</t>
  </si>
  <si>
    <t>KOTA PARE PARE</t>
  </si>
  <si>
    <t>UJUNG</t>
  </si>
  <si>
    <t>LABUKKANG</t>
  </si>
  <si>
    <t>SRI MODALINTA BR PA</t>
  </si>
  <si>
    <t>LANGKAT</t>
  </si>
  <si>
    <t>KUTAMBARU</t>
  </si>
  <si>
    <t>KUTA GAJAH</t>
  </si>
  <si>
    <t>SRI MODALINATA BR PA</t>
  </si>
  <si>
    <t>CIBUNAR</t>
  </si>
  <si>
    <t>MIFTAHUDIN</t>
  </si>
  <si>
    <t>KOTA PADANG</t>
  </si>
  <si>
    <t>PADANG SELATAN</t>
  </si>
  <si>
    <t>RAWANG</t>
  </si>
  <si>
    <t>SANGKANJAYA</t>
  </si>
  <si>
    <t>SOLEHA</t>
  </si>
  <si>
    <t>ALI MURTADO</t>
  </si>
  <si>
    <t>LUBUK BEGALUNG</t>
  </si>
  <si>
    <t>PARAK LAWEH PULAU AIA NAN XX</t>
  </si>
  <si>
    <t>Ali Murtado</t>
  </si>
  <si>
    <t>WARTAM</t>
  </si>
  <si>
    <t>SITI YULI YANTI</t>
  </si>
  <si>
    <t>TANAH SIRAH PIAI NAN XX</t>
  </si>
  <si>
    <t>Siti Yuli Yanti</t>
  </si>
  <si>
    <t>MAPRUDON</t>
  </si>
  <si>
    <t>Kapudoh</t>
  </si>
  <si>
    <t>FATIMAH</t>
  </si>
  <si>
    <t>MUHAMMAD ALDY PRATAMA</t>
  </si>
  <si>
    <t>CEMPAKA BARU</t>
  </si>
  <si>
    <t>M.Aldy pratama</t>
  </si>
  <si>
    <t>MUSTAIDIN</t>
  </si>
  <si>
    <t>Mustaidin</t>
  </si>
  <si>
    <t>DIALISNAWATI</t>
  </si>
  <si>
    <t>dialisnawati</t>
  </si>
  <si>
    <t>EKO FIRMANTORO</t>
  </si>
  <si>
    <t>PETAMBURAN</t>
  </si>
  <si>
    <t>CENGGINI</t>
  </si>
  <si>
    <t>A.MAULANA</t>
  </si>
  <si>
    <t>KARET KUNINGAN</t>
  </si>
  <si>
    <t>A MAULANA</t>
  </si>
  <si>
    <t>MOHAMAD SOLEH</t>
  </si>
  <si>
    <t>DANAWARIH</t>
  </si>
  <si>
    <t>BENNI MULYADI</t>
  </si>
  <si>
    <t>BALAPULANG WETAN</t>
  </si>
  <si>
    <t>DENNY MULYANA</t>
  </si>
  <si>
    <t>KALIWUNGU</t>
  </si>
  <si>
    <t>SUYITNO</t>
  </si>
  <si>
    <t>CENGKARENG</t>
  </si>
  <si>
    <t>RAWA BUAYA</t>
  </si>
  <si>
    <t>AHMAD NURIMAN</t>
  </si>
  <si>
    <t>BOYOLALI</t>
  </si>
  <si>
    <t>ANDONG</t>
  </si>
  <si>
    <t>GONDANGRAWE</t>
  </si>
  <si>
    <t>BATUAGUNG</t>
  </si>
  <si>
    <t>RESTU MEGA NANDAWANTY</t>
  </si>
  <si>
    <t>DINA PERMAISARI</t>
  </si>
  <si>
    <t>BALAPULANG KULON</t>
  </si>
  <si>
    <t>RIZQY ADHAAM</t>
  </si>
  <si>
    <t>WATI</t>
  </si>
  <si>
    <t>PRIYO DIYONO</t>
  </si>
  <si>
    <t>CIPETE UTARA</t>
  </si>
  <si>
    <t>AHMAD FAUZAN</t>
  </si>
  <si>
    <t>DUREN SAWIT</t>
  </si>
  <si>
    <t>MALAKA JAYA</t>
  </si>
  <si>
    <t>INDAH HAEPIYUNI</t>
  </si>
  <si>
    <t>SEKAR AULIYA AFHIKA AL-ZAHRA</t>
  </si>
  <si>
    <t>MOH SYAEPUDIN</t>
  </si>
  <si>
    <t>BEKASI BARAT</t>
  </si>
  <si>
    <t>KOTABARU</t>
  </si>
  <si>
    <t>PURYANTO</t>
  </si>
  <si>
    <t>KLENDER</t>
  </si>
  <si>
    <t>PURWANTO</t>
  </si>
  <si>
    <t>LUBANG BUAYA</t>
  </si>
  <si>
    <t>TETEN ARDIANSYAH</t>
  </si>
  <si>
    <t>GARUT</t>
  </si>
  <si>
    <t>BL. LIMBANGAN</t>
  </si>
  <si>
    <t>LIMBANGAN BARAT</t>
  </si>
  <si>
    <t>BUKATEJA</t>
  </si>
  <si>
    <t>DUDUNG ABDUL RAHMAN</t>
  </si>
  <si>
    <t>TASIKMALAYA</t>
  </si>
  <si>
    <t>GUNUNGTANJUNG</t>
  </si>
  <si>
    <t>GIRIWANGI</t>
  </si>
  <si>
    <t>WRINGINJENGGOT</t>
  </si>
  <si>
    <t>DESI RIYANTI</t>
  </si>
  <si>
    <t>CIPAYUNG JAYA</t>
  </si>
  <si>
    <t>DANAREJA</t>
  </si>
  <si>
    <t>KHOERUN NISA</t>
  </si>
  <si>
    <t>WERU</t>
  </si>
  <si>
    <t>TEGALWANGI</t>
  </si>
  <si>
    <t>ALI SUEB</t>
  </si>
  <si>
    <t>BABAKANCIKAO</t>
  </si>
  <si>
    <t>MULYAMEKAR</t>
  </si>
  <si>
    <t>ANIMAPROH</t>
  </si>
  <si>
    <t>PAMIRITAN</t>
  </si>
  <si>
    <t>ANI MAPROH</t>
  </si>
  <si>
    <t>TELUKJAMBE BARAT</t>
  </si>
  <si>
    <t>KAMILA</t>
  </si>
  <si>
    <t>HARJOWINANGUN</t>
  </si>
  <si>
    <t>MAJALAYA</t>
  </si>
  <si>
    <t>PASIRJENGKOL</t>
  </si>
  <si>
    <t>PUTRI ASIH WULANDARI</t>
  </si>
  <si>
    <t>CIANTRA</t>
  </si>
  <si>
    <t>SURADI</t>
  </si>
  <si>
    <t>CIBEUNYING KIDUL</t>
  </si>
  <si>
    <t>SUKAPADA</t>
  </si>
  <si>
    <t>IMAN WIRA RENGGANA</t>
  </si>
  <si>
    <t>PEKALIPAN</t>
  </si>
  <si>
    <t>IMAN WIRARENGGANA</t>
  </si>
  <si>
    <t>EVI NUR AKHIRIYANTI</t>
  </si>
  <si>
    <t>ARLIS KUSRINI</t>
  </si>
  <si>
    <t>NINA SAFRIDA HASIBUAN</t>
  </si>
  <si>
    <t>BEKASI SELATAN</t>
  </si>
  <si>
    <t>JAKAMULYA</t>
  </si>
  <si>
    <t>SUCI DEWI ANGGRAINI</t>
  </si>
  <si>
    <t>SUCI DEWI ANGGRAENI</t>
  </si>
  <si>
    <t>DIAN TISNATA</t>
  </si>
  <si>
    <t>PONDOKGEDE</t>
  </si>
  <si>
    <t>JATICEMPAKA</t>
  </si>
  <si>
    <t>WAHYONO</t>
  </si>
  <si>
    <t>WAHYONO BIN SUSANTO</t>
  </si>
  <si>
    <t>RASMI</t>
  </si>
  <si>
    <t>KOTA BANJAR</t>
  </si>
  <si>
    <t>LANGENSARI</t>
  </si>
  <si>
    <t>YUDA PANDI PRATAMA</t>
  </si>
  <si>
    <t>NUSAWUNGU</t>
  </si>
  <si>
    <t>DANASRI</t>
  </si>
  <si>
    <t>FANI MAEFULLAH</t>
  </si>
  <si>
    <t>KALIBAKUNG</t>
  </si>
  <si>
    <t>PURBALINGGA</t>
  </si>
  <si>
    <t>MREBET</t>
  </si>
  <si>
    <t>KARANGNANGKA</t>
  </si>
  <si>
    <t>AGUS SUDIYONO</t>
  </si>
  <si>
    <t>RAKIT</t>
  </si>
  <si>
    <t>MAHROM SAHADI</t>
  </si>
  <si>
    <t>SUKOREJO</t>
  </si>
  <si>
    <t>NGADIWARNO</t>
  </si>
  <si>
    <t>MAHROM HADI</t>
  </si>
  <si>
    <t>MUHAMMAD MALIK IBRAHIM</t>
  </si>
  <si>
    <t>KRAJANKULON</t>
  </si>
  <si>
    <t>salman</t>
  </si>
  <si>
    <t>ESSI MEINAR RIZANI</t>
  </si>
  <si>
    <t>MUHAMMAD. AINURRIDLO</t>
  </si>
  <si>
    <t>MUHAMMAD AINURRIDLO</t>
  </si>
  <si>
    <t>WARNIDI</t>
  </si>
  <si>
    <t>PARIGI</t>
  </si>
  <si>
    <t>CIBENDA</t>
  </si>
  <si>
    <t>HERI SUSANTO</t>
  </si>
  <si>
    <t>CIPINANG CEMPEDAK</t>
  </si>
  <si>
    <t>PAOZAN</t>
  </si>
  <si>
    <t>SANTOSO</t>
  </si>
  <si>
    <t>TALEGONG</t>
  </si>
  <si>
    <t>SUKAMAJU</t>
  </si>
  <si>
    <t>MUH. PANJI KUKUH ARUDRA</t>
  </si>
  <si>
    <t>MALUKU</t>
  </si>
  <si>
    <t>KEPULAUAN ARU</t>
  </si>
  <si>
    <t>PULAU-PULAU ARU</t>
  </si>
  <si>
    <t>GALAI DUBU</t>
  </si>
  <si>
    <t>MOH. PANJI KUKUH ARUDRA</t>
  </si>
  <si>
    <t>SISWONO</t>
  </si>
  <si>
    <t>Siswono</t>
  </si>
  <si>
    <t>KARANGANYAR</t>
  </si>
  <si>
    <t>GEMBOL</t>
  </si>
  <si>
    <t>SYAHRUL ROMADON</t>
  </si>
  <si>
    <t>KEPUNG</t>
  </si>
  <si>
    <t>KENCONG</t>
  </si>
  <si>
    <t>AGUS RIYANTO</t>
  </si>
  <si>
    <t>KALIKAJAR</t>
  </si>
  <si>
    <t>BUTUH</t>
  </si>
  <si>
    <t>HILALUDIN</t>
  </si>
  <si>
    <t>PANGKALAN LADA</t>
  </si>
  <si>
    <t>PANGKALAN DURIN</t>
  </si>
  <si>
    <t>ISNENDAR WAHYUDI</t>
  </si>
  <si>
    <t>ISKANDAR BIN SULAIMAN</t>
  </si>
  <si>
    <t>LEBAKSIU</t>
  </si>
  <si>
    <t>TEGALANDONG</t>
  </si>
  <si>
    <t>NAZZAR IBNUARI FIRLY SOHIRAN</t>
  </si>
  <si>
    <t>IMAMMUDIN</t>
  </si>
  <si>
    <t>BANDUNG</t>
  </si>
  <si>
    <t>MARGAASIH</t>
  </si>
  <si>
    <t>RAHAYU</t>
  </si>
  <si>
    <t>PAGERWANGI</t>
  </si>
  <si>
    <t>RUR ALIT ADHITYA</t>
  </si>
  <si>
    <t>BOJONGSARI</t>
  </si>
  <si>
    <t>BOJONGSARI BARU</t>
  </si>
  <si>
    <t>RUR ALIT ADHYTYA</t>
  </si>
  <si>
    <t>BANJARANYAR</t>
  </si>
  <si>
    <t>SA'ID AQIL MUBAROK</t>
  </si>
  <si>
    <t>SAID AQIL MUBAROK</t>
  </si>
  <si>
    <t>ARINDRA ADE FEBRIAN</t>
  </si>
  <si>
    <t>CURUG</t>
  </si>
  <si>
    <t>M RIZAL</t>
  </si>
  <si>
    <t>CIKEMBAR</t>
  </si>
  <si>
    <t>CIBATU</t>
  </si>
  <si>
    <t>MUCHIRI</t>
  </si>
  <si>
    <t>SUHAR</t>
  </si>
  <si>
    <t>RUDIONO</t>
  </si>
  <si>
    <t>BULUKUMBA</t>
  </si>
  <si>
    <t>UJUNG BULU</t>
  </si>
  <si>
    <t>CAILE</t>
  </si>
  <si>
    <t>RUDIYONO</t>
  </si>
  <si>
    <t>SUGENG PURNOMO</t>
  </si>
  <si>
    <t>BELITUNG TIMUR</t>
  </si>
  <si>
    <t>MANGGAR</t>
  </si>
  <si>
    <t>KURNIA JAYA</t>
  </si>
  <si>
    <t>RUGIARTO</t>
  </si>
  <si>
    <t>ROJAI</t>
  </si>
  <si>
    <t>PURING</t>
  </si>
  <si>
    <t>SUROREJAN</t>
  </si>
  <si>
    <t>MUHAMAD AFIF HIMAM MUZAKI</t>
  </si>
  <si>
    <t>MOCH. ABDULLOH</t>
  </si>
  <si>
    <t>KERTANEGARA</t>
  </si>
  <si>
    <t>KRANGEAN</t>
  </si>
  <si>
    <t>DIMAS PRATAMA</t>
  </si>
  <si>
    <t>KEDUNGWUNI</t>
  </si>
  <si>
    <t>TANGKILTENGAH</t>
  </si>
  <si>
    <t>SEPUL MUJAB</t>
  </si>
  <si>
    <t>Sepul mujab</t>
  </si>
  <si>
    <t>KOTA SEMARANG</t>
  </si>
  <si>
    <t>SEMARANG UTARA</t>
  </si>
  <si>
    <t>PLOMBOKAN</t>
  </si>
  <si>
    <t>DARMONO</t>
  </si>
  <si>
    <t>WUTUH</t>
  </si>
  <si>
    <t>HILAL ALBANI</t>
  </si>
  <si>
    <t>Hilal Albani</t>
  </si>
  <si>
    <t>AGUNG IRAWAN</t>
  </si>
  <si>
    <t>AGUS NURDIYANTO</t>
  </si>
  <si>
    <t>AGUS NURDIANTO BIN SULAEMAN</t>
  </si>
  <si>
    <t>MIFTAHUL ULUM</t>
  </si>
  <si>
    <t>SERUYAN</t>
  </si>
  <si>
    <t>SERUYAN RAYA</t>
  </si>
  <si>
    <t>SELUNUK</t>
  </si>
  <si>
    <t>MUKSININ</t>
  </si>
  <si>
    <t>TACHURI</t>
  </si>
  <si>
    <t>KRAKAHAN</t>
  </si>
  <si>
    <t>Tachuri</t>
  </si>
  <si>
    <t>NELUL HUDA FATIHI</t>
  </si>
  <si>
    <t>SALIS USMANTO</t>
  </si>
  <si>
    <t>LAREN</t>
  </si>
  <si>
    <t>Salis usmanto</t>
  </si>
  <si>
    <t>KHAYIS MUZAQQI</t>
  </si>
  <si>
    <t>MUHAMAD BALYA BARLAMAN</t>
  </si>
  <si>
    <t>MOH. MUHLIS</t>
  </si>
  <si>
    <t>TAMAN SARI</t>
  </si>
  <si>
    <t>MOH MUHLIS</t>
  </si>
  <si>
    <t>M.Y AKYASUL AKLI</t>
  </si>
  <si>
    <t>M.Y. AKYASUL AQLI</t>
  </si>
  <si>
    <t>TARIPUDIN</t>
  </si>
  <si>
    <t>taripudin</t>
  </si>
  <si>
    <t>KRAMAT PELA</t>
  </si>
  <si>
    <t>ROSIHIN</t>
  </si>
  <si>
    <t>DIKY ITYANUL ARZAQ</t>
  </si>
  <si>
    <t>AKHMAD KHUSNI MAULANA</t>
  </si>
  <si>
    <t>AKH. KHUSNI MUBAROK</t>
  </si>
  <si>
    <t>AKHMAD KHOERUL UMAM FADLOLI</t>
  </si>
  <si>
    <t>BURAT</t>
  </si>
  <si>
    <t>DWI NOVI ADLIANSYAH</t>
  </si>
  <si>
    <t>UNYUR</t>
  </si>
  <si>
    <t>FIKIH PRIYANTO</t>
  </si>
  <si>
    <t>KLANGENAN</t>
  </si>
  <si>
    <t>BANGODUA</t>
  </si>
  <si>
    <t>DONI RIZKI FEBRIANA</t>
  </si>
  <si>
    <t>SESEPAN</t>
  </si>
  <si>
    <t>KLUWUT</t>
  </si>
  <si>
    <t>R. INDRA PRASETYA</t>
  </si>
  <si>
    <t>CANDRA PRASETYA BIN PARYONO</t>
  </si>
  <si>
    <t>MUHAMAD TRIYANTO</t>
  </si>
  <si>
    <t>KOTA PADANG PANJANG</t>
  </si>
  <si>
    <t>PADANG PANJANG TIMUR</t>
  </si>
  <si>
    <t>EKOR LUBUK</t>
  </si>
  <si>
    <t>GUNAWAN</t>
  </si>
  <si>
    <t>Gunawan</t>
  </si>
  <si>
    <t>BURHAN BURNAMA</t>
  </si>
  <si>
    <t>GUNUNGGURUH</t>
  </si>
  <si>
    <t>SIRNARESMI</t>
  </si>
  <si>
    <t>MUHAMAD FAKHRI HUSAINI</t>
  </si>
  <si>
    <t>M. FAKHRI HUSAINI</t>
  </si>
  <si>
    <t>BANDAR</t>
  </si>
  <si>
    <t>SIDAYU</t>
  </si>
  <si>
    <t>EDI SUSANTO</t>
  </si>
  <si>
    <t>SUKRA</t>
  </si>
  <si>
    <t>SUKRA WETAN</t>
  </si>
  <si>
    <t>ANDRI MULYONO</t>
  </si>
  <si>
    <t>M. BINTANG SABILI</t>
  </si>
  <si>
    <t>MUHAMMAD BINTANG SABILI</t>
  </si>
  <si>
    <t>UNTUNG URIP</t>
  </si>
  <si>
    <t>SYAHDAN ADITYA</t>
  </si>
  <si>
    <t>MUHAMMAD ABDUL QODIR JAELANI</t>
  </si>
  <si>
    <t>SUMURPANGGANG</t>
  </si>
  <si>
    <t>AHMAD FAIQ</t>
  </si>
  <si>
    <t>GUNUNG TALANG</t>
  </si>
  <si>
    <t>BATANG BARUS</t>
  </si>
  <si>
    <t>IMAM SOBARI</t>
  </si>
  <si>
    <t>IMAM SOBARI BIN MUNTOHA</t>
  </si>
  <si>
    <t>SEMARANG</t>
  </si>
  <si>
    <t>AMBARAWA</t>
  </si>
  <si>
    <t>LODOYONG</t>
  </si>
  <si>
    <t>MOH. ANGGI PRAMANA</t>
  </si>
  <si>
    <t>M.ANGGI PERAMANA</t>
  </si>
  <si>
    <t>EDI HERMANTO</t>
  </si>
  <si>
    <t>PANUNGGANGAN BARAT</t>
  </si>
  <si>
    <t>SOBIRIN</t>
  </si>
  <si>
    <t>WONOGIRI</t>
  </si>
  <si>
    <t>NGUNTORONADI</t>
  </si>
  <si>
    <t>SEMIN</t>
  </si>
  <si>
    <t>AFIP PUROKHMAN</t>
  </si>
  <si>
    <t>SEYEGAN</t>
  </si>
  <si>
    <t>MARGOMULYO</t>
  </si>
  <si>
    <t>AMANATUL WAKHIDAH</t>
  </si>
  <si>
    <t>VITRA DWI RAMADANI</t>
  </si>
  <si>
    <t>SITI DEWI MASITOH</t>
  </si>
  <si>
    <t>PANGGUNG KIDUL</t>
  </si>
  <si>
    <t>NONIKA</t>
  </si>
  <si>
    <t>SITI ROKHAYATI</t>
  </si>
  <si>
    <t>DARSITI</t>
  </si>
  <si>
    <t>CIGEDOG</t>
  </si>
  <si>
    <t>DEWI LESTARI</t>
  </si>
  <si>
    <t>CIJULANG</t>
  </si>
  <si>
    <t>ARTIRA RIZQIANI</t>
  </si>
  <si>
    <t>MESUJI</t>
  </si>
  <si>
    <t>PANCA JAYA</t>
  </si>
  <si>
    <t>ADI KARYA MULYA</t>
  </si>
  <si>
    <t>Artira Rizqiani</t>
  </si>
  <si>
    <t>SRI YULIANA</t>
  </si>
  <si>
    <t>KASOKANDEL</t>
  </si>
  <si>
    <t>RANJI WETAN</t>
  </si>
  <si>
    <t>SITI MUASIROH</t>
  </si>
  <si>
    <t>SITI NURLAELA</t>
  </si>
  <si>
    <t>SITI NUR LAELA</t>
  </si>
  <si>
    <t>MUDRIKAH</t>
  </si>
  <si>
    <t>SINTA SEPTIYANI</t>
  </si>
  <si>
    <t>Sinta septiyani</t>
  </si>
  <si>
    <t>MUHAMMAD HUSEN FADILLAH</t>
  </si>
  <si>
    <t>MUHAMMAD HUSEN FADILAH</t>
  </si>
  <si>
    <t>FEBBY MONICA PUTRI</t>
  </si>
  <si>
    <t>BATU AMPAR</t>
  </si>
  <si>
    <t>SUNGAI JODOH</t>
  </si>
  <si>
    <t>Ajeng Fidiya Putri</t>
  </si>
  <si>
    <t>AJENG FIDIYA PUTRI</t>
  </si>
  <si>
    <t>SISMI MUFTA AINI</t>
  </si>
  <si>
    <t>SISMI MUFTAANI</t>
  </si>
  <si>
    <t>Suniroh</t>
  </si>
  <si>
    <t>SUNIRAH</t>
  </si>
  <si>
    <t>KORI'ATUL ISTIKOMAH</t>
  </si>
  <si>
    <t>QORI'ATUL ISTIQOMAH</t>
  </si>
  <si>
    <t>WINDRIYANI</t>
  </si>
  <si>
    <t>CINANGKA</t>
  </si>
  <si>
    <t>RESTI TARWIYATI</t>
  </si>
  <si>
    <t>CEMPAKA PUTIH BARAT</t>
  </si>
  <si>
    <t>resti tarwiyati</t>
  </si>
  <si>
    <t>WINDA AYU LESTARI</t>
  </si>
  <si>
    <t>ASRI WAHYUNI</t>
  </si>
  <si>
    <t>BABAKAN CIPARAY</t>
  </si>
  <si>
    <t>BABAKAN</t>
  </si>
  <si>
    <t>AAN DARWATI</t>
  </si>
  <si>
    <t>SRI WAHYUNINGSIH</t>
  </si>
  <si>
    <t>RENGASBANDUNG</t>
  </si>
  <si>
    <t>ROMLAH</t>
  </si>
  <si>
    <t>RIZKY ALAM FADILLAH</t>
  </si>
  <si>
    <t>ELI BADRIYAH</t>
  </si>
  <si>
    <t>maryati maulana putri</t>
  </si>
  <si>
    <t>MARYATI MAULANA PUTRI</t>
  </si>
  <si>
    <t>I'IN MUTIARA SARI</t>
  </si>
  <si>
    <t>Iin mutiara sari</t>
  </si>
  <si>
    <t>MAGETAN</t>
  </si>
  <si>
    <t>KAWEDANAN</t>
  </si>
  <si>
    <t>SUGIHREJO</t>
  </si>
  <si>
    <t>IRWI IKVIYANI</t>
  </si>
  <si>
    <t>GODEAN</t>
  </si>
  <si>
    <t>SIDOLUHUR</t>
  </si>
  <si>
    <t>MA'WAH SALSABILA</t>
  </si>
  <si>
    <t>MA 'WAH SALSABILA</t>
  </si>
  <si>
    <t>MUTHOHAROH</t>
  </si>
  <si>
    <t>ELA SILVIANA</t>
  </si>
  <si>
    <t>KOTA BANDAR LAMPUNG</t>
  </si>
  <si>
    <t>TANJUNG SENANG</t>
  </si>
  <si>
    <t>LABUHAN DALAM</t>
  </si>
  <si>
    <t>YULI MULIYANA</t>
  </si>
  <si>
    <t>TEGALWULUNG</t>
  </si>
  <si>
    <t>BELA VIVIAN SEPTI ANJARSARI</t>
  </si>
  <si>
    <t>Bela Vivian Septi Anjarsari</t>
  </si>
  <si>
    <t>RINGINREJO</t>
  </si>
  <si>
    <t>DEYENG</t>
  </si>
  <si>
    <t>MUWAFIQOTUL LAELA</t>
  </si>
  <si>
    <t>MUAFIQOTUL LAELA</t>
  </si>
  <si>
    <t>LEL AWALIYAH</t>
  </si>
  <si>
    <t>SITI MASITOH</t>
  </si>
  <si>
    <t>MASLAKHA</t>
  </si>
  <si>
    <t>MAGUWOHARJO</t>
  </si>
  <si>
    <t>AKHLA AULIYA ZAINUBA</t>
  </si>
  <si>
    <t>AKHLA AULIA ZAINUBA</t>
  </si>
  <si>
    <t>AYU LESTARI</t>
  </si>
  <si>
    <t>ARI SUCI INDAH PERTIWI</t>
  </si>
  <si>
    <t>AIR SUCI INDAH PERTIWI</t>
  </si>
  <si>
    <t>HINDUN</t>
  </si>
  <si>
    <t>SARINI</t>
  </si>
  <si>
    <t>SITI ROHANI</t>
  </si>
  <si>
    <t>siti rohani</t>
  </si>
  <si>
    <t>HARYANTO</t>
  </si>
  <si>
    <t>SELOGIRI</t>
  </si>
  <si>
    <t>GEMANTAR</t>
  </si>
  <si>
    <t>BAKTI SOLIHIN</t>
  </si>
  <si>
    <t>SODIKIN</t>
  </si>
  <si>
    <t>KAYEN KIDUL</t>
  </si>
  <si>
    <t>BAYE</t>
  </si>
  <si>
    <t>ARUL MA'RUF</t>
  </si>
  <si>
    <t>KRESNA WIJAYA</t>
  </si>
  <si>
    <t>AKHMAD NURYAMIN</t>
  </si>
  <si>
    <t>KERTASINDUYASA</t>
  </si>
  <si>
    <t>SUMAJI</t>
  </si>
  <si>
    <t>KERTABESUKI</t>
  </si>
  <si>
    <t>WAKRIBADI</t>
  </si>
  <si>
    <t>BEKASIJAYA</t>
  </si>
  <si>
    <t>WAKRI BADI</t>
  </si>
  <si>
    <t>DUMELING</t>
  </si>
  <si>
    <t>ENI LATIFAH</t>
  </si>
  <si>
    <t>KHOMARUL FADILAH</t>
  </si>
  <si>
    <t>PASARBATANG</t>
  </si>
  <si>
    <t>MULYADI</t>
  </si>
  <si>
    <t>BULUSARI</t>
  </si>
  <si>
    <t>Mulyadi</t>
  </si>
  <si>
    <t>ROPANI</t>
  </si>
  <si>
    <t>SUBAN ZUHRI</t>
  </si>
  <si>
    <t>DARMINTO</t>
  </si>
  <si>
    <t>KALIWADAS</t>
  </si>
  <si>
    <t>TASORI</t>
  </si>
  <si>
    <t>BANGSRI</t>
  </si>
  <si>
    <t>tasori</t>
  </si>
  <si>
    <t>NUR ELA</t>
  </si>
  <si>
    <t>Nur Ela</t>
  </si>
  <si>
    <t>IRNA MEILUSIANA</t>
  </si>
  <si>
    <t>ABDUL AZID</t>
  </si>
  <si>
    <t>WAMAT</t>
  </si>
  <si>
    <t>PAMEDARAN</t>
  </si>
  <si>
    <t>CARSINI</t>
  </si>
  <si>
    <t>carsini</t>
  </si>
  <si>
    <t>CIMUNDING</t>
  </si>
  <si>
    <t>SITI BADRIYAH</t>
  </si>
  <si>
    <t>YUSUF AJI TOROF</t>
  </si>
  <si>
    <t>PESURUNGAN KIDUL</t>
  </si>
  <si>
    <t>Yusuf Aji Torof</t>
  </si>
  <si>
    <t>MOH. KHALIMI</t>
  </si>
  <si>
    <t>DEBONG KIDUL</t>
  </si>
  <si>
    <t>MOH.KHALIMI</t>
  </si>
  <si>
    <t>ADE KRIYADI</t>
  </si>
  <si>
    <t>EDO SATRIADI</t>
  </si>
  <si>
    <t>SEDAYU</t>
  </si>
  <si>
    <t>ARGODADI</t>
  </si>
  <si>
    <t>KHOIRUL ANAM</t>
  </si>
  <si>
    <t>BLITAR</t>
  </si>
  <si>
    <t>WONODADI</t>
  </si>
  <si>
    <t>SALAM</t>
  </si>
  <si>
    <t>ERLIANA DITTA PRASANTI</t>
  </si>
  <si>
    <t>TAROKAN</t>
  </si>
  <si>
    <t>ERLIANA DITA PRASANTI</t>
  </si>
  <si>
    <t>MUHAMMAD SHOLEH</t>
  </si>
  <si>
    <t>BANGKALAN</t>
  </si>
  <si>
    <t>MODUNG</t>
  </si>
  <si>
    <t>PATENTENG</t>
  </si>
  <si>
    <t>BUNA</t>
  </si>
  <si>
    <t>JAYANUDIN</t>
  </si>
  <si>
    <t>LABUAN</t>
  </si>
  <si>
    <t>BANYUBIRU</t>
  </si>
  <si>
    <t>jayanudin</t>
  </si>
  <si>
    <t>SALZABILA</t>
  </si>
  <si>
    <t>BINONG</t>
  </si>
  <si>
    <t>SRI INDAH WAHYU LESTARI</t>
  </si>
  <si>
    <t>CISOKA</t>
  </si>
  <si>
    <t>CIBUGEL</t>
  </si>
  <si>
    <t>DAROJATUN DIMAS PRIHATNA</t>
  </si>
  <si>
    <t>SUKADANA</t>
  </si>
  <si>
    <t>TRISNO</t>
  </si>
  <si>
    <t>ADISANA</t>
  </si>
  <si>
    <t>JUMROHYANI</t>
  </si>
  <si>
    <t>SITI JAETUN</t>
  </si>
  <si>
    <t>GUNUNG SINDUR</t>
  </si>
  <si>
    <t>djaetun</t>
  </si>
  <si>
    <t>SITI ZAHRO</t>
  </si>
  <si>
    <t>KERTAK HANYAR</t>
  </si>
  <si>
    <t>MANARAP LAMA</t>
  </si>
  <si>
    <t>SABIHIS</t>
  </si>
  <si>
    <t>HULU SUNGAI UTARA</t>
  </si>
  <si>
    <t>AMUNTAI TENGAH</t>
  </si>
  <si>
    <t>PALAMPITAN HULU</t>
  </si>
  <si>
    <t>SABIIS</t>
  </si>
  <si>
    <t>IWAN NAWAWI</t>
  </si>
  <si>
    <t>HASPULLAH</t>
  </si>
  <si>
    <t>KOTA BANJARMASIN</t>
  </si>
  <si>
    <t>BANJARMASIN TIMUR</t>
  </si>
  <si>
    <t>PEKAPURAN RAYA</t>
  </si>
  <si>
    <t>QODIM</t>
  </si>
  <si>
    <t>HASAN ANAS</t>
  </si>
  <si>
    <t>KEBOLEDAN</t>
  </si>
  <si>
    <t>MOHAMMAD MA'RUF</t>
  </si>
  <si>
    <t>BAYANGKARA</t>
  </si>
  <si>
    <t>MA'RUP</t>
  </si>
  <si>
    <t>MASUDIN</t>
  </si>
  <si>
    <t>MAS'UDIN</t>
  </si>
  <si>
    <t>IRMAN</t>
  </si>
  <si>
    <t>KAPUK MUARA</t>
  </si>
  <si>
    <t>PAGERBARANG</t>
  </si>
  <si>
    <t>JATIWANGI</t>
  </si>
  <si>
    <t>KARITAH</t>
  </si>
  <si>
    <t>SEMBOJA</t>
  </si>
  <si>
    <t>SITI ASANI</t>
  </si>
  <si>
    <t>SOPAH WATI</t>
  </si>
  <si>
    <t>Iin kartika</t>
  </si>
  <si>
    <t>MULYOHARJO</t>
  </si>
  <si>
    <t>ABDUL MUHIT</t>
  </si>
  <si>
    <t>PADEMANGAN TIMUR</t>
  </si>
  <si>
    <t>abdul muhit</t>
  </si>
  <si>
    <t>SIDAMULYA</t>
  </si>
  <si>
    <t>FUI KHIM</t>
  </si>
  <si>
    <t>MAPHAR</t>
  </si>
  <si>
    <t>DESTI DWI SEPTIA NURYANI</t>
  </si>
  <si>
    <t>DIAN FAJRIYAH</t>
  </si>
  <si>
    <t>DURI SELATAN</t>
  </si>
  <si>
    <t>KERTAHARJA</t>
  </si>
  <si>
    <t>RIZKI PUJI PRATAMA</t>
  </si>
  <si>
    <t>ANGKE</t>
  </si>
  <si>
    <t>RANDUSARI</t>
  </si>
  <si>
    <t>SUDIR BIN KASAM</t>
  </si>
  <si>
    <t>MAKASAR</t>
  </si>
  <si>
    <t>KEBON PALA</t>
  </si>
  <si>
    <t>SUDIR</t>
  </si>
  <si>
    <t>SUTIYAH</t>
  </si>
  <si>
    <t>FEBRIAN NANDA RIZKI</t>
  </si>
  <si>
    <t>CIRACAS</t>
  </si>
  <si>
    <t>KELAPA DUA WETAN</t>
  </si>
  <si>
    <t>SUWITO</t>
  </si>
  <si>
    <t>WAIDAH</t>
  </si>
  <si>
    <t>SUGI SABARA</t>
  </si>
  <si>
    <t>GUNUNG PUTRI</t>
  </si>
  <si>
    <t>BOJONG NANGKA</t>
  </si>
  <si>
    <t>CASTAM</t>
  </si>
  <si>
    <t>AHMAD YANI</t>
  </si>
  <si>
    <t>KALIMANGGIS</t>
  </si>
  <si>
    <t>PARTAWANGUNAN</t>
  </si>
  <si>
    <t>AFIF RAMADHAN ABDURROHMAN</t>
  </si>
  <si>
    <t>CIBEUREUM</t>
  </si>
  <si>
    <t>SUKARAPIH</t>
  </si>
  <si>
    <t>AFIF RAMADHAN A</t>
  </si>
  <si>
    <t>DEDEN ANDRIYONO</t>
  </si>
  <si>
    <t>SUMEDANG</t>
  </si>
  <si>
    <t>UJUNGJAYA</t>
  </si>
  <si>
    <t>UNENG RUSALIM</t>
  </si>
  <si>
    <t>PANGULAH SELATAN</t>
  </si>
  <si>
    <t>NISA MUTIANAH</t>
  </si>
  <si>
    <t>SIYAMTO</t>
  </si>
  <si>
    <t>KARANG BAHAGIA</t>
  </si>
  <si>
    <t>SUKARAYA</t>
  </si>
  <si>
    <t>SUROKIDUL</t>
  </si>
  <si>
    <t>AMIN MUJI TABAH</t>
  </si>
  <si>
    <t>DURENJAYA</t>
  </si>
  <si>
    <t>RAJEGWESI</t>
  </si>
  <si>
    <t>SIWEN</t>
  </si>
  <si>
    <t>NOTO B KARYAD</t>
  </si>
  <si>
    <t>PESAREAN</t>
  </si>
  <si>
    <t>ENDANG MUZAYANAH</t>
  </si>
  <si>
    <t>EKA AGUSTINA MEDEKAWATI</t>
  </si>
  <si>
    <t>EKA AGUSTINA MERDEKAWATI</t>
  </si>
  <si>
    <t>ROCHAENI</t>
  </si>
  <si>
    <t>MUSLIMAH</t>
  </si>
  <si>
    <t>WAGIRPANDAN</t>
  </si>
  <si>
    <t>BUDI CAHYONO</t>
  </si>
  <si>
    <t>GABUS</t>
  </si>
  <si>
    <t>JASWADI</t>
  </si>
  <si>
    <t>PATI</t>
  </si>
  <si>
    <t>KAYEN</t>
  </si>
  <si>
    <t>DURENSAWIT</t>
  </si>
  <si>
    <t>AGUS SLAMET</t>
  </si>
  <si>
    <t>AGUS SLAMET BIN SAID</t>
  </si>
  <si>
    <t>Nur Afendi</t>
  </si>
  <si>
    <t>NUR AFENDI</t>
  </si>
  <si>
    <t>KALIPANCUR</t>
  </si>
  <si>
    <t>TOIRUN</t>
  </si>
  <si>
    <t>PAKUHAJI</t>
  </si>
  <si>
    <t>GAGA</t>
  </si>
  <si>
    <t>MOCHAMAD WAHYUDIN</t>
  </si>
  <si>
    <t>RUDIYANTO</t>
  </si>
  <si>
    <t>PURWOREJA KLAMPOK</t>
  </si>
  <si>
    <t>PURWAREJA</t>
  </si>
  <si>
    <t>Sugeng Mulyadi</t>
  </si>
  <si>
    <t>SUGENG MULYADI</t>
  </si>
  <si>
    <t>CENANG</t>
  </si>
  <si>
    <t>SEH KODIR</t>
  </si>
  <si>
    <t>PRIO MAULANA</t>
  </si>
  <si>
    <t>MUHAMMAD PRIO MAULANA</t>
  </si>
  <si>
    <t>BOJONEGORO</t>
  </si>
  <si>
    <t>NGRAHO</t>
  </si>
  <si>
    <t>PANDAN</t>
  </si>
  <si>
    <t>MOHAMMAD ASRARI KHUDI</t>
  </si>
  <si>
    <t>MUHAMMAD ASRARI KHUDI</t>
  </si>
  <si>
    <t>WANTORO</t>
  </si>
  <si>
    <t>CARENANG</t>
  </si>
  <si>
    <t>MEKARSARI</t>
  </si>
  <si>
    <t>AKHMAD SODIKIN</t>
  </si>
  <si>
    <t>ali mustofa</t>
  </si>
  <si>
    <t>DARNO</t>
  </si>
  <si>
    <t>DIMAS RAMADHAN</t>
  </si>
  <si>
    <t>DIMAZ RAMADAN</t>
  </si>
  <si>
    <t>JOKO PARYANTO</t>
  </si>
  <si>
    <t>M. ABDUL MUNIF</t>
  </si>
  <si>
    <t>SINGGIH PANGESTU</t>
  </si>
  <si>
    <t>BARITO UTARA</t>
  </si>
  <si>
    <t>MONTALLAT</t>
  </si>
  <si>
    <t>PARING LAHUNG</t>
  </si>
  <si>
    <t>CASMADI</t>
  </si>
  <si>
    <t>BEKASI UTARA</t>
  </si>
  <si>
    <t>TELUK PUCUNG</t>
  </si>
  <si>
    <t>ABDUL HOPAR</t>
  </si>
  <si>
    <t>Abdul Hopar</t>
  </si>
  <si>
    <t>NAWANG MARDIATMA</t>
  </si>
  <si>
    <t>TULANG BAWANG</t>
  </si>
  <si>
    <t>MERAKSA AJI</t>
  </si>
  <si>
    <t>SUKARAME</t>
  </si>
  <si>
    <t>YOGI ADI PRATAMA</t>
  </si>
  <si>
    <t>CUKUH BALAK</t>
  </si>
  <si>
    <t>KACAMARGA</t>
  </si>
  <si>
    <t>SUWITNO</t>
  </si>
  <si>
    <t>TEBET</t>
  </si>
  <si>
    <t>MANGGARAI</t>
  </si>
  <si>
    <t>TARDI</t>
  </si>
  <si>
    <t>WAKHIDIN</t>
  </si>
  <si>
    <t>WARJOKO</t>
  </si>
  <si>
    <t>TEGALGLAGAH</t>
  </si>
  <si>
    <t>Warjoko</t>
  </si>
  <si>
    <t>MOH. KHOLIL</t>
  </si>
  <si>
    <t>DURI UTARA</t>
  </si>
  <si>
    <t>IMAM KARTONO</t>
  </si>
  <si>
    <t>TENGGULI</t>
  </si>
  <si>
    <t>ABU BAKAR</t>
  </si>
  <si>
    <t>CIKUPA</t>
  </si>
  <si>
    <t>TALAGASARI</t>
  </si>
  <si>
    <t>ARIS SUTRISNO</t>
  </si>
  <si>
    <t>PACITAN</t>
  </si>
  <si>
    <t>TEGALOMBO</t>
  </si>
  <si>
    <t>KEDUNGSUGIH</t>
  </si>
  <si>
    <t>WAHUDI</t>
  </si>
  <si>
    <t>WAHUDIN</t>
  </si>
  <si>
    <t>RANDUDONGKAL</t>
  </si>
  <si>
    <t>SEMINGKIR</t>
  </si>
  <si>
    <t>MUHAMAD NURIDIN</t>
  </si>
  <si>
    <t>CILILIN</t>
  </si>
  <si>
    <t>RANCAPANGGUNG</t>
  </si>
  <si>
    <t>Muhamad nuridin</t>
  </si>
  <si>
    <t>PADILAH SIDIK</t>
  </si>
  <si>
    <t>KUALA KENCANA</t>
  </si>
  <si>
    <t>ROMA PRAWITNO SAPUTRO</t>
  </si>
  <si>
    <t>KLAMPIS</t>
  </si>
  <si>
    <t>ROMA PRAWITNO</t>
  </si>
  <si>
    <t>JEFRIYANTO</t>
  </si>
  <si>
    <t>HARIST CANDRA RAMDHANI</t>
  </si>
  <si>
    <t>MEI YAZID</t>
  </si>
  <si>
    <t>Mei yazid</t>
  </si>
  <si>
    <t>PIYUNGAN</t>
  </si>
  <si>
    <t>SITIMULYO</t>
  </si>
  <si>
    <t>BAMBANG SUGIYONO</t>
  </si>
  <si>
    <t>KARANGLO</t>
  </si>
  <si>
    <t>KARSO</t>
  </si>
  <si>
    <t>JUWANA</t>
  </si>
  <si>
    <t>DUKUTALIT</t>
  </si>
  <si>
    <t>EGA ADI PRIYAMBODO</t>
  </si>
  <si>
    <t>ega adi priambodo</t>
  </si>
  <si>
    <t>MOH. SYAHRONI</t>
  </si>
  <si>
    <t>PURWOJATI</t>
  </si>
  <si>
    <t>KARANGTALUN KIDUL</t>
  </si>
  <si>
    <t>M. SYAHRONI</t>
  </si>
  <si>
    <t>RIFQI MUSLIM</t>
  </si>
  <si>
    <t>AHMAD SANTOSO</t>
  </si>
  <si>
    <t>MUHAMAD MUJI</t>
  </si>
  <si>
    <t>Muhamad muji</t>
  </si>
  <si>
    <t>JAENUDIN</t>
  </si>
  <si>
    <t>JANUDIN</t>
  </si>
  <si>
    <t>SAMSUL ARIPIN</t>
  </si>
  <si>
    <t>Samsul Arifin</t>
  </si>
  <si>
    <t>DAEN SISWANTO</t>
  </si>
  <si>
    <t>DAUN</t>
  </si>
  <si>
    <t>agus jubaidi</t>
  </si>
  <si>
    <t>SECANG</t>
  </si>
  <si>
    <t>KRINCING</t>
  </si>
  <si>
    <t>AGUS JUBAENI</t>
  </si>
  <si>
    <t>IDRIS APANDI</t>
  </si>
  <si>
    <t>Idris Apandi</t>
  </si>
  <si>
    <t>MOKH. YANUAR DANI SAPUTRA</t>
  </si>
  <si>
    <t>MOKH YANUAR DHANI SAPUTRA</t>
  </si>
  <si>
    <t>M ISLAKHUL MUSLIM</t>
  </si>
  <si>
    <t>Riyan Pujianto</t>
  </si>
  <si>
    <t>TEMBELANG</t>
  </si>
  <si>
    <t>BAGUS RIYADI</t>
  </si>
  <si>
    <t>JANEGARA</t>
  </si>
  <si>
    <t>RIYA ANDI SAEFULLOH</t>
  </si>
  <si>
    <t>ACHMAD ROSIDIK</t>
  </si>
  <si>
    <t>AHMAD ROSIDIK</t>
  </si>
  <si>
    <t>ROJIKIN</t>
  </si>
  <si>
    <t>KLAMPOK</t>
  </si>
  <si>
    <t>JAELANI</t>
  </si>
  <si>
    <t>jaelani</t>
  </si>
  <si>
    <t>ABDUL JAMIL</t>
  </si>
  <si>
    <t>MUHAMAD PONIJAN</t>
  </si>
  <si>
    <t>PURWOREJO</t>
  </si>
  <si>
    <t>PITURUH</t>
  </si>
  <si>
    <t>PRAPAGLOR</t>
  </si>
  <si>
    <t>ANDANG PURWANGESTU</t>
  </si>
  <si>
    <t>ALIF JUWANDA</t>
  </si>
  <si>
    <t>RIKI RIANTO</t>
  </si>
  <si>
    <t>KARANGPUCUNG</t>
  </si>
  <si>
    <t>SINDANGBARANG</t>
  </si>
  <si>
    <t>RIWEN</t>
  </si>
  <si>
    <t>JATIPULO</t>
  </si>
  <si>
    <t>Riwen</t>
  </si>
  <si>
    <t>NUR HIKMAH INDRIYANI</t>
  </si>
  <si>
    <t>SEMARANG SELATAN</t>
  </si>
  <si>
    <t>LAMPER KIDUL</t>
  </si>
  <si>
    <t>NUR HIKMAH</t>
  </si>
  <si>
    <t>NURLAELA</t>
  </si>
  <si>
    <t>CAKUNG TIMUR</t>
  </si>
  <si>
    <t>DAIROH</t>
  </si>
  <si>
    <t>RUNTAH</t>
  </si>
  <si>
    <t>runtah</t>
  </si>
  <si>
    <t>KEMIRIAMBA</t>
  </si>
  <si>
    <t>MAY DINA ASRI</t>
  </si>
  <si>
    <t>KEDUNGBOKOR</t>
  </si>
  <si>
    <t>IRA OKTAVIANI</t>
  </si>
  <si>
    <t>BUARA</t>
  </si>
  <si>
    <t>NUR AISYAH</t>
  </si>
  <si>
    <t>LUTFIANAH</t>
  </si>
  <si>
    <t>JEMBATAN BESI</t>
  </si>
  <si>
    <t>Litfianah</t>
  </si>
  <si>
    <t>DURIYAH</t>
  </si>
  <si>
    <t>MURNI</t>
  </si>
  <si>
    <t>ULYANI</t>
  </si>
  <si>
    <t>TOMANG</t>
  </si>
  <si>
    <t>IDA ROYANI</t>
  </si>
  <si>
    <t>KEBASEN</t>
  </si>
  <si>
    <t>CINDAGA</t>
  </si>
  <si>
    <t>NUR AFNI</t>
  </si>
  <si>
    <t>KEBAGUSAN</t>
  </si>
  <si>
    <t>DELINAH</t>
  </si>
  <si>
    <t>SULAWESI TENGGARA</t>
  </si>
  <si>
    <t>KONAWE</t>
  </si>
  <si>
    <t>UEPAI</t>
  </si>
  <si>
    <t>AMERORO</t>
  </si>
  <si>
    <t>RATNASARI</t>
  </si>
  <si>
    <t>KERTASARI</t>
  </si>
  <si>
    <t>SAIDAH</t>
  </si>
  <si>
    <t>saidah</t>
  </si>
  <si>
    <t>SITI UMAYAH</t>
  </si>
  <si>
    <t>PADAKATON</t>
  </si>
  <si>
    <t>NURHAYATI</t>
  </si>
  <si>
    <t>NUR HAYATI</t>
  </si>
  <si>
    <t>YUNI</t>
  </si>
  <si>
    <t>KEDUNG JAYA</t>
  </si>
  <si>
    <t>MUHAMMAD IKHSAN</t>
  </si>
  <si>
    <t>KUTOREJO</t>
  </si>
  <si>
    <t>NUR LAIL MULYATI</t>
  </si>
  <si>
    <t>BRANI</t>
  </si>
  <si>
    <t>TASRIYAH</t>
  </si>
  <si>
    <t>CENGKARENG TIMUR</t>
  </si>
  <si>
    <t>Winarsih</t>
  </si>
  <si>
    <t>AAM AMINAH</t>
  </si>
  <si>
    <t>KOTA SAMARINDA</t>
  </si>
  <si>
    <t>LOA JANAN ILIR</t>
  </si>
  <si>
    <t>HARAPAN BARU</t>
  </si>
  <si>
    <t>SITI NURYATI</t>
  </si>
  <si>
    <t>ISMI HUMAIROH ALYANTI</t>
  </si>
  <si>
    <t>ISMI H.</t>
  </si>
  <si>
    <t>LAMONGAN</t>
  </si>
  <si>
    <t>NGIMBANG</t>
  </si>
  <si>
    <t>LAMONGREJO</t>
  </si>
  <si>
    <t>AAH FARKHATI</t>
  </si>
  <si>
    <t>siti alfiyatun</t>
  </si>
  <si>
    <t>LIMBANGAN</t>
  </si>
  <si>
    <t>RETNO SALARAS MAHATI</t>
  </si>
  <si>
    <t>SIDOARJO</t>
  </si>
  <si>
    <t>KRIAN</t>
  </si>
  <si>
    <t>SISIL INDAH YANI</t>
  </si>
  <si>
    <t>YULIANA</t>
  </si>
  <si>
    <t>JALAKSANA</t>
  </si>
  <si>
    <t>SANGKANERANG</t>
  </si>
  <si>
    <t>RUMINAH</t>
  </si>
  <si>
    <t>CIGANJUR</t>
  </si>
  <si>
    <t>Dewi Hartati</t>
  </si>
  <si>
    <t>MURSIAH</t>
  </si>
  <si>
    <t>LEMBARAWA</t>
  </si>
  <si>
    <t>BUNGA ZAETUN</t>
  </si>
  <si>
    <t>NOK ASIH</t>
  </si>
  <si>
    <t>JATIBARANG KIDUL</t>
  </si>
  <si>
    <t>nok asih</t>
  </si>
  <si>
    <t>YULI MAELANI</t>
  </si>
  <si>
    <t>WANIROH</t>
  </si>
  <si>
    <t>NAWA SALISAH</t>
  </si>
  <si>
    <t>KEMIRI</t>
  </si>
  <si>
    <t>KEMIRI KIDUL</t>
  </si>
  <si>
    <t>AFIYATUL MAULIDAH</t>
  </si>
  <si>
    <t>KOTAGEDE</t>
  </si>
  <si>
    <t>PRENGGAN</t>
  </si>
  <si>
    <t>SITI SOIDAH</t>
  </si>
  <si>
    <t>Siti Soidah</t>
  </si>
  <si>
    <t>SRI MAULIANA R.K. LESTARI</t>
  </si>
  <si>
    <t>SRI MAULIANA</t>
  </si>
  <si>
    <t>DIAH AYU LESTARI</t>
  </si>
  <si>
    <t>Diah Ayu Lestari</t>
  </si>
  <si>
    <t>CARSIH</t>
  </si>
  <si>
    <t>DESI SUKMASARI</t>
  </si>
  <si>
    <t>KEPATIHAN</t>
  </si>
  <si>
    <t>KHAPIDOH</t>
  </si>
  <si>
    <t>WATRIYAH</t>
  </si>
  <si>
    <t>WIDIYAH FITRI</t>
  </si>
  <si>
    <t>PUPUT RISMIYATI</t>
  </si>
  <si>
    <t>Puput Rismiyati</t>
  </si>
  <si>
    <t>ASTRI ISMI UMAYA</t>
  </si>
  <si>
    <t>MARDIYAH</t>
  </si>
  <si>
    <t>RATNAWATI</t>
  </si>
  <si>
    <t>WILDAN QOMARUDIN</t>
  </si>
  <si>
    <t>MUHAMMAD NUR FAIZAL</t>
  </si>
  <si>
    <t>CILIBUR</t>
  </si>
  <si>
    <t>M.NUR FAIZAL</t>
  </si>
  <si>
    <t>BAYU AJI PRIYANTO</t>
  </si>
  <si>
    <t>PAKUJATI</t>
  </si>
  <si>
    <t>DIAN ANGGRAENI</t>
  </si>
  <si>
    <t>TAMRIN</t>
  </si>
  <si>
    <t>KASMURI</t>
  </si>
  <si>
    <t>Zainudin</t>
  </si>
  <si>
    <t>HERLAN ANDINI SETIAWAN</t>
  </si>
  <si>
    <t>Agus riyanto</t>
  </si>
  <si>
    <t>KUSYADI</t>
  </si>
  <si>
    <t>Kusyadi</t>
  </si>
  <si>
    <t>YUDI SUPRIYANTO</t>
  </si>
  <si>
    <t>SUHIARTO</t>
  </si>
  <si>
    <t>suhiarto</t>
  </si>
  <si>
    <t>MOKHAMAD ANGGA LESMANA</t>
  </si>
  <si>
    <t>WARIDIN</t>
  </si>
  <si>
    <t>KENDAWA</t>
  </si>
  <si>
    <t>SUWARNO</t>
  </si>
  <si>
    <t>MOH MANSURUDIN</t>
  </si>
  <si>
    <t>NUR FASICHA</t>
  </si>
  <si>
    <t>HERLINAH BUDIATI</t>
  </si>
  <si>
    <t>RIZQIANI INDAH</t>
  </si>
  <si>
    <t>HUTARI RAHMAYANTI</t>
  </si>
  <si>
    <t>SANIYYAH</t>
  </si>
  <si>
    <t>ABU RIZAL AFANDI</t>
  </si>
  <si>
    <t>FAIKOH ARIFIYAH</t>
  </si>
  <si>
    <t>FAIQOH ARIFIYAH</t>
  </si>
  <si>
    <t>LIFATUL UMAMAH</t>
  </si>
  <si>
    <t>ISWANTO</t>
  </si>
  <si>
    <t>TANJUNGSARI</t>
  </si>
  <si>
    <t>TARI</t>
  </si>
  <si>
    <t>SAWOJAJAR</t>
  </si>
  <si>
    <t>RASMANI</t>
  </si>
  <si>
    <t>WARSIDIN</t>
  </si>
  <si>
    <t>KRASAK</t>
  </si>
  <si>
    <t>WASRIDIN</t>
  </si>
  <si>
    <t>HADI RESTUATI</t>
  </si>
  <si>
    <t>PEMARON</t>
  </si>
  <si>
    <t>SUIN</t>
  </si>
  <si>
    <t>MOHAMAD ALBAR</t>
  </si>
  <si>
    <t>AHMAD SUPRIYADI</t>
  </si>
  <si>
    <t>prihayani</t>
  </si>
  <si>
    <t>FATKHUL MUSLIH</t>
  </si>
  <si>
    <t>JATIMAKMUR</t>
  </si>
  <si>
    <t>M SULEMAN</t>
  </si>
  <si>
    <t>M.SULEMAN</t>
  </si>
  <si>
    <t>WANATAWANG</t>
  </si>
  <si>
    <t>EDI SUPENDI</t>
  </si>
  <si>
    <t>SYAHRIL FAHMI SABIRIN</t>
  </si>
  <si>
    <t>MARIA</t>
  </si>
  <si>
    <t>KEMURANG KULON</t>
  </si>
  <si>
    <t>DELTA CAMELIA</t>
  </si>
  <si>
    <t>DENTA CAMELIA</t>
  </si>
  <si>
    <t>PARTO</t>
  </si>
  <si>
    <t>PETUNJUNGAN</t>
  </si>
  <si>
    <t>ABDUL ROZAK</t>
  </si>
  <si>
    <t>RENGASPENDAWA</t>
  </si>
  <si>
    <t>HADIDI DWI LASTIYO</t>
  </si>
  <si>
    <t>SITANGGAL</t>
  </si>
  <si>
    <t>M. IKHWANUDIN</t>
  </si>
  <si>
    <t>NUR PAISAL</t>
  </si>
  <si>
    <t>WININGSIH</t>
  </si>
  <si>
    <t>MURTADOH</t>
  </si>
  <si>
    <t>EKO PRASETYO</t>
  </si>
  <si>
    <t>CABAWAN</t>
  </si>
  <si>
    <t>nurlaela</t>
  </si>
  <si>
    <t>Siti Mu'alifah</t>
  </si>
  <si>
    <t>TAMBAKREJO</t>
  </si>
  <si>
    <t>SITI MUALIFAH</t>
  </si>
  <si>
    <t>DEVI SETYANINGSIH</t>
  </si>
  <si>
    <t>KASIMAN</t>
  </si>
  <si>
    <t>SEKARAN</t>
  </si>
  <si>
    <t>SITI PALAHIAH</t>
  </si>
  <si>
    <t>CURUG BITUNG</t>
  </si>
  <si>
    <t>CIPINING</t>
  </si>
  <si>
    <t>SITI FADILAH</t>
  </si>
  <si>
    <t>MARDI LESTARI</t>
  </si>
  <si>
    <t>BINUANG</t>
  </si>
  <si>
    <t>SUBEHI</t>
  </si>
  <si>
    <t>SURIPUDIN</t>
  </si>
  <si>
    <t>JOMBANG</t>
  </si>
  <si>
    <t>SARIPUDIN</t>
  </si>
  <si>
    <t>SOLICHA</t>
  </si>
  <si>
    <t>ABRAHAM LAMBA NAU</t>
  </si>
  <si>
    <t>Abraham Lamba Nau</t>
  </si>
  <si>
    <t>NUSA TENGGARA TIMUR</t>
  </si>
  <si>
    <t>SUMBA TIMUR</t>
  </si>
  <si>
    <t>LEWA TIDAHU</t>
  </si>
  <si>
    <t>LAIHAU</t>
  </si>
  <si>
    <t>FITRI</t>
  </si>
  <si>
    <t>M NOVAL IKRAM</t>
  </si>
  <si>
    <t>ACEH UTARA</t>
  </si>
  <si>
    <t>NISAM</t>
  </si>
  <si>
    <t>MEUNASAH MEUCAT</t>
  </si>
  <si>
    <t>M. NOVAL IKRAM BIN SAFRI YUSKA</t>
  </si>
  <si>
    <t>SUHERI</t>
  </si>
  <si>
    <t>MEURAH MULIA</t>
  </si>
  <si>
    <t>MESJID</t>
  </si>
  <si>
    <t>SUHERI ALS HERI BIN NURMAN</t>
  </si>
  <si>
    <t>ADI PUTRA SIHOMBING</t>
  </si>
  <si>
    <t>DAIRI</t>
  </si>
  <si>
    <t>LAE PARIRA</t>
  </si>
  <si>
    <t>PANDIANGAN</t>
  </si>
  <si>
    <t>JENDRI MANALU BIN MANAHAN MANALU</t>
  </si>
  <si>
    <t>M. ANDI LUBIS</t>
  </si>
  <si>
    <t>ROKAN HULU</t>
  </si>
  <si>
    <t>RAMBAH</t>
  </si>
  <si>
    <t>RAMBAH TENGAH HULU</t>
  </si>
  <si>
    <t>MUHAMAD ANDI LUBIS BIN MUHAMAD ASPAN LUBIS</t>
  </si>
  <si>
    <t>PARDAMEAN SIMATUPANG</t>
  </si>
  <si>
    <t>LABUHANBATU UTARA</t>
  </si>
  <si>
    <t>KUALUH LEIDONG</t>
  </si>
  <si>
    <t>TANJUNG LEIDONG</t>
  </si>
  <si>
    <t>WINDRA PARDAMEAN SIMATUPANG BIN EFENDI TUBAK SIBURIAN</t>
  </si>
  <si>
    <t>YOGI PRATAMA SEMBIRING BIN MUHAMMAD RIDWAN</t>
  </si>
  <si>
    <t>YOGI PRATAMA SEMBIRING</t>
  </si>
  <si>
    <t>DELI SERDANG</t>
  </si>
  <si>
    <t>KUTALIMBARU</t>
  </si>
  <si>
    <t>NAMO MIRIK</t>
  </si>
  <si>
    <t>TRI BINANGKIT SRIWIJAYANTI</t>
  </si>
  <si>
    <t>KOTA PALEMBANG</t>
  </si>
  <si>
    <t>JAKABARING</t>
  </si>
  <si>
    <t>LIMA-BELAS ULU</t>
  </si>
  <si>
    <t>TRI BINANGKIT SRIWIJAYA</t>
  </si>
  <si>
    <t>YAMANSARI</t>
  </si>
  <si>
    <t>VINA DIKA KINANTI</t>
  </si>
  <si>
    <t>SUKARAMI</t>
  </si>
  <si>
    <t>KEBUNBUNGA</t>
  </si>
  <si>
    <t>PENDAWA</t>
  </si>
  <si>
    <t>AFRIADI SUMAWAN</t>
  </si>
  <si>
    <t>NATAR</t>
  </si>
  <si>
    <t>RULUNG HELOK</t>
  </si>
  <si>
    <t>AFRIADI SUMAWAN BIN SUHARDI</t>
  </si>
  <si>
    <t>MELLY YUNIARTI</t>
  </si>
  <si>
    <t>SENDANG AGUNG</t>
  </si>
  <si>
    <t>BALARADIN</t>
  </si>
  <si>
    <t>NOVAL ARISANDI</t>
  </si>
  <si>
    <t>LAMPUNG UTARA</t>
  </si>
  <si>
    <t>KOTABUMI</t>
  </si>
  <si>
    <t>SRIBASUKI</t>
  </si>
  <si>
    <t>NOVAL ARISANDI BIN SISUDIN (ALM)</t>
  </si>
  <si>
    <t>DANI SAPUTRA</t>
  </si>
  <si>
    <t>SENEN</t>
  </si>
  <si>
    <t>DANI SAPUTRA BIN SUMARNO (ALM)</t>
  </si>
  <si>
    <t>EKO HERMAWAN</t>
  </si>
  <si>
    <t>CEMPAKA PUTIH TIMUR</t>
  </si>
  <si>
    <t>EKO HERMAWAN BIN USMANTO</t>
  </si>
  <si>
    <t>SLAMET DARYANTO</t>
  </si>
  <si>
    <t>DUREN TIGA</t>
  </si>
  <si>
    <t>Slamet Daryono</t>
  </si>
  <si>
    <t>LEBAKGOWAH</t>
  </si>
  <si>
    <t>JENAH</t>
  </si>
  <si>
    <t>TIMBANGREJA</t>
  </si>
  <si>
    <t>ACEP</t>
  </si>
  <si>
    <t>acep</t>
  </si>
  <si>
    <t>RAHADI</t>
  </si>
  <si>
    <t>SUNTER AGUNG</t>
  </si>
  <si>
    <t>SLARANGKIDUL</t>
  </si>
  <si>
    <t>LILI MULYATI</t>
  </si>
  <si>
    <t>TUGU SELATAN</t>
  </si>
  <si>
    <t>AGUNG KURNIAWAN</t>
  </si>
  <si>
    <t>AGUNG KURNIAWAN BIN SOLIKIN (ALM)</t>
  </si>
  <si>
    <t>DWI SAPUTRA</t>
  </si>
  <si>
    <t>KAYURINGINJAYA</t>
  </si>
  <si>
    <t>DWI SAPUTRA BIN SARWIN</t>
  </si>
  <si>
    <t>RIZAL</t>
  </si>
  <si>
    <t>CENGKARENG BARAT</t>
  </si>
  <si>
    <t>ABDUL RIZAL BIN DARMAJI</t>
  </si>
  <si>
    <t>HIDAYAT</t>
  </si>
  <si>
    <t>HIDAYAT ALIAS NCING BIN USUP</t>
  </si>
  <si>
    <t>TRI NURHAMIDAH</t>
  </si>
  <si>
    <t>TRI NUR KHAMIDAH</t>
  </si>
  <si>
    <t>KHAIRON</t>
  </si>
  <si>
    <t>KRUKUT</t>
  </si>
  <si>
    <t>CHAERON</t>
  </si>
  <si>
    <t>KESUBEN</t>
  </si>
  <si>
    <t>SITI MULYANAH</t>
  </si>
  <si>
    <t>NIAS SELATAN</t>
  </si>
  <si>
    <t>FANAYAMA</t>
  </si>
  <si>
    <t>BAWOMATALUO</t>
  </si>
  <si>
    <t>MULYANAH</t>
  </si>
  <si>
    <t>DENI SETIAWAN</t>
  </si>
  <si>
    <t>SUKABUMI SELATAN</t>
  </si>
  <si>
    <t>DENI SETIAWAN BIN UJANG MANSYUR</t>
  </si>
  <si>
    <t>IRWAN SYAH</t>
  </si>
  <si>
    <t>PASAR MANGGIS</t>
  </si>
  <si>
    <t>ADE ERWANSYAH ALIAS CEPOT BIN AZAB (ALM)</t>
  </si>
  <si>
    <t>DAHONO</t>
  </si>
  <si>
    <t>ANDI TAMRIN</t>
  </si>
  <si>
    <t>M. ALIP SUTARJO</t>
  </si>
  <si>
    <t>NAKSA BANDI</t>
  </si>
  <si>
    <t>TEGAL PARANG</t>
  </si>
  <si>
    <t>FARHAN FAUZI RAMADAN</t>
  </si>
  <si>
    <t>KUNINGAN BARAT</t>
  </si>
  <si>
    <t>M. FARHAN FAUZI R</t>
  </si>
  <si>
    <t>NICO ALANSAH</t>
  </si>
  <si>
    <t>BAGUS DWI NURFADILAH</t>
  </si>
  <si>
    <t>TASRIP</t>
  </si>
  <si>
    <t>KAMBANGAN</t>
  </si>
  <si>
    <t>TARJONO</t>
  </si>
  <si>
    <t>SULASMI</t>
  </si>
  <si>
    <t>LEBAKSIU LOR</t>
  </si>
  <si>
    <t>MIFTAHUL JANNAH</t>
  </si>
  <si>
    <t>NILA MARIYATNA</t>
  </si>
  <si>
    <t>YULIYATI</t>
  </si>
  <si>
    <t>PEJATEN BARAT</t>
  </si>
  <si>
    <t>BAMBANG HERMANTO</t>
  </si>
  <si>
    <t>GROGOL SELATAN</t>
  </si>
  <si>
    <t>SITI KOMISAH</t>
  </si>
  <si>
    <t>KEBAYORAN LAMA SELATAN</t>
  </si>
  <si>
    <t>YUNUS SUSANTO</t>
  </si>
  <si>
    <t>GANDARIA UTARA</t>
  </si>
  <si>
    <t>Yunus Susanto BIN Elly Surahman</t>
  </si>
  <si>
    <t>SUKMAN</t>
  </si>
  <si>
    <t>NASRUL ANWAR</t>
  </si>
  <si>
    <t>PETOGOGAN</t>
  </si>
  <si>
    <t>SITI MAR'AH</t>
  </si>
  <si>
    <t>MOHAMAD DWI YOGI</t>
  </si>
  <si>
    <t>Mohammad Dwi Yogi</t>
  </si>
  <si>
    <t>NASUHA</t>
  </si>
  <si>
    <t>Nasuha</t>
  </si>
  <si>
    <t>ENDANG PURWANINGSIH</t>
  </si>
  <si>
    <t>endang purwaningsih</t>
  </si>
  <si>
    <t>SUNARTO</t>
  </si>
  <si>
    <t>DUKUHLO</t>
  </si>
  <si>
    <t>EGI IRAWAN</t>
  </si>
  <si>
    <t>SAIRUN</t>
  </si>
  <si>
    <t>CIPINANG MUARA</t>
  </si>
  <si>
    <t>SUSWATI</t>
  </si>
  <si>
    <t>AHMAD GUNTUR</t>
  </si>
  <si>
    <t>AHMAD GUNTUR BIN H.MUHAMMAD LOTOH (ALM)</t>
  </si>
  <si>
    <t>NOVITASARI CAHYANI M</t>
  </si>
  <si>
    <t>NOVITA SARI CAHYANI</t>
  </si>
  <si>
    <t>SUHANTI</t>
  </si>
  <si>
    <t>UJUNG MENTENG</t>
  </si>
  <si>
    <t>MASRIPAH</t>
  </si>
  <si>
    <t>PONDOK KOPI</t>
  </si>
  <si>
    <t>SYAFIRA FAIZA DEFANI</t>
  </si>
  <si>
    <t>Syafira Faiza defani</t>
  </si>
  <si>
    <t>IJA</t>
  </si>
  <si>
    <t>PAMIJAHAN</t>
  </si>
  <si>
    <t>CIASMARA</t>
  </si>
  <si>
    <t>IJA HAMDANI</t>
  </si>
  <si>
    <t>DUKUHDAMU</t>
  </si>
  <si>
    <t>AJID SUPRIADI</t>
  </si>
  <si>
    <t>CITEUREUP</t>
  </si>
  <si>
    <t>PUSPASARI</t>
  </si>
  <si>
    <t>TAMAROH</t>
  </si>
  <si>
    <t>AMELIA</t>
  </si>
  <si>
    <t>CIGUDEG</t>
  </si>
  <si>
    <t>BANYURESMI</t>
  </si>
  <si>
    <t>RIO KARNEDI</t>
  </si>
  <si>
    <t>RIO KARNEDI BIN H. SLAMET</t>
  </si>
  <si>
    <t>MUHAM SEMBIRING</t>
  </si>
  <si>
    <t>RAMBUTAN</t>
  </si>
  <si>
    <t>MUHAMMAD KELVIN SEMBIRING BIN WAGINAN SEMBIRING</t>
  </si>
  <si>
    <t>DEDE RUSWANDI</t>
  </si>
  <si>
    <t>NAGRAK</t>
  </si>
  <si>
    <t>KALAPAREA</t>
  </si>
  <si>
    <t>NURUL SUPIATI</t>
  </si>
  <si>
    <t>CICURUG</t>
  </si>
  <si>
    <t>TENJOAYU</t>
  </si>
  <si>
    <t>Nurul Supiati</t>
  </si>
  <si>
    <t>MUHAMMAD ARI BUDI SANTOSO</t>
  </si>
  <si>
    <t>Muhamad Ari Budi Santoso</t>
  </si>
  <si>
    <t>DEDI KURNIAWAN</t>
  </si>
  <si>
    <t>PANGALENGAN</t>
  </si>
  <si>
    <t>SUKAMANAH</t>
  </si>
  <si>
    <t>DEDI KURNIAWAN BIN E.A RAHMAT KURSYANA</t>
  </si>
  <si>
    <t>AZIS SAEPUL RAHMAN</t>
  </si>
  <si>
    <t>CISAYONG</t>
  </si>
  <si>
    <t>NUSAWANGI</t>
  </si>
  <si>
    <t>Azis Saepul Rahmat</t>
  </si>
  <si>
    <t>NENENG NURHAYATI</t>
  </si>
  <si>
    <t>Neneng Nurhayati</t>
  </si>
  <si>
    <t>SHENA SITI JENAB</t>
  </si>
  <si>
    <t>Shena Siti Jenab</t>
  </si>
  <si>
    <t>ISMAIL</t>
  </si>
  <si>
    <t>MULYASARI</t>
  </si>
  <si>
    <t>SAIL</t>
  </si>
  <si>
    <t>USMAN</t>
  </si>
  <si>
    <t>BOJONGGEBANG</t>
  </si>
  <si>
    <t>A. SUWUTU</t>
  </si>
  <si>
    <t>ASTANAJAPURA</t>
  </si>
  <si>
    <t>KANCI</t>
  </si>
  <si>
    <t>A SUWUTU BIN TASRIP</t>
  </si>
  <si>
    <t>JAKA</t>
  </si>
  <si>
    <t>JAKA BIN SALMA</t>
  </si>
  <si>
    <t>MUADI SUSANDI</t>
  </si>
  <si>
    <t>MUADI SUSANDI BIN KUNIRAH</t>
  </si>
  <si>
    <t>TONI</t>
  </si>
  <si>
    <t>TONI BIN WARDANI</t>
  </si>
  <si>
    <t>SAHWADI</t>
  </si>
  <si>
    <t>GEBANG</t>
  </si>
  <si>
    <t>MELAKASARI</t>
  </si>
  <si>
    <t>SAHWADI BIN MUKRI</t>
  </si>
  <si>
    <t>MOH RIZAL SAPUTRA</t>
  </si>
  <si>
    <t>GEBANG MEKAR</t>
  </si>
  <si>
    <t>MOH. RIZAL SAPUTRA BIN SUMARDI</t>
  </si>
  <si>
    <t>ABDUL HALIM</t>
  </si>
  <si>
    <t>KRANGKENG</t>
  </si>
  <si>
    <t>ABDUL HALIM BIN IRWAN</t>
  </si>
  <si>
    <t>ALI SUBHAN</t>
  </si>
  <si>
    <t>DUKUHJATI</t>
  </si>
  <si>
    <t>ALI SUBHAN BIN JAMALUDIN (ALM)</t>
  </si>
  <si>
    <t>DINDA NURJANAH</t>
  </si>
  <si>
    <t>SUKAGUMIWANG</t>
  </si>
  <si>
    <t>BONDAN</t>
  </si>
  <si>
    <t>ENDING RACHKITA</t>
  </si>
  <si>
    <t>KEJAMBON</t>
  </si>
  <si>
    <t>ENDING RACHKITA BIN SYAMARUDDIN (ALM)</t>
  </si>
  <si>
    <t>ELLY TRISNAWATI</t>
  </si>
  <si>
    <t>ZAID</t>
  </si>
  <si>
    <t>WANGUNHARJA</t>
  </si>
  <si>
    <t>ASIH</t>
  </si>
  <si>
    <t>MIFTAHUL HUDA</t>
  </si>
  <si>
    <t>KESENDEN</t>
  </si>
  <si>
    <t>Miftahul huda</t>
  </si>
  <si>
    <t>ANDRIANSYAH</t>
  </si>
  <si>
    <t>HENDRIANSYAH BIN ABDUL</t>
  </si>
  <si>
    <t>RAHARJO</t>
  </si>
  <si>
    <t>PEKAYONJAYA</t>
  </si>
  <si>
    <t>NUR ROKHMAH</t>
  </si>
  <si>
    <t>SAAT BUDILADI</t>
  </si>
  <si>
    <t>JATIMEKAR</t>
  </si>
  <si>
    <t>SAAT BUDILADI BIN BEJO (ALM)</t>
  </si>
  <si>
    <t>SAEPUL ROCHMAN</t>
  </si>
  <si>
    <t>SUBANG</t>
  </si>
  <si>
    <t>KASOMALANG</t>
  </si>
  <si>
    <t>SAEFUL ROCHMAN BIN MARYONO (ALM)</t>
  </si>
  <si>
    <t>IMAM SUNARYA MADRONIH</t>
  </si>
  <si>
    <t>LIMO</t>
  </si>
  <si>
    <t>IMAM SUNARYA MADRONIH ALS BOB KIMUNG BIN MADRONI (ALM)</t>
  </si>
  <si>
    <t>DEPI GINANJAR</t>
  </si>
  <si>
    <t>SUKMAJAYA</t>
  </si>
  <si>
    <t>CISALAK</t>
  </si>
  <si>
    <t>UNTUNG SAPTO AJI</t>
  </si>
  <si>
    <t>CINERE</t>
  </si>
  <si>
    <t>GANDUL</t>
  </si>
  <si>
    <t>SUNARTI</t>
  </si>
  <si>
    <t>DADAN HERMANSYAH</t>
  </si>
  <si>
    <t>MANGKUBUMI</t>
  </si>
  <si>
    <t>LINGGAJAYA</t>
  </si>
  <si>
    <t>DADAN HERMANSYAH BIN HAKIM (ALM)</t>
  </si>
  <si>
    <t>SUGINO</t>
  </si>
  <si>
    <t>SUGINO BIN MADRAWI</t>
  </si>
  <si>
    <t>GALIH PRASETYO</t>
  </si>
  <si>
    <t>MENGANTI</t>
  </si>
  <si>
    <t>GALIH PRASETYO ALS.GATE BIN ALM.TARNO</t>
  </si>
  <si>
    <t>SATRIA PRIYANTO</t>
  </si>
  <si>
    <t>SATRIA PRIYANTO BIN SARIMAN</t>
  </si>
  <si>
    <t>FEBRIYAN KUNTO SURYONO</t>
  </si>
  <si>
    <t>KOTA SURAKARTA</t>
  </si>
  <si>
    <t>SERENGAN</t>
  </si>
  <si>
    <t>KRATONAN</t>
  </si>
  <si>
    <t>FEBRIYAN KUNTO SURYONO BIN FAJAR SURYONO</t>
  </si>
  <si>
    <t>EKO MARFIYANTO</t>
  </si>
  <si>
    <t>AJIBARANG</t>
  </si>
  <si>
    <t>AJIBARANG KULON</t>
  </si>
  <si>
    <t>EKO MARFIYANTO BIN SUGENG PURWANTO</t>
  </si>
  <si>
    <t>ABI CAHYOKO</t>
  </si>
  <si>
    <t>PURWOKERTO TIMUR</t>
  </si>
  <si>
    <t>ARCAWINANGUN</t>
  </si>
  <si>
    <t>ABI CAHYOKO BIN IBNU SUTRISNO</t>
  </si>
  <si>
    <t>WINARSO</t>
  </si>
  <si>
    <t>PURWOKERTO UTARA</t>
  </si>
  <si>
    <t>BANCARKEMBAR</t>
  </si>
  <si>
    <t>AJI SULAIMAN</t>
  </si>
  <si>
    <t>ARGOPENI</t>
  </si>
  <si>
    <t>SATYA TRIPRAMUKTI</t>
  </si>
  <si>
    <t>BAGELEN</t>
  </si>
  <si>
    <t>DADIREJO</t>
  </si>
  <si>
    <t>HERI SUSANTO BIN SUGOTO</t>
  </si>
  <si>
    <t>FAJAR BUDIHARTO</t>
  </si>
  <si>
    <t>JODI SUSILO BIN PAIMO</t>
  </si>
  <si>
    <t>JODI SUSILO BIN Paino</t>
  </si>
  <si>
    <t>ROWOBELANG</t>
  </si>
  <si>
    <t>SRIYONO BIN ATMO RADI</t>
  </si>
  <si>
    <t>PAINI</t>
  </si>
  <si>
    <t>BLORA</t>
  </si>
  <si>
    <t>NGAWEN</t>
  </si>
  <si>
    <t>GOTPUTUK</t>
  </si>
  <si>
    <t>JAPAH</t>
  </si>
  <si>
    <t>PENGKOLREJO</t>
  </si>
  <si>
    <t>MULYONO BIN SAPARI</t>
  </si>
  <si>
    <t>KHOZANATHUL ALFIYAH</t>
  </si>
  <si>
    <t>KHOZANATUL ALFIYAH</t>
  </si>
  <si>
    <t>WINONG</t>
  </si>
  <si>
    <t>GUYANGAN</t>
  </si>
  <si>
    <t>HENDARSUN ROSIAN ANWAR</t>
  </si>
  <si>
    <t>JAKENAN</t>
  </si>
  <si>
    <t>DUKUHMULYO</t>
  </si>
  <si>
    <t>ROSID ANWAR BIN SARMIJAN</t>
  </si>
  <si>
    <t>AGUS SETYAWAN</t>
  </si>
  <si>
    <t>TRANGKIL</t>
  </si>
  <si>
    <t>AGUS SETYAWAN ALIAS KENTHI BIN SUTRISNO</t>
  </si>
  <si>
    <t>HARI IMAN SANTOSO</t>
  </si>
  <si>
    <t>KUDUS</t>
  </si>
  <si>
    <t>JATI</t>
  </si>
  <si>
    <t>GETASPEJATEN</t>
  </si>
  <si>
    <t>HARI IMAN SANTOSO BIN SIRIN SUBIYANTO (ALM)</t>
  </si>
  <si>
    <t>ARIF DARMAWAN</t>
  </si>
  <si>
    <t>BAE</t>
  </si>
  <si>
    <t>PANJANG</t>
  </si>
  <si>
    <t>ARIF DARMAWAN BIN AHMAD DARSAM (alm)</t>
  </si>
  <si>
    <t>NUR JAI</t>
  </si>
  <si>
    <t>TEGOREJO</t>
  </si>
  <si>
    <t>MURJA BIN DARNO (alm)</t>
  </si>
  <si>
    <t>ANDI PRASETYO BIN AMAT ROHIM</t>
  </si>
  <si>
    <t>ANDI PRASETYO</t>
  </si>
  <si>
    <t>WENDI APRIANTO BIN MUJO</t>
  </si>
  <si>
    <t>WENDI APRIANTO</t>
  </si>
  <si>
    <t>HAMID QOHHAR BIN ROMADI</t>
  </si>
  <si>
    <t>HAMID QOHHAR</t>
  </si>
  <si>
    <t>WATESALIT</t>
  </si>
  <si>
    <t>GIGIH PRANATA BIN FAJAR SIDIQ</t>
  </si>
  <si>
    <t>GIGIH PRANATA</t>
  </si>
  <si>
    <t>PROYONANGGAN UTARA</t>
  </si>
  <si>
    <t>ACHMAD ABDUL ROKHMAN BIN DARYOSO</t>
  </si>
  <si>
    <t>ACHMAD ABDUL ROKHMAN</t>
  </si>
  <si>
    <t>KASEPUHAN</t>
  </si>
  <si>
    <t>FIRMANSYAH BIN FATKHURROHMAN</t>
  </si>
  <si>
    <t>FIRMANSYAH</t>
  </si>
  <si>
    <t>DENASRI KULON</t>
  </si>
  <si>
    <t>ERIK SETIAWAN</t>
  </si>
  <si>
    <t>KANDANGSERANG</t>
  </si>
  <si>
    <t>LURAGUNG</t>
  </si>
  <si>
    <t>FERI SETIAWAN BIN SARJONI</t>
  </si>
  <si>
    <t>M. EKA RIZKI FERDYYANSAH</t>
  </si>
  <si>
    <t>MUHAMAD EKA RIZKI FERDIYANSAH</t>
  </si>
  <si>
    <t>KASMARI</t>
  </si>
  <si>
    <t>SUMURJOMBLANGBOGO</t>
  </si>
  <si>
    <t>KASMARI BIN WASBARI (alm)</t>
  </si>
  <si>
    <t>MURCOYO</t>
  </si>
  <si>
    <t>RANDUMUKTIWAREN</t>
  </si>
  <si>
    <t>MURCOYO BIN WARHAM (Alm)</t>
  </si>
  <si>
    <t>ASARI</t>
  </si>
  <si>
    <t>PROTO</t>
  </si>
  <si>
    <t>ASARI BIN AHMAD SABAR</t>
  </si>
  <si>
    <t>ZAHIRRUDIN</t>
  </si>
  <si>
    <t>KEDUNGWUNI BARAT</t>
  </si>
  <si>
    <t>ZAHIRUDIN BIN ZAENAL ARIFIN</t>
  </si>
  <si>
    <t>AKHMAD IRAWAN BIN NURDIN</t>
  </si>
  <si>
    <t>Akhmad Irawan</t>
  </si>
  <si>
    <t>M. ARFAN</t>
  </si>
  <si>
    <t>WONOYOSO</t>
  </si>
  <si>
    <t>MUHAMMAD ARFAN BIN KARJO</t>
  </si>
  <si>
    <t>ADIB SETIABELLA</t>
  </si>
  <si>
    <t>SIMBANGWETAN</t>
  </si>
  <si>
    <t>ADIB SETIABELLA BIN WAKHIDI</t>
  </si>
  <si>
    <t>ABD. HAMID</t>
  </si>
  <si>
    <t>ABDUL HAMID BIN MUHAMMAD TAUHID</t>
  </si>
  <si>
    <t>FAEGA ARBA GUSTAF</t>
  </si>
  <si>
    <t>NGLUWAR</t>
  </si>
  <si>
    <t>BLIGO</t>
  </si>
  <si>
    <t>FAEGA ARBA GUSTAF BIN ZAMRONI</t>
  </si>
  <si>
    <t>MUHAMMAD ARIFIN</t>
  </si>
  <si>
    <t>SIWALAN</t>
  </si>
  <si>
    <t>REMBUN</t>
  </si>
  <si>
    <t>MUKHAMMAD KADAFI BIN PURWAJI (Alm)</t>
  </si>
  <si>
    <t>DASRI</t>
  </si>
  <si>
    <t>dasri</t>
  </si>
  <si>
    <t>WARYOTO</t>
  </si>
  <si>
    <t>PEDAGUNG</t>
  </si>
  <si>
    <t>WARYOTO BIN SARKUM</t>
  </si>
  <si>
    <t>HIKMAH YULIANI</t>
  </si>
  <si>
    <t>KAPUK</t>
  </si>
  <si>
    <t>WAHURI</t>
  </si>
  <si>
    <t>WAHURI BIN SUHARI</t>
  </si>
  <si>
    <t>MUHAMMAD SIGIT RIYAN SAPUTRA</t>
  </si>
  <si>
    <t>JOHAR BARU</t>
  </si>
  <si>
    <t>MUHAMMAD SIGIT RIYAN SAPUTRA BIN NUROCHMAN</t>
  </si>
  <si>
    <t>ROMZATUL MUTIAH</t>
  </si>
  <si>
    <t>PEKAYON</t>
  </si>
  <si>
    <t>MUHRIZI FAUZI</t>
  </si>
  <si>
    <t>HERMANTO</t>
  </si>
  <si>
    <t>KUPU</t>
  </si>
  <si>
    <t>AFAN RIYADI</t>
  </si>
  <si>
    <t>Afan Riyadi</t>
  </si>
  <si>
    <t>SEMANAN</t>
  </si>
  <si>
    <t>MOH. FAJAR SUBBEKHI</t>
  </si>
  <si>
    <t>CIRUAS</t>
  </si>
  <si>
    <t>KADIKARAN</t>
  </si>
  <si>
    <t>LEBAKSIU KIDUL</t>
  </si>
  <si>
    <t>M. SEPUL KAMAL</t>
  </si>
  <si>
    <t>M.SEPUL KAMAL</t>
  </si>
  <si>
    <t>KARAWANG TIMUR</t>
  </si>
  <si>
    <t>PALUMBONSARI</t>
  </si>
  <si>
    <t>YUSRIL IHZA BAHTIAR</t>
  </si>
  <si>
    <t>MUHAMAD MASRURI</t>
  </si>
  <si>
    <t>PULOGADUNG</t>
  </si>
  <si>
    <t>JATINEGARA KAUM</t>
  </si>
  <si>
    <t>WAWAN</t>
  </si>
  <si>
    <t>ANDI PURWANTO</t>
  </si>
  <si>
    <t>PABELAN</t>
  </si>
  <si>
    <t>PADAAN</t>
  </si>
  <si>
    <t>AGUS SAPUTRA</t>
  </si>
  <si>
    <t>SIDOARUM</t>
  </si>
  <si>
    <t>ADITYA TRI AJI NUGROHO</t>
  </si>
  <si>
    <t>SUHARI</t>
  </si>
  <si>
    <t>WARSONO</t>
  </si>
  <si>
    <t>KALIKOTES</t>
  </si>
  <si>
    <t>JIMBUNG</t>
  </si>
  <si>
    <t>ALI MAJAZI</t>
  </si>
  <si>
    <t>BUNGUR</t>
  </si>
  <si>
    <t>GIRIMUKTI</t>
  </si>
  <si>
    <t>Jaenudin</t>
  </si>
  <si>
    <t>PRIYATNO</t>
  </si>
  <si>
    <t>MALUKU UTARA</t>
  </si>
  <si>
    <t>HALMAHERA TENGAH</t>
  </si>
  <si>
    <t>WEDA</t>
  </si>
  <si>
    <t>FIDY JAYA</t>
  </si>
  <si>
    <t>DEDI SUKMANA</t>
  </si>
  <si>
    <t>FERIYANTO</t>
  </si>
  <si>
    <t>MALUKU TENGGARA</t>
  </si>
  <si>
    <t>KEI KECIL</t>
  </si>
  <si>
    <t>LANGGUR</t>
  </si>
  <si>
    <t>AMINUDIN</t>
  </si>
  <si>
    <t>SORONG SELATAN</t>
  </si>
  <si>
    <t>KAIS</t>
  </si>
  <si>
    <t>SUMANO</t>
  </si>
  <si>
    <t>KASTORI</t>
  </si>
  <si>
    <t>KESAMBEN</t>
  </si>
  <si>
    <t>BUMIREJO</t>
  </si>
  <si>
    <t>Kastori</t>
  </si>
  <si>
    <t>ANA NURUL BAKIN</t>
  </si>
  <si>
    <t>HERAM</t>
  </si>
  <si>
    <t>HEDAM</t>
  </si>
  <si>
    <t>AKHMAD SYAUQI MUBAROK</t>
  </si>
  <si>
    <t>MUHAMMAD MUKHSININ</t>
  </si>
  <si>
    <t>GOMBONG</t>
  </si>
  <si>
    <t>WONOKRIYO</t>
  </si>
  <si>
    <t>Galih Suprayogi</t>
  </si>
  <si>
    <t>GALIH SUPRAYOGI</t>
  </si>
  <si>
    <t>Eko prasetyo</t>
  </si>
  <si>
    <t>RIZKI RAMADAN</t>
  </si>
  <si>
    <t>ERLANGGA</t>
  </si>
  <si>
    <t>MOHAMAD ALIFUDIN FAHMI</t>
  </si>
  <si>
    <t>PANGKAH</t>
  </si>
  <si>
    <t>TARYONO</t>
  </si>
  <si>
    <t>BAYLA MAZIZ</t>
  </si>
  <si>
    <t>BALYA MAZIZ</t>
  </si>
  <si>
    <t>TRIO SUPRIYADI</t>
  </si>
  <si>
    <t>ARAHAN</t>
  </si>
  <si>
    <t>ARAHAN KIDUL</t>
  </si>
  <si>
    <t>RONI SANJAYA</t>
  </si>
  <si>
    <t>RIZKY NUR HIDAYAT</t>
  </si>
  <si>
    <t>RONO ARDIANSYAH</t>
  </si>
  <si>
    <t>TAMAN RAHAYU</t>
  </si>
  <si>
    <t>AKIP RIZKI MAULANA</t>
  </si>
  <si>
    <t>NURSIN</t>
  </si>
  <si>
    <t>TANGGERAN</t>
  </si>
  <si>
    <t>M.YULI YANTO</t>
  </si>
  <si>
    <t>MUH. HAMZAH</t>
  </si>
  <si>
    <t>RANDUSANGA KULON</t>
  </si>
  <si>
    <t>MUHAMMAD HASBI YAHYA</t>
  </si>
  <si>
    <t>YOGA RIZKY PRATAMA</t>
  </si>
  <si>
    <t>SUMBERJAYA</t>
  </si>
  <si>
    <t>TAUPIK NURYADI</t>
  </si>
  <si>
    <t>ABDUL NASIR</t>
  </si>
  <si>
    <t>BANJARSARI</t>
  </si>
  <si>
    <t>MANGKUBUMEN</t>
  </si>
  <si>
    <t>MOHAMMAD AMANI</t>
  </si>
  <si>
    <t>TELUK BAYUR</t>
  </si>
  <si>
    <t>RINDING</t>
  </si>
  <si>
    <t>Muhamad Amani</t>
  </si>
  <si>
    <t>M. RISDIYANTORO</t>
  </si>
  <si>
    <t>WONOPRINGGO</t>
  </si>
  <si>
    <t>SASTRODIRJAN</t>
  </si>
  <si>
    <t>WAROH</t>
  </si>
  <si>
    <t>Waroh</t>
  </si>
  <si>
    <t>SULASTRI</t>
  </si>
  <si>
    <t>BONDOWOSO</t>
  </si>
  <si>
    <t>Siti komisah</t>
  </si>
  <si>
    <t>NASIHATUN</t>
  </si>
  <si>
    <t>M. YUDI IZUDI</t>
  </si>
  <si>
    <t>MAESAROH</t>
  </si>
  <si>
    <t>MUSTIKAJAYA</t>
  </si>
  <si>
    <t>MUSTIKASARI</t>
  </si>
  <si>
    <t>DANINGSIH</t>
  </si>
  <si>
    <t>PABUARAN</t>
  </si>
  <si>
    <t>TALAGA WARNA</t>
  </si>
  <si>
    <t>DIAN AYU HERIANTI</t>
  </si>
  <si>
    <t>MUFROKHATUN</t>
  </si>
  <si>
    <t>RINA OPTARIANI</t>
  </si>
  <si>
    <t>JUNAENI</t>
  </si>
  <si>
    <t>JATISRONO</t>
  </si>
  <si>
    <t>GUNUNGSARI</t>
  </si>
  <si>
    <t>SEPTY MUNAWAROH</t>
  </si>
  <si>
    <t>Septy Munawaroh</t>
  </si>
  <si>
    <t>BAMBANGLIPURO</t>
  </si>
  <si>
    <t>SUMBERMULYO</t>
  </si>
  <si>
    <t>SITI MARIAH ULFA</t>
  </si>
  <si>
    <t>NUR NADIA MILATTI</t>
  </si>
  <si>
    <t>MUR NADIA MILLATI</t>
  </si>
  <si>
    <t>MASTINAH</t>
  </si>
  <si>
    <t>SHAENA DYAH AESTHETICKA</t>
  </si>
  <si>
    <t>NURYATI</t>
  </si>
  <si>
    <t>WIJAYA KUSUMA</t>
  </si>
  <si>
    <t>ANTI RAHMAWATI</t>
  </si>
  <si>
    <t>Nurkhotimah</t>
  </si>
  <si>
    <t>NELLI FADILLAH</t>
  </si>
  <si>
    <t>CEPU</t>
  </si>
  <si>
    <t>KAPUAN</t>
  </si>
  <si>
    <t>MUHAJIROH</t>
  </si>
  <si>
    <t>SITI MURDIYATI</t>
  </si>
  <si>
    <t>KHODIJAH</t>
  </si>
  <si>
    <t>JEPARA</t>
  </si>
  <si>
    <t>KEDUNG</t>
  </si>
  <si>
    <t>KEDUNGMALANG</t>
  </si>
  <si>
    <t>KHUROTUL AENI</t>
  </si>
  <si>
    <t>UTAN PANJANG</t>
  </si>
  <si>
    <t>SITI DAINAH</t>
  </si>
  <si>
    <t>TUTI ANISAH</t>
  </si>
  <si>
    <t>BAWANG</t>
  </si>
  <si>
    <t>SURJO</t>
  </si>
  <si>
    <t>LESTARI ROKHIMAH</t>
  </si>
  <si>
    <t>MERAWANG</t>
  </si>
  <si>
    <t>PAGARAWAN</t>
  </si>
  <si>
    <t>DIAZ EULIZA AZIZ</t>
  </si>
  <si>
    <t>FAKHRIYATI ARIQOH</t>
  </si>
  <si>
    <t>duwi inayah putri</t>
  </si>
  <si>
    <t>AGUS SALIM BIN MUHAMMAD GHOZALI</t>
  </si>
  <si>
    <t>AGUS SALIM BIN SUKARDI</t>
  </si>
  <si>
    <t>MAYA KURNIATI</t>
  </si>
  <si>
    <t>ANDRE RAMADAN</t>
  </si>
  <si>
    <t>ANDRE RAMADAN BIN DARNOTO (Alm)</t>
  </si>
  <si>
    <t>MABRUR ROIS</t>
  </si>
  <si>
    <t>MUARAREJA</t>
  </si>
  <si>
    <t>MABRUR ROIS BIN MUK'MIN</t>
  </si>
  <si>
    <t>MOH. AJID AYATULLOH KHUMENI</t>
  </si>
  <si>
    <t>MENDALA</t>
  </si>
  <si>
    <t>MOH. AJID AYATULLOH BIN NUROKHMAN</t>
  </si>
  <si>
    <t>SUGIANTO</t>
  </si>
  <si>
    <t>LINGGAPURA</t>
  </si>
  <si>
    <t>SUGIANTO BIN ABDULLOH</t>
  </si>
  <si>
    <t>DIAN FERDIANTO</t>
  </si>
  <si>
    <t>SAEFUL ANWAR</t>
  </si>
  <si>
    <t>WATUJAYA</t>
  </si>
  <si>
    <t>SAEFUL ANWAR BIN MOCH KOSIM (Alm)</t>
  </si>
  <si>
    <t>MUSFIROH</t>
  </si>
  <si>
    <t>PIKRI SUNANTO</t>
  </si>
  <si>
    <t>FIKRI SUNANTO BIN SUTONO (ALM)</t>
  </si>
  <si>
    <t>TRITIS</t>
  </si>
  <si>
    <t>AKHMAD ANTON PARIKHIN</t>
  </si>
  <si>
    <t>AHMAD ANTON PARIKHIN BIN SARDI</t>
  </si>
  <si>
    <t>MARSYA DWI AGUSTIN</t>
  </si>
  <si>
    <t>SANAP</t>
  </si>
  <si>
    <t>SANAP BIN DARYONO (Alm)</t>
  </si>
  <si>
    <t>EGA PANGESTU</t>
  </si>
  <si>
    <t>EGA PANGESTU BIN SUDARTO</t>
  </si>
  <si>
    <t>TOHID</t>
  </si>
  <si>
    <t>PEBATAN</t>
  </si>
  <si>
    <t>DEDE SETIAWAN BIN KALIMI</t>
  </si>
  <si>
    <t>LILI NUR SAFITRI</t>
  </si>
  <si>
    <t>AKHMAD IRPAN</t>
  </si>
  <si>
    <t>ACHMAD IRFAN BIN CASMAD</t>
  </si>
  <si>
    <t>NUR ALIM</t>
  </si>
  <si>
    <t>PAGEJUGAN</t>
  </si>
  <si>
    <t>NUR ALIM BIN RIWAN (alm)</t>
  </si>
  <si>
    <t>KARYONO</t>
  </si>
  <si>
    <t>KEDUNGUTER</t>
  </si>
  <si>
    <t>KARYONO BIN SARPIN</t>
  </si>
  <si>
    <t>EKO WIDIYANTO</t>
  </si>
  <si>
    <t>EKO WIDIYANTO BIN ERMON</t>
  </si>
  <si>
    <t>ROYNALDI ADE PRADANA</t>
  </si>
  <si>
    <t>ROYNALDI ADE PRADANA BIN ROIDIN (Alm)</t>
  </si>
  <si>
    <t>ACHMAD SOBIRIN</t>
  </si>
  <si>
    <t>AHMAD SOBIRIN BIN WARMO</t>
  </si>
  <si>
    <t>M. YULISDIANTO</t>
  </si>
  <si>
    <t>M. YULISDIANTO BIN DULATIP (ALM)</t>
  </si>
  <si>
    <t>SLAMET ISKANDAR SYAH</t>
  </si>
  <si>
    <t>SONGGOM LOR</t>
  </si>
  <si>
    <t>SLAMET ISKANDAR SYAH BIN TARONI</t>
  </si>
  <si>
    <t>TINOK</t>
  </si>
  <si>
    <t>WASIR</t>
  </si>
  <si>
    <t>ABDUL MUCHI</t>
  </si>
  <si>
    <t>LUWUNGRAGI</t>
  </si>
  <si>
    <t>AHMAD RIYADI</t>
  </si>
  <si>
    <t>AHMAD RIYADI BIN RINDAM</t>
  </si>
  <si>
    <t>TASIK</t>
  </si>
  <si>
    <t>TASIKUN BIN RAMLAS (ALM)</t>
  </si>
  <si>
    <t>AISYFA FARIZKI</t>
  </si>
  <si>
    <t>SIANDONG</t>
  </si>
  <si>
    <t>AISYFA FARIZKI BIN TARJUWID (Alm)</t>
  </si>
  <si>
    <t>SAMSUDIN BIN ATMO</t>
  </si>
  <si>
    <t>JUARI</t>
  </si>
  <si>
    <t>MAGELANG UTARA</t>
  </si>
  <si>
    <t>KRAMAT UTARA</t>
  </si>
  <si>
    <t>HENDRA DARWIS</t>
  </si>
  <si>
    <t>MADA AGUNG BRAMANTYA</t>
  </si>
  <si>
    <t>JEBRES</t>
  </si>
  <si>
    <t>GANDEKAN</t>
  </si>
  <si>
    <t>MADA AGUNG BRAHMANTYA BIN KENTIT SURATNO</t>
  </si>
  <si>
    <t>AGUNG SUSILO</t>
  </si>
  <si>
    <t>GENUK</t>
  </si>
  <si>
    <t>KARANGROTO</t>
  </si>
  <si>
    <t>AGUNG SUSILO BIN TUGIMIN</t>
  </si>
  <si>
    <t>SAIFUL MUJAB</t>
  </si>
  <si>
    <t>AMIRUDIN</t>
  </si>
  <si>
    <t>EDI SARIYONO</t>
  </si>
  <si>
    <t>PEDURUNGAN</t>
  </si>
  <si>
    <t>PEDURUNGAN LOR</t>
  </si>
  <si>
    <t>EDI SARIYONO BIN PARDI (Alm)</t>
  </si>
  <si>
    <t>NUR FAIZIN</t>
  </si>
  <si>
    <t>BANGETAYU KULON</t>
  </si>
  <si>
    <t>NOR FAIZIN BIN DURILAN</t>
  </si>
  <si>
    <t>YANUAR ARIANTO WIBOWO</t>
  </si>
  <si>
    <t>TLOGOSARI KULON</t>
  </si>
  <si>
    <t>YANUAR ARIANTO WIBOWO BIN HENDRO TAMTOMO</t>
  </si>
  <si>
    <t>R.BAMBANG JOKO LUARSO</t>
  </si>
  <si>
    <t>GAJAHMUNGKUR</t>
  </si>
  <si>
    <t>R.BAMBANG JOKO LUARSO BIN RK.POERBO HADIWIDJOJO (ALM)</t>
  </si>
  <si>
    <t>AGUNG BUDI SANTOSO</t>
  </si>
  <si>
    <t>AGUNG BUDI SANTOSO BIN SUTRISNO</t>
  </si>
  <si>
    <t>ANDI SOFYAN</t>
  </si>
  <si>
    <t>KOTA PEKALONGAN</t>
  </si>
  <si>
    <t>PEKALONGAN SELATAN</t>
  </si>
  <si>
    <t>KURIPAN YOSOREJO</t>
  </si>
  <si>
    <t>ANDI SOFYAN BIN YASANI</t>
  </si>
  <si>
    <t>SUTRISNO</t>
  </si>
  <si>
    <t>SUTRISNO BIN SUPRAPTO (ALM)</t>
  </si>
  <si>
    <t>MASKAH</t>
  </si>
  <si>
    <t>MASKAH BIN AGUS ABIDIN (ALM)</t>
  </si>
  <si>
    <t>EDWIN BASUKI</t>
  </si>
  <si>
    <t>KRATON</t>
  </si>
  <si>
    <t>EDWIN BASUKI BIN SYARIFUDIN (ALM)</t>
  </si>
  <si>
    <t>MUHAMAD RIDHA</t>
  </si>
  <si>
    <t>MUHAMAD RIDHA BIN IMRON JUWENI</t>
  </si>
  <si>
    <t>ULUL AZMI DIPUTRA</t>
  </si>
  <si>
    <t>ULUL AZMI DIPUTRA BIN EDI BUDIYANTO</t>
  </si>
  <si>
    <t>MUHAMMAD BUDI SANTOSO</t>
  </si>
  <si>
    <t>MANGKUKUSUMAN</t>
  </si>
  <si>
    <t>MUHAMMAD BUDI SANTOSO BIN DJAMBRI (ALM)</t>
  </si>
  <si>
    <t>YUNUS SETUGI ANA</t>
  </si>
  <si>
    <t>SLEROK</t>
  </si>
  <si>
    <t>DWIKY APRILA YUNGTORO</t>
  </si>
  <si>
    <t>DWIKY APRILA YUNGTORO BIN SUDARMO YUNGTORO</t>
  </si>
  <si>
    <t>EKO HARTONO</t>
  </si>
  <si>
    <t>TEDY ILHAM AS'ARI</t>
  </si>
  <si>
    <t>KALINYAMAT KULON</t>
  </si>
  <si>
    <t>TEDY ILHAM ASARI BIN HADI PRIYATNO</t>
  </si>
  <si>
    <t>UKI AJI ARIYO</t>
  </si>
  <si>
    <t>UKI AJI ARIYO BIN KARYO</t>
  </si>
  <si>
    <t>MOHAMMAD MULYADI</t>
  </si>
  <si>
    <t>ANANG MASRUDIN BIN H.ABDUL CHOLIQ</t>
  </si>
  <si>
    <t>ANANG MASRUDDIN</t>
  </si>
  <si>
    <t>MOJOKERTO</t>
  </si>
  <si>
    <t>JATIREJO</t>
  </si>
  <si>
    <t>BAURENO</t>
  </si>
  <si>
    <t>HUMAEDI</t>
  </si>
  <si>
    <t>MIRU</t>
  </si>
  <si>
    <t>HUMAEDI BIN RANTA</t>
  </si>
  <si>
    <t>SUBAIDI A.R</t>
  </si>
  <si>
    <t>PAMEKASAN</t>
  </si>
  <si>
    <t>PADEMAWU</t>
  </si>
  <si>
    <t>PADEMAWU BARAT</t>
  </si>
  <si>
    <t>SUBAIDI ADIYONO READI BIN BUSA'I (ALM)</t>
  </si>
  <si>
    <t>ARIFIANTO</t>
  </si>
  <si>
    <t>KOTA SURABAYA</t>
  </si>
  <si>
    <t>SAWAHAN</t>
  </si>
  <si>
    <t>BANYU URIP</t>
  </si>
  <si>
    <t>ARIFIANTO BIN SISWOYO</t>
  </si>
  <si>
    <t>SUMYATI</t>
  </si>
  <si>
    <t>TUNJUNG TEJA</t>
  </si>
  <si>
    <t>PANCAREGANG</t>
  </si>
  <si>
    <t>ATMO</t>
  </si>
  <si>
    <t>KRONJO</t>
  </si>
  <si>
    <t>PASIR</t>
  </si>
  <si>
    <t>Atmo</t>
  </si>
  <si>
    <t>MASRUHIN</t>
  </si>
  <si>
    <t>KARANG TENGAH</t>
  </si>
  <si>
    <t>PONDOK PUCUNG</t>
  </si>
  <si>
    <t>MASRUHIN BIN SARIPIN</t>
  </si>
  <si>
    <t>JAKSAN PABER TAMBUNAN</t>
  </si>
  <si>
    <t>JAKSAN PABER TAMBUNAN BIN SAOR TAMBUNAN</t>
  </si>
  <si>
    <t>UWUNG JAYA</t>
  </si>
  <si>
    <t>BAMBANG SUTRISNO BIN SUPARMAN</t>
  </si>
  <si>
    <t>WIWINDA LESTARI</t>
  </si>
  <si>
    <t>Wiwinda Lestari</t>
  </si>
  <si>
    <t>PAMULANG</t>
  </si>
  <si>
    <t>PONDOK BENDA</t>
  </si>
  <si>
    <t>JENUDIN</t>
  </si>
  <si>
    <t>NUSA TENGGARA BARAT</t>
  </si>
  <si>
    <t>LOMBOK BARAT</t>
  </si>
  <si>
    <t>GERUNG</t>
  </si>
  <si>
    <t>GAPUK</t>
  </si>
  <si>
    <t>JENUDIN BIN MURI (ALM)</t>
  </si>
  <si>
    <t>IMAM KHUMAENI</t>
  </si>
  <si>
    <t>KOTA WAINGAPU</t>
  </si>
  <si>
    <t>KAMALAPUTI</t>
  </si>
  <si>
    <t>M. MASTUR</t>
  </si>
  <si>
    <t>GUNUNGSAMARINDA</t>
  </si>
  <si>
    <t>MUHAMAD MASTUR</t>
  </si>
  <si>
    <t>RATNA LESTARI</t>
  </si>
  <si>
    <t>RATNA MUSTIKA LESTARI</t>
  </si>
  <si>
    <t>AGUNNATA HILDA HIDAYAT</t>
  </si>
  <si>
    <t>WEDA TENGAH</t>
  </si>
  <si>
    <t>WOEJERANA</t>
  </si>
  <si>
    <t>FATKHUL MIZAN</t>
  </si>
  <si>
    <t>WAENA</t>
  </si>
  <si>
    <t>GEOFFRY MIKHAEL ARAN</t>
  </si>
  <si>
    <t>GEOFFRY MIKHAEL ARAN BIN DIDIER GIZEL</t>
  </si>
  <si>
    <t>IRWAN BAYU AJI</t>
  </si>
  <si>
    <t>KEDUNGWUNI TIMUR</t>
  </si>
  <si>
    <t>IRWAN BAYU AJI BIN APANDI</t>
  </si>
  <si>
    <t>IRWAN BAYU AJI BIN APANDI (alm)</t>
  </si>
  <si>
    <t>EKA FAJARYANTO</t>
  </si>
  <si>
    <t>PEMANGGILAN</t>
  </si>
  <si>
    <t>Eka Fajaryanto</t>
  </si>
  <si>
    <t>MUHAMAD MAS HENDRI</t>
  </si>
  <si>
    <t>M. MASHENDRI</t>
  </si>
  <si>
    <t>DUKUHBANGSA</t>
  </si>
  <si>
    <t>NURYANTO</t>
  </si>
  <si>
    <t>BANGUN REJO</t>
  </si>
  <si>
    <t>SIDO LUHUR</t>
  </si>
  <si>
    <t>SUSMAWATI</t>
  </si>
  <si>
    <t>CAPAR</t>
  </si>
  <si>
    <t>SELAMET ARIFIN</t>
  </si>
  <si>
    <t>KEDUNGWUNGU</t>
  </si>
  <si>
    <t>SHELA AYU FAJAR YULIATI</t>
  </si>
  <si>
    <t>TULUNGAGUNG</t>
  </si>
  <si>
    <t>TANGGUNGGUNUNG</t>
  </si>
  <si>
    <t>NGEPOH</t>
  </si>
  <si>
    <t>RISKA</t>
  </si>
  <si>
    <t>MOKAHA</t>
  </si>
  <si>
    <t>KERON</t>
  </si>
  <si>
    <t>KEBAYORAN LAMA UTARA</t>
  </si>
  <si>
    <t>YANTO</t>
  </si>
  <si>
    <t>PONDOK PINANG</t>
  </si>
  <si>
    <t>SITI AMINAH</t>
  </si>
  <si>
    <t>SUWARJO</t>
  </si>
  <si>
    <t>BINTARO</t>
  </si>
  <si>
    <t>JURIYAH</t>
  </si>
  <si>
    <t>SITI MARYAM</t>
  </si>
  <si>
    <t>Siti maryam</t>
  </si>
  <si>
    <t>LEMBASARI</t>
  </si>
  <si>
    <t>WIWIT INAYATUL FARADILLAH</t>
  </si>
  <si>
    <t>ULFIYATUN KHASANAH</t>
  </si>
  <si>
    <t>ARGATAWANG</t>
  </si>
  <si>
    <t>LILIS SURYANI</t>
  </si>
  <si>
    <t>CILANGKAP</t>
  </si>
  <si>
    <t>LILIS SURYATI</t>
  </si>
  <si>
    <t>LUWIJAWA</t>
  </si>
  <si>
    <t>TAMJIDIN BIN DULWAHID</t>
  </si>
  <si>
    <t>TAMJIDIN</t>
  </si>
  <si>
    <t>NYOPI HARTOMO</t>
  </si>
  <si>
    <t>CERIH</t>
  </si>
  <si>
    <t>NUR TOIPAH</t>
  </si>
  <si>
    <t>SLAMET SABAROH</t>
  </si>
  <si>
    <t>GANTUNGAN</t>
  </si>
  <si>
    <t>PECALUNGAN</t>
  </si>
  <si>
    <t>SULAWESI UTARA</t>
  </si>
  <si>
    <t>KOTA MANADO</t>
  </si>
  <si>
    <t>SARIO</t>
  </si>
  <si>
    <t>TITIWUNGAN SELATAN</t>
  </si>
  <si>
    <t>PADASARI</t>
  </si>
  <si>
    <t>MOHAMAD ABDUL AZIS</t>
  </si>
  <si>
    <t>MUNJUL</t>
  </si>
  <si>
    <t>ADITYA SIGIT JUNI HARTANTO</t>
  </si>
  <si>
    <t>BALIKPAPAN SELATAN</t>
  </si>
  <si>
    <t>GUNUNGBAHAGIA</t>
  </si>
  <si>
    <t>YASMAN</t>
  </si>
  <si>
    <t>AHMAD RIVALDI</t>
  </si>
  <si>
    <t>PETUKANGAN UTARA</t>
  </si>
  <si>
    <t>Ahmaf Rivaldi</t>
  </si>
  <si>
    <t>ISMAIL M</t>
  </si>
  <si>
    <t>PENYALAHAN</t>
  </si>
  <si>
    <t>SANYOTO</t>
  </si>
  <si>
    <t>SOLEH</t>
  </si>
  <si>
    <t>PAPUA BARAT</t>
  </si>
  <si>
    <t>FAK FAK</t>
  </si>
  <si>
    <t>FAK-FAK</t>
  </si>
  <si>
    <t>FAK FAK SELATAN</t>
  </si>
  <si>
    <t>RASIKA</t>
  </si>
  <si>
    <t>WARMIN</t>
  </si>
  <si>
    <t>BANI ADAM</t>
  </si>
  <si>
    <t>M. RIFQI ABU MANSUR</t>
  </si>
  <si>
    <t>MUJI PANGESTU</t>
  </si>
  <si>
    <t>SUMBARANG</t>
  </si>
  <si>
    <t>URIP</t>
  </si>
  <si>
    <t>BINTARAJAYA</t>
  </si>
  <si>
    <t>URIPIN</t>
  </si>
  <si>
    <t>SODIRIN</t>
  </si>
  <si>
    <t>LIMBANGAN WETAN</t>
  </si>
  <si>
    <t>sodirin</t>
  </si>
  <si>
    <t>SYUKUR RIZALKI</t>
  </si>
  <si>
    <t>PONDOK AREN</t>
  </si>
  <si>
    <t>PONDOK JAYA</t>
  </si>
  <si>
    <t>WAHYUDI</t>
  </si>
  <si>
    <t>MURTADO</t>
  </si>
  <si>
    <t>SAMBAS</t>
  </si>
  <si>
    <t>TELUK KERAMAT</t>
  </si>
  <si>
    <t>SEKURA</t>
  </si>
  <si>
    <t>MUH. ROBET SYAEFUN NAWAS</t>
  </si>
  <si>
    <t>MUHAMMAD ALI YAFI</t>
  </si>
  <si>
    <t>Muhammad Ali Yafi</t>
  </si>
  <si>
    <t>SYAMSUL HADI</t>
  </si>
  <si>
    <t>JAMBE</t>
  </si>
  <si>
    <t>TABAN</t>
  </si>
  <si>
    <t>IWAN FELANI</t>
  </si>
  <si>
    <t>PURWODININGRATAN</t>
  </si>
  <si>
    <t>IWAN FAELANI</t>
  </si>
  <si>
    <t>RIZKI ALI FAHMI</t>
  </si>
  <si>
    <t>SITAIL</t>
  </si>
  <si>
    <t>RIZKI AGINDA SAPUTRA</t>
  </si>
  <si>
    <t>KARIMUN</t>
  </si>
  <si>
    <t>TELUK AIR</t>
  </si>
  <si>
    <t>Rizki Aginda Saputra</t>
  </si>
  <si>
    <t>M. SYARIFAL IZZAMI</t>
  </si>
  <si>
    <t>KARANGASIH</t>
  </si>
  <si>
    <t>M. Syarifai I</t>
  </si>
  <si>
    <t>M. ALI RIFANI</t>
  </si>
  <si>
    <t>ROCHILAH</t>
  </si>
  <si>
    <t>ROHILAH</t>
  </si>
  <si>
    <t>OKTAPIYANI</t>
  </si>
  <si>
    <t>OKTAFIANI</t>
  </si>
  <si>
    <t>WASRIPAH</t>
  </si>
  <si>
    <t>CIPUTAT TIMUR</t>
  </si>
  <si>
    <t>RENGAS</t>
  </si>
  <si>
    <t>KHOIRUL BARIYAH</t>
  </si>
  <si>
    <t>BOGOR UTARA</t>
  </si>
  <si>
    <t>CIMAHPAR</t>
  </si>
  <si>
    <t>YULIANA WAROHA</t>
  </si>
  <si>
    <t>YULIANA WAROKAH</t>
  </si>
  <si>
    <t>RIYATI</t>
  </si>
  <si>
    <t>RIYANTI</t>
  </si>
  <si>
    <t>MURYATI</t>
  </si>
  <si>
    <t>FARIDA PASHA</t>
  </si>
  <si>
    <t>NUR AMALIAH</t>
  </si>
  <si>
    <t>MANDIRAJA</t>
  </si>
  <si>
    <t>YUPIROH</t>
  </si>
  <si>
    <t>CIKOKOL</t>
  </si>
  <si>
    <t>SYARIFATUL AULIA</t>
  </si>
  <si>
    <t>PONDOK BAMBU</t>
  </si>
  <si>
    <t>DZIFA LAILIA ADHA</t>
  </si>
  <si>
    <t>SAMROH</t>
  </si>
  <si>
    <t>ANIDA WURYANINGRUM</t>
  </si>
  <si>
    <t>ANIDA WURYANINGRUM,S.Kom BINTI TAMARI</t>
  </si>
  <si>
    <t>SEMARANG TENGAH</t>
  </si>
  <si>
    <t>PINDRIKAN KIDUL</t>
  </si>
  <si>
    <t>SRI ANJANI</t>
  </si>
  <si>
    <t>TASRUKI</t>
  </si>
  <si>
    <t>KHAIRUL AMIN</t>
  </si>
  <si>
    <t>URIP AFAN</t>
  </si>
  <si>
    <t>GANDASULI</t>
  </si>
  <si>
    <t>DARMINI</t>
  </si>
  <si>
    <t>Darmini</t>
  </si>
  <si>
    <t>MITA PUSPITASARI</t>
  </si>
  <si>
    <t>MITA PUSPITA S</t>
  </si>
  <si>
    <t>SUPRIADI</t>
  </si>
  <si>
    <t>NGADIROJO</t>
  </si>
  <si>
    <t>WONODADI WETAN</t>
  </si>
  <si>
    <t>MONA FADILAH AMELIA</t>
  </si>
  <si>
    <t>SAJIRA</t>
  </si>
  <si>
    <t>PAJAGAN</t>
  </si>
  <si>
    <t>mona fadilah amelia</t>
  </si>
  <si>
    <t>PUTRA MAFTUHI</t>
  </si>
  <si>
    <t>KASUNYATAN</t>
  </si>
  <si>
    <t>Maesaroh</t>
  </si>
  <si>
    <t>HERMAN</t>
  </si>
  <si>
    <t>Man Sedi Moroki</t>
  </si>
  <si>
    <t>MINAHASA SELATAN</t>
  </si>
  <si>
    <t>AMURANG TIMUR</t>
  </si>
  <si>
    <t>RITEY</t>
  </si>
  <si>
    <t>NUHARI</t>
  </si>
  <si>
    <t>UJANG YUDI ISKANDAR</t>
  </si>
  <si>
    <t>PONDOK KARYA</t>
  </si>
  <si>
    <t>Ujang Yudi Iskandar</t>
  </si>
  <si>
    <t>AYU WULAN SARI</t>
  </si>
  <si>
    <t>SAHRUL ANWAR</t>
  </si>
  <si>
    <t>RA. SYANTI W. ASTUTY,</t>
  </si>
  <si>
    <t>PAMULANG BARAT</t>
  </si>
  <si>
    <t>Muryati</t>
  </si>
  <si>
    <t>NUR BAITI</t>
  </si>
  <si>
    <t>PULO AMPEL</t>
  </si>
  <si>
    <t>SUMURANJA</t>
  </si>
  <si>
    <t>KEDUNGBANTENG</t>
  </si>
  <si>
    <t>MARGAMULYA</t>
  </si>
  <si>
    <t>NURUDIN</t>
  </si>
  <si>
    <t>nurudin</t>
  </si>
  <si>
    <t>TONGGARA</t>
  </si>
  <si>
    <t>MEASSY VITA ANGGRAENI</t>
  </si>
  <si>
    <t>meassy vita angg</t>
  </si>
  <si>
    <t>NUNUNG KHAYATUN</t>
  </si>
  <si>
    <t>nunung khayatun</t>
  </si>
  <si>
    <t>SAMIRAH</t>
  </si>
  <si>
    <t>AHMAD ZAENAL NASIKIN</t>
  </si>
  <si>
    <t>MAHLAWI</t>
  </si>
  <si>
    <t>SUMINGKIR</t>
  </si>
  <si>
    <t>RATNA SARI</t>
  </si>
  <si>
    <t>IMAM GHOZALI</t>
  </si>
  <si>
    <t>JOKO PURWANTO</t>
  </si>
  <si>
    <t>GROGOL UTARA</t>
  </si>
  <si>
    <t>Joko Purwanto</t>
  </si>
  <si>
    <t>SANURI</t>
  </si>
  <si>
    <t>BIYETI</t>
  </si>
  <si>
    <t>Biyeti</t>
  </si>
  <si>
    <t>PENUJAH</t>
  </si>
  <si>
    <t>M KHOLIL</t>
  </si>
  <si>
    <t>M kholil</t>
  </si>
  <si>
    <t>FRENGKI</t>
  </si>
  <si>
    <t>CIPINANG MELAYU</t>
  </si>
  <si>
    <t>SEMEDO</t>
  </si>
  <si>
    <t>NASRUDIN</t>
  </si>
  <si>
    <t>HALIM PERDANA KUSUMA</t>
  </si>
  <si>
    <t>nasrudin</t>
  </si>
  <si>
    <t>IRMAWATI</t>
  </si>
  <si>
    <t>irmawati</t>
  </si>
  <si>
    <t>NINA HERLINA</t>
  </si>
  <si>
    <t>AMRILILAH FATIAR</t>
  </si>
  <si>
    <t>FERDI ANDIKA</t>
  </si>
  <si>
    <t>WIDHI ROHMAWANTO</t>
  </si>
  <si>
    <t>MUNTILAN</t>
  </si>
  <si>
    <t>KEJI</t>
  </si>
  <si>
    <t>ali buntoro</t>
  </si>
  <si>
    <t>ANAS SAHIDIN</t>
  </si>
  <si>
    <t>KALIANGKRIK</t>
  </si>
  <si>
    <t>MADURETNO</t>
  </si>
  <si>
    <t>SANDI SAPUTRA</t>
  </si>
  <si>
    <t>MARGOYOSO</t>
  </si>
  <si>
    <t>BULUMANIS LOR</t>
  </si>
  <si>
    <t>AMELIA VIRDA CAHYANTIKA</t>
  </si>
  <si>
    <t>BONDO</t>
  </si>
  <si>
    <t>INTAN INDAH SAGITA</t>
  </si>
  <si>
    <t>LUKMAN HIDAYAT</t>
  </si>
  <si>
    <t>LIMPUNG</t>
  </si>
  <si>
    <t>BABADAN</t>
  </si>
  <si>
    <t>ADI TRI SETIAWAN</t>
  </si>
  <si>
    <t>TUTURIYAH</t>
  </si>
  <si>
    <t>tutoriyah</t>
  </si>
  <si>
    <t>BALI</t>
  </si>
  <si>
    <t>TABANAN</t>
  </si>
  <si>
    <t>SELEMADEG</t>
  </si>
  <si>
    <t>PUPUAN SAWAH</t>
  </si>
  <si>
    <t>FADILLAH AL HADI</t>
  </si>
  <si>
    <t>MOHAMMAD AHDA ALI FAHMI</t>
  </si>
  <si>
    <t>KEBANDINGAN</t>
  </si>
  <si>
    <t>BUDIYANTO</t>
  </si>
  <si>
    <t>MINAHASA</t>
  </si>
  <si>
    <t>KAWANGKOAN BARAT</t>
  </si>
  <si>
    <t>KANONANG DUA</t>
  </si>
  <si>
    <t>ADAM PUTRA PAMUNGKAS</t>
  </si>
  <si>
    <t>ADITYA SEPTIANA PUTRA</t>
  </si>
  <si>
    <t>TOSIN MAULANA</t>
  </si>
  <si>
    <t>IKHYA ULUMUDIN</t>
  </si>
  <si>
    <t>URIPNO</t>
  </si>
  <si>
    <t>LAMPUNG BARAT</t>
  </si>
  <si>
    <t>BALIK BUKIT</t>
  </si>
  <si>
    <t>WATES</t>
  </si>
  <si>
    <t>FAJAR SANTOSO</t>
  </si>
  <si>
    <t>SUWANDI</t>
  </si>
  <si>
    <t>LEGOKALONG</t>
  </si>
  <si>
    <t>KHASANUDIN</t>
  </si>
  <si>
    <t>SUMBEREJO</t>
  </si>
  <si>
    <t>SUHARTO</t>
  </si>
  <si>
    <t>ANCOL</t>
  </si>
  <si>
    <t>KHAERUDIN</t>
  </si>
  <si>
    <t>DUKUHJATI WETAN</t>
  </si>
  <si>
    <t>EVAN KRISTIANTO</t>
  </si>
  <si>
    <t>KARNAIM</t>
  </si>
  <si>
    <t>BUANA DONARIZQI</t>
  </si>
  <si>
    <t>BEDAHAN</t>
  </si>
  <si>
    <t>Buana Dona Rizki</t>
  </si>
  <si>
    <t>Saeful Arif</t>
  </si>
  <si>
    <t>SAEFUL ARIF</t>
  </si>
  <si>
    <t>ALIF DIANTORO</t>
  </si>
  <si>
    <t>SUGI ADE PANGESTU</t>
  </si>
  <si>
    <t>MARGAHAYU</t>
  </si>
  <si>
    <t>MUHAMMAD HABIBIE</t>
  </si>
  <si>
    <t>MEDANSATRIA</t>
  </si>
  <si>
    <t>ARI SANDI</t>
  </si>
  <si>
    <t>ILHAM ADITYA ADHA</t>
  </si>
  <si>
    <t>M.FARAZKA ARYMAN SETIAJI</t>
  </si>
  <si>
    <t>FADILLAH NUR AZAM</t>
  </si>
  <si>
    <t>NABILAH ITSNA ZAVIRA</t>
  </si>
  <si>
    <t>HARTITI</t>
  </si>
  <si>
    <t>NUR FAJAR SUCI</t>
  </si>
  <si>
    <t>PITRIYAH</t>
  </si>
  <si>
    <t>PISANGAN BARU</t>
  </si>
  <si>
    <t>FITRIYAH</t>
  </si>
  <si>
    <t>ANA AENI CARIA</t>
  </si>
  <si>
    <t>ANA AENIA CARIA</t>
  </si>
  <si>
    <t>WATNI VERAWATI</t>
  </si>
  <si>
    <t>DESI LINDASARI</t>
  </si>
  <si>
    <t>HAYATUN HASANAH</t>
  </si>
  <si>
    <t>hayatun hasanah</t>
  </si>
  <si>
    <t>WINARTI</t>
  </si>
  <si>
    <t>DIANA TIYASARI</t>
  </si>
  <si>
    <t>SHOFAI FA'LATIE</t>
  </si>
  <si>
    <t>SHOFAI FALATIE</t>
  </si>
  <si>
    <t>VIA AROMAH</t>
  </si>
  <si>
    <t>ISTI KHASANAH KHORIYAH</t>
  </si>
  <si>
    <t>SITI HARDIYANTI SRI REJEKI</t>
  </si>
  <si>
    <t>NIDA HANIFAH</t>
  </si>
  <si>
    <t>PARONGPONG</t>
  </si>
  <si>
    <t>KARYAWANGI</t>
  </si>
  <si>
    <t>FENI FREDYANI</t>
  </si>
  <si>
    <t>M.SAEFUL MU'MIN</t>
  </si>
  <si>
    <t>YABANSAI</t>
  </si>
  <si>
    <t>moh.saeful mu'min</t>
  </si>
  <si>
    <t>HERMAN WIJAYA</t>
  </si>
  <si>
    <t>MOH SEPRUDIN</t>
  </si>
  <si>
    <t>DEBONG KULON</t>
  </si>
  <si>
    <t>ACHMAD HAFI</t>
  </si>
  <si>
    <t>TAMBELANGAN</t>
  </si>
  <si>
    <t>BANJARBILLAH</t>
  </si>
  <si>
    <t>ROSITA</t>
  </si>
  <si>
    <t>KUMPAY</t>
  </si>
  <si>
    <t>NYAI</t>
  </si>
  <si>
    <t>PANONGAN</t>
  </si>
  <si>
    <t>MEKAR BAKTI</t>
  </si>
  <si>
    <t>DEWI SRI SUSANTI</t>
  </si>
  <si>
    <t>ELANG MUKTI</t>
  </si>
  <si>
    <t>PONTANG</t>
  </si>
  <si>
    <t>WANAYASA</t>
  </si>
  <si>
    <t>KARNADI BIN DAMU</t>
  </si>
  <si>
    <t>JURANG MANGU BARAT</t>
  </si>
  <si>
    <t>KARNADI</t>
  </si>
  <si>
    <t>TUTI ASIH</t>
  </si>
  <si>
    <t>FAHMI FARDILA</t>
  </si>
  <si>
    <t>AGAM</t>
  </si>
  <si>
    <t>LUBUK BASUNG</t>
  </si>
  <si>
    <t>FAHMI FARADILAH</t>
  </si>
  <si>
    <t>PUBAYASA</t>
  </si>
  <si>
    <t>TANAH TINGGI</t>
  </si>
  <si>
    <t>VONY KARLINA</t>
  </si>
  <si>
    <t>KUSRIYANI</t>
  </si>
  <si>
    <t>GROBOG KULON</t>
  </si>
  <si>
    <t>MOHAMAD TAHYUDIN</t>
  </si>
  <si>
    <t>MUHAMAD TAHYUDIN</t>
  </si>
  <si>
    <t>ANDI STIAWAN</t>
  </si>
  <si>
    <t>ANDI SETIAWAN</t>
  </si>
  <si>
    <t>BALAMOA</t>
  </si>
  <si>
    <t>RIBUT</t>
  </si>
  <si>
    <t>JELAMBAR BARU</t>
  </si>
  <si>
    <t>ribut</t>
  </si>
  <si>
    <t>PENUSUPAN</t>
  </si>
  <si>
    <t>PINANGSIA</t>
  </si>
  <si>
    <t>GROBOG WETAN</t>
  </si>
  <si>
    <t>LILI WAMEN</t>
  </si>
  <si>
    <t>DUKUHJATI KIDUL</t>
  </si>
  <si>
    <t>BAMBANG SUGIANTO</t>
  </si>
  <si>
    <t>BOGARES KIDUL</t>
  </si>
  <si>
    <t>SATINO</t>
  </si>
  <si>
    <t>MUKLAS</t>
  </si>
  <si>
    <t>ZULICHATUN</t>
  </si>
  <si>
    <t>SRI HARSIH B.RABU</t>
  </si>
  <si>
    <t>SRI HARSIH</t>
  </si>
  <si>
    <t>SUSANTO</t>
  </si>
  <si>
    <t>susanto</t>
  </si>
  <si>
    <t>PECABEAN</t>
  </si>
  <si>
    <t>yulianti</t>
  </si>
  <si>
    <t>CIPETE SELATAN</t>
  </si>
  <si>
    <t>JENGGAWUR</t>
  </si>
  <si>
    <t>TOTO SUDARTO</t>
  </si>
  <si>
    <t>MUDJAMALAH</t>
  </si>
  <si>
    <t>DAIMAH BT SANADI</t>
  </si>
  <si>
    <t>daimah</t>
  </si>
  <si>
    <t>ARI ANDRIYANTO</t>
  </si>
  <si>
    <t>RIZKY PERDANA PUTRA</t>
  </si>
  <si>
    <t>DICKY ARDIAN</t>
  </si>
  <si>
    <t>BOJONGRANGKAS</t>
  </si>
  <si>
    <t>PAKETIBAN</t>
  </si>
  <si>
    <t>TRI AYU PUSPANINGRUM</t>
  </si>
  <si>
    <t>PEPI RISTI</t>
  </si>
  <si>
    <t>KENDALSERUT</t>
  </si>
  <si>
    <t>SANAN</t>
  </si>
  <si>
    <t>BABAKAN GEBANG</t>
  </si>
  <si>
    <t>BOGARES LOR</t>
  </si>
  <si>
    <t>AGUS SUGIANA</t>
  </si>
  <si>
    <t>SUKAKARYA</t>
  </si>
  <si>
    <t>SUKAMURNI</t>
  </si>
  <si>
    <t>Agus Sugiana</t>
  </si>
  <si>
    <t>RANCAWIRU</t>
  </si>
  <si>
    <t>SAMSURI</t>
  </si>
  <si>
    <t>HERI PRAYITNO</t>
  </si>
  <si>
    <t>SARYEM</t>
  </si>
  <si>
    <t>TAHIRA AZIZA MARISA</t>
  </si>
  <si>
    <t>BAMBANG HADI SUTOMO</t>
  </si>
  <si>
    <t>DERMASUCI</t>
  </si>
  <si>
    <t>MARATUS SHOLIHAH</t>
  </si>
  <si>
    <t>SURTINAH</t>
  </si>
  <si>
    <t>surtinah</t>
  </si>
  <si>
    <t>BASRUN</t>
  </si>
  <si>
    <t>PUNGGELAN</t>
  </si>
  <si>
    <t>JEMBANGAN</t>
  </si>
  <si>
    <t>PENER</t>
  </si>
  <si>
    <t>DESTIAN NUR INSANI</t>
  </si>
  <si>
    <t>KARANGMOJO</t>
  </si>
  <si>
    <t>MOHAMAD SOFARI</t>
  </si>
  <si>
    <t>SUKALUYU</t>
  </si>
  <si>
    <t>SELAJAMBE</t>
  </si>
  <si>
    <t>AHMAD FAIZAL BAKHTIAR</t>
  </si>
  <si>
    <t>ahmad faizal bahtiar</t>
  </si>
  <si>
    <t>KALIKANGKUNG</t>
  </si>
  <si>
    <t>URIP ANDRE HERIAWAN</t>
  </si>
  <si>
    <t>WANAJAYA</t>
  </si>
  <si>
    <t>DUKUHSEMBUNG</t>
  </si>
  <si>
    <t>ANTON WIJAYA</t>
  </si>
  <si>
    <t>NAGASARI</t>
  </si>
  <si>
    <t>ANTO WIJAYA</t>
  </si>
  <si>
    <t>ALIP BUSRO</t>
  </si>
  <si>
    <t>PANGGANG</t>
  </si>
  <si>
    <t>GIRISEKAR</t>
  </si>
  <si>
    <t>JONI EFENDI</t>
  </si>
  <si>
    <t>KEMANDUNGAN</t>
  </si>
  <si>
    <t>ADIFA ALAUDIN</t>
  </si>
  <si>
    <t>Adifa Alaudin</t>
  </si>
  <si>
    <t>GANTAR</t>
  </si>
  <si>
    <t>MEKARJAYA</t>
  </si>
  <si>
    <t>ACHMAD MUNAZAR</t>
  </si>
  <si>
    <t>A. MUNAZAR</t>
  </si>
  <si>
    <t>MUHAMAD AJI AFIYANTO</t>
  </si>
  <si>
    <t>BOLAANG MONGONDOW TIMUR</t>
  </si>
  <si>
    <t>MODAYAG</t>
  </si>
  <si>
    <t>LIBERIA</t>
  </si>
  <si>
    <t>muhamad aji afiyanto</t>
  </si>
  <si>
    <t>AGUS EFENDI</t>
  </si>
  <si>
    <t>Agus Efendi</t>
  </si>
  <si>
    <t>DERMASANDI</t>
  </si>
  <si>
    <t>MUHAMMAD FAIZAL ABRORI</t>
  </si>
  <si>
    <t>M.MUZADI ARHAM</t>
  </si>
  <si>
    <t>M. MUZADI ARHAM</t>
  </si>
  <si>
    <t>TANGKI</t>
  </si>
  <si>
    <t>RAFI GALIH PAMUNGKAS</t>
  </si>
  <si>
    <t>CAKUNG BARAT</t>
  </si>
  <si>
    <t>Rafi Galih Pamungkas</t>
  </si>
  <si>
    <t>FIKRI ARDIANSYAH PRASETIAJI</t>
  </si>
  <si>
    <t>CIBALONGSARI</t>
  </si>
  <si>
    <t>ARISMAN BUDI SANTOSO</t>
  </si>
  <si>
    <t>MUSFIQ AMRULLOH</t>
  </si>
  <si>
    <t>COMPRENG</t>
  </si>
  <si>
    <t>KALENSARI</t>
  </si>
  <si>
    <t>ARYA YUDHA PRATAMA</t>
  </si>
  <si>
    <t>PRAMBANAN</t>
  </si>
  <si>
    <t>KEMUDO</t>
  </si>
  <si>
    <t>M. WACHIDUN TEGAR SUSANTO</t>
  </si>
  <si>
    <t>M. WACHIDUN TEGAR SUSANTO BIN BUANG ROKHIDIN</t>
  </si>
  <si>
    <t>EDI PURWANTO</t>
  </si>
  <si>
    <t>ANGGI RIZKI PRATAMA</t>
  </si>
  <si>
    <t>Anggi Rizki Pratama</t>
  </si>
  <si>
    <t>SETYO GUNAWAN</t>
  </si>
  <si>
    <t>JATIWARINGIN</t>
  </si>
  <si>
    <t>FATKHUROKHMAN</t>
  </si>
  <si>
    <t>KUTAI KARTANEGARA</t>
  </si>
  <si>
    <t>SAMBOJA</t>
  </si>
  <si>
    <t>BERINGIN AGUNG</t>
  </si>
  <si>
    <t>FATKHUROHMAN</t>
  </si>
  <si>
    <t>BAKTIJAYA</t>
  </si>
  <si>
    <t>AGUNG SETIAWAN</t>
  </si>
  <si>
    <t>ACHMAD JUNAEDI</t>
  </si>
  <si>
    <t>HARAPANJAYA</t>
  </si>
  <si>
    <t>RIZKI MAULANA</t>
  </si>
  <si>
    <t>RAPAK DALAM</t>
  </si>
  <si>
    <t>AHMAD JORDI CAHYANI</t>
  </si>
  <si>
    <t>AHMAD JURDI CAHYANI</t>
  </si>
  <si>
    <t>KHUZAENI</t>
  </si>
  <si>
    <t>RAMADONI</t>
  </si>
  <si>
    <t>KOTA PALANGKARAYA</t>
  </si>
  <si>
    <t>RAKUMPIT</t>
  </si>
  <si>
    <t>PETUK BARUNAI</t>
  </si>
  <si>
    <t>BAGUS EKA PUTRA</t>
  </si>
  <si>
    <t>KUTAI TIMUR</t>
  </si>
  <si>
    <t>BENGALON</t>
  </si>
  <si>
    <t>SEPASO</t>
  </si>
  <si>
    <t>FAJAR NUR HAZAL</t>
  </si>
  <si>
    <t>M. RIZKI PUTRA DERMAWAN</t>
  </si>
  <si>
    <t>M.RIZKI PUTRA DERMAWAN</t>
  </si>
  <si>
    <t>SRI RAHAYU</t>
  </si>
  <si>
    <t>YANTI PEGGI ARISTA</t>
  </si>
  <si>
    <t>YANTI PEGGY ARISTA BINTI WARMO (ALM)</t>
  </si>
  <si>
    <t>SUKARESMI</t>
  </si>
  <si>
    <t>NINING SRI NURWERI</t>
  </si>
  <si>
    <t>NINING SRI NURWERI BINTI KARGO (ALM)</t>
  </si>
  <si>
    <t>SUSI SUSANTI</t>
  </si>
  <si>
    <t>KARANGGONDANG</t>
  </si>
  <si>
    <t>ISTIQ WINDI ARSIH</t>
  </si>
  <si>
    <t>SITI ROKHANI</t>
  </si>
  <si>
    <t>ZAZKIA FARAH MAULIDYA SEGARA</t>
  </si>
  <si>
    <t>GIRIKULON</t>
  </si>
  <si>
    <t>RIESLY VERONIKA WELERUBUN</t>
  </si>
  <si>
    <t>OHOIJANG WATDEK</t>
  </si>
  <si>
    <t>Dinda Elisa</t>
  </si>
  <si>
    <t>ANGGRAENI</t>
  </si>
  <si>
    <t>ELA MUZAYANAH</t>
  </si>
  <si>
    <t>TEMANGGUNG</t>
  </si>
  <si>
    <t>NGADIREJO</t>
  </si>
  <si>
    <t>SILFI NOVIA ROHMAH</t>
  </si>
  <si>
    <t>DEBONG LOR</t>
  </si>
  <si>
    <t>LAELATUL ISTIQOMAH</t>
  </si>
  <si>
    <t>RUSTIYANTI</t>
  </si>
  <si>
    <t>MALIKHATUN</t>
  </si>
  <si>
    <t>REGOL</t>
  </si>
  <si>
    <t>CIATEUL</t>
  </si>
  <si>
    <t>MIMIN ANDRIYANI</t>
  </si>
  <si>
    <t>MIMIN ANDRIYANI BINTI TASRIPIN</t>
  </si>
  <si>
    <t>MULTIN AGUSTINA</t>
  </si>
  <si>
    <t>NURKHOLIPAH BT MARYATI</t>
  </si>
  <si>
    <t>MUSLIKHA</t>
  </si>
  <si>
    <t>DIYAN HASTUTI</t>
  </si>
  <si>
    <t>FATMAWATI</t>
  </si>
  <si>
    <t>TAMBUN</t>
  </si>
  <si>
    <t>DINAR MAHARDIKA</t>
  </si>
  <si>
    <t>LANGKAPURA</t>
  </si>
  <si>
    <t>LANGKAPURA BARU</t>
  </si>
  <si>
    <t>AGUS SUMINTO</t>
  </si>
  <si>
    <t>KUDAILE</t>
  </si>
  <si>
    <t>MOCH.SENOAJI</t>
  </si>
  <si>
    <t>MOCH. SENOAJI</t>
  </si>
  <si>
    <t>TULUS RAGIL SUGIARTO</t>
  </si>
  <si>
    <t>PROCOT</t>
  </si>
  <si>
    <t>ENDANG MARLUPI</t>
  </si>
  <si>
    <t>MOH WAHRUDIN</t>
  </si>
  <si>
    <t>MOH. WAHRUDIN</t>
  </si>
  <si>
    <t>DIYANA ASTUTI</t>
  </si>
  <si>
    <t>SILFIA NURLISA</t>
  </si>
  <si>
    <t>TALANG</t>
  </si>
  <si>
    <t>PEKIRINGAN</t>
  </si>
  <si>
    <t>DARSONO HERMAWAN</t>
  </si>
  <si>
    <t>SULUNG</t>
  </si>
  <si>
    <t>SAEFUL AMIRUDIN</t>
  </si>
  <si>
    <t>Rifai</t>
  </si>
  <si>
    <t>TUTWURI WIBOWO</t>
  </si>
  <si>
    <t>Tutwuri Wibowo</t>
  </si>
  <si>
    <t>INDAH NURUL AENI</t>
  </si>
  <si>
    <t>IRFAN SUNARTO</t>
  </si>
  <si>
    <t>KEDUNGNENG</t>
  </si>
  <si>
    <t>M. IRFAN FAUZI</t>
  </si>
  <si>
    <t>MUHAMAD IRFAN FAUZI</t>
  </si>
  <si>
    <t>ANIF NUR FADILAH</t>
  </si>
  <si>
    <t>PURWANDI</t>
  </si>
  <si>
    <t>DEDE AFIANTO</t>
  </si>
  <si>
    <t>Dede Afianto</t>
  </si>
  <si>
    <t>WIKE NURJANAH</t>
  </si>
  <si>
    <t>WAHYU</t>
  </si>
  <si>
    <t>SUSANA</t>
  </si>
  <si>
    <t>CALLISTA ATHA FLOREAN</t>
  </si>
  <si>
    <t>SARITI</t>
  </si>
  <si>
    <t>TANTI</t>
  </si>
  <si>
    <t>DEWI INDRIYARTI</t>
  </si>
  <si>
    <t>Dewi indriyarti</t>
  </si>
  <si>
    <t>BEDUG</t>
  </si>
  <si>
    <t>MARSITI</t>
  </si>
  <si>
    <t>PASURUAN</t>
  </si>
  <si>
    <t>GLAGAHSARI</t>
  </si>
  <si>
    <t>PARIT STIAWAN</t>
  </si>
  <si>
    <t>TUBAN</t>
  </si>
  <si>
    <t>SOKO</t>
  </si>
  <si>
    <t>SANDINGROWO</t>
  </si>
  <si>
    <t>NURUL FAJAR</t>
  </si>
  <si>
    <t>SUMENEP</t>
  </si>
  <si>
    <t>BATANG BATANG</t>
  </si>
  <si>
    <t>BATANG-BATANG DAYA</t>
  </si>
  <si>
    <t>SUPRI</t>
  </si>
  <si>
    <t>PONDOK CABE ILIR</t>
  </si>
  <si>
    <t>AISIYAH</t>
  </si>
  <si>
    <t>NOK AISIYAH</t>
  </si>
  <si>
    <t>NUR ASYIYAH</t>
  </si>
  <si>
    <t>RASYA LAILA SHAFINA</t>
  </si>
  <si>
    <t>BERLIN TUA SINAGA</t>
  </si>
  <si>
    <t>PARUNG PANJANG</t>
  </si>
  <si>
    <t>PARUNGPANJANG</t>
  </si>
  <si>
    <t>SLAWI KULON</t>
  </si>
  <si>
    <t>CHRISTIAN WIJAYA</t>
  </si>
  <si>
    <t>SIJUNJUNG</t>
  </si>
  <si>
    <t>TOHA MA'SUM</t>
  </si>
  <si>
    <t>TOHA MAKSUN</t>
  </si>
  <si>
    <t>GENENG</t>
  </si>
  <si>
    <t>KENITEN</t>
  </si>
  <si>
    <t>ANDHIKA PRATAMA</t>
  </si>
  <si>
    <t>BELINYU</t>
  </si>
  <si>
    <t>MANTUNG</t>
  </si>
  <si>
    <t>KALISAPU</t>
  </si>
  <si>
    <t>SYARIF SARIPULOH</t>
  </si>
  <si>
    <t>DUKUPUNTANG</t>
  </si>
  <si>
    <t>BALAD</t>
  </si>
  <si>
    <t>DUKUHWRINGIN</t>
  </si>
  <si>
    <t>PONISAH</t>
  </si>
  <si>
    <t>SUJANTO</t>
  </si>
  <si>
    <t>GALUR</t>
  </si>
  <si>
    <t>TRAYEMAN</t>
  </si>
  <si>
    <t>TOTO</t>
  </si>
  <si>
    <t>ROCHAYAH</t>
  </si>
  <si>
    <t>M.SURONO</t>
  </si>
  <si>
    <t>WARAKAS</t>
  </si>
  <si>
    <t>MUHAMMAD SURONO</t>
  </si>
  <si>
    <t>PURWANTO SETIYA BINTARA</t>
  </si>
  <si>
    <t>PURWANTO SETIYA</t>
  </si>
  <si>
    <t>WARTIAH</t>
  </si>
  <si>
    <t>JASMINE ORORA</t>
  </si>
  <si>
    <t>ROHAYATUN</t>
  </si>
  <si>
    <t>WILLIAM YOEWONO</t>
  </si>
  <si>
    <t>ELA ROSMALAYANTI</t>
  </si>
  <si>
    <t>SUHARJO</t>
  </si>
  <si>
    <t>PAKEMBARAN</t>
  </si>
  <si>
    <t>JAKARIA SABAN</t>
  </si>
  <si>
    <t>UTAN KAYU SELATAN</t>
  </si>
  <si>
    <t>jakaria saban</t>
  </si>
  <si>
    <t>ARMAND VALENTINO NASUTION</t>
  </si>
  <si>
    <t>ARMAND VALENTINO</t>
  </si>
  <si>
    <t>TAKIM MAULANA</t>
  </si>
  <si>
    <t>SUKAWENING</t>
  </si>
  <si>
    <t>Takim Maulana</t>
  </si>
  <si>
    <t>DADAN CHANDRA GUNAWAN</t>
  </si>
  <si>
    <t>CIAMIS</t>
  </si>
  <si>
    <t>CIDOLOG</t>
  </si>
  <si>
    <t>IMI</t>
  </si>
  <si>
    <t>FADILLA MUSLIMAH</t>
  </si>
  <si>
    <t>SIDAMULIH</t>
  </si>
  <si>
    <t>CIKEMBULAN</t>
  </si>
  <si>
    <t>ONO WARYONO</t>
  </si>
  <si>
    <t>CIPICUNG</t>
  </si>
  <si>
    <t>SUSUKAN</t>
  </si>
  <si>
    <t>DUKUHSALAM</t>
  </si>
  <si>
    <t>WULANDARI</t>
  </si>
  <si>
    <t>PILANGSARI</t>
  </si>
  <si>
    <t>GAMPANG WAKHID NUGROHO</t>
  </si>
  <si>
    <t>YULI ARIYANI</t>
  </si>
  <si>
    <t>BANJAREJA</t>
  </si>
  <si>
    <t>SAMINGUN</t>
  </si>
  <si>
    <t>AYAH</t>
  </si>
  <si>
    <t>CANDIRENGGO</t>
  </si>
  <si>
    <t>HADI CAHYONO</t>
  </si>
  <si>
    <t>SUDRAJAD</t>
  </si>
  <si>
    <t>SAPURAN</t>
  </si>
  <si>
    <t>ROMIYAH</t>
  </si>
  <si>
    <t>DURI KOSAMBI</t>
  </si>
  <si>
    <t>EDI SUYATNO</t>
  </si>
  <si>
    <t>MRIYAN</t>
  </si>
  <si>
    <t>PRIYANTO</t>
  </si>
  <si>
    <t>BOLOPLERET</t>
  </si>
  <si>
    <t>RETNO FEBRIYANI PUTRI</t>
  </si>
  <si>
    <t>JUMANTONO</t>
  </si>
  <si>
    <t>PUJI AYU WARDANI</t>
  </si>
  <si>
    <t>BANYUWANGI</t>
  </si>
  <si>
    <t>SURATI</t>
  </si>
  <si>
    <t>AFZAAL BUMI ADIDA PERDANA</t>
  </si>
  <si>
    <t>Afzaal Bumi Adida Perdana</t>
  </si>
  <si>
    <t>YAN DEVIT ARYANTO</t>
  </si>
  <si>
    <t>DESTI ANGGA TOMMY TRI SAPUTRA</t>
  </si>
  <si>
    <t>SELLY PANGESTU</t>
  </si>
  <si>
    <t>SITI MARIYAH</t>
  </si>
  <si>
    <t>BODAS</t>
  </si>
  <si>
    <t>ALI SOHWAN</t>
  </si>
  <si>
    <t>WATUKUMPUL</t>
  </si>
  <si>
    <t>CIKADU</t>
  </si>
  <si>
    <t>SUYATNO</t>
  </si>
  <si>
    <t>MUHAMMAD TEGUH PRIYANTO</t>
  </si>
  <si>
    <t>ERLYANI YUNITA NAINGGOLAN</t>
  </si>
  <si>
    <t>M. KHOLIK</t>
  </si>
  <si>
    <t>M, KHOLIK</t>
  </si>
  <si>
    <t>MUHAMMAD TAUFIK</t>
  </si>
  <si>
    <t>TEGUH SANTOSO</t>
  </si>
  <si>
    <t>PEJUANG</t>
  </si>
  <si>
    <t>ALFIN SYAIFUL ANWAR</t>
  </si>
  <si>
    <t>KAGOK</t>
  </si>
  <si>
    <t>HERY SISWANTO</t>
  </si>
  <si>
    <t>SRAGEN</t>
  </si>
  <si>
    <t>SUMBERLAWANG</t>
  </si>
  <si>
    <t>CEPOKO</t>
  </si>
  <si>
    <t>BANI PRIBUMI</t>
  </si>
  <si>
    <t>RAGHIBA FIDZIKRI AWFA</t>
  </si>
  <si>
    <t>FANDI AHMAD</t>
  </si>
  <si>
    <t>Fandi Ahmad</t>
  </si>
  <si>
    <t>SALSA BELA WIDYANTARA REZKA PAHLEVI</t>
  </si>
  <si>
    <t>KOLAKA</t>
  </si>
  <si>
    <t>WUNDULAKO</t>
  </si>
  <si>
    <t>AGUS LEKSONO</t>
  </si>
  <si>
    <t>MUKTAMIR HILMI MUSTOFA</t>
  </si>
  <si>
    <t>GEYER</t>
  </si>
  <si>
    <t>RAMBAT</t>
  </si>
  <si>
    <t>ARIEF NURHIMAWAN PUTRA</t>
  </si>
  <si>
    <t>ARIEF NURHIMAWAN PUTRA BIN NUR AMAD</t>
  </si>
  <si>
    <t>NGALIYAN</t>
  </si>
  <si>
    <t>WARNO</t>
  </si>
  <si>
    <t>SARMI</t>
  </si>
  <si>
    <t>AGUS DJATMIKO</t>
  </si>
  <si>
    <t>SYAEFUL ANAM</t>
  </si>
  <si>
    <t>AHMAD ASADULLAH</t>
  </si>
  <si>
    <t>THOMAS LEONARDUS PANGOLOI MALAU</t>
  </si>
  <si>
    <t>Thomas Leonardus PM</t>
  </si>
  <si>
    <t>JOYO WINOTO</t>
  </si>
  <si>
    <t>Joyo Winoto</t>
  </si>
  <si>
    <t>TOMBARIRI</t>
  </si>
  <si>
    <t>BORGO</t>
  </si>
  <si>
    <t>TEDI HERMANTO</t>
  </si>
  <si>
    <t>TASIKMADU</t>
  </si>
  <si>
    <t>KALIJIRAK</t>
  </si>
  <si>
    <t>MARYANTO GIGIH SETIAWAN</t>
  </si>
  <si>
    <t>MUHAMMAD AJI SUBEKHTI</t>
  </si>
  <si>
    <t>AHMAD ROIHAN WIJAYA</t>
  </si>
  <si>
    <t>RACHMAT HIDAYATULLOH</t>
  </si>
  <si>
    <t>GUNUNG SUGIH</t>
  </si>
  <si>
    <t>BUYUT ILIR</t>
  </si>
  <si>
    <t>JUANA</t>
  </si>
  <si>
    <t>PANCANEGARA</t>
  </si>
  <si>
    <t>MUHAMAD RAEKHAN RAMDHANI</t>
  </si>
  <si>
    <t>EKO PRABOWO</t>
  </si>
  <si>
    <t>EKO PRABOWO BIN WARNOTO</t>
  </si>
  <si>
    <t>ADHI HENDRAWAN</t>
  </si>
  <si>
    <t>YAPEN SELATAN</t>
  </si>
  <si>
    <t>TARAU</t>
  </si>
  <si>
    <t>OKI ELVIANTO</t>
  </si>
  <si>
    <t>M. JAMALUDIN HABIBIE</t>
  </si>
  <si>
    <t>SUTARYO</t>
  </si>
  <si>
    <t>NUR RATNA</t>
  </si>
  <si>
    <t>BATUR</t>
  </si>
  <si>
    <t>AMRIZAL RASYID</t>
  </si>
  <si>
    <t>yumna najda najiyah</t>
  </si>
  <si>
    <t>Yumna Najda Najiyah</t>
  </si>
  <si>
    <t>NURULLIA RAHMAWATI</t>
  </si>
  <si>
    <t>Nurullia Rahmawati</t>
  </si>
  <si>
    <t>JATEN</t>
  </si>
  <si>
    <t>NGRINGO</t>
  </si>
  <si>
    <t>DIYARTI</t>
  </si>
  <si>
    <t>NIKE NUR JANAH</t>
  </si>
  <si>
    <t>RAJAGALUH</t>
  </si>
  <si>
    <t>TEJA</t>
  </si>
  <si>
    <t>ZIPURALITA DHENA SP</t>
  </si>
  <si>
    <t>zipuralita dhena Setiyana pravitasari</t>
  </si>
  <si>
    <t>KEBONDOWO</t>
  </si>
  <si>
    <t>ELY SULISTIYANA</t>
  </si>
  <si>
    <t>SITI MUTHMAINAH</t>
  </si>
  <si>
    <t>JETIS</t>
  </si>
  <si>
    <t>ISNANTI</t>
  </si>
  <si>
    <t>BERGAS</t>
  </si>
  <si>
    <t>GONDORIYO</t>
  </si>
  <si>
    <t>TARUB</t>
  </si>
  <si>
    <t>ISTIYAH</t>
  </si>
  <si>
    <t>ALIFAH QOMARIA IRAWATI</t>
  </si>
  <si>
    <t>IZZAH MAHFUDHOH</t>
  </si>
  <si>
    <t>BULU</t>
  </si>
  <si>
    <t>PANDEMULYO</t>
  </si>
  <si>
    <t>ASHFA LU'LU</t>
  </si>
  <si>
    <t>ASHFA LULU</t>
  </si>
  <si>
    <t>KOTA METRO</t>
  </si>
  <si>
    <t>METRO BARAT</t>
  </si>
  <si>
    <t>GANJAR ASRI</t>
  </si>
  <si>
    <t>DINI AULIA SAVITRI</t>
  </si>
  <si>
    <t>Dini Aulia Savitri</t>
  </si>
  <si>
    <t>Sulastri</t>
  </si>
  <si>
    <t>RIRIN NURUL AINI</t>
  </si>
  <si>
    <t>MEGITA PUJI LESTARI</t>
  </si>
  <si>
    <t>megita puji lestari</t>
  </si>
  <si>
    <t>PINANGRANTI</t>
  </si>
  <si>
    <t>CHATLIN SETIAWAN</t>
  </si>
  <si>
    <t>KEAGUNGAN</t>
  </si>
  <si>
    <t>SAPTIANA TRI CAHYANI</t>
  </si>
  <si>
    <t>SAPTIANA TRI CAHYANI BINTI SUKIRNO</t>
  </si>
  <si>
    <t>NGARIBOYO</t>
  </si>
  <si>
    <t>BANJAREJO</t>
  </si>
  <si>
    <t>ISWATUN KHASANAH</t>
  </si>
  <si>
    <t>Rina Yuniwijayanti</t>
  </si>
  <si>
    <t>LUTFI NUR IASHA</t>
  </si>
  <si>
    <t>ORIZA WIDYANING ANNASIA</t>
  </si>
  <si>
    <t>Oriza Widyaning Annasia</t>
  </si>
  <si>
    <t>JANE SENDA</t>
  </si>
  <si>
    <t>RISMA JUNIAR ASMARAMI</t>
  </si>
  <si>
    <t>RISMA JUNIAR ASMARANI</t>
  </si>
  <si>
    <t>KALIERANG</t>
  </si>
  <si>
    <t>MUFIDAH</t>
  </si>
  <si>
    <t>DWI PRAHASTUTI</t>
  </si>
  <si>
    <t>DIKI SAPUTRA</t>
  </si>
  <si>
    <t>GUNUNG SAHARI UTARA</t>
  </si>
  <si>
    <t>Diki Saputra</t>
  </si>
  <si>
    <t>NABILA RAHMAWATI AZZAHRA</t>
  </si>
  <si>
    <t>NASFA NURUL HAYATI</t>
  </si>
  <si>
    <t>YOSEP ADIGUNA</t>
  </si>
  <si>
    <t>MUHAMAD MUFROJI</t>
  </si>
  <si>
    <t>MOHAMAD AMINUDIN</t>
  </si>
  <si>
    <t>KURNIA FITRIANI</t>
  </si>
  <si>
    <t>Kurnia Fitriani</t>
  </si>
  <si>
    <t>KARMEN</t>
  </si>
  <si>
    <t>ARIS WAHYUDI</t>
  </si>
  <si>
    <t>ILIR TIMUR DUA</t>
  </si>
  <si>
    <t>DUA ILIR</t>
  </si>
  <si>
    <t>ARIO AGUNG WARANTO</t>
  </si>
  <si>
    <t>ario agung wiranto</t>
  </si>
  <si>
    <t>MURDIYANI</t>
  </si>
  <si>
    <t>SLAMET RIYADI</t>
  </si>
  <si>
    <t>LOSARI LOR</t>
  </si>
  <si>
    <t>MIGHFARIS SALAMAH</t>
  </si>
  <si>
    <t>MULYATI</t>
  </si>
  <si>
    <t>KAMAL</t>
  </si>
  <si>
    <t>ANTANIA HANJANI</t>
  </si>
  <si>
    <t>BANYUMANIK</t>
  </si>
  <si>
    <t>RIZAL APRIANTO</t>
  </si>
  <si>
    <t>rizal aprianto</t>
  </si>
  <si>
    <t>RETNO ASIH YUNI SASANTI</t>
  </si>
  <si>
    <t>retno asih ys</t>
  </si>
  <si>
    <t>SUSKANDAR</t>
  </si>
  <si>
    <t>MEI DIYAH YULIANI</t>
  </si>
  <si>
    <t>IRMA DIAH KRISWANTI</t>
  </si>
  <si>
    <t>SELY RATU FEBRIANI</t>
  </si>
  <si>
    <t>DENY ANIS ARYANI</t>
  </si>
  <si>
    <t>Deny Anis Aryani</t>
  </si>
  <si>
    <t>RONY CAHYONO</t>
  </si>
  <si>
    <t>PARE</t>
  </si>
  <si>
    <t>TULUNGREJO</t>
  </si>
  <si>
    <t>ASRALIANTO ARIEF</t>
  </si>
  <si>
    <t>PROBOLINGGO</t>
  </si>
  <si>
    <t>DRINGU</t>
  </si>
  <si>
    <t>WATUWUNGKUK</t>
  </si>
  <si>
    <t>HARTATIK</t>
  </si>
  <si>
    <t>NURUL AINUN AMALIA</t>
  </si>
  <si>
    <t>PINANG</t>
  </si>
  <si>
    <t>PANUNGGANGAN UTARA</t>
  </si>
  <si>
    <t>JIHAN BASYIR</t>
  </si>
  <si>
    <t>KOTA MATARAM</t>
  </si>
  <si>
    <t>AMPENAN</t>
  </si>
  <si>
    <t>DAYAN PEKEN</t>
  </si>
  <si>
    <t>JIHAN BA SYIR</t>
  </si>
  <si>
    <t>KUSNAYANTI</t>
  </si>
  <si>
    <t>JAYAPURA SELATAN</t>
  </si>
  <si>
    <t>ENTROP</t>
  </si>
  <si>
    <t>RINTAN PERMATA SARI</t>
  </si>
  <si>
    <t>TAPANULI SELATAN</t>
  </si>
  <si>
    <t>SIPIROK</t>
  </si>
  <si>
    <t>HUTASUHUT</t>
  </si>
  <si>
    <t>rintan permata sari</t>
  </si>
  <si>
    <t>BERSOLE</t>
  </si>
  <si>
    <t>MUHAMMAD RIZAL</t>
  </si>
  <si>
    <t>TEMBOK LUWUNG</t>
  </si>
  <si>
    <t>MUHAMMAD RIZAL BIN SYAFRIL</t>
  </si>
  <si>
    <t>MUHAMAD ARIP SANTOSO</t>
  </si>
  <si>
    <t>KEBON MELATI</t>
  </si>
  <si>
    <t>muhamad arip santoso</t>
  </si>
  <si>
    <t>ROHATI</t>
  </si>
  <si>
    <t>UJUNGRUSI</t>
  </si>
  <si>
    <t>MAYTA ISTIKOMAH</t>
  </si>
  <si>
    <t>LEMAHDUWUR</t>
  </si>
  <si>
    <t>MUKHAMAD SANTOSO</t>
  </si>
  <si>
    <t>KEDUNGSUKUN</t>
  </si>
  <si>
    <t>CIPINANG</t>
  </si>
  <si>
    <t>MUHAMAD AHDA BARORI</t>
  </si>
  <si>
    <t>TANAH DATAR</t>
  </si>
  <si>
    <t>LIMA KAUM</t>
  </si>
  <si>
    <t>BARINGIN</t>
  </si>
  <si>
    <t>muhamad ahda barori</t>
  </si>
  <si>
    <t>GUMALAR</t>
  </si>
  <si>
    <t>KARTO</t>
  </si>
  <si>
    <t>PENARUKAN</t>
  </si>
  <si>
    <t>HARTO</t>
  </si>
  <si>
    <t>TUNI</t>
  </si>
  <si>
    <t>KAPETAKAN</t>
  </si>
  <si>
    <t>PAGEDANGAN</t>
  </si>
  <si>
    <t>MOCH RIDWAN AL FATAH</t>
  </si>
  <si>
    <t>SINDANGWANGI</t>
  </si>
  <si>
    <t>JERUKLEUEUT</t>
  </si>
  <si>
    <t>Moch. Ridwan Al Fatah</t>
  </si>
  <si>
    <t>HARJOSARI LOR</t>
  </si>
  <si>
    <t>ANDRI SANJAYA</t>
  </si>
  <si>
    <t>CIAMPEL</t>
  </si>
  <si>
    <t>KUTAMEKAR</t>
  </si>
  <si>
    <t>DENI NUR FAJAR</t>
  </si>
  <si>
    <t>TOBARI SUKMA</t>
  </si>
  <si>
    <t>GANDASARI</t>
  </si>
  <si>
    <t>TOBARI</t>
  </si>
  <si>
    <t>PAGIYANTEN</t>
  </si>
  <si>
    <t>NISFI LAELY</t>
  </si>
  <si>
    <t>NISFI LAELI</t>
  </si>
  <si>
    <t>ADITYA RAMADHANI</t>
  </si>
  <si>
    <t>CABANGBUNGIN</t>
  </si>
  <si>
    <t>JAYABAKTI</t>
  </si>
  <si>
    <t>MARIA MARSEDES</t>
  </si>
  <si>
    <t>MUARAGEMBONG</t>
  </si>
  <si>
    <t>JAYASAKTI</t>
  </si>
  <si>
    <t>Maria Mersedes</t>
  </si>
  <si>
    <t>MARLLY ANWAR</t>
  </si>
  <si>
    <t>PERWIRA</t>
  </si>
  <si>
    <t>SANTI YULIAN DINI</t>
  </si>
  <si>
    <t>Santi Yulian Dini</t>
  </si>
  <si>
    <t>SUKAMTO</t>
  </si>
  <si>
    <t>Sukamto</t>
  </si>
  <si>
    <t>ANDRIYAN</t>
  </si>
  <si>
    <t>ANDRIYANI</t>
  </si>
  <si>
    <t>KERTAJAYA</t>
  </si>
  <si>
    <t>ADI PURNOMO</t>
  </si>
  <si>
    <t>SAIDATUL ARIFAH</t>
  </si>
  <si>
    <t>WANGANDOWO</t>
  </si>
  <si>
    <t>An Nisa Nurdiana</t>
  </si>
  <si>
    <t>AYYU FATKHIYYAH</t>
  </si>
  <si>
    <t>AMYAKZAN</t>
  </si>
  <si>
    <t>LUMINGSER</t>
  </si>
  <si>
    <t>MOHAMMAD GHOZALI</t>
  </si>
  <si>
    <t>TEMBOK BANJARAN</t>
  </si>
  <si>
    <t>MUHAMMAD GHOZALI</t>
  </si>
  <si>
    <t>NUJU</t>
  </si>
  <si>
    <t>Nuju</t>
  </si>
  <si>
    <t>KALIMATI</t>
  </si>
  <si>
    <t>MUHAMMAD QOYYUMUL WAFI</t>
  </si>
  <si>
    <t>MUHAMMAD FAQIH KHUSEN</t>
  </si>
  <si>
    <t>PECANGAKAN</t>
  </si>
  <si>
    <t>AKHMAD FATKHUL ALAM</t>
  </si>
  <si>
    <t>ADE IRAWAN</t>
  </si>
  <si>
    <t>ADE IRAWAN BIN SUSANTO</t>
  </si>
  <si>
    <t>KHAMAMI</t>
  </si>
  <si>
    <t>RISKI PRASETIO</t>
  </si>
  <si>
    <t>RISKI PRASETYO</t>
  </si>
  <si>
    <t>NASRULLAH</t>
  </si>
  <si>
    <t>MOHAMAD FIKRI BUDIYANTO</t>
  </si>
  <si>
    <t>MOHAMMAD FIKRI BUDIYANTO</t>
  </si>
  <si>
    <t>A. FAOZI</t>
  </si>
  <si>
    <t>A. Faozi</t>
  </si>
  <si>
    <t>M. IBNU KAESAR AKFANA</t>
  </si>
  <si>
    <t>M IBNU KAESAR AKFANA</t>
  </si>
  <si>
    <t>MUHAMMAD ILHAM SAMPURNA</t>
  </si>
  <si>
    <t>PULAU TALIABU</t>
  </si>
  <si>
    <t>TALIABU BARAT</t>
  </si>
  <si>
    <t>BOBONG</t>
  </si>
  <si>
    <t>NURSIDIK</t>
  </si>
  <si>
    <t>nursidik</t>
  </si>
  <si>
    <t>MUH. IQBAL</t>
  </si>
  <si>
    <t>DULKARIM MULYANA</t>
  </si>
  <si>
    <t>BUDI ISWANTO</t>
  </si>
  <si>
    <t>Mukhamad najmal palakhi</t>
  </si>
  <si>
    <t>MUKHAMAD NAJMAL PALAKHI</t>
  </si>
  <si>
    <t>AKHMAD KHUMAEDI</t>
  </si>
  <si>
    <t>HUDA DWI NURWILDAN</t>
  </si>
  <si>
    <t>HUDA DWI NUR WILDAN</t>
  </si>
  <si>
    <t>HERU SANTOSO</t>
  </si>
  <si>
    <t>ADAM KURNIAWAN</t>
  </si>
  <si>
    <t>AKHMAD NAZIL MUTTAQIN</t>
  </si>
  <si>
    <t>TOLKHA SABIKHUL ROSSI</t>
  </si>
  <si>
    <t>Tolkha Sabikhul Rossi</t>
  </si>
  <si>
    <t>MOHAMAD USMAN</t>
  </si>
  <si>
    <t>Moh Usman</t>
  </si>
  <si>
    <t>SELOSARI</t>
  </si>
  <si>
    <t>MOH. FREDIAN HUSNI</t>
  </si>
  <si>
    <t>MOH FREDIAN HUSNI,S.kom BIN MUKMIN (ALM)</t>
  </si>
  <si>
    <t>ZIDAN AZKA FADHILA</t>
  </si>
  <si>
    <t>ADNAN</t>
  </si>
  <si>
    <t>BOLONG</t>
  </si>
  <si>
    <t>BUDI FIRMANSYAH</t>
  </si>
  <si>
    <t>SAKETI</t>
  </si>
  <si>
    <t>KADUDAMPIT</t>
  </si>
  <si>
    <t>ROIHAN AZKIYA</t>
  </si>
  <si>
    <t>Roihan Azkiya</t>
  </si>
  <si>
    <t>PENDOWOHARJO</t>
  </si>
  <si>
    <t>MUHAMAD ZIDNA IRFANA</t>
  </si>
  <si>
    <t>AKHMAD RIF'ATUL MUFIQ</t>
  </si>
  <si>
    <t>MUHAMMAD FATKHUN NAJAH HAQI</t>
  </si>
  <si>
    <t>M. FATKHUN NAJAH HAQI</t>
  </si>
  <si>
    <t>ANTONIUS IVAN DWIYANTO</t>
  </si>
  <si>
    <t>antonius ivan dwiyanto</t>
  </si>
  <si>
    <t>SLAMET PAGIYANTO</t>
  </si>
  <si>
    <t>PANDAK</t>
  </si>
  <si>
    <t>GILANGHARJO</t>
  </si>
  <si>
    <t>RATAMTO</t>
  </si>
  <si>
    <t>BUKIT DURI</t>
  </si>
  <si>
    <t>SANDI TIAS ROMADHON</t>
  </si>
  <si>
    <t>SANDI TIAS ROMADHON BIN TONI FAIZAL (ALM)</t>
  </si>
  <si>
    <t>DRAJAT SUPRIANTO</t>
  </si>
  <si>
    <t>TARJUKI</t>
  </si>
  <si>
    <t>TARJUKI BIN DRAIS (ALM)</t>
  </si>
  <si>
    <t>RUDI HARTONO</t>
  </si>
  <si>
    <t>ROY PRASETIAWAN</t>
  </si>
  <si>
    <t>AHMAD JAENI</t>
  </si>
  <si>
    <t>MUHAMMAD FAQIH YAHYA</t>
  </si>
  <si>
    <t>MOHAMAD ARJAUNI RIZKIAN</t>
  </si>
  <si>
    <t>PURBAYAN</t>
  </si>
  <si>
    <t>SAYIDIN ABDUL KHAYI</t>
  </si>
  <si>
    <t>RAGA OKTA ROSARDI</t>
  </si>
  <si>
    <t>KANDEMAN</t>
  </si>
  <si>
    <t>BAKALAN</t>
  </si>
  <si>
    <t>NURLOVY RAHARJO</t>
  </si>
  <si>
    <t>Febri Ariyanto</t>
  </si>
  <si>
    <t>AHMAD HIZBUL BAHRI</t>
  </si>
  <si>
    <t>RENDI JOVA PRATAMA</t>
  </si>
  <si>
    <t>MUHAMAD YANUAR ALDIFAN</t>
  </si>
  <si>
    <t>Muhammad Yanuar Aldifan</t>
  </si>
  <si>
    <t>SHOFAR SHOLAHUDDIN ALTHOF</t>
  </si>
  <si>
    <t>NAUVAL KHOIRI TSAMIR</t>
  </si>
  <si>
    <t>AHMAD WANDI</t>
  </si>
  <si>
    <t>KARANGGAYAM</t>
  </si>
  <si>
    <t>KEVIN ATHA ALVINO</t>
  </si>
  <si>
    <t>AHMAD AMIR WAHYUDI</t>
  </si>
  <si>
    <t>Ahmad Amir Wahyudi</t>
  </si>
  <si>
    <t>KETITANGLOR</t>
  </si>
  <si>
    <t>MUHAMAD DAVIZ HAIDAR EL MILAD</t>
  </si>
  <si>
    <t>M. DAVIZ KHAIDAR EL MILAD</t>
  </si>
  <si>
    <t>BUDI MANDALA PUTRA</t>
  </si>
  <si>
    <t>CIBADAK</t>
  </si>
  <si>
    <t>MUHAMMAD ANIQ DZAMIR</t>
  </si>
  <si>
    <t>TARONO</t>
  </si>
  <si>
    <t>PLUIT</t>
  </si>
  <si>
    <t>ARIZAL KURYANTO</t>
  </si>
  <si>
    <t>MOHAMMAD ABDUL KHARIS</t>
  </si>
  <si>
    <t>SATRIO TRESNAJATI</t>
  </si>
  <si>
    <t>AJI IMAM FATONI</t>
  </si>
  <si>
    <t>MOHAMMAD INDRA SAPUTRA T.</t>
  </si>
  <si>
    <t>MUHAMMAD NADHORUN NADHIF</t>
  </si>
  <si>
    <t>FIKRI ALVIN FATA</t>
  </si>
  <si>
    <t>FIKRI ALVINFATA</t>
  </si>
  <si>
    <t>RADITYA BOWO SAPUTRA</t>
  </si>
  <si>
    <t>DZAKI MUTHAHHAR</t>
  </si>
  <si>
    <t>DANIEL SANTOSO</t>
  </si>
  <si>
    <t>Daniel santoso</t>
  </si>
  <si>
    <t>AKHMAD FARKHAN</t>
  </si>
  <si>
    <t>KARSAM</t>
  </si>
  <si>
    <t>SELA NOVITA</t>
  </si>
  <si>
    <t>SELA NOVITA BINTI BUNAZAR</t>
  </si>
  <si>
    <t>ZALUNNA FIEBRILIANI AZ-ZAHRA</t>
  </si>
  <si>
    <t>ZALLUNA FIEBRILIANI AZ ZAHRA</t>
  </si>
  <si>
    <t>SITI NUR AZIZAH</t>
  </si>
  <si>
    <t>Siti nur azizah</t>
  </si>
  <si>
    <t>NOTISAH</t>
  </si>
  <si>
    <t>PONDOK KACANG TIMUR</t>
  </si>
  <si>
    <t>IKA RAHAYU</t>
  </si>
  <si>
    <t>DIVA ROBIANSYAH</t>
  </si>
  <si>
    <t>WIROBRAJAN</t>
  </si>
  <si>
    <t>PATANGPULUHAN</t>
  </si>
  <si>
    <t>Diva Robiansyah</t>
  </si>
  <si>
    <t>WINANI</t>
  </si>
  <si>
    <t>DARPINI</t>
  </si>
  <si>
    <t>darpini</t>
  </si>
  <si>
    <t>NURUL AFIQO</t>
  </si>
  <si>
    <t>SIWULUH</t>
  </si>
  <si>
    <t>AFIFAH ALATAS</t>
  </si>
  <si>
    <t>Afifah Alatas</t>
  </si>
  <si>
    <t>WANADADI</t>
  </si>
  <si>
    <t>KARANGJAMBE</t>
  </si>
  <si>
    <t>TASYA IDA SAFITRI</t>
  </si>
  <si>
    <t>HARJOSARI KIDUL</t>
  </si>
  <si>
    <t>JATINOM</t>
  </si>
  <si>
    <t>RIA ALISA UTAMI</t>
  </si>
  <si>
    <t>TURI</t>
  </si>
  <si>
    <t>DONOKERTO</t>
  </si>
  <si>
    <t>SRI MULYA</t>
  </si>
  <si>
    <t>NIKE TRISNAWATI</t>
  </si>
  <si>
    <t>Octi Apriliani</t>
  </si>
  <si>
    <t>OCTI APRILIANI</t>
  </si>
  <si>
    <t>RINA ROSMANIA</t>
  </si>
  <si>
    <t>AIDA</t>
  </si>
  <si>
    <t>TEMBOK LOR</t>
  </si>
  <si>
    <t>darningsih</t>
  </si>
  <si>
    <t>NABILAH</t>
  </si>
  <si>
    <t>Nabilah</t>
  </si>
  <si>
    <t>RIMA NABILLAH</t>
  </si>
  <si>
    <t>Rima Nabillah</t>
  </si>
  <si>
    <t>DESTY MONIKA</t>
  </si>
  <si>
    <t>DESTI MONIKA</t>
  </si>
  <si>
    <t>DAWUAN</t>
  </si>
  <si>
    <t>ROPIKO</t>
  </si>
  <si>
    <t>MULIASTI AQILA AFIATNA</t>
  </si>
  <si>
    <t>BELLA DINA MALIATUS SILMI</t>
  </si>
  <si>
    <t>Bella Dina Maliatus Silmi</t>
  </si>
  <si>
    <t>ZULIFA CHOIRUN NISA</t>
  </si>
  <si>
    <t>MAULIDA ILSI HESTIANA</t>
  </si>
  <si>
    <t>AJENG SAPITRI</t>
  </si>
  <si>
    <t>EGY DIAH SAFITRI</t>
  </si>
  <si>
    <t>CIRINTEN</t>
  </si>
  <si>
    <t>KAROYA</t>
  </si>
  <si>
    <t>ANI MULYANI</t>
  </si>
  <si>
    <t>Ani Mulyani</t>
  </si>
  <si>
    <t>WIDYA PUTRI OKTAVIANI</t>
  </si>
  <si>
    <t>widya putri oktaviani</t>
  </si>
  <si>
    <t>WAFA MUZDA AULIA</t>
  </si>
  <si>
    <t>REGINA AYU MAY AZZARA</t>
  </si>
  <si>
    <t>PESURUNGAN LOR</t>
  </si>
  <si>
    <t>Regina Ayu Mei Azzara</t>
  </si>
  <si>
    <t>ELIPAH</t>
  </si>
  <si>
    <t>NURIKA INDRIANI</t>
  </si>
  <si>
    <t>MATESIH</t>
  </si>
  <si>
    <t>GIRILAYU</t>
  </si>
  <si>
    <t>MILADINA AMANATUS SOLIKHA</t>
  </si>
  <si>
    <t>SITI MUJARONAH</t>
  </si>
  <si>
    <t>NUR AZMI ARIFIANTISKM,M.Kes.</t>
  </si>
  <si>
    <t>RANCAMAYA</t>
  </si>
  <si>
    <t>SITI MUFADILAH</t>
  </si>
  <si>
    <t>BONISARI</t>
  </si>
  <si>
    <t>RATI MALFINA</t>
  </si>
  <si>
    <t>RITA PURWANTI</t>
  </si>
  <si>
    <t>Rita Purwanti</t>
  </si>
  <si>
    <t>INDRIANA</t>
  </si>
  <si>
    <t>INDRIANA BINTI DARMUDI</t>
  </si>
  <si>
    <t>MOH. RAMEDHON</t>
  </si>
  <si>
    <t>MOH. RAMEDHON BIN MAKMURI</t>
  </si>
  <si>
    <t>WATIASIH</t>
  </si>
  <si>
    <t>WATIASIH BINTI NURTONO</t>
  </si>
  <si>
    <t>MUHAMMAD IRFAN MAULANA</t>
  </si>
  <si>
    <t>Muhammad irfan maulana</t>
  </si>
  <si>
    <t>SUKABUMI UTARA</t>
  </si>
  <si>
    <t>TORIPAH</t>
  </si>
  <si>
    <t>Toripah</t>
  </si>
  <si>
    <t>FITRIA INDAH CAHYANING WULAN</t>
  </si>
  <si>
    <t>FITRIA INDAH CAHYANI</t>
  </si>
  <si>
    <t>CHOERUN NISSA</t>
  </si>
  <si>
    <t>CHOERUN NISA</t>
  </si>
  <si>
    <t>ANNI MURTAFIAH</t>
  </si>
  <si>
    <t>KALILOKA</t>
  </si>
  <si>
    <t>ANNI MURTAFI'AH</t>
  </si>
  <si>
    <t>TARJIUN</t>
  </si>
  <si>
    <t>Tarojiun</t>
  </si>
  <si>
    <t>MOH.TOLIKHUN</t>
  </si>
  <si>
    <t>Moh. Tolikhun</t>
  </si>
  <si>
    <t>SUYAD</t>
  </si>
  <si>
    <t>KALIPUCANG</t>
  </si>
  <si>
    <t>daryono</t>
  </si>
  <si>
    <t>DUSRI</t>
  </si>
  <si>
    <t>NELA SAFITRI</t>
  </si>
  <si>
    <t>nela safitri</t>
  </si>
  <si>
    <t>RIYANTO</t>
  </si>
  <si>
    <t>JAGALEMPENI</t>
  </si>
  <si>
    <t>firdaus ferdiansyah</t>
  </si>
  <si>
    <t>FIRDAUS FERDIANSYAH</t>
  </si>
  <si>
    <t>KEDUNGTUKANG</t>
  </si>
  <si>
    <t>SUDIRMAN</t>
  </si>
  <si>
    <t>WASPI</t>
  </si>
  <si>
    <t>FINA TRIANI</t>
  </si>
  <si>
    <t>ANISAH</t>
  </si>
  <si>
    <t>KANAN</t>
  </si>
  <si>
    <t>PRAPAG LOR</t>
  </si>
  <si>
    <t>ABDUL KHANAN</t>
  </si>
  <si>
    <t>WAJIDIN</t>
  </si>
  <si>
    <t>CIPELEM</t>
  </si>
  <si>
    <t>TRI OKTAPIANI</t>
  </si>
  <si>
    <t>PAKIJANGAN</t>
  </si>
  <si>
    <t>SRI KARNETI</t>
  </si>
  <si>
    <t>sri karneti</t>
  </si>
  <si>
    <t>KEDUNGJATI</t>
  </si>
  <si>
    <t>KARANGLANGU</t>
  </si>
  <si>
    <t>MAFTUH SALAFI</t>
  </si>
  <si>
    <t>MUHAMAD MUALIM</t>
  </si>
  <si>
    <t>KISAH</t>
  </si>
  <si>
    <t>ANDI KURNIAWAN</t>
  </si>
  <si>
    <t>andi kurniawan</t>
  </si>
  <si>
    <t>SRI YANTI</t>
  </si>
  <si>
    <t>KHOMARUDIN</t>
  </si>
  <si>
    <t>Khomarudin</t>
  </si>
  <si>
    <t>SAMUDI AL MAHDALI</t>
  </si>
  <si>
    <t>DENI NOFIANTI</t>
  </si>
  <si>
    <t>Deni Nofianti</t>
  </si>
  <si>
    <t>ROCHANI</t>
  </si>
  <si>
    <t>BIMAS MAY ARIEF SETYAWAN</t>
  </si>
  <si>
    <t>BIMAS MAI ARIEF SETYAWAN</t>
  </si>
  <si>
    <t>FARUK ZULFIKAR</t>
  </si>
  <si>
    <t>CHAERUN NISSA</t>
  </si>
  <si>
    <t>RIYAN MAULANA</t>
  </si>
  <si>
    <t>ADI PRAMANA</t>
  </si>
  <si>
    <t>KETUREN</t>
  </si>
  <si>
    <t>DIMAS BASKORO</t>
  </si>
  <si>
    <t>PUJI SUPRIANI</t>
  </si>
  <si>
    <t>MAIMUNAH</t>
  </si>
  <si>
    <t>GALIS</t>
  </si>
  <si>
    <t>BLATERAN</t>
  </si>
  <si>
    <t>MUHAMAD TAUHID</t>
  </si>
  <si>
    <t>MUHAMMAD TAUHID</t>
  </si>
  <si>
    <t>SUKRON MA'MUR</t>
  </si>
  <si>
    <t>SUKRON MAMUR</t>
  </si>
  <si>
    <t>SURATMAH</t>
  </si>
  <si>
    <t>FAUZI SYAHRUL ALDIANSYAH</t>
  </si>
  <si>
    <t>PANINGGILAN</t>
  </si>
  <si>
    <t>Agus Budi susanto</t>
  </si>
  <si>
    <t>SOMA FAJAR ASSADZALI</t>
  </si>
  <si>
    <t>CILANDAK BARAT</t>
  </si>
  <si>
    <t>AGUS KUSYANTO</t>
  </si>
  <si>
    <t>DANAU SELULUK</t>
  </si>
  <si>
    <t>ASAM BARU</t>
  </si>
  <si>
    <t>agus kusyanto</t>
  </si>
  <si>
    <t>RODI SUGIANTO</t>
  </si>
  <si>
    <t>BENGLE</t>
  </si>
  <si>
    <t>ROSTIATI</t>
  </si>
  <si>
    <t>BUMI WARAS</t>
  </si>
  <si>
    <t>KANGKUNG</t>
  </si>
  <si>
    <t>PESAYANGAN</t>
  </si>
  <si>
    <t>Sri Haryati</t>
  </si>
  <si>
    <t>MUTIARA RAHMAHDANI</t>
  </si>
  <si>
    <t>Mutiara Rahmadhani</t>
  </si>
  <si>
    <t>SHOLIHIN</t>
  </si>
  <si>
    <t>CANGKRING</t>
  </si>
  <si>
    <t>M. SOLIHIN BIN M. HASAN</t>
  </si>
  <si>
    <t>JUMARI</t>
  </si>
  <si>
    <t>TUBAGUS PANUNTUN</t>
  </si>
  <si>
    <t>LANGGEN</t>
  </si>
  <si>
    <t>SUHANDI</t>
  </si>
  <si>
    <t>KALADAWA</t>
  </si>
  <si>
    <t>RYRI NURAINI</t>
  </si>
  <si>
    <t>NUR KHASANAH</t>
  </si>
  <si>
    <t>DJION</t>
  </si>
  <si>
    <t>PAMARAYAN</t>
  </si>
  <si>
    <t>PASIR KEMBANG</t>
  </si>
  <si>
    <t>KHAERI B TOIBIN</t>
  </si>
  <si>
    <t>KHAERI</t>
  </si>
  <si>
    <t>PEGIRIKAN</t>
  </si>
  <si>
    <t>TOHIRIN</t>
  </si>
  <si>
    <t>PUJO</t>
  </si>
  <si>
    <t>BAHAGIA</t>
  </si>
  <si>
    <t>PACUL</t>
  </si>
  <si>
    <t>YUYUN FADHIYASTATI</t>
  </si>
  <si>
    <t>JAMES SELAH</t>
  </si>
  <si>
    <t>BOLAANG MONGONDOW</t>
  </si>
  <si>
    <t>PASSI TIMUR</t>
  </si>
  <si>
    <t>SINSINGON BARAT</t>
  </si>
  <si>
    <t>LITA</t>
  </si>
  <si>
    <t>SITI FATIMAH</t>
  </si>
  <si>
    <t>AHMAD AZIZ KHUMAIDI</t>
  </si>
  <si>
    <t>CIBARUSAH</t>
  </si>
  <si>
    <t>CIBARUSAH KOTA</t>
  </si>
  <si>
    <t>PAING</t>
  </si>
  <si>
    <t>CIPATAT</t>
  </si>
  <si>
    <t>CITATAH</t>
  </si>
  <si>
    <t>PASANGAN</t>
  </si>
  <si>
    <t>KARYO</t>
  </si>
  <si>
    <t>BANDUNG KULON</t>
  </si>
  <si>
    <t>CIBUNTU</t>
  </si>
  <si>
    <t>karyo</t>
  </si>
  <si>
    <t>JOKO SUSENO</t>
  </si>
  <si>
    <t>Joko Suseno</t>
  </si>
  <si>
    <t>MOHAMAD RONI</t>
  </si>
  <si>
    <t>SUKAMAJU BARU</t>
  </si>
  <si>
    <t>GETASKEREP</t>
  </si>
  <si>
    <t>IMAM WIDIYANTO</t>
  </si>
  <si>
    <t>DWI YULIANTO</t>
  </si>
  <si>
    <t>KHOLIFAH</t>
  </si>
  <si>
    <t>INDAH RETNANINGRUM</t>
  </si>
  <si>
    <t>CIPAKU</t>
  </si>
  <si>
    <t>INDAH RETNONINGRUM</t>
  </si>
  <si>
    <t>ANDIANTO</t>
  </si>
  <si>
    <t>WANGANDAWA</t>
  </si>
  <si>
    <t>andianto</t>
  </si>
  <si>
    <t>KEJAJAR</t>
  </si>
  <si>
    <t>CAMPURSARI</t>
  </si>
  <si>
    <t>SAFITRI</t>
  </si>
  <si>
    <t>SUDARTI</t>
  </si>
  <si>
    <t>BLADO</t>
  </si>
  <si>
    <t>SELOPAJANG BARAT</t>
  </si>
  <si>
    <t>NASROKHIN</t>
  </si>
  <si>
    <t>UJUNGNEGORO</t>
  </si>
  <si>
    <t>Nasrokhin</t>
  </si>
  <si>
    <t>MUKHAMMAD MUSTA'IN</t>
  </si>
  <si>
    <t>WONOREJO</t>
  </si>
  <si>
    <t>AIMATUZ ZULFA</t>
  </si>
  <si>
    <t>NYALEMBENG</t>
  </si>
  <si>
    <t>SULEKHI</t>
  </si>
  <si>
    <t>ANA KHARISATUN KHAMIDAH</t>
  </si>
  <si>
    <t>KLAREYAN</t>
  </si>
  <si>
    <t>Ana Kharisatun Khamidah</t>
  </si>
  <si>
    <t>GEMBONGKULON</t>
  </si>
  <si>
    <t>Suci Ningrum</t>
  </si>
  <si>
    <t>SUCI NINGRUM</t>
  </si>
  <si>
    <t>SENGON</t>
  </si>
  <si>
    <t>MUHAMAD RIZKI AL FARIZ</t>
  </si>
  <si>
    <t>M. RIZKI AL FARIZ</t>
  </si>
  <si>
    <t>MOHAMAD NURHADI</t>
  </si>
  <si>
    <t>MUHAMAD NURHADI</t>
  </si>
  <si>
    <t>TOHIR</t>
  </si>
  <si>
    <t>THOHIR BIN NURYA (ALM)</t>
  </si>
  <si>
    <t>MUHAMAD ELFAS SYIFAUL HAMAM</t>
  </si>
  <si>
    <t>wantoro</t>
  </si>
  <si>
    <t>YUSUF KURNIAWAN</t>
  </si>
  <si>
    <t>KEPOHBARU</t>
  </si>
  <si>
    <t>SUMBERGEDE</t>
  </si>
  <si>
    <t>SAHURI</t>
  </si>
  <si>
    <t>SAHURI BIN NUR RATAM</t>
  </si>
  <si>
    <t>MOHAMMAD ADE ROYHAN</t>
  </si>
  <si>
    <t>Mustofa</t>
  </si>
  <si>
    <t>QIYAN FUADI ABDU</t>
  </si>
  <si>
    <t>QIYAN FUADI A.</t>
  </si>
  <si>
    <t>MUHAMAD ROSYIDI</t>
  </si>
  <si>
    <t>DUKUHMALANG</t>
  </si>
  <si>
    <t>BAMBANG SETIAWAN</t>
  </si>
  <si>
    <t>LUKMANULHAKIM</t>
  </si>
  <si>
    <t>Lukmanulhakim</t>
  </si>
  <si>
    <t>SLAMET UNTUNG MULYA</t>
  </si>
  <si>
    <t>MUHAMMAD AKHSIN IZZUL HAQ</t>
  </si>
  <si>
    <t>M. AKHSIN IZZUL HAQ</t>
  </si>
  <si>
    <t>HENDRA BUDIYANTO</t>
  </si>
  <si>
    <t>HENDRO BUDIANTO BIN WADONO</t>
  </si>
  <si>
    <t>PEKALONGAN UTARA</t>
  </si>
  <si>
    <t>PANJANG WETAN</t>
  </si>
  <si>
    <t>MOHAMAD BASIR</t>
  </si>
  <si>
    <t>KARANGSAMBUNG</t>
  </si>
  <si>
    <t>MOHAMMAD BASIR</t>
  </si>
  <si>
    <t>SENDI SEPTIAWAN</t>
  </si>
  <si>
    <t>MUHAMMAD FARHAN NABYH</t>
  </si>
  <si>
    <t>Mohammad syafiq rifa'i</t>
  </si>
  <si>
    <t>MOHAMMAD SYAFIQ RIFA'I</t>
  </si>
  <si>
    <t>AKHMAD ZUHDI AMIN</t>
  </si>
  <si>
    <t>MUKTIHARJO KIDUL</t>
  </si>
  <si>
    <t>ALFIAN CATUR PALUPI</t>
  </si>
  <si>
    <t>alfian catur palupi</t>
  </si>
  <si>
    <t>ADE ALWAN</t>
  </si>
  <si>
    <t>ADE ALWAN BIN DARSONO</t>
  </si>
  <si>
    <t>MUHAMMAD RIZIK AMRULLOH</t>
  </si>
  <si>
    <t>MOHAMAD FARUK ARROZI</t>
  </si>
  <si>
    <t>EGI AKHMAD FAHREZI</t>
  </si>
  <si>
    <t>EGI AKHMAD FAHREZI BIN MASKURI</t>
  </si>
  <si>
    <t>ZAENI</t>
  </si>
  <si>
    <t>AHMAD YAHYA FIQHAN</t>
  </si>
  <si>
    <t>MUCHAMAD SYAHRUL MUBAROK</t>
  </si>
  <si>
    <t>YOGA ENDI FAHANA</t>
  </si>
  <si>
    <t>WAWAN CASDIAWAN</t>
  </si>
  <si>
    <t>GUNTUR RAHARJO</t>
  </si>
  <si>
    <t>LEBAKBARANG</t>
  </si>
  <si>
    <t>MUHAMMAD SAHRUL MUBAROK</t>
  </si>
  <si>
    <t>MUHAMAD ZAKI AMRI</t>
  </si>
  <si>
    <t>AHMAD MIRZA</t>
  </si>
  <si>
    <t>NGAGLIK</t>
  </si>
  <si>
    <t>DONOHARJO</t>
  </si>
  <si>
    <t>DIKA BAGUS SETIAJI</t>
  </si>
  <si>
    <t>MOHAMAD HILMI NAJIB</t>
  </si>
  <si>
    <t>RYAN HIDAYAT</t>
  </si>
  <si>
    <t>Ryan Hidayat</t>
  </si>
  <si>
    <t>MUKHAMMAD SOLEKHUDIN</t>
  </si>
  <si>
    <t>MUHAMMAD SOLEKHUDIN</t>
  </si>
  <si>
    <t>AHMAD SYAHRUL MUBAROK</t>
  </si>
  <si>
    <t>SYAHRUL MUBAROK BIN CASMUDI</t>
  </si>
  <si>
    <t>MUHAMMAD NI'AMILAH</t>
  </si>
  <si>
    <t>MUHAMMAD NI'AMILLAH</t>
  </si>
  <si>
    <t>AHMAD TAFZUL ARIFIN</t>
  </si>
  <si>
    <t>ILHAM DAEROBI</t>
  </si>
  <si>
    <t>DIPO HARDI RINANTO</t>
  </si>
  <si>
    <t>WATUDAKON</t>
  </si>
  <si>
    <t>Dipo Hardi Rinanto</t>
  </si>
  <si>
    <t>ALIFIA AHMAD NURUL FAUZAN</t>
  </si>
  <si>
    <t>MUHAMAD YUSUP ALIFUDIN</t>
  </si>
  <si>
    <t>MUHAMAD YUSUF ALIFUDIN</t>
  </si>
  <si>
    <t>KESADIKAN</t>
  </si>
  <si>
    <t>WAFDA FADLUL IZZ</t>
  </si>
  <si>
    <t>DZUL BIKHAR</t>
  </si>
  <si>
    <t>MUSTAIN</t>
  </si>
  <si>
    <t>Mustain</t>
  </si>
  <si>
    <t>NAJWA SABILINNASYWA</t>
  </si>
  <si>
    <t>NADYA LU'LU FATRAH</t>
  </si>
  <si>
    <t>CANGAKAN</t>
  </si>
  <si>
    <t>MOH. GURITNO RIFA SAPUTRA</t>
  </si>
  <si>
    <t>ULYA SABRINA</t>
  </si>
  <si>
    <t>ULYA SABRIINA</t>
  </si>
  <si>
    <t>IDA FITROWATI</t>
  </si>
  <si>
    <t>M. YASSAR HISYAM RIZQI</t>
  </si>
  <si>
    <t>FIKI FALAHUNAL 'ULYA</t>
  </si>
  <si>
    <t>FIKI FALAHUNAL ULYA</t>
  </si>
  <si>
    <t>FITRIYANTI</t>
  </si>
  <si>
    <t>FITRIYANTI BINTI WAGIYO (ALM)</t>
  </si>
  <si>
    <t>NURUL NADEA MAULIDA</t>
  </si>
  <si>
    <t>PARMAWATI</t>
  </si>
  <si>
    <t>NUR HIDAYATUN NISA</t>
  </si>
  <si>
    <t>SITI NURUL HIDAYAH</t>
  </si>
  <si>
    <t>Siti Nurul Hidayah</t>
  </si>
  <si>
    <t>MUTOHAROH</t>
  </si>
  <si>
    <t>Mutoharoh</t>
  </si>
  <si>
    <t>NOLA AURA SALSABILA</t>
  </si>
  <si>
    <t>KEBAKKRAMAT</t>
  </si>
  <si>
    <t>KALIWULUH</t>
  </si>
  <si>
    <t>ETI SUNARTI</t>
  </si>
  <si>
    <t>DEVANIA ISTI RAMADHANI</t>
  </si>
  <si>
    <t>ERIN NUR UYENAH</t>
  </si>
  <si>
    <t>Erin nur uyenah</t>
  </si>
  <si>
    <t>RINTA ROHMAWATI</t>
  </si>
  <si>
    <t>ALIMAH</t>
  </si>
  <si>
    <t>MERTOYUDAN</t>
  </si>
  <si>
    <t>PASURUHAN</t>
  </si>
  <si>
    <t>DEDE WINARTI</t>
  </si>
  <si>
    <t>TULAKAN</t>
  </si>
  <si>
    <t>BUBAKAN</t>
  </si>
  <si>
    <t>DALIMAH</t>
  </si>
  <si>
    <t>TEBET TIMUR</t>
  </si>
  <si>
    <t>dalimah</t>
  </si>
  <si>
    <t>NAILI SILMI</t>
  </si>
  <si>
    <t>PUTRI WULANDARI</t>
  </si>
  <si>
    <t>Sifa Faoziyah</t>
  </si>
  <si>
    <t>SIFA FAOZIYAH</t>
  </si>
  <si>
    <t>RIRIN LIA HIDAYATI</t>
  </si>
  <si>
    <t>Ririn Riahidayati</t>
  </si>
  <si>
    <t>SANTI YULIANINGSIH</t>
  </si>
  <si>
    <t>ULLY RACHMA HIELMINA</t>
  </si>
  <si>
    <t>ULLY RACHMA HIELMINA BINTI KOMARUDIN</t>
  </si>
  <si>
    <t>KOTA MOJOKERTO</t>
  </si>
  <si>
    <t>KRANGGAN</t>
  </si>
  <si>
    <t>PURWOTENGAH</t>
  </si>
  <si>
    <t>ANIS DINA OKTAVIANI</t>
  </si>
  <si>
    <t>ULUJAMI</t>
  </si>
  <si>
    <t>AMANDA ZAHRA NUR IZATI</t>
  </si>
  <si>
    <t>INDI LUTFIYAH HANI</t>
  </si>
  <si>
    <t>SITI NUR DIAN FITRIYANI</t>
  </si>
  <si>
    <t>DIAN NIKEN AMELIA</t>
  </si>
  <si>
    <t>DIAN EKA PUTRI</t>
  </si>
  <si>
    <t>ZAHROTUN NISA</t>
  </si>
  <si>
    <t>SYAHRIL SABILLAH</t>
  </si>
  <si>
    <t>MOHAMMAD FAISOL HUMAM</t>
  </si>
  <si>
    <t>HELA OKTAVIANA</t>
  </si>
  <si>
    <t>Hela oktaviana</t>
  </si>
  <si>
    <t>ANISATUN MAFUROH</t>
  </si>
  <si>
    <t>ANISATUN MA'FUROH</t>
  </si>
  <si>
    <t>SAEPUL HAMZAH</t>
  </si>
  <si>
    <t>SAEFUL HAMZAH</t>
  </si>
  <si>
    <t>IMAM TAHRU ROHEDI</t>
  </si>
  <si>
    <t>AYU WINARSIH</t>
  </si>
  <si>
    <t>AMIRUL KHAQ</t>
  </si>
  <si>
    <t>AMRUL KHAQ</t>
  </si>
  <si>
    <t>SUGENG SANTOSO</t>
  </si>
  <si>
    <t>Sugeng Santoso</t>
  </si>
  <si>
    <t>AFIFUDIN</t>
  </si>
  <si>
    <t>KALIGANGSA KULON</t>
  </si>
  <si>
    <t>samsul arifin</t>
  </si>
  <si>
    <t>NURYANI</t>
  </si>
  <si>
    <t>SILAHUL MU'MIN</t>
  </si>
  <si>
    <t>SILAHUL MUMIN</t>
  </si>
  <si>
    <t>KHULAEMAH</t>
  </si>
  <si>
    <t>Waidin</t>
  </si>
  <si>
    <t>WAIDIN</t>
  </si>
  <si>
    <t>DAMIR</t>
  </si>
  <si>
    <t>KARSUM</t>
  </si>
  <si>
    <t>MUKHTAROM</t>
  </si>
  <si>
    <t>MUHTAROM</t>
  </si>
  <si>
    <t>AISAH</t>
  </si>
  <si>
    <t>SITI AIYSAH</t>
  </si>
  <si>
    <t>RIZKI AZIZAH</t>
  </si>
  <si>
    <t>LINDA NURTOPIKA</t>
  </si>
  <si>
    <t>EKA MAFIATUL JANAH</t>
  </si>
  <si>
    <t>DAVID FAIZAL PUTRA</t>
  </si>
  <si>
    <t>KALINYAMAT WETAN</t>
  </si>
  <si>
    <t>David Faizal Putra</t>
  </si>
  <si>
    <t>SHARIFUDIN</t>
  </si>
  <si>
    <t>WASLIM</t>
  </si>
  <si>
    <t>ANITA RAMADHANI</t>
  </si>
  <si>
    <t>SELLY AGUSTINA NAULY</t>
  </si>
  <si>
    <t>ADITYA ANDIKA PUTRA</t>
  </si>
  <si>
    <t>LARASATI SRI HUTAMI</t>
  </si>
  <si>
    <t>Larasati sri hatami</t>
  </si>
  <si>
    <t>ADE PRASETYO</t>
  </si>
  <si>
    <t>ADE PRASETYO BIN RASMANI</t>
  </si>
  <si>
    <t>HANNA SHABIRAH</t>
  </si>
  <si>
    <t>SHIFA APRILIANI PUTRI</t>
  </si>
  <si>
    <t>AGUS KITOMARUDIN</t>
  </si>
  <si>
    <t>MUHAMAD AGUS SULEMAN</t>
  </si>
  <si>
    <t>AHMAD SUBEKHI</t>
  </si>
  <si>
    <t>DINAR WULANDARI</t>
  </si>
  <si>
    <t>SIS HARTINI</t>
  </si>
  <si>
    <t>SISHARTINI</t>
  </si>
  <si>
    <t>SUCI REGITA ANGGRAENI</t>
  </si>
  <si>
    <t>PARLI</t>
  </si>
  <si>
    <t>ABDULLAH</t>
  </si>
  <si>
    <t>MUHAMMAD HAMID</t>
  </si>
  <si>
    <t>TANJUNG BUMI</t>
  </si>
  <si>
    <t>LARANGAN TIMUR</t>
  </si>
  <si>
    <t>FIFIT HERMAWATI</t>
  </si>
  <si>
    <t>HABIB HAMSA</t>
  </si>
  <si>
    <t>KOTA SINGKAWANG</t>
  </si>
  <si>
    <t>SINGKAWANG TENGAH</t>
  </si>
  <si>
    <t>BUKIT BATU</t>
  </si>
  <si>
    <t>SHALOM AZZAHRA</t>
  </si>
  <si>
    <t>GORONTALO</t>
  </si>
  <si>
    <t>KOTA GORONTALO</t>
  </si>
  <si>
    <t>SIPATANA</t>
  </si>
  <si>
    <t>BULOTADAA BARAT</t>
  </si>
  <si>
    <t>MARLIA</t>
  </si>
  <si>
    <t>PRINGSEWU</t>
  </si>
  <si>
    <t>ADILUWIH</t>
  </si>
  <si>
    <t>SINARWAYAH</t>
  </si>
  <si>
    <t>MARLIA SARI</t>
  </si>
  <si>
    <t>DUKUHTURI</t>
  </si>
  <si>
    <t>SUHARIS</t>
  </si>
  <si>
    <t>SUHARIS ALIAS BEBEK BIN ROHMAT</t>
  </si>
  <si>
    <t>AHMAD SYARIF HIDAYATULLOH</t>
  </si>
  <si>
    <t>Ahmad Syarif Hidayatulloh</t>
  </si>
  <si>
    <t>RUKOYAH</t>
  </si>
  <si>
    <t>KEBON KACANG</t>
  </si>
  <si>
    <t>SITI KOMALASARI</t>
  </si>
  <si>
    <t>PAGONGAN</t>
  </si>
  <si>
    <t>ANGGIANI SYAFA'ATIDZ SAKINAH PUTRI</t>
  </si>
  <si>
    <t>ANGGIANI SYA'ATIDZ SAKINAH PUTRI</t>
  </si>
  <si>
    <t>SITI MARKONAH</t>
  </si>
  <si>
    <t>MUHAMMAD MISBAHUDIN</t>
  </si>
  <si>
    <t>SIDAKATON</t>
  </si>
  <si>
    <t>PETUNGKRIYONO</t>
  </si>
  <si>
    <t>YOSOREJO</t>
  </si>
  <si>
    <t>MUHAMMAD KHALIF SYAMSUDIN</t>
  </si>
  <si>
    <t>PONDOK LABU</t>
  </si>
  <si>
    <t>Muhammad Khalif Syamsudin</t>
  </si>
  <si>
    <t>SUTAPRANAN</t>
  </si>
  <si>
    <t>DWI RUDY HARYANTO</t>
  </si>
  <si>
    <t>Dwi Rudy Haryanto</t>
  </si>
  <si>
    <t>N A F I S A H</t>
  </si>
  <si>
    <t>Nafisah</t>
  </si>
  <si>
    <t>FRANS SINATRA</t>
  </si>
  <si>
    <t>SIDAPURNA</t>
  </si>
  <si>
    <t>Frans sinatra</t>
  </si>
  <si>
    <t>KUSNAN</t>
  </si>
  <si>
    <t>LAWATAN</t>
  </si>
  <si>
    <t>WAHADI</t>
  </si>
  <si>
    <t>WAHADIMBOYO</t>
  </si>
  <si>
    <t>KUBU RAYA</t>
  </si>
  <si>
    <t>SUNGAI RAYA</t>
  </si>
  <si>
    <t>MAYRIEZKA OLIFIA YASMINE</t>
  </si>
  <si>
    <t>TENGAH TANI</t>
  </si>
  <si>
    <t>IKA NURMALASARI</t>
  </si>
  <si>
    <t>JATIGEDE</t>
  </si>
  <si>
    <t>LEBAKSIUH</t>
  </si>
  <si>
    <t>Ika Nurmalasari</t>
  </si>
  <si>
    <t>PEPEDAN</t>
  </si>
  <si>
    <t>ROHANAMUNAZIZAH</t>
  </si>
  <si>
    <t>LELEA</t>
  </si>
  <si>
    <t>PANGAUBAN</t>
  </si>
  <si>
    <t>ANDI KUSUMA</t>
  </si>
  <si>
    <t>CIKAMPEK</t>
  </si>
  <si>
    <t>DAWUAN TIMUR</t>
  </si>
  <si>
    <t>EUIS MASITOH</t>
  </si>
  <si>
    <t>SARIMULYA</t>
  </si>
  <si>
    <t>AHMAD SHODIQ</t>
  </si>
  <si>
    <t>TANAH BARU</t>
  </si>
  <si>
    <t>Ahmad Sodikin</t>
  </si>
  <si>
    <t>NUR SAIDAH</t>
  </si>
  <si>
    <t>Nursaidah</t>
  </si>
  <si>
    <t>NATASHA AS-SA`IDATUN NABILA</t>
  </si>
  <si>
    <t>Natasha As-Sa'idatun Nabila</t>
  </si>
  <si>
    <t>MOCHAMAD IKWAN</t>
  </si>
  <si>
    <t>PULASAREN</t>
  </si>
  <si>
    <t>BANDASARI</t>
  </si>
  <si>
    <t>WINANTI</t>
  </si>
  <si>
    <t>SURIPAH</t>
  </si>
  <si>
    <t>Suripah</t>
  </si>
  <si>
    <t>HASANATUS SADIYAH</t>
  </si>
  <si>
    <t>Hasanatus Sadiyah</t>
  </si>
  <si>
    <t>H WARNOTO</t>
  </si>
  <si>
    <t>JAKASAMPURNA</t>
  </si>
  <si>
    <t>H.WARNOTO</t>
  </si>
  <si>
    <t>M ABDULLAH</t>
  </si>
  <si>
    <t>M. ABDULLAH</t>
  </si>
  <si>
    <t>PEKAUMAN KULON</t>
  </si>
  <si>
    <t>HETTI PAHIBUL IMAN SIHOMBING</t>
  </si>
  <si>
    <t>JAKASETIA</t>
  </si>
  <si>
    <t>FANY KUSUMA WARDANI</t>
  </si>
  <si>
    <t>YANTIK NOVI HARSONO</t>
  </si>
  <si>
    <t>YANTIK NOVI HARTONO</t>
  </si>
  <si>
    <t>PLOSOKLATEN</t>
  </si>
  <si>
    <t>PANJER</t>
  </si>
  <si>
    <t>SUYATI</t>
  </si>
  <si>
    <t>BANJARNEGORO</t>
  </si>
  <si>
    <t>EDYAS ELSA WIDAYANTI</t>
  </si>
  <si>
    <t>WIROSARI</t>
  </si>
  <si>
    <t>KUNDEN</t>
  </si>
  <si>
    <t>MARSELA</t>
  </si>
  <si>
    <t>ALIVIA SORAYA</t>
  </si>
  <si>
    <t>REMBANG</t>
  </si>
  <si>
    <t>LASEM</t>
  </si>
  <si>
    <t>SUMBERGIRANG</t>
  </si>
  <si>
    <t>KRISTANTO</t>
  </si>
  <si>
    <t>WONOBOYO</t>
  </si>
  <si>
    <t>IVA FEBRIANA RAHMAWATI</t>
  </si>
  <si>
    <t>BENIDICTUS PRASETYO ARIBOWO</t>
  </si>
  <si>
    <t>KALIMANTAN UTARA</t>
  </si>
  <si>
    <t>KOTA TARAKAN</t>
  </si>
  <si>
    <t>TARAKAN TIMUR</t>
  </si>
  <si>
    <t>KAMPUNG ENAM</t>
  </si>
  <si>
    <t>BENICTUS PRASETYO ARIBOWO</t>
  </si>
  <si>
    <t>SUKARSO</t>
  </si>
  <si>
    <t>BOJONGNANGKA</t>
  </si>
  <si>
    <t>WIWIK HARNANINGSIH</t>
  </si>
  <si>
    <t>DZUL KHIFLI</t>
  </si>
  <si>
    <t>DZULKHIFLI</t>
  </si>
  <si>
    <t>PASAYANGAN</t>
  </si>
  <si>
    <t>HAIDAR MAHDI</t>
  </si>
  <si>
    <t>HASAN</t>
  </si>
  <si>
    <t>AKHMAD TIJANI</t>
  </si>
  <si>
    <t>Sutrisno</t>
  </si>
  <si>
    <t>WAES ALQORNI</t>
  </si>
  <si>
    <t>waes alqorni</t>
  </si>
  <si>
    <t>DANI SEPTIAWAN</t>
  </si>
  <si>
    <t>Dani Septiawan</t>
  </si>
  <si>
    <t>WAHYANTO</t>
  </si>
  <si>
    <t>BODEH</t>
  </si>
  <si>
    <t>TJARTO</t>
  </si>
  <si>
    <t>LARANGAN SELATAN</t>
  </si>
  <si>
    <t>carto</t>
  </si>
  <si>
    <t>PRIYAN HIDAYAT</t>
  </si>
  <si>
    <t>DJOHAN NUR YANTO</t>
  </si>
  <si>
    <t>DIAR KISWANDAR</t>
  </si>
  <si>
    <t>ARFIYADI GUNAWAN</t>
  </si>
  <si>
    <t>TUNON</t>
  </si>
  <si>
    <t>A. AWALUDIN</t>
  </si>
  <si>
    <t>A AWALUDIN</t>
  </si>
  <si>
    <t>PETIR</t>
  </si>
  <si>
    <t>CIRANGKONG</t>
  </si>
  <si>
    <t>suharjo</t>
  </si>
  <si>
    <t>PURNOMO SIDI</t>
  </si>
  <si>
    <t>PURNOMO SIDI BIN MAMAN SALIMAN</t>
  </si>
  <si>
    <t>MUHAMMAD ABDUH ALJIHAD, Drs</t>
  </si>
  <si>
    <t>MUHAMMAD ABDUH ALJIHAD</t>
  </si>
  <si>
    <t>RIZQI AKBARUDIN AL AGMI</t>
  </si>
  <si>
    <t>RISQI AKBARUDIN AL AGMI</t>
  </si>
  <si>
    <t>RYAN RYZQI HIDAYATULLOH</t>
  </si>
  <si>
    <t>SULAWESI TENGAH</t>
  </si>
  <si>
    <t>DONGGALA</t>
  </si>
  <si>
    <t>TANANTOVEA</t>
  </si>
  <si>
    <t>WANI LUMBUMPETIGO</t>
  </si>
  <si>
    <t>AKHMAD AZIZ ZAMZAMI</t>
  </si>
  <si>
    <t>PENGARASAN</t>
  </si>
  <si>
    <t>akhmad Aziz zamzami</t>
  </si>
  <si>
    <t>TEMBALANG</t>
  </si>
  <si>
    <t>TANDANG</t>
  </si>
  <si>
    <t>SUNARDI</t>
  </si>
  <si>
    <t>MUHAMMAD HUSNI RIZAL</t>
  </si>
  <si>
    <t>MUHAMAD HUSNI RIZAL</t>
  </si>
  <si>
    <t>KEMURANG WETAN</t>
  </si>
  <si>
    <t>ABDUL MUHNI</t>
  </si>
  <si>
    <t>NURIDHO AJI</t>
  </si>
  <si>
    <t>KADEMANGARAN</t>
  </si>
  <si>
    <t>SONHAJI</t>
  </si>
  <si>
    <t>SYAMSUL MAARIF</t>
  </si>
  <si>
    <t>MUHAMMAD BILAL MAULANA</t>
  </si>
  <si>
    <t>Muhammad Bilal Maulana</t>
  </si>
  <si>
    <t>MUHAMAD HASBI ASSIDIQI</t>
  </si>
  <si>
    <t>IQBAL RIZKY RAMADHAN</t>
  </si>
  <si>
    <t>AHMAD MAULANA</t>
  </si>
  <si>
    <t>SATRIO BASIL</t>
  </si>
  <si>
    <t>satrio basil</t>
  </si>
  <si>
    <t>M. AGUNG WIBOWO</t>
  </si>
  <si>
    <t>M.AGUNG WIBOWO</t>
  </si>
  <si>
    <t>YOGI PERMADI</t>
  </si>
  <si>
    <t>Yogi permadi</t>
  </si>
  <si>
    <t>MUHAMMAD AKHSAN BASYAR</t>
  </si>
  <si>
    <t>KHAIRUL JAZA</t>
  </si>
  <si>
    <t>Khairun jaza</t>
  </si>
  <si>
    <t>EDY PUTRA SETIAWAN</t>
  </si>
  <si>
    <t>JA'FAR SIDIK</t>
  </si>
  <si>
    <t>WANDI BAYU SETIAWAN</t>
  </si>
  <si>
    <t>ROBATAL</t>
  </si>
  <si>
    <t>AHMAD AKBAR</t>
  </si>
  <si>
    <t>CAHYUDI</t>
  </si>
  <si>
    <t>AHMAD ABI RIZIQ</t>
  </si>
  <si>
    <t>AHMAD ABIRIZIQ</t>
  </si>
  <si>
    <t>GARAWANGI</t>
  </si>
  <si>
    <t>TEMBONG</t>
  </si>
  <si>
    <t>JAMALUDIN</t>
  </si>
  <si>
    <t>PAGERAJI</t>
  </si>
  <si>
    <t>SEPUDIN</t>
  </si>
  <si>
    <t>WARITO</t>
  </si>
  <si>
    <t>BAGAS WAHYU PRAKOSO</t>
  </si>
  <si>
    <t>IRKHAM AKHMAD MUZAKI</t>
  </si>
  <si>
    <t>ISMAIL MARZUKI</t>
  </si>
  <si>
    <t>Ismail Marzuki</t>
  </si>
  <si>
    <t>SAIRIN</t>
  </si>
  <si>
    <t>sairin</t>
  </si>
  <si>
    <t>ARIFIN</t>
  </si>
  <si>
    <t>MOH. KHAMBALI</t>
  </si>
  <si>
    <t>GROGOL</t>
  </si>
  <si>
    <t>TAMAN</t>
  </si>
  <si>
    <t>WANAREJAN UTARA</t>
  </si>
  <si>
    <t>AFFAN MAULID</t>
  </si>
  <si>
    <t>MUHAMAD AZIS BUSTOMI</t>
  </si>
  <si>
    <t>MOHAMMAD RIZQY AKBAR</t>
  </si>
  <si>
    <t>MUHAMMAD RIZQY AKBAR</t>
  </si>
  <si>
    <t>IBNU IMAM MUSLIM</t>
  </si>
  <si>
    <t>ibnu imam muslim</t>
  </si>
  <si>
    <t>TANJUNG BARAT</t>
  </si>
  <si>
    <t>FAJAR HERMAWAN</t>
  </si>
  <si>
    <t>TRENGGALEK</t>
  </si>
  <si>
    <t>GANDUSARI</t>
  </si>
  <si>
    <t>KRANDEGAN</t>
  </si>
  <si>
    <t>Imamudin</t>
  </si>
  <si>
    <t>AGIL PRANATA</t>
  </si>
  <si>
    <t>KOTA MEDAN</t>
  </si>
  <si>
    <t>MEDAN SELAYANG</t>
  </si>
  <si>
    <t>FAKHRUROZI</t>
  </si>
  <si>
    <t>ARIF DWI ARIYANTO</t>
  </si>
  <si>
    <t>MUCHLISIN NALAHUDIN</t>
  </si>
  <si>
    <t>Muchlisin Nalahudin</t>
  </si>
  <si>
    <t>MUHENDRIK</t>
  </si>
  <si>
    <t>SUKARAGAM</t>
  </si>
  <si>
    <t>MUHAMMAD SHOFIUL FUADI</t>
  </si>
  <si>
    <t>AHMAD SYARIFUDIN</t>
  </si>
  <si>
    <t>PENGKUH MAULANA</t>
  </si>
  <si>
    <t>pengkuh maulana</t>
  </si>
  <si>
    <t>NUROKHIM</t>
  </si>
  <si>
    <t>IMRON ROSADI</t>
  </si>
  <si>
    <t>Imron Rosadi</t>
  </si>
  <si>
    <t>WASRAP</t>
  </si>
  <si>
    <t>HASANUDIN</t>
  </si>
  <si>
    <t>BRANGSONG</t>
  </si>
  <si>
    <t>PURWOKERTO</t>
  </si>
  <si>
    <t>TAHIRIN</t>
  </si>
  <si>
    <t>NURHADI</t>
  </si>
  <si>
    <t>NUR HADI</t>
  </si>
  <si>
    <t>KEPANDEAN</t>
  </si>
  <si>
    <t>M. MISBAKHUL MUNIR IMAMUS. S</t>
  </si>
  <si>
    <t>M MISBAKHUL MUNIR IMAMUS S</t>
  </si>
  <si>
    <t>MOHAMMAD HADI TRISYANTO</t>
  </si>
  <si>
    <t>JAMHARI</t>
  </si>
  <si>
    <t>RASIAN</t>
  </si>
  <si>
    <t>HASANUDIN ILYAS</t>
  </si>
  <si>
    <t>HASANUDIN ILYAS BIN MASKUR</t>
  </si>
  <si>
    <t>ROMI SULISTIAWAN</t>
  </si>
  <si>
    <t>GAMBUHAN</t>
  </si>
  <si>
    <t>MOHAMMAD RIFQI HUSAIN</t>
  </si>
  <si>
    <t>MUHAMMAD RIFQI HUSAIN</t>
  </si>
  <si>
    <t>AHMAD AMINULLOH</t>
  </si>
  <si>
    <t>MUHAMMAD RIZAL WILDAN</t>
  </si>
  <si>
    <t>Muhammad Rizal wildan</t>
  </si>
  <si>
    <t>NGOMBAK</t>
  </si>
  <si>
    <t>AHMAD SOLEH</t>
  </si>
  <si>
    <t>TARJONI</t>
  </si>
  <si>
    <t>tarjoni</t>
  </si>
  <si>
    <t>MUARIF</t>
  </si>
  <si>
    <t>KOTA SALATIGA</t>
  </si>
  <si>
    <t>SIDOMUKTI</t>
  </si>
  <si>
    <t>IDA FADILATUN</t>
  </si>
  <si>
    <t>IDHA FADILATUN</t>
  </si>
  <si>
    <t>BATURSARI</t>
  </si>
  <si>
    <t>LULU DIANAH</t>
  </si>
  <si>
    <t>TELAGASARI</t>
  </si>
  <si>
    <t>PASIRMUKTI</t>
  </si>
  <si>
    <t>INDAH FIKRIYANTI</t>
  </si>
  <si>
    <t>DIAN FITRIA NINGSIH</t>
  </si>
  <si>
    <t>WIDYA MECAN WATI</t>
  </si>
  <si>
    <t>BILQIS KHAROMATU AULIA</t>
  </si>
  <si>
    <t>JINAN SORAYA</t>
  </si>
  <si>
    <t>AYUNDA FITRIYANI</t>
  </si>
  <si>
    <t>FARKHATIN NURUL IHYA</t>
  </si>
  <si>
    <t>WARSINI</t>
  </si>
  <si>
    <t>warsini</t>
  </si>
  <si>
    <t>DINDA IFATUL IMAMAH</t>
  </si>
  <si>
    <t>KHUSNUL KHOTIMAH</t>
  </si>
  <si>
    <t>ALYA NABILA</t>
  </si>
  <si>
    <t>Alya Nabila</t>
  </si>
  <si>
    <t>MELLI WIDATUL RIZKIAH</t>
  </si>
  <si>
    <t>PARUNGKUDA</t>
  </si>
  <si>
    <t>KOMPA</t>
  </si>
  <si>
    <t>ALIF NABILA FIKRIA</t>
  </si>
  <si>
    <t>ALIF NABILA F</t>
  </si>
  <si>
    <t>FADIA RAHMADIANTI</t>
  </si>
  <si>
    <t>Fadia Rahmadianti</t>
  </si>
  <si>
    <t>FITRA SARI DEWI</t>
  </si>
  <si>
    <t>FATIMATUZZAHRO</t>
  </si>
  <si>
    <t>KONDANGJAYA</t>
  </si>
  <si>
    <t>SITI ROSMIATI</t>
  </si>
  <si>
    <t>WARIDAH</t>
  </si>
  <si>
    <t>BLIMBINGSARI</t>
  </si>
  <si>
    <t>KALIGUNG</t>
  </si>
  <si>
    <t>DARNINGSIH</t>
  </si>
  <si>
    <t>UDATUL JANAH</t>
  </si>
  <si>
    <t>NAILY SYARAH</t>
  </si>
  <si>
    <t>YATUL UMUM</t>
  </si>
  <si>
    <t>SITI MARYANI</t>
  </si>
  <si>
    <t>PALMERAH</t>
  </si>
  <si>
    <t>RODIYAH</t>
  </si>
  <si>
    <t>BANYUURIP</t>
  </si>
  <si>
    <t>MALANGREJO</t>
  </si>
  <si>
    <t>LIS NOVIAN ANDARWATI</t>
  </si>
  <si>
    <t>ENDAH MURNI</t>
  </si>
  <si>
    <t>KESAMBI</t>
  </si>
  <si>
    <t>KARYAMULYA</t>
  </si>
  <si>
    <t>SITI NURJANAH</t>
  </si>
  <si>
    <t>NURIRKHAMAH AZIZAH</t>
  </si>
  <si>
    <t>KUTOARJO</t>
  </si>
  <si>
    <t>DIANA NUR SOLIKHA</t>
  </si>
  <si>
    <t>MIRATUS SOLEKHA</t>
  </si>
  <si>
    <t>YUSRI ALYATI, SPd</t>
  </si>
  <si>
    <t>YUSRI ALYATI</t>
  </si>
  <si>
    <t>CUCI INDRIYANI</t>
  </si>
  <si>
    <t>SRI ARINI MURTI</t>
  </si>
  <si>
    <t>BALARAJA</t>
  </si>
  <si>
    <t>Sri Arini Murti</t>
  </si>
  <si>
    <t>SITI SARONAH</t>
  </si>
  <si>
    <t>Siti saronah</t>
  </si>
  <si>
    <t>SRI AIRLINA</t>
  </si>
  <si>
    <t>AULIA OKTAFIANI</t>
  </si>
  <si>
    <t>AULIA OKTIFIANI</t>
  </si>
  <si>
    <t>KROYA</t>
  </si>
  <si>
    <t>AYAMALAS</t>
  </si>
  <si>
    <t>NURUL IZZATI</t>
  </si>
  <si>
    <t>NURUL IZZATI UZLI</t>
  </si>
  <si>
    <t>SELSA SABILA</t>
  </si>
  <si>
    <t>SRI PUJI LESTARI</t>
  </si>
  <si>
    <t>SONGGON</t>
  </si>
  <si>
    <t>SRAGI</t>
  </si>
  <si>
    <t>LUTFIYATUN MARCHAMAH</t>
  </si>
  <si>
    <t>DEBONGWETAN</t>
  </si>
  <si>
    <t>WARUNGASEM</t>
  </si>
  <si>
    <t>SIJONO</t>
  </si>
  <si>
    <t>LAILATUL HIDAYAH</t>
  </si>
  <si>
    <t>DEWI MASITOH</t>
  </si>
  <si>
    <t>DEWI MASYITOH</t>
  </si>
  <si>
    <t>BULUNGAN</t>
  </si>
  <si>
    <t>BUNYU</t>
  </si>
  <si>
    <t>BUNYU SELATAN</t>
  </si>
  <si>
    <t>AYU WANDIRA</t>
  </si>
  <si>
    <t>PUHRUBUH</t>
  </si>
  <si>
    <t>SRI WARYANTI</t>
  </si>
  <si>
    <t>HADI LISANA</t>
  </si>
  <si>
    <t>LIMBANGAN KULON</t>
  </si>
  <si>
    <t>ANISAH FIRANTI</t>
  </si>
  <si>
    <t>NURUL GHONI'AH</t>
  </si>
  <si>
    <t>DEWI RAHAYU</t>
  </si>
  <si>
    <t>TAZAKKA BASYSYASYI</t>
  </si>
  <si>
    <t>AYU YULIA</t>
  </si>
  <si>
    <t>Ayu Yulia</t>
  </si>
  <si>
    <t>IRMA MULYANA</t>
  </si>
  <si>
    <t>IKHYA FAUZIYAH</t>
  </si>
  <si>
    <t>MEI NURSINTA</t>
  </si>
  <si>
    <t>WULAN ROOS MAYANI</t>
  </si>
  <si>
    <t>PULOGADING</t>
  </si>
  <si>
    <t>NOVI DWI ASTUTI</t>
  </si>
  <si>
    <t>DINI ARIFAH</t>
  </si>
  <si>
    <t>RISKI JUANDA</t>
  </si>
  <si>
    <t>RISKI JUANDA BIN AGUS TIO PRANOTO</t>
  </si>
  <si>
    <t>TURYATI</t>
  </si>
  <si>
    <t>ISLAHUDIN</t>
  </si>
  <si>
    <t>RIZALUL UMAM</t>
  </si>
  <si>
    <t>HENDRI SUSILO</t>
  </si>
  <si>
    <t>GLONGGONG</t>
  </si>
  <si>
    <t>MOH. MA'RUFI</t>
  </si>
  <si>
    <t>MUHAMMAD ALI</t>
  </si>
  <si>
    <t>Muhammad Ali</t>
  </si>
  <si>
    <t>WINDI DIAN ARFIANI</t>
  </si>
  <si>
    <t>WINDY DIAN ARFIANI</t>
  </si>
  <si>
    <t>NANDA AMALIA PRAMESTI</t>
  </si>
  <si>
    <t>Nanda Amalia Pramesti</t>
  </si>
  <si>
    <t>Sholihin</t>
  </si>
  <si>
    <t>INDAH WATI</t>
  </si>
  <si>
    <t>indah wati</t>
  </si>
  <si>
    <t>DRISMO</t>
  </si>
  <si>
    <t>TASYA AMELIA</t>
  </si>
  <si>
    <t>DIAH RETNO HANDAYANI</t>
  </si>
  <si>
    <t>FARAH FATIN AZ ZAHRAH</t>
  </si>
  <si>
    <t>FARAH FATIN AZZAHRA</t>
  </si>
  <si>
    <t>NUR AFIFAH</t>
  </si>
  <si>
    <t>SUKAHATI</t>
  </si>
  <si>
    <t>DEWI YULIANTI</t>
  </si>
  <si>
    <t>SHERIN MEGANANDA</t>
  </si>
  <si>
    <t>DENI ARIYANTO</t>
  </si>
  <si>
    <t>INDRA SETIAWAN</t>
  </si>
  <si>
    <t>BAMBANG EKO WICAKSONO</t>
  </si>
  <si>
    <t>NURUL MAGHFIROH</t>
  </si>
  <si>
    <t>NUROKHMAN BIN SUKARDI(ALM)</t>
  </si>
  <si>
    <t>MUH. RIZAL HABIBI</t>
  </si>
  <si>
    <t>Muh Rizal habibi</t>
  </si>
  <si>
    <t>ILHAM NUROLTA WICAKSANA</t>
  </si>
  <si>
    <t>YUSMANTO</t>
  </si>
  <si>
    <t>Yusmanto</t>
  </si>
  <si>
    <t>SUWIGNYO</t>
  </si>
  <si>
    <t>KEBONBATUR</t>
  </si>
  <si>
    <t>ALI SAFRUDIN</t>
  </si>
  <si>
    <t>FARAH ALYA DIBBA</t>
  </si>
  <si>
    <t>YANUAR ANNISA</t>
  </si>
  <si>
    <t>YANUAR ANISA</t>
  </si>
  <si>
    <t>FAYZA ALAYDA AZRA</t>
  </si>
  <si>
    <t>SITI WINDARSIH</t>
  </si>
  <si>
    <t>sulastri</t>
  </si>
  <si>
    <t>TIYA KRISWI DWIJAYANTI</t>
  </si>
  <si>
    <t>ANA ROFIANA</t>
  </si>
  <si>
    <t>SRI SUGIARTI</t>
  </si>
  <si>
    <t>AJI ANTONI</t>
  </si>
  <si>
    <t>Aji Antoni</t>
  </si>
  <si>
    <t>ENI ASTUTI</t>
  </si>
  <si>
    <t>ABDUR ROKHIM</t>
  </si>
  <si>
    <t>GRESIK</t>
  </si>
  <si>
    <t>MANYAR</t>
  </si>
  <si>
    <t>LERAN</t>
  </si>
  <si>
    <t>AHMAD NAWI</t>
  </si>
  <si>
    <t>CIPOCOK JAYA</t>
  </si>
  <si>
    <t>PANANCANGAN</t>
  </si>
  <si>
    <t>ahmad nawi</t>
  </si>
  <si>
    <t>SITI RODIYAH</t>
  </si>
  <si>
    <t>ARDIPURA</t>
  </si>
  <si>
    <t>KHAIRUL NIL HAKIM SITORUS</t>
  </si>
  <si>
    <t>AIR BATU</t>
  </si>
  <si>
    <t>HESSA AIR GENTING</t>
  </si>
  <si>
    <t>BULAKWARU</t>
  </si>
  <si>
    <t>MUNAWAROH</t>
  </si>
  <si>
    <t>NELA SOFYA</t>
  </si>
  <si>
    <t>DEDE RAHMAT</t>
  </si>
  <si>
    <t>ROKAN IV KOTO</t>
  </si>
  <si>
    <t>SIKEBAU JAYA</t>
  </si>
  <si>
    <t>MARGAPADANG</t>
  </si>
  <si>
    <t>YULI ASTONO</t>
  </si>
  <si>
    <t>TAMBUSAI UTARA</t>
  </si>
  <si>
    <t>RANTAU SAKTI</t>
  </si>
  <si>
    <t>Yuliastono</t>
  </si>
  <si>
    <t>BREKAT</t>
  </si>
  <si>
    <t>LUKMAN WAHIDIN</t>
  </si>
  <si>
    <t>BANJAR NEGORO</t>
  </si>
  <si>
    <t>KEMANGGUNGAN</t>
  </si>
  <si>
    <t>WIDIAWATI</t>
  </si>
  <si>
    <t>SUKARTONO</t>
  </si>
  <si>
    <t>LEBETENG</t>
  </si>
  <si>
    <t>W A S M U N</t>
  </si>
  <si>
    <t>Wasmun</t>
  </si>
  <si>
    <t>SULANTOH</t>
  </si>
  <si>
    <t>AGITA SUGIARTI SETYA DARMA</t>
  </si>
  <si>
    <t>KEDOKANSAYANG</t>
  </si>
  <si>
    <t>SITI KARTINAH</t>
  </si>
  <si>
    <t>HERIYANTO</t>
  </si>
  <si>
    <t>HERIANTO</t>
  </si>
  <si>
    <t>RIA PRATIWI</t>
  </si>
  <si>
    <t>ria pratiwi</t>
  </si>
  <si>
    <t>WASRONI</t>
  </si>
  <si>
    <t>wasroni</t>
  </si>
  <si>
    <t>WALUYO</t>
  </si>
  <si>
    <t>MANTO</t>
  </si>
  <si>
    <t>DEA FEBRIYANI</t>
  </si>
  <si>
    <t>KEBON KOSONG</t>
  </si>
  <si>
    <t>PURBASANA</t>
  </si>
  <si>
    <t>SOIP</t>
  </si>
  <si>
    <t>SUCI WULANDARI</t>
  </si>
  <si>
    <t>KARMIDI</t>
  </si>
  <si>
    <t>KEDUNGBUNGKUS</t>
  </si>
  <si>
    <t>SUBURJO</t>
  </si>
  <si>
    <t>SLIPI</t>
  </si>
  <si>
    <t>suburjo</t>
  </si>
  <si>
    <t>RUSDI HARTONO</t>
  </si>
  <si>
    <t>Rusdi hartono</t>
  </si>
  <si>
    <t>IMELIA HARTONO PUTRI</t>
  </si>
  <si>
    <t>Imelia hartono putri</t>
  </si>
  <si>
    <t>URIPAH</t>
  </si>
  <si>
    <t>uripah</t>
  </si>
  <si>
    <t>AHMAD SOPIAN</t>
  </si>
  <si>
    <t>DADANG PINANDAR</t>
  </si>
  <si>
    <t>TUINTIVITAS</t>
  </si>
  <si>
    <t>KABUKAN</t>
  </si>
  <si>
    <t>BUDI PRASETYO</t>
  </si>
  <si>
    <t>SUCI NABILA PUTRI</t>
  </si>
  <si>
    <t>NABILA PUTRI</t>
  </si>
  <si>
    <t>MINDAKA</t>
  </si>
  <si>
    <t>WASILAH</t>
  </si>
  <si>
    <t>WARUREJA</t>
  </si>
  <si>
    <t>BANJARAGUNG</t>
  </si>
  <si>
    <t>Wasilah</t>
  </si>
  <si>
    <t>AHMAD SYAROFUL ANAM</t>
  </si>
  <si>
    <t>CICADAS</t>
  </si>
  <si>
    <t>ISMAWATI</t>
  </si>
  <si>
    <t>RATONO</t>
  </si>
  <si>
    <t>CAHYANTI NURPADILAH</t>
  </si>
  <si>
    <t>PAJAWANKIDUL</t>
  </si>
  <si>
    <t>FARKHAN</t>
  </si>
  <si>
    <t>PANGURAGAN</t>
  </si>
  <si>
    <t>KARANGMANGU</t>
  </si>
  <si>
    <t>ADI SETIADI</t>
  </si>
  <si>
    <t>GEGESIK</t>
  </si>
  <si>
    <t>JAGAPURA LOR</t>
  </si>
  <si>
    <t>JATIRAWA</t>
  </si>
  <si>
    <t>MAHMUT</t>
  </si>
  <si>
    <t>BUMIHARJA</t>
  </si>
  <si>
    <t>MAHMUD</t>
  </si>
  <si>
    <t>SITURAJA</t>
  </si>
  <si>
    <t>JUJU JULAEHA</t>
  </si>
  <si>
    <t>KARANGJATI</t>
  </si>
  <si>
    <t>PASEH</t>
  </si>
  <si>
    <t>LEGOK KALER</t>
  </si>
  <si>
    <t>RATIB</t>
  </si>
  <si>
    <t>SUMEDANG UTARA</t>
  </si>
  <si>
    <t>TALUN</t>
  </si>
  <si>
    <t>WATMI</t>
  </si>
  <si>
    <t>EDENG NUR CAHYA</t>
  </si>
  <si>
    <t>CIMARA</t>
  </si>
  <si>
    <t>MUHAMAD LUTFI AMINUDIN</t>
  </si>
  <si>
    <t>RYAN ADI SAPUTRA</t>
  </si>
  <si>
    <t>SITI AMAROH</t>
  </si>
  <si>
    <t>DANI FURSIANSYAH</t>
  </si>
  <si>
    <t>JUNTINYUAT</t>
  </si>
  <si>
    <t>SEGERAN LOR</t>
  </si>
  <si>
    <t>DHANI PURSIANSYAH</t>
  </si>
  <si>
    <t>LIYA</t>
  </si>
  <si>
    <t>SEPTI NURHAMIDAH</t>
  </si>
  <si>
    <t>SUMARSIH</t>
  </si>
  <si>
    <t>M BUDI RAHARJO</t>
  </si>
  <si>
    <t>M.Budi raharjo</t>
  </si>
  <si>
    <t>DAHLAN DWI MULYONO</t>
  </si>
  <si>
    <t>KLIRONG</t>
  </si>
  <si>
    <t>KEDUNGSARI</t>
  </si>
  <si>
    <t>NOVA SAPUTRO</t>
  </si>
  <si>
    <t>MASARAN</t>
  </si>
  <si>
    <t>DAWUNGAN</t>
  </si>
  <si>
    <t>SUGIARSO</t>
  </si>
  <si>
    <t>IWAN RIDWAN</t>
  </si>
  <si>
    <t>PESUCEN</t>
  </si>
  <si>
    <t>LINDA SARI</t>
  </si>
  <si>
    <t>KWITANG</t>
  </si>
  <si>
    <t>SITI MEI YULIYANI</t>
  </si>
  <si>
    <t>IKA PRIYANTO</t>
  </si>
  <si>
    <t>FARIH ADZAKY</t>
  </si>
  <si>
    <t>TRIKORA</t>
  </si>
  <si>
    <t>DESIYANA RIZQIA</t>
  </si>
  <si>
    <t>AKHMAD ZAENI ZAENUDIN</t>
  </si>
  <si>
    <t>SANO</t>
  </si>
  <si>
    <t>MANGUNSAREN</t>
  </si>
  <si>
    <t>Moh. Idris Sardy</t>
  </si>
  <si>
    <t>GARUNG KIDUL</t>
  </si>
  <si>
    <t>RAKSONO</t>
  </si>
  <si>
    <t>AMIR DULA SUKRI</t>
  </si>
  <si>
    <t>AMIR</t>
  </si>
  <si>
    <t>NUR HASAN</t>
  </si>
  <si>
    <t>Nur Hasan</t>
  </si>
  <si>
    <t>MUHAMMAD LABIB MARZUKI</t>
  </si>
  <si>
    <t>BAMBANG KISWORO</t>
  </si>
  <si>
    <t>MUHAMMAD KHUSNI HISAM MUBAROK</t>
  </si>
  <si>
    <t>M. KHUSNI HISYAM MUBAROK</t>
  </si>
  <si>
    <t>MUHAMMAD NAJIH AMRUNA</t>
  </si>
  <si>
    <t>PURYONO</t>
  </si>
  <si>
    <t>SUMANTO</t>
  </si>
  <si>
    <t>MUSI RAWAS UTARA</t>
  </si>
  <si>
    <t>RUPIT</t>
  </si>
  <si>
    <t>MAUR LAMA</t>
  </si>
  <si>
    <t>AGUS KHOLIK</t>
  </si>
  <si>
    <t>SINDANG BARANG</t>
  </si>
  <si>
    <t>PETOJO UTARA</t>
  </si>
  <si>
    <t>sakhuri</t>
  </si>
  <si>
    <t>KESAMIRAN</t>
  </si>
  <si>
    <t>MOHAMMAD AFTHON HUSNI</t>
  </si>
  <si>
    <t>IKHWANUDIN</t>
  </si>
  <si>
    <t>BAKTI JAYA</t>
  </si>
  <si>
    <t>UZLIPAH</t>
  </si>
  <si>
    <t>SUPRIYONO</t>
  </si>
  <si>
    <t>TIRTOMOYO</t>
  </si>
  <si>
    <t>MOH. IRKHAM</t>
  </si>
  <si>
    <t>NAGARA PADANG</t>
  </si>
  <si>
    <t>ARIP DWI PURNOMO</t>
  </si>
  <si>
    <t>SANALI</t>
  </si>
  <si>
    <t>A. FATIHUDIN ALHAFIDH</t>
  </si>
  <si>
    <t>AHMAD FATIHUDIN AL HAFIDH</t>
  </si>
  <si>
    <t>DURYANA</t>
  </si>
  <si>
    <t>JUPRI</t>
  </si>
  <si>
    <t>CAHYONO EDI WIBOWO</t>
  </si>
  <si>
    <t>MUHAEMIN</t>
  </si>
  <si>
    <t>SUGIRNO</t>
  </si>
  <si>
    <t>AHMAD SEPTI ARIANTO</t>
  </si>
  <si>
    <t>AHMAD SEPTI ARIANTO BIN DARWIN</t>
  </si>
  <si>
    <t>WAWAN UNTUNG</t>
  </si>
  <si>
    <t>wawan untung</t>
  </si>
  <si>
    <t>KALIJAMBE</t>
  </si>
  <si>
    <t>MUHAMAD BINA MULIA</t>
  </si>
  <si>
    <t>WADAS</t>
  </si>
  <si>
    <t>MOH. PANUT DWI SAPUTRO</t>
  </si>
  <si>
    <t>Moh panut Dwi saputro</t>
  </si>
  <si>
    <t>KEDOYA UTARA</t>
  </si>
  <si>
    <t>AHMAD ABUL A'LA NAJIHAL AMAL</t>
  </si>
  <si>
    <t>A. ABUL A'LA NAJIHAL AMAL</t>
  </si>
  <si>
    <t>RAMA WAHYU AGUNG</t>
  </si>
  <si>
    <t>KOTA BAU BAU</t>
  </si>
  <si>
    <t>WOLIO</t>
  </si>
  <si>
    <t>BATARAGURU</t>
  </si>
  <si>
    <t>M RIFKI HIDAYATUL FAQIH</t>
  </si>
  <si>
    <t>M. RIFKI HIDAYATUL FAQIH</t>
  </si>
  <si>
    <t>EMI NURUL ANISIAH</t>
  </si>
  <si>
    <t>EMI NURUL ANISAH</t>
  </si>
  <si>
    <t>SITI KHOWIYAH</t>
  </si>
  <si>
    <t>Siti khowiyah</t>
  </si>
  <si>
    <t>NAYLA ARZIKI RAMADANI YUVA</t>
  </si>
  <si>
    <t>GLADAK ANYAR</t>
  </si>
  <si>
    <t>MUTRIKHA</t>
  </si>
  <si>
    <t>RASTINAH</t>
  </si>
  <si>
    <t>Rastinah</t>
  </si>
  <si>
    <t>RATIH SARI</t>
  </si>
  <si>
    <t>FANNI RAHMAWATI</t>
  </si>
  <si>
    <t>Fanni Rahmawati</t>
  </si>
  <si>
    <t>SUMINAH</t>
  </si>
  <si>
    <t>RURI DAMAYANTI</t>
  </si>
  <si>
    <t>SELA SEPTIANI</t>
  </si>
  <si>
    <t>SERPONG</t>
  </si>
  <si>
    <t>LENGKONG GUDANG TIMUR</t>
  </si>
  <si>
    <t>FENTI FERAWATI</t>
  </si>
  <si>
    <t>KARAWANG WETAN</t>
  </si>
  <si>
    <t>OKTAPIARINI</t>
  </si>
  <si>
    <t>WARTIH</t>
  </si>
  <si>
    <t>DUKIROH</t>
  </si>
  <si>
    <t>SINTA KHARIMATUL JANNAH</t>
  </si>
  <si>
    <t>SINTA KHARIMATUL J</t>
  </si>
  <si>
    <t>TRI SUGIANAH</t>
  </si>
  <si>
    <t>SITI NOFI OKTAFIANI</t>
  </si>
  <si>
    <t>SITI NOFI OKTAVIANI</t>
  </si>
  <si>
    <t>SITI KHODIJAH</t>
  </si>
  <si>
    <t>PATOKBEUSI</t>
  </si>
  <si>
    <t>RANCAASIH</t>
  </si>
  <si>
    <t>SHELY ROCHMAWATI</t>
  </si>
  <si>
    <t>TARNINGSIH</t>
  </si>
  <si>
    <t>WONGSOREJO</t>
  </si>
  <si>
    <t>BIMOREJO</t>
  </si>
  <si>
    <t>TALAGAMURNI</t>
  </si>
  <si>
    <t>QUAIS AL QORNY DEXTA VAHLEVI</t>
  </si>
  <si>
    <t>QUAIS AL-QORNY DEXTA VAHLEVI</t>
  </si>
  <si>
    <t>DEWI SRI YANTI</t>
  </si>
  <si>
    <t>AMELIA SIFANA</t>
  </si>
  <si>
    <t>KOTA DUMAI</t>
  </si>
  <si>
    <t>DUMAI KOTA</t>
  </si>
  <si>
    <t>WIBI LAKSONO</t>
  </si>
  <si>
    <t>SUNARYO</t>
  </si>
  <si>
    <t>sunarto</t>
  </si>
  <si>
    <t>PENGGARIT</t>
  </si>
  <si>
    <t>ARDHIA PRAMESTI RIGITA CAHYANI</t>
  </si>
  <si>
    <t>ARDHIA PRAMESTIRIGITA CAHYANI</t>
  </si>
  <si>
    <t>SUMBERAGUNG</t>
  </si>
  <si>
    <t>IRWANTO</t>
  </si>
  <si>
    <t>Irwanto</t>
  </si>
  <si>
    <t>REZA ZULMI</t>
  </si>
  <si>
    <t>YENI SAPITRI</t>
  </si>
  <si>
    <t>FATHATUL BARIYAH</t>
  </si>
  <si>
    <t>SURIPTO</t>
  </si>
  <si>
    <t>ROMANTO</t>
  </si>
  <si>
    <t>MOHAMAD PRIWIBOWO</t>
  </si>
  <si>
    <t>Mohamad Priwibowo</t>
  </si>
  <si>
    <t>EFENDI</t>
  </si>
  <si>
    <t>KHAERUL ALAM ALAWY</t>
  </si>
  <si>
    <t>MUFRI KHODIJAH</t>
  </si>
  <si>
    <t>RIRIN RISYANTI YESSICA</t>
  </si>
  <si>
    <t>Ririn risyanti yessica</t>
  </si>
  <si>
    <t>PENTI WIJAYANTI</t>
  </si>
  <si>
    <t>WANACALA</t>
  </si>
  <si>
    <t>NODO JULIANTO</t>
  </si>
  <si>
    <t>nodo julianto</t>
  </si>
  <si>
    <t>SITI KHURIYAH</t>
  </si>
  <si>
    <t>TOFIK HIDAYAT</t>
  </si>
  <si>
    <t>AGISTA EDWIN PAMUNGKAS</t>
  </si>
  <si>
    <t>CANDISARI</t>
  </si>
  <si>
    <t>CANDI</t>
  </si>
  <si>
    <t>CHOERUL RAMADHAN</t>
  </si>
  <si>
    <t>SOMADI</t>
  </si>
  <si>
    <t>NUR BAETI</t>
  </si>
  <si>
    <t>SANTI KOMALASARI</t>
  </si>
  <si>
    <t>BRILLIAN MAULANA</t>
  </si>
  <si>
    <t>BRILIAN MAULANA BIN SUWELO</t>
  </si>
  <si>
    <t>NONI AGUS SRIATI</t>
  </si>
  <si>
    <t>TULUNG</t>
  </si>
  <si>
    <t>INDAH PRASETIANTI</t>
  </si>
  <si>
    <t>TRI MERDEKAWATI</t>
  </si>
  <si>
    <t>WAHYU MULYADI</t>
  </si>
  <si>
    <t>INDRA BAGUS PRASETIYO</t>
  </si>
  <si>
    <t>DESI SUSANTI</t>
  </si>
  <si>
    <t>PURWOHARJO</t>
  </si>
  <si>
    <t>GRAJAGAN</t>
  </si>
  <si>
    <t>BUDI SANTOSO</t>
  </si>
  <si>
    <t>BARITO KUALA</t>
  </si>
  <si>
    <t>ALALAK</t>
  </si>
  <si>
    <t>SUNGAI LUMBAH</t>
  </si>
  <si>
    <t>FRANKY YENDIANA</t>
  </si>
  <si>
    <t>KOTA MADIUN</t>
  </si>
  <si>
    <t>MANGUHARJO</t>
  </si>
  <si>
    <t>WINONGO</t>
  </si>
  <si>
    <t>MUTTAQIN</t>
  </si>
  <si>
    <t>RAHDANI TRI CAHYA</t>
  </si>
  <si>
    <t>LANGKE REMBONG</t>
  </si>
  <si>
    <t>PITAK</t>
  </si>
  <si>
    <t>RAHDHANI TRI CAHYA</t>
  </si>
  <si>
    <t>LAMTIURMA SILABAN</t>
  </si>
  <si>
    <t>SIMALUNGUN</t>
  </si>
  <si>
    <t>TANAH JAWA</t>
  </si>
  <si>
    <t>BOSAR GALUGUR</t>
  </si>
  <si>
    <t>LAMTIURNA SILABAN</t>
  </si>
  <si>
    <t>MEJASEM BARAT</t>
  </si>
  <si>
    <t>MUSRIAH</t>
  </si>
  <si>
    <t>MUSIAH</t>
  </si>
  <si>
    <t>ILIR BARAT SATU</t>
  </si>
  <si>
    <t>BUKITBARU</t>
  </si>
  <si>
    <t>YULIA</t>
  </si>
  <si>
    <t>TERBANGGI BESAR</t>
  </si>
  <si>
    <t>INDRA PUTRA SUBING</t>
  </si>
  <si>
    <t>SUPRIHATIN AMALIA</t>
  </si>
  <si>
    <t>KETILENG</t>
  </si>
  <si>
    <t>ASIH PURNAMA NINGSIH</t>
  </si>
  <si>
    <t>PEMALI</t>
  </si>
  <si>
    <t>AIR RUAI</t>
  </si>
  <si>
    <t>ANDRI WIBISONO</t>
  </si>
  <si>
    <t>BANGUN GALIH</t>
  </si>
  <si>
    <t>K U S I N</t>
  </si>
  <si>
    <t>LAGOA</t>
  </si>
  <si>
    <t>KUSIN</t>
  </si>
  <si>
    <t>KEMUNING</t>
  </si>
  <si>
    <t>CANDRA LEKA</t>
  </si>
  <si>
    <t>CHAMDANI</t>
  </si>
  <si>
    <t>chamdani</t>
  </si>
  <si>
    <t>INDRA ARIESTYA GUNAWAN</t>
  </si>
  <si>
    <t>Indra Ariestya Gunawan</t>
  </si>
  <si>
    <t>CAROLINA SESOTYAWATI M.R</t>
  </si>
  <si>
    <t>Carolina Sesotia</t>
  </si>
  <si>
    <t>GIRI SUGIRAWAN</t>
  </si>
  <si>
    <t>CISAAT</t>
  </si>
  <si>
    <t>PADAASIH</t>
  </si>
  <si>
    <t>DAMPYAK</t>
  </si>
  <si>
    <t>MOHAMAD KHARIS FADILAH</t>
  </si>
  <si>
    <t>KALIRAHAYU</t>
  </si>
  <si>
    <t>WARLINA</t>
  </si>
  <si>
    <t>CIBIRU</t>
  </si>
  <si>
    <t>PALASARI</t>
  </si>
  <si>
    <t>MUNJUNGAGUNG</t>
  </si>
  <si>
    <t>IRGI KURNIAWAN</t>
  </si>
  <si>
    <t>BANTARGEBANG</t>
  </si>
  <si>
    <t>CIKIWUL</t>
  </si>
  <si>
    <t>LINDAWATI</t>
  </si>
  <si>
    <t>BOBOTSARI</t>
  </si>
  <si>
    <t>PAKUNCEN</t>
  </si>
  <si>
    <t>RIVAN DWI AGHNITOMA</t>
  </si>
  <si>
    <t>POLANHARJO</t>
  </si>
  <si>
    <t>RIVAN DWI AGHNITAMA</t>
  </si>
  <si>
    <t>YESTA PUJA AYU RASMITA</t>
  </si>
  <si>
    <t>SARIHARJO</t>
  </si>
  <si>
    <t>BONGKOK</t>
  </si>
  <si>
    <t>SITI ALFIYAH</t>
  </si>
  <si>
    <t>MURMAN SETIADI</t>
  </si>
  <si>
    <t>NYAMPLUNGSARI</t>
  </si>
  <si>
    <t>ARMAN ARDIYANSHAH</t>
  </si>
  <si>
    <t>SINGKIL</t>
  </si>
  <si>
    <t>SINGKIL DUA</t>
  </si>
  <si>
    <t>ARMAN ARDIYANSYAH</t>
  </si>
  <si>
    <t>ABDUL MAJID</t>
  </si>
  <si>
    <t>DHANI TEDIYANTO</t>
  </si>
  <si>
    <t>DHANI TEDIYANTO BIN (ALM) WAHID</t>
  </si>
  <si>
    <t>LEMAH WUNGKUK</t>
  </si>
  <si>
    <t>PANJUNAN</t>
  </si>
  <si>
    <t>FAJRIAN ADAM SYUHADA</t>
  </si>
  <si>
    <t>TAMBAKSARI</t>
  </si>
  <si>
    <t>FAJRIAN ADAM</t>
  </si>
  <si>
    <t>TOFIK KURNIAWAN</t>
  </si>
  <si>
    <t>TOFIK KURNIAWAN BIN IWAN KURNIAWAN</t>
  </si>
  <si>
    <t>FADLINUR ROCHIM</t>
  </si>
  <si>
    <t>FADLI NUR ROCHIM</t>
  </si>
  <si>
    <t>UNTUNG SLAMET</t>
  </si>
  <si>
    <t>MARIBAYA</t>
  </si>
  <si>
    <t>UNTUNG SLAMET BIN RUSBAD</t>
  </si>
  <si>
    <t>MUHAMAD RIZKI KURNIA</t>
  </si>
  <si>
    <t>HAIKAL KRISNA PUJALAKSONO</t>
  </si>
  <si>
    <t>PADAHARJA</t>
  </si>
  <si>
    <t>MUSAFA KHAIRUS SYIFA</t>
  </si>
  <si>
    <t>KEMANTRAN</t>
  </si>
  <si>
    <t>AZFA ILHAM ARIFAMEDA</t>
  </si>
  <si>
    <t>MUHAMMAD AGUNG NUGROHO SAPUTRO</t>
  </si>
  <si>
    <t>KOTA SORONG</t>
  </si>
  <si>
    <t>SORONG TIMUR</t>
  </si>
  <si>
    <t>KLAWALU</t>
  </si>
  <si>
    <t>M. AGUNG NUGROHO SAPUTRO</t>
  </si>
  <si>
    <t>ADI SAPUTRA</t>
  </si>
  <si>
    <t>ADI SAPUTRA, A.Md.kom</t>
  </si>
  <si>
    <t>SARGO</t>
  </si>
  <si>
    <t>BOJONEGARA</t>
  </si>
  <si>
    <t>MARGAGIRI</t>
  </si>
  <si>
    <t>SUTEGA</t>
  </si>
  <si>
    <t>BAMBANG RIYANTO</t>
  </si>
  <si>
    <t>KAMPAK</t>
  </si>
  <si>
    <t>KARANGREJO</t>
  </si>
  <si>
    <t>SUHARDI</t>
  </si>
  <si>
    <t>PLUMBUNGAN</t>
  </si>
  <si>
    <t>KAIMANA</t>
  </si>
  <si>
    <t>NAMATOTA</t>
  </si>
  <si>
    <t>DUROSYID</t>
  </si>
  <si>
    <t>MOH. DASUKI</t>
  </si>
  <si>
    <t>JATILAWANG</t>
  </si>
  <si>
    <t>MUHAMAD IRFAN MUZAKI</t>
  </si>
  <si>
    <t>Muhamad Irfan Muzaki</t>
  </si>
  <si>
    <t>GIRITIRTO</t>
  </si>
  <si>
    <t>AHMAD FAOZI</t>
  </si>
  <si>
    <t>LAMBOK EDWARD HARIANJA</t>
  </si>
  <si>
    <t>TAPANULI UTARA</t>
  </si>
  <si>
    <t>TARUTUNG</t>
  </si>
  <si>
    <t>HUTATORUAN VII</t>
  </si>
  <si>
    <t>DARMAWAN</t>
  </si>
  <si>
    <t>WATUKEBO</t>
  </si>
  <si>
    <t>Darmawan</t>
  </si>
  <si>
    <t>SEPTIO BUDI PRATAMA</t>
  </si>
  <si>
    <t>SEPTIO BUDI PRATAMA BIN WARSONO</t>
  </si>
  <si>
    <t>RUSBAD</t>
  </si>
  <si>
    <t>RUSBAD BIN WALMAN (ALM)</t>
  </si>
  <si>
    <t>Andri Ariffudin</t>
  </si>
  <si>
    <t>ANDRI ARIFFUDIN</t>
  </si>
  <si>
    <t>FERAN FEBRIANSYAH</t>
  </si>
  <si>
    <t>ZIDAN PUTRA RIZKY AKBAR</t>
  </si>
  <si>
    <t>BAGUS DEWAN TORO</t>
  </si>
  <si>
    <t>IMAM AJI PRANOMO</t>
  </si>
  <si>
    <t>MOH. FIKRI AKHISTULLOH</t>
  </si>
  <si>
    <t>KERTAYASA</t>
  </si>
  <si>
    <t>DEMAS HISYAM HANAN ALI</t>
  </si>
  <si>
    <t>MUHAMMAD FAJRI MAULANA</t>
  </si>
  <si>
    <t>FATIH CAHYA FADILLAH</t>
  </si>
  <si>
    <t>BIMA KHAERANTO</t>
  </si>
  <si>
    <t>FANDY AFFITULLOH NUR SIDIK</t>
  </si>
  <si>
    <t>MULIADI HIDAYAT</t>
  </si>
  <si>
    <t>MUHAMMAD NAUFAL RENADA</t>
  </si>
  <si>
    <t>KARSYATIN</t>
  </si>
  <si>
    <t>MEKARMUKTI</t>
  </si>
  <si>
    <t>KARYATIN</t>
  </si>
  <si>
    <t>MEJASEM TIMUR</t>
  </si>
  <si>
    <t>TUTI WASIATI</t>
  </si>
  <si>
    <t>PUTRI AYU SETYA NINGRUM</t>
  </si>
  <si>
    <t>WEDA SELATAN</t>
  </si>
  <si>
    <t>WAIRORO INDAH</t>
  </si>
  <si>
    <t>TURIYAH</t>
  </si>
  <si>
    <t>EKA DIANA PURNINGSIH</t>
  </si>
  <si>
    <t>EKA DIANAPURNINGSIH</t>
  </si>
  <si>
    <t>ERNA MARLIANA</t>
  </si>
  <si>
    <t>ERNI MARLIANI</t>
  </si>
  <si>
    <t>NAYLA HUWAIDA RAHMAPUTRI</t>
  </si>
  <si>
    <t>SITI SUIMAH</t>
  </si>
  <si>
    <t>MARGOREJO</t>
  </si>
  <si>
    <t>SU'IMAH</t>
  </si>
  <si>
    <t>AYU TIKA ARIANI</t>
  </si>
  <si>
    <t>NGEMPLAK</t>
  </si>
  <si>
    <t>WEDOMARTANI</t>
  </si>
  <si>
    <t>KORIAH</t>
  </si>
  <si>
    <t>RIZKIYANI</t>
  </si>
  <si>
    <t>SRI DARYATI</t>
  </si>
  <si>
    <t>HAURA AMIRA MULIA</t>
  </si>
  <si>
    <t>RIZKIYAH KHOLIFATUS ZAMAN</t>
  </si>
  <si>
    <t>PAPUA SELATAN</t>
  </si>
  <si>
    <t>MERAUKE</t>
  </si>
  <si>
    <t>RIMBA JAYA</t>
  </si>
  <si>
    <t>IDA LAELA</t>
  </si>
  <si>
    <t>PARIT BARU</t>
  </si>
  <si>
    <t>TANJUNGHARJA</t>
  </si>
  <si>
    <t>ERNA UGI UTAMI</t>
  </si>
  <si>
    <t>FENIYANTI KUNJTE RAHMOLA</t>
  </si>
  <si>
    <t>DYAH KRISTIANTI CAHYORINI</t>
  </si>
  <si>
    <t>RINI KHASANATI</t>
  </si>
  <si>
    <t>Rini Khasanati</t>
  </si>
  <si>
    <t>KASIHAN</t>
  </si>
  <si>
    <t>TIRTONIRMOLO</t>
  </si>
  <si>
    <t>CATUR MULIANA</t>
  </si>
  <si>
    <t>KARAWACI</t>
  </si>
  <si>
    <t>CIMONE</t>
  </si>
  <si>
    <t>YANTI</t>
  </si>
  <si>
    <t>M. RIZAL SAPUTRA</t>
  </si>
  <si>
    <t>M.Akil Mustofa</t>
  </si>
  <si>
    <t>M. AKIL MUSTOFA</t>
  </si>
  <si>
    <t>RUSTADI</t>
  </si>
  <si>
    <t>WANGANDALEM</t>
  </si>
  <si>
    <t>NASORI</t>
  </si>
  <si>
    <t>MOHAMAD SARIPUDIN</t>
  </si>
  <si>
    <t>EDI HARTANTO</t>
  </si>
  <si>
    <t>DEDI PURNOMO</t>
  </si>
  <si>
    <t>PURNAMA DJAKA SAPUTRA</t>
  </si>
  <si>
    <t>SIADA BEKTI</t>
  </si>
  <si>
    <t>RESTIONO</t>
  </si>
  <si>
    <t>Chikmah Zulfiana</t>
  </si>
  <si>
    <t>E. KRISTIYADI</t>
  </si>
  <si>
    <t>E. Kristiyadi</t>
  </si>
  <si>
    <t>INAS MUHAMMAD TAQY</t>
  </si>
  <si>
    <t>Inas Muhammad Taqi</t>
  </si>
  <si>
    <t>SITI ROHYATI</t>
  </si>
  <si>
    <t>MOHAMAD ANDRA MEVIANSYACH</t>
  </si>
  <si>
    <t>MOHAMAD ANDRA MEVIANSYAH BIN LUDHY MEVIANTO</t>
  </si>
  <si>
    <t>SUDIRO</t>
  </si>
  <si>
    <t>RISKI MAULANA</t>
  </si>
  <si>
    <t>MOH. KHAERUDIN</t>
  </si>
  <si>
    <t>moh.khaerudin</t>
  </si>
  <si>
    <t>RICY DWI SETIAWAN</t>
  </si>
  <si>
    <t>MOHAMAD CHAERUL ANAM</t>
  </si>
  <si>
    <t>NAIL KHAERULLOH</t>
  </si>
  <si>
    <t>JAHRODAH</t>
  </si>
  <si>
    <t>PERCUT SEI TUAN</t>
  </si>
  <si>
    <t>TEMBUNG</t>
  </si>
  <si>
    <t>UMU NAFISAH</t>
  </si>
  <si>
    <t>umu nafisah</t>
  </si>
  <si>
    <t>FANNY OKTAVIANA HADI KUSUMA</t>
  </si>
  <si>
    <t>NDARU ANDALANI</t>
  </si>
  <si>
    <t>NAILA KHAERUNISAH</t>
  </si>
  <si>
    <t>MIMIN</t>
  </si>
  <si>
    <t>Mimin</t>
  </si>
  <si>
    <t>LEANDRA DWI ATMAJA</t>
  </si>
  <si>
    <t>MOH RISWANDI</t>
  </si>
  <si>
    <t>MUCHAMAD YAKHYA</t>
  </si>
  <si>
    <t>NGULING</t>
  </si>
  <si>
    <t>KEDAWANG</t>
  </si>
  <si>
    <t>MAULANA RICO CHANDRA</t>
  </si>
  <si>
    <t>LEMBAR</t>
  </si>
  <si>
    <t>LEMBAR SELATAN</t>
  </si>
  <si>
    <t>PUTU ARMYANA WISESA</t>
  </si>
  <si>
    <t>SEPINGGAN</t>
  </si>
  <si>
    <t>putu armyana wisesa</t>
  </si>
  <si>
    <t>PUTU DEWI AURELLYANA PUTRI SISESA</t>
  </si>
  <si>
    <t>putu dewi aurellyana putri wisesa</t>
  </si>
  <si>
    <t>ANDY NUGRAHA</t>
  </si>
  <si>
    <t>JULIANTO TRISUSILO</t>
  </si>
  <si>
    <t>JULIARTO TRI SUSILO</t>
  </si>
  <si>
    <t>SRI TABRANINSIH</t>
  </si>
  <si>
    <t>SRI TABRANINGSIH</t>
  </si>
  <si>
    <t>M.DARMAEDI</t>
  </si>
  <si>
    <t>ABEPURA</t>
  </si>
  <si>
    <t>VIM</t>
  </si>
  <si>
    <t>M. DARMAEDI</t>
  </si>
  <si>
    <t>EKO ANDA PUTRA</t>
  </si>
  <si>
    <t>KUBUNG</t>
  </si>
  <si>
    <t>GANTUANG CIRI</t>
  </si>
  <si>
    <t>SURADADI</t>
  </si>
  <si>
    <t>STOPANWA</t>
  </si>
  <si>
    <t>BENGKULU</t>
  </si>
  <si>
    <t>REJANG LEBONG</t>
  </si>
  <si>
    <t>PADANG ULAK TANDING</t>
  </si>
  <si>
    <t>BELUMAI I</t>
  </si>
  <si>
    <t>CAVELA RANI</t>
  </si>
  <si>
    <t>LAMPUNG TIMUR</t>
  </si>
  <si>
    <t>JABUNG</t>
  </si>
  <si>
    <t>MASNAH</t>
  </si>
  <si>
    <t>JATIBOGOR</t>
  </si>
  <si>
    <t>SYAHFIRANI ASA ANDRIYADI</t>
  </si>
  <si>
    <t>SAENAH</t>
  </si>
  <si>
    <t>WAY RATAI</t>
  </si>
  <si>
    <t>BUNUT SEBERANG</t>
  </si>
  <si>
    <t>saenah</t>
  </si>
  <si>
    <t>GEMBONGDADI</t>
  </si>
  <si>
    <t>PANJI GUNAWAN</t>
  </si>
  <si>
    <t>manto</t>
  </si>
  <si>
    <t>EDI SUCIPTO</t>
  </si>
  <si>
    <t>ISTI KHAROH</t>
  </si>
  <si>
    <t>HARSONO</t>
  </si>
  <si>
    <t>TULIS</t>
  </si>
  <si>
    <t>WRINGINGINTUNG</t>
  </si>
  <si>
    <t>DJALAL</t>
  </si>
  <si>
    <t>TANJUNG DUREN UTARA</t>
  </si>
  <si>
    <t>TAHRUDIN</t>
  </si>
  <si>
    <t>Tahrudin</t>
  </si>
  <si>
    <t>SIDAHARJA</t>
  </si>
  <si>
    <t>DIRGA YUDA PRATAMA</t>
  </si>
  <si>
    <t>Dirga</t>
  </si>
  <si>
    <t>Sunarya</t>
  </si>
  <si>
    <t>PURWAHAMBA</t>
  </si>
  <si>
    <t>SUNARYA</t>
  </si>
  <si>
    <t>JOGJOGAN</t>
  </si>
  <si>
    <t>KARANGWULUH</t>
  </si>
  <si>
    <t>SITI NAZLA</t>
  </si>
  <si>
    <t>PONDOKKASO LANDEUH</t>
  </si>
  <si>
    <t>SITI NAJLA</t>
  </si>
  <si>
    <t>RAHMAN</t>
  </si>
  <si>
    <t>CIWIDEY</t>
  </si>
  <si>
    <t>PANUNDAAN</t>
  </si>
  <si>
    <t>DODI RAHMAN</t>
  </si>
  <si>
    <t>SUTADI</t>
  </si>
  <si>
    <t>sutadi</t>
  </si>
  <si>
    <t>CICI RATNASARI</t>
  </si>
  <si>
    <t>MARGADADI</t>
  </si>
  <si>
    <t>SRI WASIRI</t>
  </si>
  <si>
    <t>SITI KHALIMATUS SA'DIYAH</t>
  </si>
  <si>
    <t>PUSAKA RAKYAT</t>
  </si>
  <si>
    <t>Siti Khalimatus Sa'diyah</t>
  </si>
  <si>
    <t>HARJASARI</t>
  </si>
  <si>
    <t>HUSNI TAMRIN</t>
  </si>
  <si>
    <t>SUCIATI</t>
  </si>
  <si>
    <t>KELVIN PUTRA PRATAMA</t>
  </si>
  <si>
    <t>CIKEDOKAN</t>
  </si>
  <si>
    <t>SUPRIHERSIH</t>
  </si>
  <si>
    <t>MUH SULAIMAN</t>
  </si>
  <si>
    <t>JATIKRAMAT</t>
  </si>
  <si>
    <t>SURYA HADI WALUYO</t>
  </si>
  <si>
    <t>GENTASARI</t>
  </si>
  <si>
    <t>Lusiyanto</t>
  </si>
  <si>
    <t>MAOS</t>
  </si>
  <si>
    <t>MERNEK</t>
  </si>
  <si>
    <t>TAUFIK</t>
  </si>
  <si>
    <t>EKO PURWANTO</t>
  </si>
  <si>
    <t>LUCY MIRAFRA GANJAR WIJAYA</t>
  </si>
  <si>
    <t>BLAMBANGAN</t>
  </si>
  <si>
    <t>LUCKY MIRAFRA G. W</t>
  </si>
  <si>
    <t>BOJONGSANA</t>
  </si>
  <si>
    <t>BELENDUNG</t>
  </si>
  <si>
    <t>ADI FIRMANSYAH</t>
  </si>
  <si>
    <t>Adi Firmansyah</t>
  </si>
  <si>
    <t>BOMERTO</t>
  </si>
  <si>
    <t>YULI NILA WATI</t>
  </si>
  <si>
    <t>RANDUBLATUNG</t>
  </si>
  <si>
    <t>SURATNO</t>
  </si>
  <si>
    <t>SYAMSUL ARIFIN HARAHAP</t>
  </si>
  <si>
    <t>PANUNGGANGAN</t>
  </si>
  <si>
    <t>SYAMSUL ARIFIN HARAPAH</t>
  </si>
  <si>
    <t>WAKHYUDIN</t>
  </si>
  <si>
    <t>ALI MURSALIN</t>
  </si>
  <si>
    <t>TIMURAN</t>
  </si>
  <si>
    <t>FAJRI ANASTA PRATAMA</t>
  </si>
  <si>
    <t>KURNIAWAN RIFKI ARDHIYANSYAH</t>
  </si>
  <si>
    <t>Kurniawan Rifki Ardiansyah</t>
  </si>
  <si>
    <t>EDI HARTONO</t>
  </si>
  <si>
    <t>CIMUNING</t>
  </si>
  <si>
    <t>SADRI</t>
  </si>
  <si>
    <t>SAPUTRA PRIYADI</t>
  </si>
  <si>
    <t>Saputra Priyadi</t>
  </si>
  <si>
    <t>SUSWANTO</t>
  </si>
  <si>
    <t>suswanto</t>
  </si>
  <si>
    <t>INTAN APRILIANTI</t>
  </si>
  <si>
    <t>FATIKHIN</t>
  </si>
  <si>
    <t>BRAM PRANAFURI</t>
  </si>
  <si>
    <t>MAL DAFFA ZAKI ANNAFI</t>
  </si>
  <si>
    <t>KASTARI</t>
  </si>
  <si>
    <t>IRFAN</t>
  </si>
  <si>
    <t>MARGOLUWIH</t>
  </si>
  <si>
    <t>FAJAR SULISTIO</t>
  </si>
  <si>
    <t>Fajar sulistio</t>
  </si>
  <si>
    <t>GINANJAR PANGESTU</t>
  </si>
  <si>
    <t>Ginanjar Pangestu</t>
  </si>
  <si>
    <t>RIZKO MAHADI</t>
  </si>
  <si>
    <t>SUNADI</t>
  </si>
  <si>
    <t>JOHANI</t>
  </si>
  <si>
    <t>KELAPA GADING BARAT</t>
  </si>
  <si>
    <t>Johani</t>
  </si>
  <si>
    <t>AGUS WAHID</t>
  </si>
  <si>
    <t>PAGADEN</t>
  </si>
  <si>
    <t>KAMARUNG</t>
  </si>
  <si>
    <t>W. DANDY NUR ARIEF</t>
  </si>
  <si>
    <t>W. Dandy Nur Arief</t>
  </si>
  <si>
    <t>AHMAD FAOZY</t>
  </si>
  <si>
    <t>OBBIE PUTRA ISTIA SUDIBYO</t>
  </si>
  <si>
    <t>ADIPALA</t>
  </si>
  <si>
    <t>PENGGALANG</t>
  </si>
  <si>
    <t>MUHAMAD JEFRI</t>
  </si>
  <si>
    <t>YOSSY ARDIAN LISATIKA</t>
  </si>
  <si>
    <t>YOSSY ARDIAN LISANTIKA BIN JOHAN LISYONO (ALM)</t>
  </si>
  <si>
    <t>ROHAYA</t>
  </si>
  <si>
    <t>SETIA WATI</t>
  </si>
  <si>
    <t>GUMELAR</t>
  </si>
  <si>
    <t>KARANGKEMOJING</t>
  </si>
  <si>
    <t>SITI UJLIPAH</t>
  </si>
  <si>
    <t>RONGKOP</t>
  </si>
  <si>
    <t>BOTODAYAAN</t>
  </si>
  <si>
    <t>udlipah</t>
  </si>
  <si>
    <t>PANCALANG</t>
  </si>
  <si>
    <t>SINDANGKEMPENG</t>
  </si>
  <si>
    <t>LENI ISTIKOMAH</t>
  </si>
  <si>
    <t>WIWI WIJAYANTI</t>
  </si>
  <si>
    <t>WIKE WIJAYANTI</t>
  </si>
  <si>
    <t>KHANIPAH</t>
  </si>
  <si>
    <t>SITI ROPIKOH</t>
  </si>
  <si>
    <t>SUMIRAH</t>
  </si>
  <si>
    <t>MUFLIHANA DWI FAIQOH</t>
  </si>
  <si>
    <t>Muflihana Dwi Faiqoh</t>
  </si>
  <si>
    <t>PAPAHAN</t>
  </si>
  <si>
    <t>SABRINA KHARISMA PUTRI</t>
  </si>
  <si>
    <t>KOTA BONTANG</t>
  </si>
  <si>
    <t>BONTANG UTARA</t>
  </si>
  <si>
    <t>API-API</t>
  </si>
  <si>
    <t>ELIZZA FAUZIAH HASAN</t>
  </si>
  <si>
    <t>ELIZZA FAUZIYAH HASAN</t>
  </si>
  <si>
    <t>RAGIL TRESNA SETYONINGRUM</t>
  </si>
  <si>
    <t>TIARA ASTI FIYANDIVA</t>
  </si>
  <si>
    <t>RUYATININGSIH</t>
  </si>
  <si>
    <t>ruyatingsih</t>
  </si>
  <si>
    <t>AKHDAN NASRULLOH</t>
  </si>
  <si>
    <t>KHIKMATUL SOLIKHA</t>
  </si>
  <si>
    <t>KEDAUNG KALI ANGKE</t>
  </si>
  <si>
    <t>ANISA FITRIANI</t>
  </si>
  <si>
    <t>PESISIR BARAT</t>
  </si>
  <si>
    <t>PESISIR TENGAH</t>
  </si>
  <si>
    <t>KAMPUNG JAWA</t>
  </si>
  <si>
    <t>BAROROH</t>
  </si>
  <si>
    <t>MAKHMUDAH</t>
  </si>
  <si>
    <t>AUFA MUZAYYIN HASAN</t>
  </si>
  <si>
    <t>ERNAWATI</t>
  </si>
  <si>
    <t>HALIMAH</t>
  </si>
  <si>
    <t>Halimah</t>
  </si>
  <si>
    <t>MAS'AMAH</t>
  </si>
  <si>
    <t>CIGANDAMEKAR</t>
  </si>
  <si>
    <t>TRI WAHYUNINGSIH</t>
  </si>
  <si>
    <t>NUR CHIKMAH</t>
  </si>
  <si>
    <t>NUR HIDAYAH</t>
  </si>
  <si>
    <t>PONOROGO</t>
  </si>
  <si>
    <t>PULUNG</t>
  </si>
  <si>
    <t>WARNIYAH</t>
  </si>
  <si>
    <t>MANCAGAR</t>
  </si>
  <si>
    <t>WINDA PURWATI</t>
  </si>
  <si>
    <t>Winda Purwati</t>
  </si>
  <si>
    <t>Nur Hikmah</t>
  </si>
  <si>
    <t>M. AMRIL NUDIN</t>
  </si>
  <si>
    <t>M. AMRIL NURDIN</t>
  </si>
  <si>
    <t>RASBUN</t>
  </si>
  <si>
    <t>MAS WIYONO</t>
  </si>
  <si>
    <t>INTAN FITRIYANI</t>
  </si>
  <si>
    <t>INTAN PITRIYANI</t>
  </si>
  <si>
    <t>WARYANI</t>
  </si>
  <si>
    <t>LOSARI KIDUL</t>
  </si>
  <si>
    <t>ALI MUNAWAR</t>
  </si>
  <si>
    <t>MUHAMMAD MULYANTO</t>
  </si>
  <si>
    <t>MULYANTO</t>
  </si>
  <si>
    <t>CIKUYA</t>
  </si>
  <si>
    <t>FEBRIAN EKO SUSILO</t>
  </si>
  <si>
    <t>MUHAMAD FIRMANSAH</t>
  </si>
  <si>
    <t>muhamad firmansah</t>
  </si>
  <si>
    <t>SRI MULYANI</t>
  </si>
  <si>
    <t>Sri Mulyani</t>
  </si>
  <si>
    <t>MUHAMMAD HIJRAH HAIRUL</t>
  </si>
  <si>
    <t>JEMBER</t>
  </si>
  <si>
    <t>SUKOWONO</t>
  </si>
  <si>
    <t>BALETBARU</t>
  </si>
  <si>
    <t>HARTINI</t>
  </si>
  <si>
    <t>MADIUN</t>
  </si>
  <si>
    <t>WUNGU</t>
  </si>
  <si>
    <t>KRESEK</t>
  </si>
  <si>
    <t>JARNI</t>
  </si>
  <si>
    <t>MOCH. SURAYA</t>
  </si>
  <si>
    <t>MOCH.SURAYA</t>
  </si>
  <si>
    <t>KASRODI</t>
  </si>
  <si>
    <t>MAUK</t>
  </si>
  <si>
    <t>TEGAL KUNIR LOR</t>
  </si>
  <si>
    <t>JAENAL ABIDIN</t>
  </si>
  <si>
    <t>RAJEG</t>
  </si>
  <si>
    <t>MUKLIS</t>
  </si>
  <si>
    <t>muklis</t>
  </si>
  <si>
    <t>RIKI MULUS CIPTADI</t>
  </si>
  <si>
    <t>SUGITO</t>
  </si>
  <si>
    <t>RYA HAERUNISA</t>
  </si>
  <si>
    <t>UTAN KAYU UTARA</t>
  </si>
  <si>
    <t>DEMANGHARJO</t>
  </si>
  <si>
    <t>SAKHRONI</t>
  </si>
  <si>
    <t>SYAHRONI RUSTAM</t>
  </si>
  <si>
    <t>SITI PURNIAH</t>
  </si>
  <si>
    <t>KARIM</t>
  </si>
  <si>
    <t>KREMAN</t>
  </si>
  <si>
    <t>ATEP BARNAS</t>
  </si>
  <si>
    <t>SUKAMENAK</t>
  </si>
  <si>
    <t>DEPRI SUNDUS PRIANA</t>
  </si>
  <si>
    <t>WARGAKERTA</t>
  </si>
  <si>
    <t>FADLI ARIF</t>
  </si>
  <si>
    <t>WISRIKOH</t>
  </si>
  <si>
    <t>KALI PURWANTO</t>
  </si>
  <si>
    <t>KARANGWARENG</t>
  </si>
  <si>
    <t>BLENDER</t>
  </si>
  <si>
    <t>NUR APRIYANI</t>
  </si>
  <si>
    <t>CAHYA BAYU ADAM</t>
  </si>
  <si>
    <t>SIGENTONG</t>
  </si>
  <si>
    <t>TAMBAKMULYO</t>
  </si>
  <si>
    <t>BANJARTURI</t>
  </si>
  <si>
    <t>SRI PARYATI</t>
  </si>
  <si>
    <t>KENDAYAKAN</t>
  </si>
  <si>
    <t>PETANAHAN</t>
  </si>
  <si>
    <t>KRITIG</t>
  </si>
  <si>
    <t>INAH WARSITI</t>
  </si>
  <si>
    <t>TOROH</t>
  </si>
  <si>
    <t>FAIRUZ ZABAADI</t>
  </si>
  <si>
    <t>GUBUG</t>
  </si>
  <si>
    <t>NGROTO</t>
  </si>
  <si>
    <t>SURATMAN</t>
  </si>
  <si>
    <t>SARJAT</t>
  </si>
  <si>
    <t>WATUPAYUNG</t>
  </si>
  <si>
    <t>ELAWATI AFDIYANI</t>
  </si>
  <si>
    <t>NURUL AINI</t>
  </si>
  <si>
    <t>Nurul Aini</t>
  </si>
  <si>
    <t>WARSOI</t>
  </si>
  <si>
    <t>BANJARMULYA</t>
  </si>
  <si>
    <t>MOH. ABU MANUNGGAL</t>
  </si>
  <si>
    <t>HERI SISWANTO</t>
  </si>
  <si>
    <t>PELUTAN</t>
  </si>
  <si>
    <t>MIASIH</t>
  </si>
  <si>
    <t>ALYA VANESSA</t>
  </si>
  <si>
    <t>RUDI WAHYUDI</t>
  </si>
  <si>
    <t>WAHNO</t>
  </si>
  <si>
    <t>Rudi Wahyudi</t>
  </si>
  <si>
    <t>FIKRI ARDIYANSAH</t>
  </si>
  <si>
    <t>FIKRI ARDIANSYAH</t>
  </si>
  <si>
    <t>BANYUMENENG</t>
  </si>
  <si>
    <t>ALI MAKSUM HANAPI</t>
  </si>
  <si>
    <t>ALI MAKSUM HANAFI</t>
  </si>
  <si>
    <t>NAUFAL KAFABIH KHALWANI</t>
  </si>
  <si>
    <t>WARKONO</t>
  </si>
  <si>
    <t>CIMANGGUNG</t>
  </si>
  <si>
    <t>CIKAHURIPAN</t>
  </si>
  <si>
    <t>ULI FATURROHMAN</t>
  </si>
  <si>
    <t>GEMBIRA KRISTIAWAN</t>
  </si>
  <si>
    <t>GEMBIRA KRISTIAWAN BIN SLAMET SANTOSO</t>
  </si>
  <si>
    <t>AKHMAD SYAEFUDIN.SH</t>
  </si>
  <si>
    <t>AKHMAD SYAEFUDIN</t>
  </si>
  <si>
    <t>DAMURI</t>
  </si>
  <si>
    <t>KEDUNGKELOR</t>
  </si>
  <si>
    <t>Damuri</t>
  </si>
  <si>
    <t>KOTAWARINGIN TIMUR</t>
  </si>
  <si>
    <t>PARENGGEAN</t>
  </si>
  <si>
    <t>BAJARAU</t>
  </si>
  <si>
    <t>EKO RAFI PRASETYO</t>
  </si>
  <si>
    <t>CILEBAR</t>
  </si>
  <si>
    <t>PUSAKAJAYA UTARA</t>
  </si>
  <si>
    <t>DIKY KURNIAWAN</t>
  </si>
  <si>
    <t>ADE ARIFIN</t>
  </si>
  <si>
    <t>ADE ARIVIN</t>
  </si>
  <si>
    <t>SANGATTA UTARA</t>
  </si>
  <si>
    <t>SWARGA BARA</t>
  </si>
  <si>
    <t>MUHAMMAD THUFEIL AD-DAUSI</t>
  </si>
  <si>
    <t>Muhammad Thufeil Ad-Dausi</t>
  </si>
  <si>
    <t>SOLIN ANGGI PUTRA</t>
  </si>
  <si>
    <t>SOLIN ANGGI PUTRA BIN DAHORI</t>
  </si>
  <si>
    <t>FAIX MITAFULUDIN</t>
  </si>
  <si>
    <t>MOHAMMAD ALIYUDIN</t>
  </si>
  <si>
    <t>ABUNG SELATAN</t>
  </si>
  <si>
    <t>KALIBALANGAN</t>
  </si>
  <si>
    <t>Mohammad Aliyudin</t>
  </si>
  <si>
    <t>SUBEKHI</t>
  </si>
  <si>
    <t>LUKMAN THUFAIL</t>
  </si>
  <si>
    <t>HANIIF ALI NURULFALAAH</t>
  </si>
  <si>
    <t>HANIF ALI NURULFALAAH</t>
  </si>
  <si>
    <t>TEGONGAN</t>
  </si>
  <si>
    <t>MUHAMMAD SUGENG SAFI'I</t>
  </si>
  <si>
    <t>Muhamad Sugeng Safii</t>
  </si>
  <si>
    <t>KARDIMAN</t>
  </si>
  <si>
    <t>Kardiman</t>
  </si>
  <si>
    <t>AHMAD HAFIDH FAQIHUDDIN</t>
  </si>
  <si>
    <t>MUHAMAD MIFTAH NURUL AMIN</t>
  </si>
  <si>
    <t>RANGI MULYA</t>
  </si>
  <si>
    <t>TEGALSARI BARAT</t>
  </si>
  <si>
    <t>DARIDIN</t>
  </si>
  <si>
    <t>WARIDIN BIN BASAR (ALM)</t>
  </si>
  <si>
    <t>ROBI AWALI</t>
  </si>
  <si>
    <t>Robi Awali</t>
  </si>
  <si>
    <t>SAEFUL AMIN</t>
  </si>
  <si>
    <t>SEFUL AMIN</t>
  </si>
  <si>
    <t>MIRI</t>
  </si>
  <si>
    <t>SUNGGINGAN</t>
  </si>
  <si>
    <t>KARYUDI</t>
  </si>
  <si>
    <t>MOHAMMAD RIYANTO MAYLAZI</t>
  </si>
  <si>
    <t>IZZUL ADAM BUKHORI</t>
  </si>
  <si>
    <t>RICO ARDIANO</t>
  </si>
  <si>
    <t>SARWO</t>
  </si>
  <si>
    <t>JOKO MIHARJO</t>
  </si>
  <si>
    <t>BANGLI</t>
  </si>
  <si>
    <t>SUSUT</t>
  </si>
  <si>
    <t>TIGA</t>
  </si>
  <si>
    <t>NI ROSITA LUTFIAR DININGRUM</t>
  </si>
  <si>
    <t>KWASEN</t>
  </si>
  <si>
    <t>FEBI LINDA RAHMAWATI</t>
  </si>
  <si>
    <t>WAY TENONG</t>
  </si>
  <si>
    <t>PAJAR BULAN</t>
  </si>
  <si>
    <t>MEI ARDI ASTUTI</t>
  </si>
  <si>
    <t>YETI ANJAR WATI</t>
  </si>
  <si>
    <t>KHOFIFAH</t>
  </si>
  <si>
    <t>ARJASARI</t>
  </si>
  <si>
    <t>SAEPAH</t>
  </si>
  <si>
    <t>KEBON BESAR</t>
  </si>
  <si>
    <t>WIWIT NURMAYASARI</t>
  </si>
  <si>
    <t>Daryati</t>
  </si>
  <si>
    <t>PUJI RIANTI</t>
  </si>
  <si>
    <t>Leni Fitri Handayani</t>
  </si>
  <si>
    <t>SUKAJAYA</t>
  </si>
  <si>
    <t>MUTAMIMATUL HIKMAH</t>
  </si>
  <si>
    <t>WIRADESA</t>
  </si>
  <si>
    <t>PETUKANGAN</t>
  </si>
  <si>
    <t>ISTIANA AGUSTIN</t>
  </si>
  <si>
    <t>OGAN ILIR</t>
  </si>
  <si>
    <t>TANJUNG RAJA</t>
  </si>
  <si>
    <t>TALANG BALAI BARU I</t>
  </si>
  <si>
    <t>KUNAENAH</t>
  </si>
  <si>
    <t>DEWI UTARI</t>
  </si>
  <si>
    <t>ADELIA SUHIROH</t>
  </si>
  <si>
    <t>CIREUNDEU</t>
  </si>
  <si>
    <t>INNAYAH</t>
  </si>
  <si>
    <t>innayah</t>
  </si>
  <si>
    <t>ADE FATMAWATI</t>
  </si>
  <si>
    <t>SAIMAN</t>
  </si>
  <si>
    <t>DWI SANTOSO</t>
  </si>
  <si>
    <t>TENGKI</t>
  </si>
  <si>
    <t>M.NAAFI IZKO</t>
  </si>
  <si>
    <t>KALIWLINGI</t>
  </si>
  <si>
    <t>TEGUH KRISMANTO</t>
  </si>
  <si>
    <t>SRI EVA HARTANTI</t>
  </si>
  <si>
    <t>KASPUAN MAHARANI</t>
  </si>
  <si>
    <t>LEGOK</t>
  </si>
  <si>
    <t>SERDANG WETAN</t>
  </si>
  <si>
    <t>CICI MITHA AUDITA</t>
  </si>
  <si>
    <t>MASNI TUBURPON</t>
  </si>
  <si>
    <t>SIWA LIMA</t>
  </si>
  <si>
    <t>MASNI TUBURFON</t>
  </si>
  <si>
    <t>AMSORI</t>
  </si>
  <si>
    <t>BONGGO</t>
  </si>
  <si>
    <t>BEBON JAYA</t>
  </si>
  <si>
    <t>YOLANDA OKTAVIANI</t>
  </si>
  <si>
    <t>DUKUHWARU</t>
  </si>
  <si>
    <t>KABUNAN</t>
  </si>
  <si>
    <t>KOTO TANGAH</t>
  </si>
  <si>
    <t>PASIE NAN TIGO</t>
  </si>
  <si>
    <t>AHLUNNAJA ARIFI</t>
  </si>
  <si>
    <t>TEBO</t>
  </si>
  <si>
    <t>RIMBO BUJANG</t>
  </si>
  <si>
    <t>JAYA MULYA</t>
  </si>
  <si>
    <t>PEDAGANGAN</t>
  </si>
  <si>
    <t>NURUL HIDAYAH</t>
  </si>
  <si>
    <t>BENGKONG</t>
  </si>
  <si>
    <t>BENGKONG INDAH</t>
  </si>
  <si>
    <t>BLUBUK</t>
  </si>
  <si>
    <t>MUH. FARKHAN RAMADHANI</t>
  </si>
  <si>
    <t>DIAH INDRIYANI LESTARI</t>
  </si>
  <si>
    <t>ELIYAH</t>
  </si>
  <si>
    <t>SITI ROMLAH</t>
  </si>
  <si>
    <t>siti romlah</t>
  </si>
  <si>
    <t>GUMAYUN</t>
  </si>
  <si>
    <t>Ernawati</t>
  </si>
  <si>
    <t>HUSNI</t>
  </si>
  <si>
    <t>Husni</t>
  </si>
  <si>
    <t>SHOLEH</t>
  </si>
  <si>
    <t>ISLAH</t>
  </si>
  <si>
    <t>islah</t>
  </si>
  <si>
    <t>HENI SRI MULYANI</t>
  </si>
  <si>
    <t>SALSA BILLA AROFAH YANI</t>
  </si>
  <si>
    <t>LEMAHABANG</t>
  </si>
  <si>
    <t>BULAKPACING</t>
  </si>
  <si>
    <t>GIRI SUTRISNO</t>
  </si>
  <si>
    <t>SLARANGLOR</t>
  </si>
  <si>
    <t>WAHYU FAHRUR ROZI</t>
  </si>
  <si>
    <t>KAPUAS HULU</t>
  </si>
  <si>
    <t>EMBALOH HILIR</t>
  </si>
  <si>
    <t>UJUNG BAYUR</t>
  </si>
  <si>
    <t>FASYA ROBBYANTORO</t>
  </si>
  <si>
    <t>CIBINONG</t>
  </si>
  <si>
    <t>NANGGEWER</t>
  </si>
  <si>
    <t>FASYA ROBIYANTORO</t>
  </si>
  <si>
    <t>MOHAMMAD ALFI RAMADHANI</t>
  </si>
  <si>
    <t>MUHAMAD ALFI RAMADHANI</t>
  </si>
  <si>
    <t>CIAWI</t>
  </si>
  <si>
    <t>ELIS YANTI</t>
  </si>
  <si>
    <t>NURWANTI</t>
  </si>
  <si>
    <t>WALED</t>
  </si>
  <si>
    <t>AMBIT</t>
  </si>
  <si>
    <t>RIANI</t>
  </si>
  <si>
    <t>BARISAN</t>
  </si>
  <si>
    <t>CACIH NURHAYATI</t>
  </si>
  <si>
    <t>CITEPOK</t>
  </si>
  <si>
    <t>FAUZ HAMZAH</t>
  </si>
  <si>
    <t>CIKEDUNG</t>
  </si>
  <si>
    <t>CIKEDUNG LOR</t>
  </si>
  <si>
    <t>SELAPURA</t>
  </si>
  <si>
    <t>TITIN SUPRIATIN</t>
  </si>
  <si>
    <t>SUKATANI</t>
  </si>
  <si>
    <t>TASURUN</t>
  </si>
  <si>
    <t>TOIPAH</t>
  </si>
  <si>
    <t>MUJIYANTO</t>
  </si>
  <si>
    <t>YOSI TRIANI</t>
  </si>
  <si>
    <t>SAMUDRA KULON</t>
  </si>
  <si>
    <t>MUCHWIYANTO</t>
  </si>
  <si>
    <t>KALIGONDANG</t>
  </si>
  <si>
    <t>SANHUDI</t>
  </si>
  <si>
    <t>SINDANG</t>
  </si>
  <si>
    <t>ANIS SUPRIONO</t>
  </si>
  <si>
    <t>SINGOROJO</t>
  </si>
  <si>
    <t>KERTOSARI</t>
  </si>
  <si>
    <t>YANRI HARIS DWIAJI</t>
  </si>
  <si>
    <t>Yanri Haris dwiaji</t>
  </si>
  <si>
    <t>DALARI ARIFTI</t>
  </si>
  <si>
    <t>SLATRI</t>
  </si>
  <si>
    <t>KALISOKA</t>
  </si>
  <si>
    <t>NURUL SOBIQ</t>
  </si>
  <si>
    <t>WARIS PRABOWO</t>
  </si>
  <si>
    <t>WARIS PABOWO</t>
  </si>
  <si>
    <t>WARTONO</t>
  </si>
  <si>
    <t>WAY JEPARA</t>
  </si>
  <si>
    <t>LABUHAN RATU II</t>
  </si>
  <si>
    <t>MOH. KASTORI</t>
  </si>
  <si>
    <t>YONGKY ANDRIYAN</t>
  </si>
  <si>
    <t>TERISI</t>
  </si>
  <si>
    <t>RAJASINGA</t>
  </si>
  <si>
    <t>YONGKY ANDRIAN</t>
  </si>
  <si>
    <t>MOHAMAD FATUR RISKI S</t>
  </si>
  <si>
    <t>MUHAMMAD FATUR RISKI S.</t>
  </si>
  <si>
    <t>GINTUNGAN</t>
  </si>
  <si>
    <t>RUJIYANTO</t>
  </si>
  <si>
    <t>rujianto</t>
  </si>
  <si>
    <t>ADY ILMAN NIDA</t>
  </si>
  <si>
    <t>JATIJAJAR</t>
  </si>
  <si>
    <t>gunawan</t>
  </si>
  <si>
    <t>SOPARI</t>
  </si>
  <si>
    <t>SOBANDI</t>
  </si>
  <si>
    <t>DONI IRAWAN</t>
  </si>
  <si>
    <t>TAMBELANG</t>
  </si>
  <si>
    <t>HARTANTO</t>
  </si>
  <si>
    <t>MOHAMMAD ABDUL KHOLIK</t>
  </si>
  <si>
    <t>MUHAMAD ABDUL KHOLIK</t>
  </si>
  <si>
    <t>MUKLAS ADE PUTRA</t>
  </si>
  <si>
    <t>KUWARASAN</t>
  </si>
  <si>
    <t>ORI</t>
  </si>
  <si>
    <t>ADE SEPTIAN TRI WIBOWO</t>
  </si>
  <si>
    <t>SEPASO TIMUR</t>
  </si>
  <si>
    <t>NARA ANDREANTO SOBARDAN</t>
  </si>
  <si>
    <t>RAFIF RIZQULLAH</t>
  </si>
  <si>
    <t>Rafif Rizqillah</t>
  </si>
  <si>
    <t>MUHAMMAD BUDI SISWANTO</t>
  </si>
  <si>
    <t>MUHAMAD BUDI SISWANTO</t>
  </si>
  <si>
    <t>RUSDIYANTO</t>
  </si>
  <si>
    <t>SALEM</t>
  </si>
  <si>
    <t>GUNUNGSUGIH</t>
  </si>
  <si>
    <t>WACHIDIN</t>
  </si>
  <si>
    <t>AMIN SUKARDI</t>
  </si>
  <si>
    <t>TOHARYO</t>
  </si>
  <si>
    <t>EDI PRAYITNO</t>
  </si>
  <si>
    <t>EDY PRAYITNO</t>
  </si>
  <si>
    <t>MOHAMMAD MASRURI</t>
  </si>
  <si>
    <t>MUHAMMAD MASRURI</t>
  </si>
  <si>
    <t>SYAHID ABDUL MUHYI</t>
  </si>
  <si>
    <t>KOLIDIN</t>
  </si>
  <si>
    <t>RUKAYAH</t>
  </si>
  <si>
    <t>ROISAH</t>
  </si>
  <si>
    <t>roisah</t>
  </si>
  <si>
    <t>ERLINDA RESTI SETIA HARYANI</t>
  </si>
  <si>
    <t>SULAWESI BARAT</t>
  </si>
  <si>
    <t>MAMUJU</t>
  </si>
  <si>
    <t>RIMUKU</t>
  </si>
  <si>
    <t>IZZAH LAKSANA PREMATASARI</t>
  </si>
  <si>
    <t>IZZAH LAKSANA PERMATA SARI</t>
  </si>
  <si>
    <t>SANDUBAYA</t>
  </si>
  <si>
    <t>TURIDA</t>
  </si>
  <si>
    <t>WINDA PUJI LESTARI</t>
  </si>
  <si>
    <t>MERGOSARI</t>
  </si>
  <si>
    <t>SOPITRIYANAH</t>
  </si>
  <si>
    <t>SRI NURYATI</t>
  </si>
  <si>
    <t>AYU YUNITA TRILIANA</t>
  </si>
  <si>
    <t>MARSISKA TRI HANDAYANI</t>
  </si>
  <si>
    <t>KIKI UGI MAYAH</t>
  </si>
  <si>
    <t>TAMALATE</t>
  </si>
  <si>
    <t>MACCINI SOMBALA</t>
  </si>
  <si>
    <t>Kiki Ugi Mayah</t>
  </si>
  <si>
    <t>CINDY AFRILIANA</t>
  </si>
  <si>
    <t>COPER</t>
  </si>
  <si>
    <t>DARMO</t>
  </si>
  <si>
    <t>ELVI SUKESIH</t>
  </si>
  <si>
    <t>JURUMUDI</t>
  </si>
  <si>
    <t>ELVI SUKAESIH</t>
  </si>
  <si>
    <t>ARUM LUSVITA ATSAARI</t>
  </si>
  <si>
    <t>KEBONAGUNG</t>
  </si>
  <si>
    <t>DEWI LINDA SUSANTI</t>
  </si>
  <si>
    <t>RIMBAWAN SETYOWATI</t>
  </si>
  <si>
    <t>RIMBAWAN SETIOWATI BIN SUKISMAN</t>
  </si>
  <si>
    <t>ANNISA ELIA RAHMAH</t>
  </si>
  <si>
    <t>ANNISA ELIA RAHMA</t>
  </si>
  <si>
    <t>Rizki ananda putri</t>
  </si>
  <si>
    <t>RIZQI ANANDA PUTRI</t>
  </si>
  <si>
    <t>KUMINAH</t>
  </si>
  <si>
    <t>KHOLILATUNNISA</t>
  </si>
  <si>
    <t>CIBUBUR</t>
  </si>
  <si>
    <t>Kholilatunnisa</t>
  </si>
  <si>
    <t>RIHADATUL A'ISY</t>
  </si>
  <si>
    <t>YULI RESPITOWANTI</t>
  </si>
  <si>
    <t>YULI RESPITOWATI BINTI SUWANDI</t>
  </si>
  <si>
    <t>WAESAH</t>
  </si>
  <si>
    <t>waesah</t>
  </si>
  <si>
    <t>PUJI SISWANTO</t>
  </si>
  <si>
    <t>MANGGIS</t>
  </si>
  <si>
    <t>SELFI SETIANI</t>
  </si>
  <si>
    <t>Selfi setiani</t>
  </si>
  <si>
    <t>IRVAN SETIAWAN</t>
  </si>
  <si>
    <t>irvan setiawan</t>
  </si>
  <si>
    <t>MUSLICHIN</t>
  </si>
  <si>
    <t>ALI SODIKIN</t>
  </si>
  <si>
    <t>KUSRIYANTO</t>
  </si>
  <si>
    <t>KUSRIANTO</t>
  </si>
  <si>
    <t>ILHAM DWI SETIAWAN</t>
  </si>
  <si>
    <t>EDI PURNOMO</t>
  </si>
  <si>
    <t>SAEPULOH</t>
  </si>
  <si>
    <t>SAMLAWI</t>
  </si>
  <si>
    <t>DARMANTO</t>
  </si>
  <si>
    <t>BAGUS DWI SETYO</t>
  </si>
  <si>
    <t>LILIS SETIAWATI</t>
  </si>
  <si>
    <t>ISTIQOMAH</t>
  </si>
  <si>
    <t>FAZRI AL HAFIDZ</t>
  </si>
  <si>
    <t>TERLANGU</t>
  </si>
  <si>
    <t>JENNY QONITA MAHARANI</t>
  </si>
  <si>
    <t>JANNIE QONITA MAHARANI</t>
  </si>
  <si>
    <t>SRI AMELIA HERAWATI</t>
  </si>
  <si>
    <t>Sri Amelia Herawati</t>
  </si>
  <si>
    <t>TUTI RAHAYU</t>
  </si>
  <si>
    <t>USMAN KHAERUDIN</t>
  </si>
  <si>
    <t>BULAKPAREN</t>
  </si>
  <si>
    <t>usman khaerudin</t>
  </si>
  <si>
    <t>FANNY FARADHILLA</t>
  </si>
  <si>
    <t>SHAH JEHAN AL ANDRIANTIK</t>
  </si>
  <si>
    <t>PEKALONGAN BARAT</t>
  </si>
  <si>
    <t>PRINGREJO</t>
  </si>
  <si>
    <t>AKBAR HAKIM HIKMATIAR</t>
  </si>
  <si>
    <t>HUSEN MALIK ALYORDAN</t>
  </si>
  <si>
    <t>NUR AZIZAH KOERUNISA</t>
  </si>
  <si>
    <t>RATIH PURNAMASARI</t>
  </si>
  <si>
    <t>ratih purnamasari</t>
  </si>
  <si>
    <t>RIO SETIAWAN</t>
  </si>
  <si>
    <t>NUR ROFIQOH ZULFI</t>
  </si>
  <si>
    <t>YANUAR FRAN MULYANAH</t>
  </si>
  <si>
    <t>MUHAMAD YANUAR PRAM MULIYANA</t>
  </si>
  <si>
    <t>AMELIA DWI MULYANA</t>
  </si>
  <si>
    <t>SUMARNI</t>
  </si>
  <si>
    <t>PONGGOK</t>
  </si>
  <si>
    <t>SITI PAKHUROH</t>
  </si>
  <si>
    <t>SITI PAKUROH</t>
  </si>
  <si>
    <t>ROSID</t>
  </si>
  <si>
    <t>FARIDAH</t>
  </si>
  <si>
    <t>TUTI SUGIARTI</t>
  </si>
  <si>
    <t>NDANG MUSTOFA</t>
  </si>
  <si>
    <t>NUR HIKMA TARI</t>
  </si>
  <si>
    <t>KOTA PALOPO</t>
  </si>
  <si>
    <t>BARA</t>
  </si>
  <si>
    <t>TEMMALEBBA</t>
  </si>
  <si>
    <t>NUR HIKMAH TARI</t>
  </si>
  <si>
    <t>status_padanan</t>
  </si>
  <si>
    <t>prov_padanan</t>
  </si>
  <si>
    <t>kab_padanan</t>
  </si>
  <si>
    <t>nik_konvers</t>
  </si>
  <si>
    <t>cek_ganda</t>
  </si>
  <si>
    <t>Prov_padanan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</si>
</sst>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/>
        <bgColor theme="6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/>
      <right style="thin">
        <color theme="6"/>
      </right>
      <top style="thin">
        <color theme="6"/>
      </top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0" fontId="20" fillId="33" borderId="12" xfId="0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wrapText="1"/>
    </xf>
    <xf numFmtId="0" fontId="18" fillId="0" borderId="11" xfId="0" applyFont="1" applyBorder="1" applyAlignment="1">
      <alignment wrapText="1"/>
    </xf>
    <xf numFmtId="0" fontId="18" fillId="0" borderId="12" xfId="0" applyFont="1" applyBorder="1" applyAlignment="1">
      <alignment wrapText="1"/>
    </xf>
    <xf numFmtId="0" fontId="18" fillId="0" borderId="14" xfId="0" applyFont="1" applyBorder="1" applyAlignment="1">
      <alignment wrapText="1"/>
    </xf>
    <xf numFmtId="0" fontId="18" fillId="0" borderId="13" xfId="0" applyFont="1" applyBorder="1" applyAlignment="1">
      <alignment wrapText="1"/>
    </xf>
    <xf numFmtId="0" fontId="18" fillId="0" borderId="15" xfId="0" applyFont="1" applyBorder="1" applyAlignment="1">
      <alignment wrapText="1"/>
    </xf>
    <xf numFmtId="0" fontId="20" fillId="33" borderId="0" xfId="0" applyFont="1" applyFill="1" applyBorder="1" applyAlignment="1">
      <alignment horizontal="center" vertical="center" wrapText="1"/>
    </xf>
    <xf numFmtId="0" fontId="18" fillId="34" borderId="10" xfId="0" applyFont="1" applyFill="1" applyBorder="1" applyAlignment="1">
      <alignment wrapText="1"/>
    </xf>
    <xf numFmtId="0" fontId="18" fillId="34" borderId="11" xfId="0" applyFont="1" applyFill="1" applyBorder="1" applyAlignment="1">
      <alignment wrapText="1"/>
    </xf>
    <xf numFmtId="0" fontId="18" fillId="34" borderId="12" xfId="0" applyFont="1" applyFill="1" applyBorder="1" applyAlignment="1">
      <alignment wrapText="1"/>
    </xf>
    <xf numFmtId="0" fontId="0" fillId="34" borderId="0" xfId="0" applyFill="1"/>
    <xf numFmtId="0" fontId="18" fillId="35" borderId="10" xfId="0" applyFont="1" applyFill="1" applyBorder="1" applyAlignment="1">
      <alignment wrapText="1"/>
    </xf>
    <xf numFmtId="0" fontId="18" fillId="35" borderId="11" xfId="0" applyFont="1" applyFill="1" applyBorder="1" applyAlignment="1">
      <alignment wrapText="1"/>
    </xf>
    <xf numFmtId="0" fontId="18" fillId="35" borderId="12" xfId="0" applyFont="1" applyFill="1" applyBorder="1" applyAlignment="1">
      <alignment wrapText="1"/>
    </xf>
    <xf numFmtId="0" fontId="0" fillId="35" borderId="0" xfId="0" applyFill="1"/>
    <xf numFmtId="0" fontId="18" fillId="0" borderId="10" xfId="0" applyFont="1" applyFill="1" applyBorder="1" applyAlignment="1">
      <alignment wrapText="1"/>
    </xf>
    <xf numFmtId="0" fontId="18" fillId="0" borderId="11" xfId="0" applyFont="1" applyFill="1" applyBorder="1" applyAlignment="1">
      <alignment wrapText="1"/>
    </xf>
    <xf numFmtId="0" fontId="18" fillId="0" borderId="12" xfId="0" applyFont="1" applyFill="1" applyBorder="1" applyAlignment="1">
      <alignment wrapText="1"/>
    </xf>
    <xf numFmtId="0" fontId="18" fillId="0" borderId="14" xfId="0" applyFont="1" applyFill="1" applyBorder="1" applyAlignment="1">
      <alignment wrapText="1"/>
    </xf>
    <xf numFmtId="0" fontId="18" fillId="0" borderId="13" xfId="0" applyFont="1" applyFill="1" applyBorder="1" applyAlignment="1">
      <alignment wrapText="1"/>
    </xf>
    <xf numFmtId="0" fontId="18" fillId="0" borderId="15" xfId="0" applyFont="1" applyFill="1" applyBorder="1" applyAlignment="1">
      <alignment wrapText="1"/>
    </xf>
    <xf numFmtId="0" fontId="18" fillId="36" borderId="10" xfId="0" applyFont="1" applyFill="1" applyBorder="1" applyAlignment="1">
      <alignment wrapText="1"/>
    </xf>
    <xf numFmtId="0" fontId="18" fillId="36" borderId="11" xfId="0" applyFont="1" applyFill="1" applyBorder="1" applyAlignment="1">
      <alignment wrapText="1"/>
    </xf>
    <xf numFmtId="0" fontId="18" fillId="36" borderId="12" xfId="0" applyFont="1" applyFill="1" applyBorder="1" applyAlignment="1">
      <alignment wrapText="1"/>
    </xf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theme="6"/>
          <bgColor theme="6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 style="thin">
          <color theme="6"/>
        </right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129CE5-F658-4C2C-82FA-6F33C5C325C9}" name="Table1" displayName="Table1" ref="A1:I5271" totalsRowShown="0" headerRowDxfId="13" dataDxfId="14">
  <tableColumns count="9">
    <tableColumn id="1" xr3:uid="{D1170C05-F0AF-45B2-8887-4AB03767B1C0}" name="DpId" dataDxfId="23"/>
    <tableColumn id="2" xr3:uid="{79AB0C6E-F423-44BF-BFB9-3756A499C3C7}" name="NIK" dataDxfId="22"/>
    <tableColumn id="3" xr3:uid="{1DE76C6D-62DD-40C5-872B-8F83E20CA8F7}" name="Nama" dataDxfId="21"/>
    <tableColumn id="4" xr3:uid="{E7B85D3F-F9DA-4D5D-9FC0-AD8A455BF2CF}" name="Status" dataDxfId="20"/>
    <tableColumn id="5" xr3:uid="{4DA284AD-EBA0-45A0-BF62-0ECB507D9F49}" name="StatusTps" dataDxfId="19"/>
    <tableColumn id="6" xr3:uid="{B1C3DA05-FB89-4949-9B6C-06F0B02263FA}" name="Provinsi" dataDxfId="18"/>
    <tableColumn id="7" xr3:uid="{3FC81DB7-0EF5-4703-93C4-AE46D3E43991}" name="Kabupaten" dataDxfId="17"/>
    <tableColumn id="8" xr3:uid="{02B803CB-1A03-4F22-B944-81223607D758}" name="Kecamatan" dataDxfId="16"/>
    <tableColumn id="9" xr3:uid="{4869451E-BF51-40D1-A305-9C0E314E79ED}" name="Kelurahan" dataDxfId="15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BFD1478-09C6-4395-B721-D54153F3C4CA}" name="Table2" displayName="Table2" ref="A1:K689" totalsRowShown="0" headerRowDxfId="0" tableBorderDxfId="12">
  <tableColumns count="11">
    <tableColumn id="1" xr3:uid="{D0529C71-76A5-4BCF-B8D4-1072BD1AEE8D}" name="DpId" dataDxfId="11"/>
    <tableColumn id="2" xr3:uid="{B53DDC99-0ECD-4039-B988-B09613163A13}" name="NIK" dataDxfId="10"/>
    <tableColumn id="3" xr3:uid="{985CAE9C-EC07-4999-BEAE-E09B272A9B98}" name="nik_konvers" dataDxfId="9">
      <calculatedColumnFormula>"'"&amp;B2</calculatedColumnFormula>
    </tableColumn>
    <tableColumn id="4" xr3:uid="{3D13160B-67EB-44E0-BCF7-9FE3C7C172DA}" name="cek_ganda" dataDxfId="8">
      <calculatedColumnFormula>IF(COUNTIF($C:$C,C2)&gt;1,"ganda","tidak ganda")</calculatedColumnFormula>
    </tableColumn>
    <tableColumn id="5" xr3:uid="{0F10A938-6B62-4FC1-BE5D-245480B07AA0}" name="Nama" dataDxfId="7"/>
    <tableColumn id="6" xr3:uid="{66CDDC55-AEB1-429E-B9DA-6EE85B541BB4}" name="Status" dataDxfId="6"/>
    <tableColumn id="7" xr3:uid="{33D648BF-2B25-4E64-8956-39193435F422}" name="StatusTps" dataDxfId="5"/>
    <tableColumn id="8" xr3:uid="{A582FA30-43F0-43B1-9306-9D5B6AD69B45}" name="Provinsi" dataDxfId="4"/>
    <tableColumn id="9" xr3:uid="{9412FEBE-C498-4E8F-ADD3-48B928FC53A4}" name="Kabupaten" dataDxfId="3"/>
    <tableColumn id="10" xr3:uid="{A419FAFA-1E7A-41A2-A501-3555E9B3E4FA}" name="Kecamatan" dataDxfId="2"/>
    <tableColumn id="11" xr3:uid="{DC51A1F7-8142-492C-B7F5-72D798FB02B0}" name="Kelurahan" dataDxfId="1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271"/>
  <sheetViews>
    <sheetView workbookViewId="0">
      <selection activeCell="B18" sqref="B18"/>
    </sheetView>
  </sheetViews>
  <sheetFormatPr defaultRowHeight="25" customHeight="1" x14ac:dyDescent="0.35"/>
  <cols>
    <col min="1" max="1" width="9" bestFit="1" customWidth="1"/>
    <col min="2" max="2" width="15.453125" bestFit="1" customWidth="1"/>
    <col min="3" max="3" width="52.81640625" bestFit="1" customWidth="1"/>
    <col min="4" max="4" width="10.08984375" bestFit="1" customWidth="1"/>
    <col min="5" max="5" width="12.7265625" bestFit="1" customWidth="1"/>
    <col min="6" max="6" width="26.453125" bestFit="1" customWidth="1"/>
    <col min="7" max="7" width="26" bestFit="1" customWidth="1"/>
    <col min="8" max="8" width="20.7265625" bestFit="1" customWidth="1"/>
    <col min="9" max="9" width="26.90625" bestFit="1" customWidth="1"/>
  </cols>
  <sheetData>
    <row r="1" spans="1: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4.5" x14ac:dyDescent="0.35">
      <c r="A2" s="2">
        <v>37603</v>
      </c>
      <c r="B2" s="2" t="str">
        <f>"1302082409780002"</f>
        <v>1302082409780002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14</v>
      </c>
      <c r="I2" s="2" t="s">
        <v>15</v>
      </c>
    </row>
    <row r="3" spans="1:9" ht="14.5" x14ac:dyDescent="0.35">
      <c r="A3" s="2">
        <v>2519824</v>
      </c>
      <c r="B3" s="2" t="str">
        <f>"1302082409780002"</f>
        <v>1302082409780002</v>
      </c>
      <c r="C3" s="2" t="s">
        <v>16</v>
      </c>
      <c r="D3" s="2" t="s">
        <v>17</v>
      </c>
      <c r="E3" s="2" t="s">
        <v>11</v>
      </c>
      <c r="F3" s="2" t="s">
        <v>18</v>
      </c>
      <c r="G3" s="2" t="s">
        <v>19</v>
      </c>
      <c r="H3" s="2" t="s">
        <v>20</v>
      </c>
      <c r="I3" s="2" t="s">
        <v>21</v>
      </c>
    </row>
    <row r="4" spans="1:9" ht="14.5" x14ac:dyDescent="0.35">
      <c r="A4" s="2">
        <v>1683527</v>
      </c>
      <c r="B4" s="2" t="str">
        <f>"1505021401740001"</f>
        <v>1505021401740001</v>
      </c>
      <c r="C4" s="2" t="s">
        <v>22</v>
      </c>
      <c r="D4" s="2" t="s">
        <v>10</v>
      </c>
      <c r="E4" s="2" t="s">
        <v>11</v>
      </c>
      <c r="F4" s="2" t="s">
        <v>18</v>
      </c>
      <c r="G4" s="2" t="s">
        <v>19</v>
      </c>
      <c r="H4" s="2" t="s">
        <v>20</v>
      </c>
      <c r="I4" s="2" t="s">
        <v>23</v>
      </c>
    </row>
    <row r="5" spans="1:9" ht="14.5" x14ac:dyDescent="0.35">
      <c r="A5" s="2">
        <v>335779</v>
      </c>
      <c r="B5" s="2" t="str">
        <f>"1505021401740001"</f>
        <v>1505021401740001</v>
      </c>
      <c r="C5" s="2" t="s">
        <v>22</v>
      </c>
      <c r="D5" s="2" t="s">
        <v>17</v>
      </c>
      <c r="E5" s="2" t="s">
        <v>11</v>
      </c>
      <c r="F5" s="2" t="s">
        <v>24</v>
      </c>
      <c r="G5" s="2" t="s">
        <v>25</v>
      </c>
      <c r="H5" s="2" t="s">
        <v>26</v>
      </c>
      <c r="I5" s="2" t="s">
        <v>27</v>
      </c>
    </row>
    <row r="6" spans="1:9" ht="14.5" x14ac:dyDescent="0.35">
      <c r="A6" s="2">
        <v>1683529</v>
      </c>
      <c r="B6" s="2" t="str">
        <f>"1505022105040003"</f>
        <v>1505022105040003</v>
      </c>
      <c r="C6" s="2" t="s">
        <v>28</v>
      </c>
      <c r="D6" s="2" t="s">
        <v>10</v>
      </c>
      <c r="E6" s="2" t="s">
        <v>11</v>
      </c>
      <c r="F6" s="2" t="s">
        <v>18</v>
      </c>
      <c r="G6" s="2" t="s">
        <v>19</v>
      </c>
      <c r="H6" s="2" t="s">
        <v>20</v>
      </c>
      <c r="I6" s="2" t="s">
        <v>23</v>
      </c>
    </row>
    <row r="7" spans="1:9" ht="14.5" x14ac:dyDescent="0.35">
      <c r="A7" s="2">
        <v>335746</v>
      </c>
      <c r="B7" s="2" t="str">
        <f>"1505022105040003"</f>
        <v>1505022105040003</v>
      </c>
      <c r="C7" s="2" t="s">
        <v>29</v>
      </c>
      <c r="D7" s="2" t="s">
        <v>17</v>
      </c>
      <c r="E7" s="2" t="s">
        <v>11</v>
      </c>
      <c r="F7" s="2" t="s">
        <v>24</v>
      </c>
      <c r="G7" s="2" t="s">
        <v>25</v>
      </c>
      <c r="H7" s="2" t="s">
        <v>26</v>
      </c>
      <c r="I7" s="2" t="s">
        <v>27</v>
      </c>
    </row>
    <row r="8" spans="1:9" ht="14.5" x14ac:dyDescent="0.35">
      <c r="A8" s="2">
        <v>1683531</v>
      </c>
      <c r="B8" s="2" t="str">
        <f>"1505024409770002"</f>
        <v>1505024409770002</v>
      </c>
      <c r="C8" s="2" t="s">
        <v>30</v>
      </c>
      <c r="D8" s="2" t="s">
        <v>10</v>
      </c>
      <c r="E8" s="2" t="s">
        <v>11</v>
      </c>
      <c r="F8" s="2" t="s">
        <v>18</v>
      </c>
      <c r="G8" s="2" t="s">
        <v>19</v>
      </c>
      <c r="H8" s="2" t="s">
        <v>20</v>
      </c>
      <c r="I8" s="2" t="s">
        <v>23</v>
      </c>
    </row>
    <row r="9" spans="1:9" ht="14.5" x14ac:dyDescent="0.35">
      <c r="A9" s="2">
        <v>335736</v>
      </c>
      <c r="B9" s="2" t="str">
        <f>"1505024409770002"</f>
        <v>1505024409770002</v>
      </c>
      <c r="C9" s="2" t="s">
        <v>31</v>
      </c>
      <c r="D9" s="2" t="s">
        <v>17</v>
      </c>
      <c r="E9" s="2" t="s">
        <v>11</v>
      </c>
      <c r="F9" s="2" t="s">
        <v>24</v>
      </c>
      <c r="G9" s="2" t="s">
        <v>25</v>
      </c>
      <c r="H9" s="2" t="s">
        <v>26</v>
      </c>
      <c r="I9" s="2" t="s">
        <v>27</v>
      </c>
    </row>
    <row r="10" spans="1:9" ht="14.5" x14ac:dyDescent="0.35">
      <c r="A10" s="2">
        <v>25116</v>
      </c>
      <c r="B10" s="2" t="str">
        <f>"1608021512920001"</f>
        <v>1608021512920001</v>
      </c>
      <c r="C10" s="2" t="s">
        <v>32</v>
      </c>
      <c r="D10" s="2" t="s">
        <v>10</v>
      </c>
      <c r="E10" s="2" t="s">
        <v>11</v>
      </c>
      <c r="F10" s="2" t="s">
        <v>33</v>
      </c>
      <c r="G10" s="2" t="s">
        <v>34</v>
      </c>
      <c r="H10" s="2" t="s">
        <v>35</v>
      </c>
      <c r="I10" s="2" t="s">
        <v>36</v>
      </c>
    </row>
    <row r="11" spans="1:9" ht="14.5" x14ac:dyDescent="0.35">
      <c r="A11" s="2">
        <v>2520319</v>
      </c>
      <c r="B11" s="2" t="str">
        <f>"1608021512920001"</f>
        <v>1608021512920001</v>
      </c>
      <c r="C11" s="2" t="s">
        <v>32</v>
      </c>
      <c r="D11" s="2" t="s">
        <v>17</v>
      </c>
      <c r="E11" s="2" t="s">
        <v>11</v>
      </c>
      <c r="F11" s="2" t="s">
        <v>18</v>
      </c>
      <c r="G11" s="2" t="s">
        <v>19</v>
      </c>
      <c r="H11" s="2" t="s">
        <v>20</v>
      </c>
      <c r="I11" s="2" t="s">
        <v>37</v>
      </c>
    </row>
    <row r="12" spans="1:9" ht="14.5" x14ac:dyDescent="0.35">
      <c r="A12" s="2">
        <v>324976</v>
      </c>
      <c r="B12" s="2" t="str">
        <f>"1611014403990002"</f>
        <v>1611014403990002</v>
      </c>
      <c r="C12" s="2" t="s">
        <v>38</v>
      </c>
      <c r="D12" s="2" t="s">
        <v>10</v>
      </c>
      <c r="E12" s="2" t="s">
        <v>11</v>
      </c>
      <c r="F12" s="2" t="s">
        <v>33</v>
      </c>
      <c r="G12" s="2" t="s">
        <v>39</v>
      </c>
      <c r="H12" s="2" t="s">
        <v>40</v>
      </c>
      <c r="I12" s="2" t="s">
        <v>41</v>
      </c>
    </row>
    <row r="13" spans="1:9" ht="14.5" x14ac:dyDescent="0.35">
      <c r="A13" s="2">
        <v>2520081</v>
      </c>
      <c r="B13" s="2" t="str">
        <f>"1611014403990002"</f>
        <v>1611014403990002</v>
      </c>
      <c r="C13" s="2" t="s">
        <v>42</v>
      </c>
      <c r="D13" s="2" t="s">
        <v>17</v>
      </c>
      <c r="E13" s="2" t="s">
        <v>11</v>
      </c>
      <c r="F13" s="2" t="s">
        <v>18</v>
      </c>
      <c r="G13" s="2" t="s">
        <v>19</v>
      </c>
      <c r="H13" s="2" t="s">
        <v>20</v>
      </c>
      <c r="I13" s="2" t="s">
        <v>21</v>
      </c>
    </row>
    <row r="14" spans="1:9" ht="14.5" x14ac:dyDescent="0.35">
      <c r="A14" s="2">
        <v>448769</v>
      </c>
      <c r="B14" s="2" t="str">
        <f>"1806040804030001"</f>
        <v>1806040804030001</v>
      </c>
      <c r="C14" s="2" t="s">
        <v>43</v>
      </c>
      <c r="D14" s="2" t="s">
        <v>10</v>
      </c>
      <c r="E14" s="2" t="s">
        <v>11</v>
      </c>
      <c r="F14" s="2" t="s">
        <v>44</v>
      </c>
      <c r="G14" s="2" t="s">
        <v>45</v>
      </c>
      <c r="H14" s="2" t="s">
        <v>46</v>
      </c>
      <c r="I14" s="2" t="s">
        <v>47</v>
      </c>
    </row>
    <row r="15" spans="1:9" ht="14.5" x14ac:dyDescent="0.35">
      <c r="A15" s="2">
        <v>2520732</v>
      </c>
      <c r="B15" s="2" t="str">
        <f>"1806040804030001"</f>
        <v>1806040804030001</v>
      </c>
      <c r="C15" s="2" t="s">
        <v>43</v>
      </c>
      <c r="D15" s="2" t="s">
        <v>17</v>
      </c>
      <c r="E15" s="2" t="s">
        <v>11</v>
      </c>
      <c r="F15" s="2" t="s">
        <v>18</v>
      </c>
      <c r="G15" s="2" t="s">
        <v>19</v>
      </c>
      <c r="H15" s="2" t="s">
        <v>20</v>
      </c>
      <c r="I15" s="2" t="s">
        <v>48</v>
      </c>
    </row>
    <row r="16" spans="1:9" ht="14.5" x14ac:dyDescent="0.35">
      <c r="A16" s="2">
        <v>1083242</v>
      </c>
      <c r="B16" s="2" t="str">
        <f>"3172012309780004"</f>
        <v>3172012309780004</v>
      </c>
      <c r="C16" s="2" t="s">
        <v>49</v>
      </c>
      <c r="D16" s="2" t="s">
        <v>10</v>
      </c>
      <c r="E16" s="2" t="s">
        <v>11</v>
      </c>
      <c r="F16" s="2" t="s">
        <v>50</v>
      </c>
      <c r="G16" s="2" t="s">
        <v>51</v>
      </c>
      <c r="H16" s="2" t="s">
        <v>52</v>
      </c>
      <c r="I16" s="2" t="s">
        <v>52</v>
      </c>
    </row>
    <row r="17" spans="1:9" ht="14.5" x14ac:dyDescent="0.35">
      <c r="A17" s="2">
        <v>2572908</v>
      </c>
      <c r="B17" s="2" t="str">
        <f>"3172012309780004"</f>
        <v>3172012309780004</v>
      </c>
      <c r="C17" s="2" t="s">
        <v>49</v>
      </c>
      <c r="D17" s="2" t="s">
        <v>17</v>
      </c>
      <c r="E17" s="2" t="s">
        <v>11</v>
      </c>
      <c r="F17" s="2" t="s">
        <v>18</v>
      </c>
      <c r="G17" s="2" t="s">
        <v>19</v>
      </c>
      <c r="H17" s="2" t="s">
        <v>20</v>
      </c>
      <c r="I17" s="2" t="s">
        <v>53</v>
      </c>
    </row>
    <row r="18" spans="1:9" ht="14.5" x14ac:dyDescent="0.35">
      <c r="A18" s="2">
        <v>2416009</v>
      </c>
      <c r="B18" s="2" t="str">
        <f>"3172020301930002"</f>
        <v>3172020301930002</v>
      </c>
      <c r="C18" s="2" t="s">
        <v>54</v>
      </c>
      <c r="D18" s="2" t="s">
        <v>10</v>
      </c>
      <c r="E18" s="2" t="s">
        <v>11</v>
      </c>
      <c r="F18" s="2" t="s">
        <v>18</v>
      </c>
      <c r="G18" s="2" t="s">
        <v>19</v>
      </c>
      <c r="H18" s="2" t="s">
        <v>20</v>
      </c>
      <c r="I18" s="2" t="s">
        <v>55</v>
      </c>
    </row>
    <row r="19" spans="1:9" ht="14.5" x14ac:dyDescent="0.35">
      <c r="A19" s="2">
        <v>2422122</v>
      </c>
      <c r="B19" s="2" t="str">
        <f>"3172020301930002"</f>
        <v>3172020301930002</v>
      </c>
      <c r="C19" s="2" t="s">
        <v>56</v>
      </c>
      <c r="D19" s="2" t="s">
        <v>10</v>
      </c>
      <c r="E19" s="2" t="s">
        <v>57</v>
      </c>
      <c r="F19" s="2" t="s">
        <v>50</v>
      </c>
      <c r="G19" s="2" t="s">
        <v>58</v>
      </c>
      <c r="H19" s="2" t="s">
        <v>59</v>
      </c>
      <c r="I19" s="2" t="s">
        <v>60</v>
      </c>
    </row>
    <row r="20" spans="1:9" ht="14.5" x14ac:dyDescent="0.35">
      <c r="A20" s="2">
        <v>137131</v>
      </c>
      <c r="B20" s="2" t="str">
        <f>"3172025406860006"</f>
        <v>3172025406860006</v>
      </c>
      <c r="C20" s="2" t="s">
        <v>61</v>
      </c>
      <c r="D20" s="2" t="s">
        <v>10</v>
      </c>
      <c r="E20" s="2" t="s">
        <v>11</v>
      </c>
      <c r="F20" s="2" t="s">
        <v>50</v>
      </c>
      <c r="G20" s="2" t="s">
        <v>51</v>
      </c>
      <c r="H20" s="2" t="s">
        <v>62</v>
      </c>
      <c r="I20" s="2" t="s">
        <v>63</v>
      </c>
    </row>
    <row r="21" spans="1:9" ht="14.5" x14ac:dyDescent="0.35">
      <c r="A21" s="2">
        <v>2519451</v>
      </c>
      <c r="B21" s="2" t="str">
        <f>"3172025406860006"</f>
        <v>3172025406860006</v>
      </c>
      <c r="C21" s="2" t="s">
        <v>64</v>
      </c>
      <c r="D21" s="2" t="s">
        <v>17</v>
      </c>
      <c r="E21" s="2" t="s">
        <v>11</v>
      </c>
      <c r="F21" s="2" t="s">
        <v>18</v>
      </c>
      <c r="G21" s="2" t="s">
        <v>19</v>
      </c>
      <c r="H21" s="2" t="s">
        <v>20</v>
      </c>
      <c r="I21" s="2" t="s">
        <v>65</v>
      </c>
    </row>
    <row r="22" spans="1:9" ht="14.5" x14ac:dyDescent="0.35">
      <c r="A22" s="2">
        <v>1140937</v>
      </c>
      <c r="B22" s="2" t="str">
        <f>"3172032506861001"</f>
        <v>3172032506861001</v>
      </c>
      <c r="C22" s="2" t="s">
        <v>66</v>
      </c>
      <c r="D22" s="2" t="s">
        <v>10</v>
      </c>
      <c r="E22" s="2" t="s">
        <v>11</v>
      </c>
      <c r="F22" s="2" t="s">
        <v>67</v>
      </c>
      <c r="G22" s="2" t="s">
        <v>68</v>
      </c>
      <c r="H22" s="2" t="s">
        <v>69</v>
      </c>
      <c r="I22" s="2" t="s">
        <v>69</v>
      </c>
    </row>
    <row r="23" spans="1:9" ht="14.5" x14ac:dyDescent="0.35">
      <c r="A23" s="2">
        <v>2520310</v>
      </c>
      <c r="B23" s="2" t="str">
        <f>"3172032506861001"</f>
        <v>3172032506861001</v>
      </c>
      <c r="C23" s="2" t="s">
        <v>70</v>
      </c>
      <c r="D23" s="2" t="s">
        <v>17</v>
      </c>
      <c r="E23" s="2" t="s">
        <v>11</v>
      </c>
      <c r="F23" s="2" t="s">
        <v>18</v>
      </c>
      <c r="G23" s="2" t="s">
        <v>19</v>
      </c>
      <c r="H23" s="2" t="s">
        <v>20</v>
      </c>
      <c r="I23" s="2" t="s">
        <v>37</v>
      </c>
    </row>
    <row r="24" spans="1:9" ht="14.5" x14ac:dyDescent="0.35">
      <c r="A24" s="2">
        <v>802404</v>
      </c>
      <c r="B24" s="2" t="str">
        <f>"3172041510740005"</f>
        <v>3172041510740005</v>
      </c>
      <c r="C24" s="2" t="s">
        <v>71</v>
      </c>
      <c r="D24" s="2" t="s">
        <v>10</v>
      </c>
      <c r="E24" s="2" t="s">
        <v>11</v>
      </c>
      <c r="F24" s="2" t="s">
        <v>50</v>
      </c>
      <c r="G24" s="2" t="s">
        <v>72</v>
      </c>
      <c r="H24" s="2" t="s">
        <v>73</v>
      </c>
      <c r="I24" s="2" t="s">
        <v>74</v>
      </c>
    </row>
    <row r="25" spans="1:9" ht="14.5" x14ac:dyDescent="0.35">
      <c r="A25" s="2">
        <v>2573070</v>
      </c>
      <c r="B25" s="2" t="str">
        <f>"3172041510740005"</f>
        <v>3172041510740005</v>
      </c>
      <c r="C25" s="2" t="s">
        <v>71</v>
      </c>
      <c r="D25" s="2" t="s">
        <v>17</v>
      </c>
      <c r="E25" s="2" t="s">
        <v>11</v>
      </c>
      <c r="F25" s="2" t="s">
        <v>18</v>
      </c>
      <c r="G25" s="2" t="s">
        <v>19</v>
      </c>
      <c r="H25" s="2" t="s">
        <v>20</v>
      </c>
      <c r="I25" s="2" t="s">
        <v>53</v>
      </c>
    </row>
    <row r="26" spans="1:9" ht="14.5" x14ac:dyDescent="0.35">
      <c r="A26" s="2">
        <v>2519231</v>
      </c>
      <c r="B26" s="2" t="str">
        <f>"3172042708011001"</f>
        <v>3172042708011001</v>
      </c>
      <c r="C26" s="2" t="s">
        <v>75</v>
      </c>
      <c r="D26" s="2" t="s">
        <v>17</v>
      </c>
      <c r="E26" s="2" t="s">
        <v>11</v>
      </c>
      <c r="F26" s="2" t="s">
        <v>18</v>
      </c>
      <c r="G26" s="2" t="s">
        <v>19</v>
      </c>
      <c r="H26" s="2" t="s">
        <v>20</v>
      </c>
      <c r="I26" s="2" t="s">
        <v>76</v>
      </c>
    </row>
    <row r="27" spans="1:9" ht="14.5" x14ac:dyDescent="0.35">
      <c r="A27" s="2">
        <v>1392013</v>
      </c>
      <c r="B27" s="2" t="str">
        <f>"3172042708011001"</f>
        <v>3172042708011001</v>
      </c>
      <c r="C27" s="2" t="s">
        <v>77</v>
      </c>
      <c r="D27" s="2" t="s">
        <v>17</v>
      </c>
      <c r="E27" s="2" t="s">
        <v>11</v>
      </c>
      <c r="F27" s="2" t="s">
        <v>50</v>
      </c>
      <c r="G27" s="2" t="s">
        <v>51</v>
      </c>
      <c r="H27" s="2" t="s">
        <v>78</v>
      </c>
      <c r="I27" s="2" t="s">
        <v>79</v>
      </c>
    </row>
    <row r="28" spans="1:9" ht="14.5" x14ac:dyDescent="0.35">
      <c r="A28" s="2">
        <v>961829</v>
      </c>
      <c r="B28" s="2" t="str">
        <f>"3172045005810029"</f>
        <v>3172045005810029</v>
      </c>
      <c r="C28" s="2" t="s">
        <v>80</v>
      </c>
      <c r="D28" s="2" t="s">
        <v>10</v>
      </c>
      <c r="E28" s="2" t="s">
        <v>11</v>
      </c>
      <c r="F28" s="2" t="s">
        <v>50</v>
      </c>
      <c r="G28" s="2" t="s">
        <v>51</v>
      </c>
      <c r="H28" s="2" t="s">
        <v>78</v>
      </c>
      <c r="I28" s="2" t="s">
        <v>81</v>
      </c>
    </row>
    <row r="29" spans="1:9" ht="14.5" x14ac:dyDescent="0.35">
      <c r="A29" s="2">
        <v>2518880</v>
      </c>
      <c r="B29" s="2" t="str">
        <f>"3172045005810029"</f>
        <v>3172045005810029</v>
      </c>
      <c r="C29" s="2" t="s">
        <v>82</v>
      </c>
      <c r="D29" s="2" t="s">
        <v>17</v>
      </c>
      <c r="E29" s="2" t="s">
        <v>11</v>
      </c>
      <c r="F29" s="2" t="s">
        <v>18</v>
      </c>
      <c r="G29" s="2" t="s">
        <v>19</v>
      </c>
      <c r="H29" s="2" t="s">
        <v>20</v>
      </c>
      <c r="I29" s="2" t="s">
        <v>23</v>
      </c>
    </row>
    <row r="30" spans="1:9" ht="14.5" x14ac:dyDescent="0.35">
      <c r="A30" s="2">
        <v>1218495</v>
      </c>
      <c r="B30" s="2" t="str">
        <f>"3172046808850023"</f>
        <v>3172046808850023</v>
      </c>
      <c r="C30" s="2" t="s">
        <v>83</v>
      </c>
      <c r="D30" s="2" t="s">
        <v>10</v>
      </c>
      <c r="E30" s="2" t="s">
        <v>11</v>
      </c>
      <c r="F30" s="2" t="s">
        <v>50</v>
      </c>
      <c r="G30" s="2" t="s">
        <v>51</v>
      </c>
      <c r="H30" s="2" t="s">
        <v>78</v>
      </c>
      <c r="I30" s="2" t="s">
        <v>84</v>
      </c>
    </row>
    <row r="31" spans="1:9" ht="14.5" x14ac:dyDescent="0.35">
      <c r="A31" s="2">
        <v>2519845</v>
      </c>
      <c r="B31" s="2" t="str">
        <f>"3172046808850023"</f>
        <v>3172046808850023</v>
      </c>
      <c r="C31" s="2" t="s">
        <v>83</v>
      </c>
      <c r="D31" s="2" t="s">
        <v>17</v>
      </c>
      <c r="E31" s="2" t="s">
        <v>11</v>
      </c>
      <c r="F31" s="2" t="s">
        <v>18</v>
      </c>
      <c r="G31" s="2" t="s">
        <v>19</v>
      </c>
      <c r="H31" s="2" t="s">
        <v>20</v>
      </c>
      <c r="I31" s="2" t="s">
        <v>21</v>
      </c>
    </row>
    <row r="32" spans="1:9" ht="14.5" x14ac:dyDescent="0.35">
      <c r="A32" s="2">
        <v>981954</v>
      </c>
      <c r="B32" s="2" t="str">
        <f>"3173060906770010"</f>
        <v>3173060906770010</v>
      </c>
      <c r="C32" s="2" t="s">
        <v>85</v>
      </c>
      <c r="D32" s="2" t="s">
        <v>10</v>
      </c>
      <c r="E32" s="2" t="s">
        <v>11</v>
      </c>
      <c r="F32" s="2" t="s">
        <v>50</v>
      </c>
      <c r="G32" s="2" t="s">
        <v>86</v>
      </c>
      <c r="H32" s="2" t="s">
        <v>87</v>
      </c>
      <c r="I32" s="2" t="s">
        <v>88</v>
      </c>
    </row>
    <row r="33" spans="1:9" ht="14.5" x14ac:dyDescent="0.35">
      <c r="A33" s="2">
        <v>2518913</v>
      </c>
      <c r="B33" s="2" t="str">
        <f>"3173060906770010"</f>
        <v>3173060906770010</v>
      </c>
      <c r="C33" s="2" t="s">
        <v>85</v>
      </c>
      <c r="D33" s="2" t="s">
        <v>17</v>
      </c>
      <c r="E33" s="2" t="s">
        <v>11</v>
      </c>
      <c r="F33" s="2" t="s">
        <v>18</v>
      </c>
      <c r="G33" s="2" t="s">
        <v>19</v>
      </c>
      <c r="H33" s="2" t="s">
        <v>20</v>
      </c>
      <c r="I33" s="2" t="s">
        <v>23</v>
      </c>
    </row>
    <row r="34" spans="1:9" ht="14.5" x14ac:dyDescent="0.35">
      <c r="A34" s="2">
        <v>981953</v>
      </c>
      <c r="B34" s="2" t="str">
        <f>"3173065207760013"</f>
        <v>3173065207760013</v>
      </c>
      <c r="C34" s="2" t="s">
        <v>89</v>
      </c>
      <c r="D34" s="2" t="s">
        <v>10</v>
      </c>
      <c r="E34" s="2" t="s">
        <v>11</v>
      </c>
      <c r="F34" s="2" t="s">
        <v>50</v>
      </c>
      <c r="G34" s="2" t="s">
        <v>86</v>
      </c>
      <c r="H34" s="2" t="s">
        <v>87</v>
      </c>
      <c r="I34" s="2" t="s">
        <v>88</v>
      </c>
    </row>
    <row r="35" spans="1:9" ht="14.5" x14ac:dyDescent="0.35">
      <c r="A35" s="2">
        <v>2518914</v>
      </c>
      <c r="B35" s="2" t="str">
        <f>"3173065207760013"</f>
        <v>3173065207760013</v>
      </c>
      <c r="C35" s="2" t="s">
        <v>89</v>
      </c>
      <c r="D35" s="2" t="s">
        <v>17</v>
      </c>
      <c r="E35" s="2" t="s">
        <v>11</v>
      </c>
      <c r="F35" s="2" t="s">
        <v>18</v>
      </c>
      <c r="G35" s="2" t="s">
        <v>19</v>
      </c>
      <c r="H35" s="2" t="s">
        <v>20</v>
      </c>
      <c r="I35" s="2" t="s">
        <v>23</v>
      </c>
    </row>
    <row r="36" spans="1:9" ht="14.5" x14ac:dyDescent="0.35">
      <c r="A36" s="2">
        <v>2366606</v>
      </c>
      <c r="B36" s="2" t="str">
        <f>"3175021206850013"</f>
        <v>3175021206850013</v>
      </c>
      <c r="C36" s="2" t="s">
        <v>90</v>
      </c>
      <c r="D36" s="2" t="s">
        <v>10</v>
      </c>
      <c r="E36" s="2" t="s">
        <v>11</v>
      </c>
      <c r="F36" s="2" t="s">
        <v>91</v>
      </c>
      <c r="G36" s="2" t="s">
        <v>92</v>
      </c>
      <c r="H36" s="2" t="s">
        <v>93</v>
      </c>
      <c r="I36" s="2" t="s">
        <v>94</v>
      </c>
    </row>
    <row r="37" spans="1:9" ht="14.5" x14ac:dyDescent="0.35">
      <c r="A37" s="2">
        <v>2520198</v>
      </c>
      <c r="B37" s="2" t="str">
        <f>"3175021206850013"</f>
        <v>3175021206850013</v>
      </c>
      <c r="C37" s="2" t="s">
        <v>95</v>
      </c>
      <c r="D37" s="2" t="s">
        <v>17</v>
      </c>
      <c r="E37" s="2" t="s">
        <v>11</v>
      </c>
      <c r="F37" s="2" t="s">
        <v>18</v>
      </c>
      <c r="G37" s="2" t="s">
        <v>19</v>
      </c>
      <c r="H37" s="2" t="s">
        <v>20</v>
      </c>
      <c r="I37" s="2" t="s">
        <v>37</v>
      </c>
    </row>
    <row r="38" spans="1:9" ht="14.5" x14ac:dyDescent="0.35">
      <c r="A38" s="2">
        <v>841426</v>
      </c>
      <c r="B38" s="2" t="str">
        <f>"3175047003770002"</f>
        <v>3175047003770002</v>
      </c>
      <c r="C38" s="2" t="s">
        <v>96</v>
      </c>
      <c r="D38" s="2" t="s">
        <v>10</v>
      </c>
      <c r="E38" s="2" t="s">
        <v>11</v>
      </c>
      <c r="F38" s="2" t="s">
        <v>50</v>
      </c>
      <c r="G38" s="2" t="s">
        <v>58</v>
      </c>
      <c r="H38" s="2" t="s">
        <v>97</v>
      </c>
      <c r="I38" s="2" t="s">
        <v>98</v>
      </c>
    </row>
    <row r="39" spans="1:9" ht="14.5" x14ac:dyDescent="0.35">
      <c r="A39" s="2">
        <v>2518595</v>
      </c>
      <c r="B39" s="2" t="str">
        <f>"3175047003770002"</f>
        <v>3175047003770002</v>
      </c>
      <c r="C39" s="2" t="s">
        <v>99</v>
      </c>
      <c r="D39" s="2" t="s">
        <v>17</v>
      </c>
      <c r="E39" s="2" t="s">
        <v>11</v>
      </c>
      <c r="F39" s="2" t="s">
        <v>18</v>
      </c>
      <c r="G39" s="2" t="s">
        <v>19</v>
      </c>
      <c r="H39" s="2" t="s">
        <v>20</v>
      </c>
      <c r="I39" s="2" t="s">
        <v>53</v>
      </c>
    </row>
    <row r="40" spans="1:9" ht="14.5" x14ac:dyDescent="0.35">
      <c r="A40" s="2">
        <v>2176949</v>
      </c>
      <c r="B40" s="2" t="str">
        <f>"3202052406000002"</f>
        <v>3202052406000002</v>
      </c>
      <c r="C40" s="2" t="s">
        <v>100</v>
      </c>
      <c r="D40" s="2" t="s">
        <v>10</v>
      </c>
      <c r="E40" s="2" t="s">
        <v>11</v>
      </c>
      <c r="F40" s="2" t="s">
        <v>91</v>
      </c>
      <c r="G40" s="2" t="s">
        <v>101</v>
      </c>
      <c r="H40" s="2" t="s">
        <v>102</v>
      </c>
      <c r="I40" s="2" t="s">
        <v>102</v>
      </c>
    </row>
    <row r="41" spans="1:9" ht="14.5" x14ac:dyDescent="0.35">
      <c r="A41" s="2">
        <v>2518945</v>
      </c>
      <c r="B41" s="2" t="str">
        <f>"3202052406000002"</f>
        <v>3202052406000002</v>
      </c>
      <c r="C41" s="2" t="s">
        <v>103</v>
      </c>
      <c r="D41" s="2" t="s">
        <v>17</v>
      </c>
      <c r="E41" s="2" t="s">
        <v>11</v>
      </c>
      <c r="F41" s="2" t="s">
        <v>18</v>
      </c>
      <c r="G41" s="2" t="s">
        <v>19</v>
      </c>
      <c r="H41" s="2" t="s">
        <v>20</v>
      </c>
      <c r="I41" s="2" t="s">
        <v>23</v>
      </c>
    </row>
    <row r="42" spans="1:9" ht="14.5" x14ac:dyDescent="0.35">
      <c r="A42" s="2">
        <v>354962</v>
      </c>
      <c r="B42" s="2" t="str">
        <f>"3205021503010002"</f>
        <v>3205021503010002</v>
      </c>
      <c r="C42" s="2" t="s">
        <v>104</v>
      </c>
      <c r="D42" s="2" t="s">
        <v>10</v>
      </c>
      <c r="E42" s="2" t="s">
        <v>11</v>
      </c>
      <c r="F42" s="2" t="s">
        <v>91</v>
      </c>
      <c r="G42" s="2" t="s">
        <v>92</v>
      </c>
      <c r="H42" s="2" t="s">
        <v>105</v>
      </c>
      <c r="I42" s="2" t="s">
        <v>106</v>
      </c>
    </row>
    <row r="43" spans="1:9" ht="14.5" x14ac:dyDescent="0.35">
      <c r="A43" s="2">
        <v>2520628</v>
      </c>
      <c r="B43" s="2" t="str">
        <f>"3205021503010002"</f>
        <v>3205021503010002</v>
      </c>
      <c r="C43" s="2" t="s">
        <v>107</v>
      </c>
      <c r="D43" s="2" t="s">
        <v>17</v>
      </c>
      <c r="E43" s="2" t="s">
        <v>11</v>
      </c>
      <c r="F43" s="2" t="s">
        <v>18</v>
      </c>
      <c r="G43" s="2" t="s">
        <v>19</v>
      </c>
      <c r="H43" s="2" t="s">
        <v>20</v>
      </c>
      <c r="I43" s="2" t="s">
        <v>48</v>
      </c>
    </row>
    <row r="44" spans="1:9" ht="14.5" x14ac:dyDescent="0.35">
      <c r="A44" s="2">
        <v>772141</v>
      </c>
      <c r="B44" s="2" t="str">
        <f>"3208072810880005"</f>
        <v>3208072810880005</v>
      </c>
      <c r="C44" s="2" t="s">
        <v>108</v>
      </c>
      <c r="D44" s="2" t="s">
        <v>10</v>
      </c>
      <c r="E44" s="2" t="s">
        <v>11</v>
      </c>
      <c r="F44" s="2" t="s">
        <v>91</v>
      </c>
      <c r="G44" s="2" t="s">
        <v>109</v>
      </c>
      <c r="H44" s="2" t="s">
        <v>110</v>
      </c>
      <c r="I44" s="2" t="s">
        <v>111</v>
      </c>
    </row>
    <row r="45" spans="1:9" ht="14.5" x14ac:dyDescent="0.35">
      <c r="A45" s="2">
        <v>2520569</v>
      </c>
      <c r="B45" s="2" t="str">
        <f>"3208072810880005"</f>
        <v>3208072810880005</v>
      </c>
      <c r="C45" s="2" t="s">
        <v>112</v>
      </c>
      <c r="D45" s="2" t="s">
        <v>17</v>
      </c>
      <c r="E45" s="2" t="s">
        <v>11</v>
      </c>
      <c r="F45" s="2" t="s">
        <v>18</v>
      </c>
      <c r="G45" s="2" t="s">
        <v>19</v>
      </c>
      <c r="H45" s="2" t="s">
        <v>20</v>
      </c>
      <c r="I45" s="2" t="s">
        <v>48</v>
      </c>
    </row>
    <row r="46" spans="1:9" ht="14.5" x14ac:dyDescent="0.35">
      <c r="A46" s="2">
        <v>247545</v>
      </c>
      <c r="B46" s="2" t="str">
        <f>"3212102001860003"</f>
        <v>3212102001860003</v>
      </c>
      <c r="C46" s="2" t="s">
        <v>113</v>
      </c>
      <c r="D46" s="2" t="s">
        <v>10</v>
      </c>
      <c r="E46" s="2" t="s">
        <v>11</v>
      </c>
      <c r="F46" s="2" t="s">
        <v>91</v>
      </c>
      <c r="G46" s="2" t="s">
        <v>114</v>
      </c>
      <c r="H46" s="2" t="s">
        <v>115</v>
      </c>
      <c r="I46" s="2" t="s">
        <v>116</v>
      </c>
    </row>
    <row r="47" spans="1:9" ht="14.5" x14ac:dyDescent="0.35">
      <c r="A47" s="2">
        <v>2520080</v>
      </c>
      <c r="B47" s="2" t="str">
        <f>"3212102001860003"</f>
        <v>3212102001860003</v>
      </c>
      <c r="C47" s="2" t="s">
        <v>117</v>
      </c>
      <c r="D47" s="2" t="s">
        <v>17</v>
      </c>
      <c r="E47" s="2" t="s">
        <v>11</v>
      </c>
      <c r="F47" s="2" t="s">
        <v>18</v>
      </c>
      <c r="G47" s="2" t="s">
        <v>19</v>
      </c>
      <c r="H47" s="2" t="s">
        <v>20</v>
      </c>
      <c r="I47" s="2" t="s">
        <v>21</v>
      </c>
    </row>
    <row r="48" spans="1:9" ht="14.5" x14ac:dyDescent="0.35">
      <c r="A48" s="2">
        <v>92679</v>
      </c>
      <c r="B48" s="2" t="str">
        <f>"3214100607050002"</f>
        <v>3214100607050002</v>
      </c>
      <c r="C48" s="2" t="s">
        <v>118</v>
      </c>
      <c r="D48" s="2" t="s">
        <v>10</v>
      </c>
      <c r="E48" s="2" t="s">
        <v>11</v>
      </c>
      <c r="F48" s="2" t="s">
        <v>91</v>
      </c>
      <c r="G48" s="2" t="s">
        <v>119</v>
      </c>
      <c r="H48" s="2" t="s">
        <v>120</v>
      </c>
      <c r="I48" s="2" t="s">
        <v>121</v>
      </c>
    </row>
    <row r="49" spans="1:9" ht="14.5" x14ac:dyDescent="0.35">
      <c r="A49" s="2">
        <v>2519113</v>
      </c>
      <c r="B49" s="2" t="str">
        <f>"3214100607050002"</f>
        <v>3214100607050002</v>
      </c>
      <c r="C49" s="2" t="s">
        <v>122</v>
      </c>
      <c r="D49" s="2" t="s">
        <v>17</v>
      </c>
      <c r="E49" s="2" t="s">
        <v>11</v>
      </c>
      <c r="F49" s="2" t="s">
        <v>18</v>
      </c>
      <c r="G49" s="2" t="s">
        <v>19</v>
      </c>
      <c r="H49" s="2" t="s">
        <v>20</v>
      </c>
      <c r="I49" s="2" t="s">
        <v>76</v>
      </c>
    </row>
    <row r="50" spans="1:9" ht="14.5" x14ac:dyDescent="0.35">
      <c r="A50" s="2">
        <v>1510292</v>
      </c>
      <c r="B50" s="2" t="str">
        <f>"3216017012940004"</f>
        <v>3216017012940004</v>
      </c>
      <c r="C50" s="2" t="s">
        <v>123</v>
      </c>
      <c r="D50" s="2" t="s">
        <v>10</v>
      </c>
      <c r="E50" s="2" t="s">
        <v>11</v>
      </c>
      <c r="F50" s="2" t="s">
        <v>91</v>
      </c>
      <c r="G50" s="2" t="s">
        <v>92</v>
      </c>
      <c r="H50" s="2" t="s">
        <v>124</v>
      </c>
      <c r="I50" s="2" t="s">
        <v>125</v>
      </c>
    </row>
    <row r="51" spans="1:9" ht="14.5" x14ac:dyDescent="0.35">
      <c r="A51" s="2">
        <v>2574221</v>
      </c>
      <c r="B51" s="2" t="str">
        <f>"3216017012940004"</f>
        <v>3216017012940004</v>
      </c>
      <c r="C51" s="2" t="s">
        <v>126</v>
      </c>
      <c r="D51" s="2" t="s">
        <v>17</v>
      </c>
      <c r="E51" s="2" t="s">
        <v>11</v>
      </c>
      <c r="F51" s="2" t="s">
        <v>18</v>
      </c>
      <c r="G51" s="2" t="s">
        <v>19</v>
      </c>
      <c r="H51" s="2" t="s">
        <v>20</v>
      </c>
      <c r="I51" s="2" t="s">
        <v>20</v>
      </c>
    </row>
    <row r="52" spans="1:9" ht="14.5" x14ac:dyDescent="0.35">
      <c r="A52" s="2">
        <v>1045851</v>
      </c>
      <c r="B52" s="2" t="str">
        <f>"3216092606780008"</f>
        <v>3216092606780008</v>
      </c>
      <c r="C52" s="2" t="s">
        <v>127</v>
      </c>
      <c r="D52" s="2" t="s">
        <v>10</v>
      </c>
      <c r="E52" s="2" t="s">
        <v>11</v>
      </c>
      <c r="F52" s="2" t="s">
        <v>91</v>
      </c>
      <c r="G52" s="2" t="s">
        <v>92</v>
      </c>
      <c r="H52" s="2" t="s">
        <v>128</v>
      </c>
      <c r="I52" s="2" t="s">
        <v>129</v>
      </c>
    </row>
    <row r="53" spans="1:9" ht="14.5" x14ac:dyDescent="0.35">
      <c r="A53" s="2">
        <v>2518762</v>
      </c>
      <c r="B53" s="2" t="str">
        <f>"3216092606780008"</f>
        <v>3216092606780008</v>
      </c>
      <c r="C53" s="2" t="s">
        <v>130</v>
      </c>
      <c r="D53" s="2" t="s">
        <v>17</v>
      </c>
      <c r="E53" s="2" t="s">
        <v>11</v>
      </c>
      <c r="F53" s="2" t="s">
        <v>18</v>
      </c>
      <c r="G53" s="2" t="s">
        <v>19</v>
      </c>
      <c r="H53" s="2" t="s">
        <v>20</v>
      </c>
      <c r="I53" s="2" t="s">
        <v>131</v>
      </c>
    </row>
    <row r="54" spans="1:9" ht="14.5" x14ac:dyDescent="0.35">
      <c r="A54" s="2">
        <v>1045852</v>
      </c>
      <c r="B54" s="2" t="str">
        <f>"3216096010050006"</f>
        <v>3216096010050006</v>
      </c>
      <c r="C54" s="2" t="s">
        <v>132</v>
      </c>
      <c r="D54" s="2" t="s">
        <v>10</v>
      </c>
      <c r="E54" s="2" t="s">
        <v>11</v>
      </c>
      <c r="F54" s="2" t="s">
        <v>91</v>
      </c>
      <c r="G54" s="2" t="s">
        <v>92</v>
      </c>
      <c r="H54" s="2" t="s">
        <v>128</v>
      </c>
      <c r="I54" s="2" t="s">
        <v>129</v>
      </c>
    </row>
    <row r="55" spans="1:9" ht="14.5" x14ac:dyDescent="0.35">
      <c r="A55" s="2">
        <v>2518764</v>
      </c>
      <c r="B55" s="2" t="str">
        <f>"3216096010050006"</f>
        <v>3216096010050006</v>
      </c>
      <c r="C55" s="2" t="s">
        <v>133</v>
      </c>
      <c r="D55" s="2" t="s">
        <v>17</v>
      </c>
      <c r="E55" s="2" t="s">
        <v>11</v>
      </c>
      <c r="F55" s="2" t="s">
        <v>18</v>
      </c>
      <c r="G55" s="2" t="s">
        <v>19</v>
      </c>
      <c r="H55" s="2" t="s">
        <v>20</v>
      </c>
      <c r="I55" s="2" t="s">
        <v>131</v>
      </c>
    </row>
    <row r="56" spans="1:9" ht="14.5" x14ac:dyDescent="0.35">
      <c r="A56" s="2">
        <v>1045853</v>
      </c>
      <c r="B56" s="2" t="str">
        <f>"3216096402820007"</f>
        <v>3216096402820007</v>
      </c>
      <c r="C56" s="2" t="s">
        <v>134</v>
      </c>
      <c r="D56" s="2" t="s">
        <v>10</v>
      </c>
      <c r="E56" s="2" t="s">
        <v>11</v>
      </c>
      <c r="F56" s="2" t="s">
        <v>91</v>
      </c>
      <c r="G56" s="2" t="s">
        <v>92</v>
      </c>
      <c r="H56" s="2" t="s">
        <v>128</v>
      </c>
      <c r="I56" s="2" t="s">
        <v>129</v>
      </c>
    </row>
    <row r="57" spans="1:9" ht="14.5" x14ac:dyDescent="0.35">
      <c r="A57" s="2">
        <v>2518763</v>
      </c>
      <c r="B57" s="2" t="str">
        <f>"3216096402820007"</f>
        <v>3216096402820007</v>
      </c>
      <c r="C57" s="2" t="s">
        <v>135</v>
      </c>
      <c r="D57" s="2" t="s">
        <v>17</v>
      </c>
      <c r="E57" s="2" t="s">
        <v>11</v>
      </c>
      <c r="F57" s="2" t="s">
        <v>18</v>
      </c>
      <c r="G57" s="2" t="s">
        <v>19</v>
      </c>
      <c r="H57" s="2" t="s">
        <v>20</v>
      </c>
      <c r="I57" s="2" t="s">
        <v>131</v>
      </c>
    </row>
    <row r="58" spans="1:9" ht="14.5" x14ac:dyDescent="0.35">
      <c r="A58" s="2">
        <v>1085168</v>
      </c>
      <c r="B58" s="2" t="str">
        <f>"3217031511830008"</f>
        <v>3217031511830008</v>
      </c>
      <c r="C58" s="2" t="s">
        <v>136</v>
      </c>
      <c r="D58" s="2" t="s">
        <v>10</v>
      </c>
      <c r="E58" s="2" t="s">
        <v>11</v>
      </c>
      <c r="F58" s="2" t="s">
        <v>91</v>
      </c>
      <c r="G58" s="2" t="s">
        <v>137</v>
      </c>
      <c r="H58" s="2" t="s">
        <v>138</v>
      </c>
      <c r="I58" s="2" t="s">
        <v>139</v>
      </c>
    </row>
    <row r="59" spans="1:9" ht="14.5" x14ac:dyDescent="0.35">
      <c r="A59" s="2">
        <v>2519193</v>
      </c>
      <c r="B59" s="2" t="str">
        <f>"3217031511830008"</f>
        <v>3217031511830008</v>
      </c>
      <c r="C59" s="2" t="s">
        <v>140</v>
      </c>
      <c r="D59" s="2" t="s">
        <v>17</v>
      </c>
      <c r="E59" s="2" t="s">
        <v>11</v>
      </c>
      <c r="F59" s="2" t="s">
        <v>18</v>
      </c>
      <c r="G59" s="2" t="s">
        <v>19</v>
      </c>
      <c r="H59" s="2" t="s">
        <v>20</v>
      </c>
      <c r="I59" s="2" t="s">
        <v>76</v>
      </c>
    </row>
    <row r="60" spans="1:9" ht="14.5" x14ac:dyDescent="0.35">
      <c r="A60" s="2">
        <v>532233</v>
      </c>
      <c r="B60" s="2" t="str">
        <f>"3217081207630011"</f>
        <v>3217081207630011</v>
      </c>
      <c r="C60" s="2" t="s">
        <v>141</v>
      </c>
      <c r="D60" s="2" t="s">
        <v>10</v>
      </c>
      <c r="E60" s="2" t="s">
        <v>11</v>
      </c>
      <c r="F60" s="2" t="s">
        <v>91</v>
      </c>
      <c r="G60" s="2" t="s">
        <v>137</v>
      </c>
      <c r="H60" s="2" t="s">
        <v>142</v>
      </c>
      <c r="I60" s="2" t="s">
        <v>143</v>
      </c>
    </row>
    <row r="61" spans="1:9" ht="14.5" x14ac:dyDescent="0.35">
      <c r="A61" s="2">
        <v>2520505</v>
      </c>
      <c r="B61" s="2" t="str">
        <f>"3217081207630011"</f>
        <v>3217081207630011</v>
      </c>
      <c r="C61" s="2" t="s">
        <v>144</v>
      </c>
      <c r="D61" s="2" t="s">
        <v>17</v>
      </c>
      <c r="E61" s="2" t="s">
        <v>11</v>
      </c>
      <c r="F61" s="2" t="s">
        <v>18</v>
      </c>
      <c r="G61" s="2" t="s">
        <v>19</v>
      </c>
      <c r="H61" s="2" t="s">
        <v>20</v>
      </c>
      <c r="I61" s="2" t="s">
        <v>145</v>
      </c>
    </row>
    <row r="62" spans="1:9" ht="14.5" x14ac:dyDescent="0.35">
      <c r="A62" s="2">
        <v>532064</v>
      </c>
      <c r="B62" s="2" t="str">
        <f>"3217084309020010"</f>
        <v>3217084309020010</v>
      </c>
      <c r="C62" s="2" t="s">
        <v>146</v>
      </c>
      <c r="D62" s="2" t="s">
        <v>10</v>
      </c>
      <c r="E62" s="2" t="s">
        <v>11</v>
      </c>
      <c r="F62" s="2" t="s">
        <v>91</v>
      </c>
      <c r="G62" s="2" t="s">
        <v>137</v>
      </c>
      <c r="H62" s="2" t="s">
        <v>142</v>
      </c>
      <c r="I62" s="2" t="s">
        <v>143</v>
      </c>
    </row>
    <row r="63" spans="1:9" ht="14.5" x14ac:dyDescent="0.35">
      <c r="A63" s="2">
        <v>2520501</v>
      </c>
      <c r="B63" s="2" t="str">
        <f>"3217084309020010"</f>
        <v>3217084309020010</v>
      </c>
      <c r="C63" s="2" t="s">
        <v>147</v>
      </c>
      <c r="D63" s="2" t="s">
        <v>17</v>
      </c>
      <c r="E63" s="2" t="s">
        <v>11</v>
      </c>
      <c r="F63" s="2" t="s">
        <v>18</v>
      </c>
      <c r="G63" s="2" t="s">
        <v>19</v>
      </c>
      <c r="H63" s="2" t="s">
        <v>20</v>
      </c>
      <c r="I63" s="2" t="s">
        <v>145</v>
      </c>
    </row>
    <row r="64" spans="1:9" ht="14.5" x14ac:dyDescent="0.35">
      <c r="A64" s="2">
        <v>1676218</v>
      </c>
      <c r="B64" s="2" t="str">
        <f>"3273010310960004"</f>
        <v>3273010310960004</v>
      </c>
      <c r="C64" s="2" t="s">
        <v>148</v>
      </c>
      <c r="D64" s="2" t="s">
        <v>10</v>
      </c>
      <c r="E64" s="2" t="s">
        <v>11</v>
      </c>
      <c r="F64" s="2" t="s">
        <v>91</v>
      </c>
      <c r="G64" s="2" t="s">
        <v>149</v>
      </c>
      <c r="H64" s="2" t="s">
        <v>150</v>
      </c>
      <c r="I64" s="2" t="s">
        <v>151</v>
      </c>
    </row>
    <row r="65" spans="1:9" ht="14.5" x14ac:dyDescent="0.35">
      <c r="A65" s="2">
        <v>2520045</v>
      </c>
      <c r="B65" s="2" t="str">
        <f>"3273010310960004"</f>
        <v>3273010310960004</v>
      </c>
      <c r="C65" s="2" t="s">
        <v>148</v>
      </c>
      <c r="D65" s="2" t="s">
        <v>17</v>
      </c>
      <c r="E65" s="2" t="s">
        <v>11</v>
      </c>
      <c r="F65" s="2" t="s">
        <v>18</v>
      </c>
      <c r="G65" s="2" t="s">
        <v>19</v>
      </c>
      <c r="H65" s="2" t="s">
        <v>20</v>
      </c>
      <c r="I65" s="2" t="s">
        <v>21</v>
      </c>
    </row>
    <row r="66" spans="1:9" ht="14.5" x14ac:dyDescent="0.35">
      <c r="A66" s="2">
        <v>1676220</v>
      </c>
      <c r="B66" s="2" t="str">
        <f>"3273013112740007"</f>
        <v>3273013112740007</v>
      </c>
      <c r="C66" s="2" t="s">
        <v>152</v>
      </c>
      <c r="D66" s="2" t="s">
        <v>10</v>
      </c>
      <c r="E66" s="2" t="s">
        <v>11</v>
      </c>
      <c r="F66" s="2" t="s">
        <v>91</v>
      </c>
      <c r="G66" s="2" t="s">
        <v>149</v>
      </c>
      <c r="H66" s="2" t="s">
        <v>150</v>
      </c>
      <c r="I66" s="2" t="s">
        <v>151</v>
      </c>
    </row>
    <row r="67" spans="1:9" ht="14.5" x14ac:dyDescent="0.35">
      <c r="A67" s="2">
        <v>2520050</v>
      </c>
      <c r="B67" s="2" t="str">
        <f>"3273013112740007"</f>
        <v>3273013112740007</v>
      </c>
      <c r="C67" s="2" t="s">
        <v>152</v>
      </c>
      <c r="D67" s="2" t="s">
        <v>17</v>
      </c>
      <c r="E67" s="2" t="s">
        <v>11</v>
      </c>
      <c r="F67" s="2" t="s">
        <v>18</v>
      </c>
      <c r="G67" s="2" t="s">
        <v>19</v>
      </c>
      <c r="H67" s="2" t="s">
        <v>20</v>
      </c>
      <c r="I67" s="2" t="s">
        <v>21</v>
      </c>
    </row>
    <row r="68" spans="1:9" ht="14.5" x14ac:dyDescent="0.35">
      <c r="A68" s="2">
        <v>1676219</v>
      </c>
      <c r="B68" s="2" t="str">
        <f>"3273014501790007"</f>
        <v>3273014501790007</v>
      </c>
      <c r="C68" s="2" t="s">
        <v>153</v>
      </c>
      <c r="D68" s="2" t="s">
        <v>10</v>
      </c>
      <c r="E68" s="2" t="s">
        <v>11</v>
      </c>
      <c r="F68" s="2" t="s">
        <v>91</v>
      </c>
      <c r="G68" s="2" t="s">
        <v>149</v>
      </c>
      <c r="H68" s="2" t="s">
        <v>150</v>
      </c>
      <c r="I68" s="2" t="s">
        <v>151</v>
      </c>
    </row>
    <row r="69" spans="1:9" ht="14.5" x14ac:dyDescent="0.35">
      <c r="A69" s="2">
        <v>2520051</v>
      </c>
      <c r="B69" s="2" t="str">
        <f>"3273014501790007"</f>
        <v>3273014501790007</v>
      </c>
      <c r="C69" s="2" t="s">
        <v>153</v>
      </c>
      <c r="D69" s="2" t="s">
        <v>17</v>
      </c>
      <c r="E69" s="2" t="s">
        <v>11</v>
      </c>
      <c r="F69" s="2" t="s">
        <v>18</v>
      </c>
      <c r="G69" s="2" t="s">
        <v>19</v>
      </c>
      <c r="H69" s="2" t="s">
        <v>20</v>
      </c>
      <c r="I69" s="2" t="s">
        <v>21</v>
      </c>
    </row>
    <row r="70" spans="1:9" ht="14.5" x14ac:dyDescent="0.35">
      <c r="A70" s="2">
        <v>46729</v>
      </c>
      <c r="B70" s="2" t="str">
        <f>"3274015212990006"</f>
        <v>3274015212990006</v>
      </c>
      <c r="C70" s="2" t="s">
        <v>154</v>
      </c>
      <c r="D70" s="2" t="s">
        <v>10</v>
      </c>
      <c r="E70" s="2" t="s">
        <v>11</v>
      </c>
      <c r="F70" s="2" t="s">
        <v>91</v>
      </c>
      <c r="G70" s="2" t="s">
        <v>155</v>
      </c>
      <c r="H70" s="2" t="s">
        <v>156</v>
      </c>
      <c r="I70" s="2" t="s">
        <v>157</v>
      </c>
    </row>
    <row r="71" spans="1:9" ht="14.5" x14ac:dyDescent="0.35">
      <c r="A71" s="2">
        <v>2572903</v>
      </c>
      <c r="B71" s="2" t="str">
        <f>"3274015212990006"</f>
        <v>3274015212990006</v>
      </c>
      <c r="C71" s="2" t="s">
        <v>154</v>
      </c>
      <c r="D71" s="2" t="s">
        <v>17</v>
      </c>
      <c r="E71" s="2" t="s">
        <v>11</v>
      </c>
      <c r="F71" s="2" t="s">
        <v>18</v>
      </c>
      <c r="G71" s="2" t="s">
        <v>19</v>
      </c>
      <c r="H71" s="2" t="s">
        <v>20</v>
      </c>
      <c r="I71" s="2" t="s">
        <v>53</v>
      </c>
    </row>
    <row r="72" spans="1:9" ht="14.5" x14ac:dyDescent="0.35">
      <c r="A72" s="2">
        <v>1349001</v>
      </c>
      <c r="B72" s="2" t="str">
        <f>"3275054108930011"</f>
        <v>3275054108930011</v>
      </c>
      <c r="C72" s="2" t="s">
        <v>158</v>
      </c>
      <c r="D72" s="2" t="s">
        <v>10</v>
      </c>
      <c r="E72" s="2" t="s">
        <v>11</v>
      </c>
      <c r="F72" s="2" t="s">
        <v>91</v>
      </c>
      <c r="G72" s="2" t="s">
        <v>159</v>
      </c>
      <c r="H72" s="2" t="s">
        <v>160</v>
      </c>
      <c r="I72" s="2" t="s">
        <v>161</v>
      </c>
    </row>
    <row r="73" spans="1:9" ht="14.5" x14ac:dyDescent="0.35">
      <c r="A73" s="2">
        <v>2519619</v>
      </c>
      <c r="B73" s="2" t="str">
        <f>"3275054108930011"</f>
        <v>3275054108930011</v>
      </c>
      <c r="C73" s="2" t="s">
        <v>158</v>
      </c>
      <c r="D73" s="2" t="s">
        <v>17</v>
      </c>
      <c r="E73" s="2" t="s">
        <v>11</v>
      </c>
      <c r="F73" s="2" t="s">
        <v>18</v>
      </c>
      <c r="G73" s="2" t="s">
        <v>19</v>
      </c>
      <c r="H73" s="2" t="s">
        <v>20</v>
      </c>
      <c r="I73" s="2" t="s">
        <v>20</v>
      </c>
    </row>
    <row r="74" spans="1:9" ht="14.5" x14ac:dyDescent="0.35">
      <c r="A74" s="2">
        <v>1531164</v>
      </c>
      <c r="B74" s="2" t="str">
        <f>"3301021404830009"</f>
        <v>3301021404830009</v>
      </c>
      <c r="C74" s="2" t="s">
        <v>162</v>
      </c>
      <c r="D74" s="2" t="s">
        <v>10</v>
      </c>
      <c r="E74" s="2" t="s">
        <v>11</v>
      </c>
      <c r="F74" s="2" t="s">
        <v>18</v>
      </c>
      <c r="G74" s="2" t="s">
        <v>19</v>
      </c>
      <c r="H74" s="2" t="s">
        <v>20</v>
      </c>
      <c r="I74" s="2" t="s">
        <v>21</v>
      </c>
    </row>
    <row r="75" spans="1:9" ht="14.5" x14ac:dyDescent="0.35">
      <c r="A75" s="2">
        <v>3060271</v>
      </c>
      <c r="B75" s="2" t="str">
        <f>"3301021404830009"</f>
        <v>3301021404830009</v>
      </c>
      <c r="C75" s="2" t="s">
        <v>162</v>
      </c>
      <c r="D75" s="2" t="s">
        <v>17</v>
      </c>
      <c r="E75" s="2" t="s">
        <v>11</v>
      </c>
      <c r="F75" s="2" t="s">
        <v>18</v>
      </c>
      <c r="G75" s="2" t="s">
        <v>163</v>
      </c>
      <c r="H75" s="2" t="s">
        <v>164</v>
      </c>
      <c r="I75" s="2" t="s">
        <v>165</v>
      </c>
    </row>
    <row r="76" spans="1:9" ht="14.5" x14ac:dyDescent="0.35">
      <c r="A76" s="2">
        <v>1648216</v>
      </c>
      <c r="B76" s="2" t="str">
        <f>"3302256804060004"</f>
        <v>3302256804060004</v>
      </c>
      <c r="C76" s="2" t="s">
        <v>166</v>
      </c>
      <c r="D76" s="2" t="s">
        <v>17</v>
      </c>
      <c r="E76" s="2" t="s">
        <v>11</v>
      </c>
      <c r="F76" s="2" t="s">
        <v>18</v>
      </c>
      <c r="G76" s="2" t="s">
        <v>167</v>
      </c>
      <c r="H76" s="2" t="s">
        <v>168</v>
      </c>
      <c r="I76" s="2" t="s">
        <v>169</v>
      </c>
    </row>
    <row r="77" spans="1:9" ht="14.5" x14ac:dyDescent="0.35">
      <c r="A77" s="2">
        <v>2521425</v>
      </c>
      <c r="B77" s="2" t="str">
        <f>"3302256804060004"</f>
        <v>3302256804060004</v>
      </c>
      <c r="C77" s="2" t="s">
        <v>166</v>
      </c>
      <c r="D77" s="2" t="s">
        <v>17</v>
      </c>
      <c r="E77" s="2" t="s">
        <v>11</v>
      </c>
      <c r="F77" s="2" t="s">
        <v>18</v>
      </c>
      <c r="G77" s="2" t="s">
        <v>19</v>
      </c>
      <c r="H77" s="2" t="s">
        <v>20</v>
      </c>
      <c r="I77" s="2" t="s">
        <v>48</v>
      </c>
    </row>
    <row r="78" spans="1:9" ht="14.5" x14ac:dyDescent="0.35">
      <c r="A78" s="2">
        <v>835894</v>
      </c>
      <c r="B78" s="2" t="str">
        <f>"3305064806990005"</f>
        <v>3305064806990005</v>
      </c>
      <c r="C78" s="2" t="s">
        <v>170</v>
      </c>
      <c r="D78" s="2" t="s">
        <v>10</v>
      </c>
      <c r="E78" s="2" t="s">
        <v>11</v>
      </c>
      <c r="F78" s="2" t="s">
        <v>18</v>
      </c>
      <c r="G78" s="2" t="s">
        <v>171</v>
      </c>
      <c r="H78" s="2" t="s">
        <v>172</v>
      </c>
      <c r="I78" s="2" t="s">
        <v>173</v>
      </c>
    </row>
    <row r="79" spans="1:9" ht="14.5" x14ac:dyDescent="0.35">
      <c r="A79" s="2">
        <v>2573030</v>
      </c>
      <c r="B79" s="2" t="str">
        <f>"3305064806990005"</f>
        <v>3305064806990005</v>
      </c>
      <c r="C79" s="2" t="s">
        <v>170</v>
      </c>
      <c r="D79" s="2" t="s">
        <v>17</v>
      </c>
      <c r="E79" s="2" t="s">
        <v>11</v>
      </c>
      <c r="F79" s="2" t="s">
        <v>18</v>
      </c>
      <c r="G79" s="2" t="s">
        <v>19</v>
      </c>
      <c r="H79" s="2" t="s">
        <v>20</v>
      </c>
      <c r="I79" s="2" t="s">
        <v>53</v>
      </c>
    </row>
    <row r="80" spans="1:9" ht="14.5" x14ac:dyDescent="0.35">
      <c r="A80" s="2">
        <v>1465633</v>
      </c>
      <c r="B80" s="2" t="str">
        <f>"3315023112020009"</f>
        <v>3315023112020009</v>
      </c>
      <c r="C80" s="2" t="s">
        <v>174</v>
      </c>
      <c r="D80" s="2" t="s">
        <v>10</v>
      </c>
      <c r="E80" s="2" t="s">
        <v>11</v>
      </c>
      <c r="F80" s="2" t="s">
        <v>18</v>
      </c>
      <c r="G80" s="2" t="s">
        <v>19</v>
      </c>
      <c r="H80" s="2" t="s">
        <v>20</v>
      </c>
      <c r="I80" s="2" t="s">
        <v>145</v>
      </c>
    </row>
    <row r="81" spans="1:9" ht="14.5" x14ac:dyDescent="0.35">
      <c r="A81" s="2">
        <v>3104922</v>
      </c>
      <c r="B81" s="2" t="str">
        <f>"3315023112020009"</f>
        <v>3315023112020009</v>
      </c>
      <c r="C81" s="2" t="s">
        <v>175</v>
      </c>
      <c r="D81" s="2" t="s">
        <v>17</v>
      </c>
      <c r="E81" s="2" t="s">
        <v>11</v>
      </c>
      <c r="F81" s="2" t="s">
        <v>18</v>
      </c>
      <c r="G81" s="2" t="s">
        <v>163</v>
      </c>
      <c r="H81" s="2" t="s">
        <v>176</v>
      </c>
      <c r="I81" s="2" t="s">
        <v>177</v>
      </c>
    </row>
    <row r="82" spans="1:9" ht="14.5" x14ac:dyDescent="0.35">
      <c r="A82" s="2">
        <v>2060341</v>
      </c>
      <c r="B82" s="2" t="str">
        <f>"3317046107900001"</f>
        <v>3317046107900001</v>
      </c>
      <c r="C82" s="2" t="s">
        <v>178</v>
      </c>
      <c r="D82" s="2" t="s">
        <v>10</v>
      </c>
      <c r="E82" s="2" t="s">
        <v>11</v>
      </c>
      <c r="F82" s="2" t="s">
        <v>18</v>
      </c>
      <c r="G82" s="2" t="s">
        <v>19</v>
      </c>
      <c r="H82" s="2" t="s">
        <v>20</v>
      </c>
      <c r="I82" s="2" t="s">
        <v>20</v>
      </c>
    </row>
    <row r="83" spans="1:9" ht="14.5" x14ac:dyDescent="0.35">
      <c r="A83" s="2">
        <v>1175129</v>
      </c>
      <c r="B83" s="2" t="str">
        <f>"3317046107900001"</f>
        <v>3317046107900001</v>
      </c>
      <c r="C83" s="2" t="s">
        <v>179</v>
      </c>
      <c r="D83" s="2" t="s">
        <v>10</v>
      </c>
      <c r="E83" s="2" t="s">
        <v>11</v>
      </c>
      <c r="F83" s="2" t="s">
        <v>18</v>
      </c>
      <c r="G83" s="2" t="s">
        <v>180</v>
      </c>
      <c r="H83" s="2" t="s">
        <v>181</v>
      </c>
      <c r="I83" s="2" t="s">
        <v>182</v>
      </c>
    </row>
    <row r="84" spans="1:9" ht="14.5" x14ac:dyDescent="0.35">
      <c r="A84" s="2">
        <v>1037183</v>
      </c>
      <c r="B84" s="2" t="str">
        <f>"3324104412020002"</f>
        <v>3324104412020002</v>
      </c>
      <c r="C84" s="2" t="s">
        <v>183</v>
      </c>
      <c r="D84" s="2" t="s">
        <v>10</v>
      </c>
      <c r="E84" s="2" t="s">
        <v>11</v>
      </c>
      <c r="F84" s="2" t="s">
        <v>18</v>
      </c>
      <c r="G84" s="2" t="s">
        <v>184</v>
      </c>
      <c r="H84" s="2" t="s">
        <v>185</v>
      </c>
      <c r="I84" s="2" t="s">
        <v>186</v>
      </c>
    </row>
    <row r="85" spans="1:9" ht="14.5" x14ac:dyDescent="0.35">
      <c r="A85" s="2">
        <v>2574145</v>
      </c>
      <c r="B85" s="2" t="str">
        <f>"3324104412020002"</f>
        <v>3324104412020002</v>
      </c>
      <c r="C85" s="2" t="s">
        <v>187</v>
      </c>
      <c r="D85" s="2" t="s">
        <v>17</v>
      </c>
      <c r="E85" s="2" t="s">
        <v>11</v>
      </c>
      <c r="F85" s="2" t="s">
        <v>18</v>
      </c>
      <c r="G85" s="2" t="s">
        <v>19</v>
      </c>
      <c r="H85" s="2" t="s">
        <v>20</v>
      </c>
      <c r="I85" s="2" t="s">
        <v>20</v>
      </c>
    </row>
    <row r="86" spans="1:9" ht="14.5" x14ac:dyDescent="0.35">
      <c r="A86" s="2">
        <v>537927</v>
      </c>
      <c r="B86" s="2" t="str">
        <f>"3325097005970001"</f>
        <v>3325097005970001</v>
      </c>
      <c r="C86" s="2" t="s">
        <v>188</v>
      </c>
      <c r="D86" s="2" t="s">
        <v>189</v>
      </c>
      <c r="E86" s="2" t="s">
        <v>11</v>
      </c>
      <c r="F86" s="2" t="s">
        <v>18</v>
      </c>
      <c r="G86" s="2" t="s">
        <v>190</v>
      </c>
      <c r="H86" s="2" t="s">
        <v>191</v>
      </c>
      <c r="I86" s="2" t="s">
        <v>192</v>
      </c>
    </row>
    <row r="87" spans="1:9" ht="14.5" x14ac:dyDescent="0.35">
      <c r="A87" s="2">
        <v>2519846</v>
      </c>
      <c r="B87" s="2" t="str">
        <f>"3325097005970001"</f>
        <v>3325097005970001</v>
      </c>
      <c r="C87" s="2" t="s">
        <v>188</v>
      </c>
      <c r="D87" s="2" t="s">
        <v>17</v>
      </c>
      <c r="E87" s="2" t="s">
        <v>11</v>
      </c>
      <c r="F87" s="2" t="s">
        <v>18</v>
      </c>
      <c r="G87" s="2" t="s">
        <v>19</v>
      </c>
      <c r="H87" s="2" t="s">
        <v>20</v>
      </c>
      <c r="I87" s="2" t="s">
        <v>21</v>
      </c>
    </row>
    <row r="88" spans="1:9" ht="14.5" x14ac:dyDescent="0.35">
      <c r="A88" s="2">
        <v>2058305</v>
      </c>
      <c r="B88" s="2" t="str">
        <f>"3326094308770002"</f>
        <v>3326094308770002</v>
      </c>
      <c r="C88" s="2" t="s">
        <v>193</v>
      </c>
      <c r="D88" s="2" t="s">
        <v>10</v>
      </c>
      <c r="E88" s="2" t="s">
        <v>11</v>
      </c>
      <c r="F88" s="2" t="s">
        <v>18</v>
      </c>
      <c r="G88" s="2" t="s">
        <v>19</v>
      </c>
      <c r="H88" s="2" t="s">
        <v>20</v>
      </c>
      <c r="I88" s="2" t="s">
        <v>20</v>
      </c>
    </row>
    <row r="89" spans="1:9" ht="14.5" x14ac:dyDescent="0.35">
      <c r="A89" s="2">
        <v>1555244</v>
      </c>
      <c r="B89" s="2" t="str">
        <f>"3326094308770002"</f>
        <v>3326094308770002</v>
      </c>
      <c r="C89" s="2" t="s">
        <v>194</v>
      </c>
      <c r="D89" s="2" t="s">
        <v>17</v>
      </c>
      <c r="E89" s="2" t="s">
        <v>11</v>
      </c>
      <c r="F89" s="2" t="s">
        <v>18</v>
      </c>
      <c r="G89" s="2" t="s">
        <v>195</v>
      </c>
      <c r="H89" s="2" t="s">
        <v>196</v>
      </c>
      <c r="I89" s="2" t="s">
        <v>197</v>
      </c>
    </row>
    <row r="90" spans="1:9" ht="14.5" x14ac:dyDescent="0.35">
      <c r="A90" s="2">
        <v>2411174</v>
      </c>
      <c r="B90" s="2" t="str">
        <f>"3327103005870001"</f>
        <v>3327103005870001</v>
      </c>
      <c r="C90" s="2" t="s">
        <v>198</v>
      </c>
      <c r="D90" s="2" t="s">
        <v>10</v>
      </c>
      <c r="E90" s="2" t="s">
        <v>11</v>
      </c>
      <c r="F90" s="2" t="s">
        <v>18</v>
      </c>
      <c r="G90" s="2" t="s">
        <v>19</v>
      </c>
      <c r="H90" s="2" t="s">
        <v>20</v>
      </c>
      <c r="I90" s="2" t="s">
        <v>55</v>
      </c>
    </row>
    <row r="91" spans="1:9" ht="14.5" x14ac:dyDescent="0.35">
      <c r="A91" s="2">
        <v>2656191</v>
      </c>
      <c r="B91" s="2" t="str">
        <f>"3327103005870001"</f>
        <v>3327103005870001</v>
      </c>
      <c r="C91" s="2" t="s">
        <v>198</v>
      </c>
      <c r="D91" s="2" t="s">
        <v>17</v>
      </c>
      <c r="E91" s="2" t="s">
        <v>11</v>
      </c>
      <c r="F91" s="2" t="s">
        <v>18</v>
      </c>
      <c r="G91" s="2" t="s">
        <v>199</v>
      </c>
      <c r="H91" s="2" t="s">
        <v>200</v>
      </c>
      <c r="I91" s="2" t="s">
        <v>201</v>
      </c>
    </row>
    <row r="92" spans="1:9" ht="14.5" x14ac:dyDescent="0.35">
      <c r="A92" s="2">
        <v>1838050</v>
      </c>
      <c r="B92" s="2" t="str">
        <f>"3327141304900002"</f>
        <v>3327141304900002</v>
      </c>
      <c r="C92" s="2" t="s">
        <v>202</v>
      </c>
      <c r="D92" s="2" t="s">
        <v>10</v>
      </c>
      <c r="E92" s="2" t="s">
        <v>11</v>
      </c>
      <c r="F92" s="2" t="s">
        <v>18</v>
      </c>
      <c r="G92" s="2" t="s">
        <v>199</v>
      </c>
      <c r="H92" s="2" t="s">
        <v>203</v>
      </c>
      <c r="I92" s="2" t="s">
        <v>203</v>
      </c>
    </row>
    <row r="93" spans="1:9" ht="14.5" x14ac:dyDescent="0.35">
      <c r="A93" s="2">
        <v>2573031</v>
      </c>
      <c r="B93" s="2" t="str">
        <f>"3327141304900002"</f>
        <v>3327141304900002</v>
      </c>
      <c r="C93" s="2" t="s">
        <v>202</v>
      </c>
      <c r="D93" s="2" t="s">
        <v>17</v>
      </c>
      <c r="E93" s="2" t="s">
        <v>11</v>
      </c>
      <c r="F93" s="2" t="s">
        <v>18</v>
      </c>
      <c r="G93" s="2" t="s">
        <v>19</v>
      </c>
      <c r="H93" s="2" t="s">
        <v>20</v>
      </c>
      <c r="I93" s="2" t="s">
        <v>53</v>
      </c>
    </row>
    <row r="94" spans="1:9" ht="14.5" x14ac:dyDescent="0.35">
      <c r="A94" s="2">
        <v>2057049</v>
      </c>
      <c r="B94" s="2" t="str">
        <f>"3328010107810080"</f>
        <v>3328010107810080</v>
      </c>
      <c r="C94" s="2" t="s">
        <v>204</v>
      </c>
      <c r="D94" s="2" t="s">
        <v>10</v>
      </c>
      <c r="E94" s="2" t="s">
        <v>11</v>
      </c>
      <c r="F94" s="2" t="s">
        <v>18</v>
      </c>
      <c r="G94" s="2" t="s">
        <v>19</v>
      </c>
      <c r="H94" s="2" t="s">
        <v>20</v>
      </c>
      <c r="I94" s="2" t="s">
        <v>20</v>
      </c>
    </row>
    <row r="95" spans="1:9" ht="14.5" x14ac:dyDescent="0.35">
      <c r="A95" s="2">
        <v>1941640</v>
      </c>
      <c r="B95" s="2" t="str">
        <f>"3328010107810080"</f>
        <v>3328010107810080</v>
      </c>
      <c r="C95" s="2" t="s">
        <v>204</v>
      </c>
      <c r="D95" s="2" t="s">
        <v>17</v>
      </c>
      <c r="E95" s="2" t="s">
        <v>11</v>
      </c>
      <c r="F95" s="2" t="s">
        <v>50</v>
      </c>
      <c r="G95" s="2" t="s">
        <v>86</v>
      </c>
      <c r="H95" s="2" t="s">
        <v>205</v>
      </c>
      <c r="I95" s="2" t="s">
        <v>206</v>
      </c>
    </row>
    <row r="96" spans="1:9" ht="14.5" x14ac:dyDescent="0.35">
      <c r="A96" s="2">
        <v>2063387</v>
      </c>
      <c r="B96" s="2" t="str">
        <f>"3328010107870203"</f>
        <v>3328010107870203</v>
      </c>
      <c r="C96" s="2" t="s">
        <v>207</v>
      </c>
      <c r="D96" s="2" t="s">
        <v>10</v>
      </c>
      <c r="E96" s="2" t="s">
        <v>11</v>
      </c>
      <c r="F96" s="2" t="s">
        <v>18</v>
      </c>
      <c r="G96" s="2" t="s">
        <v>19</v>
      </c>
      <c r="H96" s="2" t="s">
        <v>20</v>
      </c>
      <c r="I96" s="2" t="s">
        <v>20</v>
      </c>
    </row>
    <row r="97" spans="1:9" ht="14.5" x14ac:dyDescent="0.35">
      <c r="A97" s="2">
        <v>2662156</v>
      </c>
      <c r="B97" s="2" t="str">
        <f>"3328010107870203"</f>
        <v>3328010107870203</v>
      </c>
      <c r="C97" s="2" t="s">
        <v>207</v>
      </c>
      <c r="D97" s="2" t="s">
        <v>10</v>
      </c>
      <c r="E97" s="2" t="s">
        <v>57</v>
      </c>
      <c r="F97" s="2" t="s">
        <v>18</v>
      </c>
      <c r="G97" s="2" t="s">
        <v>199</v>
      </c>
      <c r="H97" s="2" t="s">
        <v>208</v>
      </c>
      <c r="I97" s="2" t="s">
        <v>209</v>
      </c>
    </row>
    <row r="98" spans="1:9" ht="14.5" x14ac:dyDescent="0.35">
      <c r="A98" s="2">
        <v>60946</v>
      </c>
      <c r="B98" s="2" t="str">
        <f>"3328010108490002"</f>
        <v>3328010108490002</v>
      </c>
      <c r="C98" s="2" t="s">
        <v>210</v>
      </c>
      <c r="D98" s="2" t="s">
        <v>10</v>
      </c>
      <c r="E98" s="2" t="s">
        <v>11</v>
      </c>
      <c r="F98" s="2" t="s">
        <v>211</v>
      </c>
      <c r="G98" s="2" t="s">
        <v>212</v>
      </c>
      <c r="H98" s="2" t="s">
        <v>213</v>
      </c>
      <c r="I98" s="2" t="s">
        <v>214</v>
      </c>
    </row>
    <row r="99" spans="1:9" ht="14.5" x14ac:dyDescent="0.35">
      <c r="A99" s="2">
        <v>2520662</v>
      </c>
      <c r="B99" s="2" t="str">
        <f>"3328010108490002"</f>
        <v>3328010108490002</v>
      </c>
      <c r="C99" s="2" t="s">
        <v>215</v>
      </c>
      <c r="D99" s="2" t="s">
        <v>17</v>
      </c>
      <c r="E99" s="2" t="s">
        <v>11</v>
      </c>
      <c r="F99" s="2" t="s">
        <v>18</v>
      </c>
      <c r="G99" s="2" t="s">
        <v>19</v>
      </c>
      <c r="H99" s="2" t="s">
        <v>20</v>
      </c>
      <c r="I99" s="2" t="s">
        <v>48</v>
      </c>
    </row>
    <row r="100" spans="1:9" ht="14.5" x14ac:dyDescent="0.35">
      <c r="A100" s="2">
        <v>2067555</v>
      </c>
      <c r="B100" s="2" t="str">
        <f>"3328010112900007"</f>
        <v>3328010112900007</v>
      </c>
      <c r="C100" s="2" t="s">
        <v>216</v>
      </c>
      <c r="D100" s="2" t="s">
        <v>10</v>
      </c>
      <c r="E100" s="2" t="s">
        <v>11</v>
      </c>
      <c r="F100" s="2" t="s">
        <v>18</v>
      </c>
      <c r="G100" s="2" t="s">
        <v>19</v>
      </c>
      <c r="H100" s="2" t="s">
        <v>20</v>
      </c>
      <c r="I100" s="2" t="s">
        <v>37</v>
      </c>
    </row>
    <row r="101" spans="1:9" ht="14.5" x14ac:dyDescent="0.35">
      <c r="A101" s="2">
        <v>1337201</v>
      </c>
      <c r="B101" s="2" t="str">
        <f>"3328010112900007"</f>
        <v>3328010112900007</v>
      </c>
      <c r="C101" s="2" t="s">
        <v>217</v>
      </c>
      <c r="D101" s="2" t="s">
        <v>17</v>
      </c>
      <c r="E101" s="2" t="s">
        <v>11</v>
      </c>
      <c r="F101" s="2" t="s">
        <v>91</v>
      </c>
      <c r="G101" s="2" t="s">
        <v>137</v>
      </c>
      <c r="H101" s="2" t="s">
        <v>218</v>
      </c>
      <c r="I101" s="2" t="s">
        <v>219</v>
      </c>
    </row>
    <row r="102" spans="1:9" ht="14.5" x14ac:dyDescent="0.35">
      <c r="A102" s="2">
        <v>409953</v>
      </c>
      <c r="B102" s="2" t="str">
        <f>"3328010304840003"</f>
        <v>3328010304840003</v>
      </c>
      <c r="C102" s="2" t="s">
        <v>220</v>
      </c>
      <c r="D102" s="2" t="s">
        <v>10</v>
      </c>
      <c r="E102" s="2" t="s">
        <v>11</v>
      </c>
      <c r="F102" s="2" t="s">
        <v>91</v>
      </c>
      <c r="G102" s="2" t="s">
        <v>221</v>
      </c>
      <c r="H102" s="2" t="s">
        <v>222</v>
      </c>
      <c r="I102" s="2" t="s">
        <v>222</v>
      </c>
    </row>
    <row r="103" spans="1:9" ht="14.5" x14ac:dyDescent="0.35">
      <c r="A103" s="2">
        <v>2518749</v>
      </c>
      <c r="B103" s="2" t="str">
        <f>"3328010304840003"</f>
        <v>3328010304840003</v>
      </c>
      <c r="C103" s="2" t="s">
        <v>223</v>
      </c>
      <c r="D103" s="2" t="s">
        <v>17</v>
      </c>
      <c r="E103" s="2" t="s">
        <v>11</v>
      </c>
      <c r="F103" s="2" t="s">
        <v>18</v>
      </c>
      <c r="G103" s="2" t="s">
        <v>19</v>
      </c>
      <c r="H103" s="2" t="s">
        <v>20</v>
      </c>
      <c r="I103" s="2" t="s">
        <v>131</v>
      </c>
    </row>
    <row r="104" spans="1:9" ht="14.5" x14ac:dyDescent="0.35">
      <c r="A104" s="2">
        <v>1469913</v>
      </c>
      <c r="B104" s="2" t="str">
        <f>"3328010305910006"</f>
        <v>3328010305910006</v>
      </c>
      <c r="C104" s="2" t="s">
        <v>224</v>
      </c>
      <c r="D104" s="2" t="s">
        <v>10</v>
      </c>
      <c r="E104" s="2" t="s">
        <v>11</v>
      </c>
      <c r="F104" s="2" t="s">
        <v>18</v>
      </c>
      <c r="G104" s="2" t="s">
        <v>19</v>
      </c>
      <c r="H104" s="2" t="s">
        <v>20</v>
      </c>
      <c r="I104" s="2" t="s">
        <v>145</v>
      </c>
    </row>
    <row r="105" spans="1:9" ht="14.5" x14ac:dyDescent="0.35">
      <c r="A105" s="2">
        <v>263614</v>
      </c>
      <c r="B105" s="2" t="str">
        <f>"3328010305910006"</f>
        <v>3328010305910006</v>
      </c>
      <c r="C105" s="2" t="s">
        <v>224</v>
      </c>
      <c r="D105" s="2" t="s">
        <v>17</v>
      </c>
      <c r="E105" s="2" t="s">
        <v>11</v>
      </c>
      <c r="F105" s="2" t="s">
        <v>225</v>
      </c>
      <c r="G105" s="2" t="s">
        <v>226</v>
      </c>
      <c r="H105" s="2" t="s">
        <v>227</v>
      </c>
      <c r="I105" s="2" t="s">
        <v>228</v>
      </c>
    </row>
    <row r="106" spans="1:9" ht="14.5" x14ac:dyDescent="0.35">
      <c r="A106" s="2">
        <v>981017</v>
      </c>
      <c r="B106" s="2" t="str">
        <f>"3328010309900004"</f>
        <v>3328010309900004</v>
      </c>
      <c r="C106" s="2" t="s">
        <v>229</v>
      </c>
      <c r="D106" s="2" t="s">
        <v>10</v>
      </c>
      <c r="E106" s="2" t="s">
        <v>11</v>
      </c>
      <c r="F106" s="2" t="s">
        <v>50</v>
      </c>
      <c r="G106" s="2" t="s">
        <v>51</v>
      </c>
      <c r="H106" s="2" t="s">
        <v>78</v>
      </c>
      <c r="I106" s="2" t="s">
        <v>81</v>
      </c>
    </row>
    <row r="107" spans="1:9" ht="14.5" x14ac:dyDescent="0.35">
      <c r="A107" s="2">
        <v>2520158</v>
      </c>
      <c r="B107" s="2" t="str">
        <f>"3328010309900004"</f>
        <v>3328010309900004</v>
      </c>
      <c r="C107" s="2" t="s">
        <v>230</v>
      </c>
      <c r="D107" s="2" t="s">
        <v>17</v>
      </c>
      <c r="E107" s="2" t="s">
        <v>11</v>
      </c>
      <c r="F107" s="2" t="s">
        <v>18</v>
      </c>
      <c r="G107" s="2" t="s">
        <v>19</v>
      </c>
      <c r="H107" s="2" t="s">
        <v>20</v>
      </c>
      <c r="I107" s="2" t="s">
        <v>37</v>
      </c>
    </row>
    <row r="108" spans="1:9" ht="14.5" x14ac:dyDescent="0.35">
      <c r="A108" s="2">
        <v>505097</v>
      </c>
      <c r="B108" s="2" t="str">
        <f>"3328010603030006"</f>
        <v>3328010603030006</v>
      </c>
      <c r="C108" s="2" t="s">
        <v>231</v>
      </c>
      <c r="D108" s="2" t="s">
        <v>10</v>
      </c>
      <c r="E108" s="2" t="s">
        <v>11</v>
      </c>
      <c r="F108" s="2" t="s">
        <v>232</v>
      </c>
      <c r="G108" s="2" t="s">
        <v>233</v>
      </c>
      <c r="H108" s="2" t="s">
        <v>234</v>
      </c>
      <c r="I108" s="2" t="s">
        <v>235</v>
      </c>
    </row>
    <row r="109" spans="1:9" ht="14.5" x14ac:dyDescent="0.35">
      <c r="A109" s="2">
        <v>2520178</v>
      </c>
      <c r="B109" s="2" t="str">
        <f>"3328010603030006"</f>
        <v>3328010603030006</v>
      </c>
      <c r="C109" s="2" t="s">
        <v>231</v>
      </c>
      <c r="D109" s="2" t="s">
        <v>17</v>
      </c>
      <c r="E109" s="2" t="s">
        <v>11</v>
      </c>
      <c r="F109" s="2" t="s">
        <v>18</v>
      </c>
      <c r="G109" s="2" t="s">
        <v>19</v>
      </c>
      <c r="H109" s="2" t="s">
        <v>20</v>
      </c>
      <c r="I109" s="2" t="s">
        <v>37</v>
      </c>
    </row>
    <row r="110" spans="1:9" ht="14.5" x14ac:dyDescent="0.35">
      <c r="A110" s="2">
        <v>354549</v>
      </c>
      <c r="B110" s="2" t="str">
        <f>"3328010605750002"</f>
        <v>3328010605750002</v>
      </c>
      <c r="C110" s="2" t="s">
        <v>236</v>
      </c>
      <c r="D110" s="2" t="s">
        <v>10</v>
      </c>
      <c r="E110" s="2" t="s">
        <v>11</v>
      </c>
      <c r="F110" s="2" t="s">
        <v>91</v>
      </c>
      <c r="G110" s="2" t="s">
        <v>92</v>
      </c>
      <c r="H110" s="2" t="s">
        <v>237</v>
      </c>
      <c r="I110" s="2" t="s">
        <v>150</v>
      </c>
    </row>
    <row r="111" spans="1:9" ht="14.5" x14ac:dyDescent="0.35">
      <c r="A111" s="2">
        <v>2574218</v>
      </c>
      <c r="B111" s="2" t="str">
        <f>"3328010605750002"</f>
        <v>3328010605750002</v>
      </c>
      <c r="C111" s="2" t="s">
        <v>238</v>
      </c>
      <c r="D111" s="2" t="s">
        <v>17</v>
      </c>
      <c r="E111" s="2" t="s">
        <v>11</v>
      </c>
      <c r="F111" s="2" t="s">
        <v>18</v>
      </c>
      <c r="G111" s="2" t="s">
        <v>19</v>
      </c>
      <c r="H111" s="2" t="s">
        <v>20</v>
      </c>
      <c r="I111" s="2" t="s">
        <v>20</v>
      </c>
    </row>
    <row r="112" spans="1:9" ht="14.5" x14ac:dyDescent="0.35">
      <c r="A112" s="2">
        <v>363417</v>
      </c>
      <c r="B112" s="2" t="str">
        <f>"3328010605920007"</f>
        <v>3328010605920007</v>
      </c>
      <c r="C112" s="2" t="s">
        <v>239</v>
      </c>
      <c r="D112" s="2" t="s">
        <v>10</v>
      </c>
      <c r="E112" s="2" t="s">
        <v>11</v>
      </c>
      <c r="F112" s="2" t="s">
        <v>240</v>
      </c>
      <c r="G112" s="2" t="s">
        <v>241</v>
      </c>
      <c r="H112" s="2" t="s">
        <v>242</v>
      </c>
      <c r="I112" s="2" t="s">
        <v>243</v>
      </c>
    </row>
    <row r="113" spans="1:9" ht="14.5" x14ac:dyDescent="0.35">
      <c r="A113" s="2">
        <v>2520715</v>
      </c>
      <c r="B113" s="2" t="str">
        <f>"3328010605920007"</f>
        <v>3328010605920007</v>
      </c>
      <c r="C113" s="2" t="s">
        <v>244</v>
      </c>
      <c r="D113" s="2" t="s">
        <v>17</v>
      </c>
      <c r="E113" s="2" t="s">
        <v>11</v>
      </c>
      <c r="F113" s="2" t="s">
        <v>18</v>
      </c>
      <c r="G113" s="2" t="s">
        <v>19</v>
      </c>
      <c r="H113" s="2" t="s">
        <v>20</v>
      </c>
      <c r="I113" s="2" t="s">
        <v>48</v>
      </c>
    </row>
    <row r="114" spans="1:9" ht="14.5" x14ac:dyDescent="0.35">
      <c r="A114" s="2">
        <v>165725</v>
      </c>
      <c r="B114" s="2" t="str">
        <f>"3328010608800006"</f>
        <v>3328010608800006</v>
      </c>
      <c r="C114" s="2" t="s">
        <v>245</v>
      </c>
      <c r="D114" s="2" t="s">
        <v>10</v>
      </c>
      <c r="E114" s="2" t="s">
        <v>11</v>
      </c>
      <c r="F114" s="2" t="s">
        <v>50</v>
      </c>
      <c r="G114" s="2" t="s">
        <v>72</v>
      </c>
      <c r="H114" s="2" t="s">
        <v>246</v>
      </c>
      <c r="I114" s="2" t="s">
        <v>247</v>
      </c>
    </row>
    <row r="115" spans="1:9" ht="14.5" x14ac:dyDescent="0.35">
      <c r="A115" s="2">
        <v>2519391</v>
      </c>
      <c r="B115" s="2" t="str">
        <f>"3328010608800006"</f>
        <v>3328010608800006</v>
      </c>
      <c r="C115" s="2" t="s">
        <v>245</v>
      </c>
      <c r="D115" s="2" t="s">
        <v>17</v>
      </c>
      <c r="E115" s="2" t="s">
        <v>11</v>
      </c>
      <c r="F115" s="2" t="s">
        <v>18</v>
      </c>
      <c r="G115" s="2" t="s">
        <v>19</v>
      </c>
      <c r="H115" s="2" t="s">
        <v>20</v>
      </c>
      <c r="I115" s="2" t="s">
        <v>248</v>
      </c>
    </row>
    <row r="116" spans="1:9" ht="14.5" x14ac:dyDescent="0.35">
      <c r="A116" s="2">
        <v>1466667</v>
      </c>
      <c r="B116" s="2" t="str">
        <f>"3328010703040001"</f>
        <v>3328010703040001</v>
      </c>
      <c r="C116" s="2" t="s">
        <v>249</v>
      </c>
      <c r="D116" s="2" t="s">
        <v>10</v>
      </c>
      <c r="E116" s="2" t="s">
        <v>11</v>
      </c>
      <c r="F116" s="2" t="s">
        <v>18</v>
      </c>
      <c r="G116" s="2" t="s">
        <v>19</v>
      </c>
      <c r="H116" s="2" t="s">
        <v>20</v>
      </c>
      <c r="I116" s="2" t="s">
        <v>145</v>
      </c>
    </row>
    <row r="117" spans="1:9" ht="14.5" x14ac:dyDescent="0.35">
      <c r="A117" s="2">
        <v>2572442</v>
      </c>
      <c r="B117" s="2" t="str">
        <f>"3328010703040001"</f>
        <v>3328010703040001</v>
      </c>
      <c r="C117" s="2" t="s">
        <v>250</v>
      </c>
      <c r="D117" s="2" t="s">
        <v>17</v>
      </c>
      <c r="E117" s="2" t="s">
        <v>11</v>
      </c>
      <c r="F117" s="2" t="s">
        <v>18</v>
      </c>
      <c r="G117" s="2" t="s">
        <v>19</v>
      </c>
      <c r="H117" s="2" t="s">
        <v>251</v>
      </c>
      <c r="I117" s="2" t="s">
        <v>252</v>
      </c>
    </row>
    <row r="118" spans="1:9" ht="14.5" x14ac:dyDescent="0.35">
      <c r="A118" s="2">
        <v>259383</v>
      </c>
      <c r="B118" s="2" t="str">
        <f>"3328010704870014"</f>
        <v>3328010704870014</v>
      </c>
      <c r="C118" s="2" t="s">
        <v>253</v>
      </c>
      <c r="D118" s="2" t="s">
        <v>10</v>
      </c>
      <c r="E118" s="2" t="s">
        <v>11</v>
      </c>
      <c r="F118" s="2" t="s">
        <v>44</v>
      </c>
      <c r="G118" s="2" t="s">
        <v>254</v>
      </c>
      <c r="H118" s="2" t="s">
        <v>255</v>
      </c>
      <c r="I118" s="2" t="s">
        <v>256</v>
      </c>
    </row>
    <row r="119" spans="1:9" ht="14.5" x14ac:dyDescent="0.35">
      <c r="A119" s="2">
        <v>2520673</v>
      </c>
      <c r="B119" s="2" t="str">
        <f>"3328010704870014"</f>
        <v>3328010704870014</v>
      </c>
      <c r="C119" s="2" t="s">
        <v>253</v>
      </c>
      <c r="D119" s="2" t="s">
        <v>17</v>
      </c>
      <c r="E119" s="2" t="s">
        <v>11</v>
      </c>
      <c r="F119" s="2" t="s">
        <v>18</v>
      </c>
      <c r="G119" s="2" t="s">
        <v>19</v>
      </c>
      <c r="H119" s="2" t="s">
        <v>20</v>
      </c>
      <c r="I119" s="2" t="s">
        <v>48</v>
      </c>
    </row>
    <row r="120" spans="1:9" ht="14.5" x14ac:dyDescent="0.35">
      <c r="A120" s="2">
        <v>1447426</v>
      </c>
      <c r="B120" s="2" t="str">
        <f>"3328010711810002"</f>
        <v>3328010711810002</v>
      </c>
      <c r="C120" s="2" t="s">
        <v>257</v>
      </c>
      <c r="D120" s="2" t="s">
        <v>10</v>
      </c>
      <c r="E120" s="2" t="s">
        <v>11</v>
      </c>
      <c r="F120" s="2" t="s">
        <v>18</v>
      </c>
      <c r="G120" s="2" t="s">
        <v>19</v>
      </c>
      <c r="H120" s="2" t="s">
        <v>20</v>
      </c>
      <c r="I120" s="2" t="s">
        <v>53</v>
      </c>
    </row>
    <row r="121" spans="1:9" ht="14.5" x14ac:dyDescent="0.35">
      <c r="A121" s="2">
        <v>2419007</v>
      </c>
      <c r="B121" s="2" t="str">
        <f>"3328010711810002"</f>
        <v>3328010711810002</v>
      </c>
      <c r="C121" s="2" t="s">
        <v>258</v>
      </c>
      <c r="D121" s="2" t="s">
        <v>10</v>
      </c>
      <c r="E121" s="2" t="s">
        <v>57</v>
      </c>
      <c r="F121" s="2" t="s">
        <v>50</v>
      </c>
      <c r="G121" s="2" t="s">
        <v>58</v>
      </c>
      <c r="H121" s="2" t="s">
        <v>59</v>
      </c>
      <c r="I121" s="2" t="s">
        <v>60</v>
      </c>
    </row>
    <row r="122" spans="1:9" ht="14.5" x14ac:dyDescent="0.35">
      <c r="A122" s="2">
        <v>2005369</v>
      </c>
      <c r="B122" s="2" t="str">
        <f>"3328010909850005"</f>
        <v>3328010909850005</v>
      </c>
      <c r="C122" s="2" t="s">
        <v>259</v>
      </c>
      <c r="D122" s="2" t="s">
        <v>10</v>
      </c>
      <c r="E122" s="2" t="s">
        <v>11</v>
      </c>
      <c r="F122" s="2" t="s">
        <v>50</v>
      </c>
      <c r="G122" s="2" t="s">
        <v>58</v>
      </c>
      <c r="H122" s="2" t="s">
        <v>260</v>
      </c>
      <c r="I122" s="2" t="s">
        <v>261</v>
      </c>
    </row>
    <row r="123" spans="1:9" ht="14.5" x14ac:dyDescent="0.35">
      <c r="A123" s="2">
        <v>2519075</v>
      </c>
      <c r="B123" s="2" t="str">
        <f>"3328010909850005"</f>
        <v>3328010909850005</v>
      </c>
      <c r="C123" s="2" t="s">
        <v>259</v>
      </c>
      <c r="D123" s="2" t="s">
        <v>17</v>
      </c>
      <c r="E123" s="2" t="s">
        <v>11</v>
      </c>
      <c r="F123" s="2" t="s">
        <v>18</v>
      </c>
      <c r="G123" s="2" t="s">
        <v>19</v>
      </c>
      <c r="H123" s="2" t="s">
        <v>20</v>
      </c>
      <c r="I123" s="2" t="s">
        <v>76</v>
      </c>
    </row>
    <row r="124" spans="1:9" ht="14.5" x14ac:dyDescent="0.35">
      <c r="A124" s="2">
        <v>1460690</v>
      </c>
      <c r="B124" s="2" t="str">
        <f>"3328011103880005"</f>
        <v>3328011103880005</v>
      </c>
      <c r="C124" s="2" t="s">
        <v>262</v>
      </c>
      <c r="D124" s="2" t="s">
        <v>10</v>
      </c>
      <c r="E124" s="2" t="s">
        <v>11</v>
      </c>
      <c r="F124" s="2" t="s">
        <v>18</v>
      </c>
      <c r="G124" s="2" t="s">
        <v>19</v>
      </c>
      <c r="H124" s="2" t="s">
        <v>20</v>
      </c>
      <c r="I124" s="2" t="s">
        <v>65</v>
      </c>
    </row>
    <row r="125" spans="1:9" ht="14.5" x14ac:dyDescent="0.35">
      <c r="A125" s="2">
        <v>1690588</v>
      </c>
      <c r="B125" s="2" t="str">
        <f>"3328011103880005"</f>
        <v>3328011103880005</v>
      </c>
      <c r="C125" s="2" t="s">
        <v>263</v>
      </c>
      <c r="D125" s="2" t="s">
        <v>17</v>
      </c>
      <c r="E125" s="2" t="s">
        <v>11</v>
      </c>
      <c r="F125" s="2" t="s">
        <v>18</v>
      </c>
      <c r="G125" s="2" t="s">
        <v>264</v>
      </c>
      <c r="H125" s="2" t="s">
        <v>265</v>
      </c>
      <c r="I125" s="2" t="s">
        <v>266</v>
      </c>
    </row>
    <row r="126" spans="1:9" ht="14.5" x14ac:dyDescent="0.35">
      <c r="A126" s="2">
        <v>422620</v>
      </c>
      <c r="B126" s="2" t="str">
        <f>"3328011209950006"</f>
        <v>3328011209950006</v>
      </c>
      <c r="C126" s="2" t="s">
        <v>267</v>
      </c>
      <c r="D126" s="2" t="s">
        <v>17</v>
      </c>
      <c r="E126" s="2" t="s">
        <v>11</v>
      </c>
      <c r="F126" s="2" t="s">
        <v>18</v>
      </c>
      <c r="G126" s="2" t="s">
        <v>268</v>
      </c>
      <c r="H126" s="2" t="s">
        <v>269</v>
      </c>
      <c r="I126" s="2" t="s">
        <v>270</v>
      </c>
    </row>
    <row r="127" spans="1:9" ht="14.5" x14ac:dyDescent="0.35">
      <c r="A127" s="2">
        <v>1452269</v>
      </c>
      <c r="B127" s="2" t="str">
        <f>"3328011209950006"</f>
        <v>3328011209950006</v>
      </c>
      <c r="C127" s="2" t="s">
        <v>271</v>
      </c>
      <c r="D127" s="2" t="s">
        <v>189</v>
      </c>
      <c r="E127" s="2" t="s">
        <v>11</v>
      </c>
      <c r="F127" s="2" t="s">
        <v>18</v>
      </c>
      <c r="G127" s="2" t="s">
        <v>19</v>
      </c>
      <c r="H127" s="2" t="s">
        <v>20</v>
      </c>
      <c r="I127" s="2" t="s">
        <v>53</v>
      </c>
    </row>
    <row r="128" spans="1:9" ht="14.5" x14ac:dyDescent="0.35">
      <c r="A128" s="2">
        <v>1531152</v>
      </c>
      <c r="B128" s="2" t="str">
        <f>"3328011210850007"</f>
        <v>3328011210850007</v>
      </c>
      <c r="C128" s="2" t="s">
        <v>272</v>
      </c>
      <c r="D128" s="2" t="s">
        <v>10</v>
      </c>
      <c r="E128" s="2" t="s">
        <v>11</v>
      </c>
      <c r="F128" s="2" t="s">
        <v>18</v>
      </c>
      <c r="G128" s="2" t="s">
        <v>19</v>
      </c>
      <c r="H128" s="2" t="s">
        <v>20</v>
      </c>
      <c r="I128" s="2" t="s">
        <v>21</v>
      </c>
    </row>
    <row r="129" spans="1:9" ht="14.5" x14ac:dyDescent="0.35">
      <c r="A129" s="2">
        <v>1693234</v>
      </c>
      <c r="B129" s="2" t="str">
        <f>"3328011210850007"</f>
        <v>3328011210850007</v>
      </c>
      <c r="C129" s="2" t="s">
        <v>272</v>
      </c>
      <c r="D129" s="2" t="s">
        <v>17</v>
      </c>
      <c r="E129" s="2" t="s">
        <v>11</v>
      </c>
      <c r="F129" s="2" t="s">
        <v>18</v>
      </c>
      <c r="G129" s="2" t="s">
        <v>264</v>
      </c>
      <c r="H129" s="2" t="s">
        <v>273</v>
      </c>
      <c r="I129" s="2" t="s">
        <v>274</v>
      </c>
    </row>
    <row r="130" spans="1:9" ht="14.5" x14ac:dyDescent="0.35">
      <c r="A130" s="2">
        <v>1459696</v>
      </c>
      <c r="B130" s="2" t="str">
        <f>"3328011212790011"</f>
        <v>3328011212790011</v>
      </c>
      <c r="C130" s="2" t="s">
        <v>275</v>
      </c>
      <c r="D130" s="2" t="s">
        <v>10</v>
      </c>
      <c r="E130" s="2" t="s">
        <v>11</v>
      </c>
      <c r="F130" s="2" t="s">
        <v>18</v>
      </c>
      <c r="G130" s="2" t="s">
        <v>19</v>
      </c>
      <c r="H130" s="2" t="s">
        <v>20</v>
      </c>
      <c r="I130" s="2" t="s">
        <v>76</v>
      </c>
    </row>
    <row r="131" spans="1:9" ht="14.5" x14ac:dyDescent="0.35">
      <c r="A131" s="2">
        <v>423828</v>
      </c>
      <c r="B131" s="2" t="str">
        <f>"3328011212790011"</f>
        <v>3328011212790011</v>
      </c>
      <c r="C131" s="2" t="s">
        <v>276</v>
      </c>
      <c r="D131" s="2" t="s">
        <v>10</v>
      </c>
      <c r="E131" s="2" t="s">
        <v>57</v>
      </c>
      <c r="F131" s="2" t="s">
        <v>18</v>
      </c>
      <c r="G131" s="2" t="s">
        <v>268</v>
      </c>
      <c r="H131" s="2" t="s">
        <v>277</v>
      </c>
      <c r="I131" s="2" t="s">
        <v>278</v>
      </c>
    </row>
    <row r="132" spans="1:9" ht="14.5" x14ac:dyDescent="0.35">
      <c r="A132" s="2">
        <v>633126</v>
      </c>
      <c r="B132" s="2" t="str">
        <f>"3328011402030003"</f>
        <v>3328011402030003</v>
      </c>
      <c r="C132" s="2" t="s">
        <v>279</v>
      </c>
      <c r="D132" s="2" t="s">
        <v>10</v>
      </c>
      <c r="E132" s="2" t="s">
        <v>11</v>
      </c>
      <c r="F132" s="2" t="s">
        <v>50</v>
      </c>
      <c r="G132" s="2" t="s">
        <v>280</v>
      </c>
      <c r="H132" s="2" t="s">
        <v>281</v>
      </c>
      <c r="I132" s="2" t="s">
        <v>282</v>
      </c>
    </row>
    <row r="133" spans="1:9" ht="14.5" x14ac:dyDescent="0.35">
      <c r="A133" s="2">
        <v>2572999</v>
      </c>
      <c r="B133" s="2" t="str">
        <f>"3328011402030003"</f>
        <v>3328011402030003</v>
      </c>
      <c r="C133" s="2" t="s">
        <v>279</v>
      </c>
      <c r="D133" s="2" t="s">
        <v>17</v>
      </c>
      <c r="E133" s="2" t="s">
        <v>11</v>
      </c>
      <c r="F133" s="2" t="s">
        <v>18</v>
      </c>
      <c r="G133" s="2" t="s">
        <v>19</v>
      </c>
      <c r="H133" s="2" t="s">
        <v>20</v>
      </c>
      <c r="I133" s="2" t="s">
        <v>53</v>
      </c>
    </row>
    <row r="134" spans="1:9" ht="14.5" x14ac:dyDescent="0.35">
      <c r="A134" s="2">
        <v>1357276</v>
      </c>
      <c r="B134" s="2" t="str">
        <f>"3328011502550003"</f>
        <v>3328011502550003</v>
      </c>
      <c r="C134" s="2" t="s">
        <v>283</v>
      </c>
      <c r="D134" s="2" t="s">
        <v>10</v>
      </c>
      <c r="E134" s="2" t="s">
        <v>11</v>
      </c>
      <c r="F134" s="2" t="s">
        <v>50</v>
      </c>
      <c r="G134" s="2" t="s">
        <v>51</v>
      </c>
      <c r="H134" s="2" t="s">
        <v>284</v>
      </c>
      <c r="I134" s="2" t="s">
        <v>285</v>
      </c>
    </row>
    <row r="135" spans="1:9" ht="14.5" x14ac:dyDescent="0.35">
      <c r="A135" s="2">
        <v>2520267</v>
      </c>
      <c r="B135" s="2" t="str">
        <f>"3328011502550003"</f>
        <v>3328011502550003</v>
      </c>
      <c r="C135" s="2" t="s">
        <v>283</v>
      </c>
      <c r="D135" s="2" t="s">
        <v>17</v>
      </c>
      <c r="E135" s="2" t="s">
        <v>11</v>
      </c>
      <c r="F135" s="2" t="s">
        <v>18</v>
      </c>
      <c r="G135" s="2" t="s">
        <v>19</v>
      </c>
      <c r="H135" s="2" t="s">
        <v>20</v>
      </c>
      <c r="I135" s="2" t="s">
        <v>37</v>
      </c>
    </row>
    <row r="136" spans="1:9" ht="14.5" x14ac:dyDescent="0.35">
      <c r="A136" s="2">
        <v>2097809</v>
      </c>
      <c r="B136" s="2" t="str">
        <f>"3328011503730004"</f>
        <v>3328011503730004</v>
      </c>
      <c r="C136" s="2" t="s">
        <v>286</v>
      </c>
      <c r="D136" s="2" t="s">
        <v>10</v>
      </c>
      <c r="E136" s="2" t="s">
        <v>11</v>
      </c>
      <c r="F136" s="2" t="s">
        <v>91</v>
      </c>
      <c r="G136" s="2" t="s">
        <v>92</v>
      </c>
      <c r="H136" s="2" t="s">
        <v>287</v>
      </c>
      <c r="I136" s="2" t="s">
        <v>248</v>
      </c>
    </row>
    <row r="137" spans="1:9" ht="14.5" x14ac:dyDescent="0.35">
      <c r="A137" s="2">
        <v>2519614</v>
      </c>
      <c r="B137" s="2" t="str">
        <f>"3328011503730004"</f>
        <v>3328011503730004</v>
      </c>
      <c r="C137" s="2" t="s">
        <v>245</v>
      </c>
      <c r="D137" s="2" t="s">
        <v>17</v>
      </c>
      <c r="E137" s="2" t="s">
        <v>11</v>
      </c>
      <c r="F137" s="2" t="s">
        <v>18</v>
      </c>
      <c r="G137" s="2" t="s">
        <v>19</v>
      </c>
      <c r="H137" s="2" t="s">
        <v>20</v>
      </c>
      <c r="I137" s="2" t="s">
        <v>20</v>
      </c>
    </row>
    <row r="138" spans="1:9" ht="14.5" x14ac:dyDescent="0.35">
      <c r="A138" s="2">
        <v>1931531</v>
      </c>
      <c r="B138" s="2" t="str">
        <f>"3328011503930008"</f>
        <v>3328011503930008</v>
      </c>
      <c r="C138" s="2" t="s">
        <v>288</v>
      </c>
      <c r="D138" s="2" t="s">
        <v>10</v>
      </c>
      <c r="E138" s="2" t="s">
        <v>11</v>
      </c>
      <c r="F138" s="2" t="s">
        <v>18</v>
      </c>
      <c r="G138" s="2" t="s">
        <v>19</v>
      </c>
      <c r="H138" s="2" t="s">
        <v>20</v>
      </c>
      <c r="I138" s="2" t="s">
        <v>48</v>
      </c>
    </row>
    <row r="139" spans="1:9" ht="14.5" x14ac:dyDescent="0.35">
      <c r="A139" s="2">
        <v>1660288</v>
      </c>
      <c r="B139" s="2" t="str">
        <f>"3328011503930008"</f>
        <v>3328011503930008</v>
      </c>
      <c r="C139" s="2" t="s">
        <v>288</v>
      </c>
      <c r="D139" s="2" t="s">
        <v>17</v>
      </c>
      <c r="E139" s="2" t="s">
        <v>11</v>
      </c>
      <c r="F139" s="2" t="s">
        <v>18</v>
      </c>
      <c r="G139" s="2" t="s">
        <v>264</v>
      </c>
      <c r="H139" s="2" t="s">
        <v>289</v>
      </c>
      <c r="I139" s="2" t="s">
        <v>290</v>
      </c>
    </row>
    <row r="140" spans="1:9" ht="14.5" x14ac:dyDescent="0.35">
      <c r="A140" s="2">
        <v>1677528</v>
      </c>
      <c r="B140" s="2" t="str">
        <f>"3328011511980004"</f>
        <v>3328011511980004</v>
      </c>
      <c r="C140" s="2" t="s">
        <v>291</v>
      </c>
      <c r="D140" s="2" t="s">
        <v>10</v>
      </c>
      <c r="E140" s="2" t="s">
        <v>11</v>
      </c>
      <c r="F140" s="2" t="s">
        <v>18</v>
      </c>
      <c r="G140" s="2" t="s">
        <v>19</v>
      </c>
      <c r="H140" s="2" t="s">
        <v>20</v>
      </c>
      <c r="I140" s="2" t="s">
        <v>23</v>
      </c>
    </row>
    <row r="141" spans="1:9" ht="14.5" x14ac:dyDescent="0.35">
      <c r="A141" s="2">
        <v>3111744</v>
      </c>
      <c r="B141" s="2" t="str">
        <f>"3328011511980004"</f>
        <v>3328011511980004</v>
      </c>
      <c r="C141" s="2" t="s">
        <v>291</v>
      </c>
      <c r="D141" s="2" t="s">
        <v>17</v>
      </c>
      <c r="E141" s="2" t="s">
        <v>11</v>
      </c>
      <c r="F141" s="2" t="s">
        <v>18</v>
      </c>
      <c r="G141" s="2" t="s">
        <v>163</v>
      </c>
      <c r="H141" s="2" t="s">
        <v>292</v>
      </c>
      <c r="I141" s="2" t="s">
        <v>293</v>
      </c>
    </row>
    <row r="142" spans="1:9" ht="14.5" x14ac:dyDescent="0.35">
      <c r="A142" s="2">
        <v>2242485</v>
      </c>
      <c r="B142" s="2" t="str">
        <f>"3328011601860003"</f>
        <v>3328011601860003</v>
      </c>
      <c r="C142" s="2" t="s">
        <v>294</v>
      </c>
      <c r="D142" s="2" t="s">
        <v>10</v>
      </c>
      <c r="E142" s="2" t="s">
        <v>11</v>
      </c>
      <c r="F142" s="2" t="s">
        <v>18</v>
      </c>
      <c r="G142" s="2" t="s">
        <v>199</v>
      </c>
      <c r="H142" s="2" t="s">
        <v>200</v>
      </c>
      <c r="I142" s="2" t="s">
        <v>295</v>
      </c>
    </row>
    <row r="143" spans="1:9" ht="14.5" x14ac:dyDescent="0.35">
      <c r="A143" s="2">
        <v>2518946</v>
      </c>
      <c r="B143" s="2" t="str">
        <f>"3328011601860003"</f>
        <v>3328011601860003</v>
      </c>
      <c r="C143" s="2" t="s">
        <v>296</v>
      </c>
      <c r="D143" s="2" t="s">
        <v>17</v>
      </c>
      <c r="E143" s="2" t="s">
        <v>11</v>
      </c>
      <c r="F143" s="2" t="s">
        <v>18</v>
      </c>
      <c r="G143" s="2" t="s">
        <v>19</v>
      </c>
      <c r="H143" s="2" t="s">
        <v>20</v>
      </c>
      <c r="I143" s="2" t="s">
        <v>23</v>
      </c>
    </row>
    <row r="144" spans="1:9" ht="14.5" x14ac:dyDescent="0.35">
      <c r="A144" s="2">
        <v>129361</v>
      </c>
      <c r="B144" s="2" t="str">
        <f>"3328011704050003"</f>
        <v>3328011704050003</v>
      </c>
      <c r="C144" s="2" t="s">
        <v>297</v>
      </c>
      <c r="D144" s="2" t="s">
        <v>10</v>
      </c>
      <c r="E144" s="2" t="s">
        <v>11</v>
      </c>
      <c r="F144" s="2" t="s">
        <v>18</v>
      </c>
      <c r="G144" s="2" t="s">
        <v>298</v>
      </c>
      <c r="H144" s="2" t="s">
        <v>299</v>
      </c>
      <c r="I144" s="2" t="s">
        <v>300</v>
      </c>
    </row>
    <row r="145" spans="1:9" ht="14.5" x14ac:dyDescent="0.35">
      <c r="A145" s="2">
        <v>2520964</v>
      </c>
      <c r="B145" s="2" t="str">
        <f>"3328011704050003"</f>
        <v>3328011704050003</v>
      </c>
      <c r="C145" s="2" t="s">
        <v>297</v>
      </c>
      <c r="D145" s="2" t="s">
        <v>17</v>
      </c>
      <c r="E145" s="2" t="s">
        <v>11</v>
      </c>
      <c r="F145" s="2" t="s">
        <v>18</v>
      </c>
      <c r="G145" s="2" t="s">
        <v>19</v>
      </c>
      <c r="H145" s="2" t="s">
        <v>20</v>
      </c>
      <c r="I145" s="2" t="s">
        <v>301</v>
      </c>
    </row>
    <row r="146" spans="1:9" ht="14.5" x14ac:dyDescent="0.35">
      <c r="A146" s="2">
        <v>1446587</v>
      </c>
      <c r="B146" s="2" t="str">
        <f>"3328011705820008"</f>
        <v>3328011705820008</v>
      </c>
      <c r="C146" s="2" t="s">
        <v>302</v>
      </c>
      <c r="D146" s="2" t="s">
        <v>10</v>
      </c>
      <c r="E146" s="2" t="s">
        <v>11</v>
      </c>
      <c r="F146" s="2" t="s">
        <v>18</v>
      </c>
      <c r="G146" s="2" t="s">
        <v>19</v>
      </c>
      <c r="H146" s="2" t="s">
        <v>20</v>
      </c>
      <c r="I146" s="2" t="s">
        <v>53</v>
      </c>
    </row>
    <row r="147" spans="1:9" ht="14.5" x14ac:dyDescent="0.35">
      <c r="A147" s="2">
        <v>1442380</v>
      </c>
      <c r="B147" s="2" t="str">
        <f>"3328011705820008"</f>
        <v>3328011705820008</v>
      </c>
      <c r="C147" s="2" t="s">
        <v>302</v>
      </c>
      <c r="D147" s="2" t="s">
        <v>17</v>
      </c>
      <c r="E147" s="2" t="s">
        <v>11</v>
      </c>
      <c r="F147" s="2" t="s">
        <v>303</v>
      </c>
      <c r="G147" s="2" t="s">
        <v>304</v>
      </c>
      <c r="H147" s="2" t="s">
        <v>305</v>
      </c>
      <c r="I147" s="2" t="s">
        <v>305</v>
      </c>
    </row>
    <row r="148" spans="1:9" ht="14.5" x14ac:dyDescent="0.35">
      <c r="A148" s="2">
        <v>1679564</v>
      </c>
      <c r="B148" s="2" t="str">
        <f>"3328011707960003"</f>
        <v>3328011707960003</v>
      </c>
      <c r="C148" s="2" t="s">
        <v>306</v>
      </c>
      <c r="D148" s="2" t="s">
        <v>10</v>
      </c>
      <c r="E148" s="2" t="s">
        <v>11</v>
      </c>
      <c r="F148" s="2" t="s">
        <v>18</v>
      </c>
      <c r="G148" s="2" t="s">
        <v>19</v>
      </c>
      <c r="H148" s="2" t="s">
        <v>20</v>
      </c>
      <c r="I148" s="2" t="s">
        <v>23</v>
      </c>
    </row>
    <row r="149" spans="1:9" ht="14.5" x14ac:dyDescent="0.35">
      <c r="A149" s="2">
        <v>1552436</v>
      </c>
      <c r="B149" s="2" t="str">
        <f>"3328011707960003"</f>
        <v>3328011707960003</v>
      </c>
      <c r="C149" s="2" t="s">
        <v>306</v>
      </c>
      <c r="D149" s="2" t="s">
        <v>17</v>
      </c>
      <c r="E149" s="2" t="s">
        <v>11</v>
      </c>
      <c r="F149" s="2" t="s">
        <v>18</v>
      </c>
      <c r="G149" s="2" t="s">
        <v>195</v>
      </c>
      <c r="H149" s="2" t="s">
        <v>307</v>
      </c>
      <c r="I149" s="2" t="s">
        <v>308</v>
      </c>
    </row>
    <row r="150" spans="1:9" ht="14.5" x14ac:dyDescent="0.35">
      <c r="A150" s="2">
        <v>356872</v>
      </c>
      <c r="B150" s="2" t="str">
        <f>"3328011712850002"</f>
        <v>3328011712850002</v>
      </c>
      <c r="C150" s="2" t="s">
        <v>259</v>
      </c>
      <c r="D150" s="2" t="s">
        <v>10</v>
      </c>
      <c r="E150" s="2" t="s">
        <v>11</v>
      </c>
      <c r="F150" s="2" t="s">
        <v>18</v>
      </c>
      <c r="G150" s="2" t="s">
        <v>268</v>
      </c>
      <c r="H150" s="2" t="s">
        <v>269</v>
      </c>
      <c r="I150" s="2" t="s">
        <v>270</v>
      </c>
    </row>
    <row r="151" spans="1:9" ht="14.5" x14ac:dyDescent="0.35">
      <c r="A151" s="2">
        <v>2519598</v>
      </c>
      <c r="B151" s="2" t="str">
        <f>"3328011712850002"</f>
        <v>3328011712850002</v>
      </c>
      <c r="C151" s="2" t="s">
        <v>259</v>
      </c>
      <c r="D151" s="2" t="s">
        <v>17</v>
      </c>
      <c r="E151" s="2" t="s">
        <v>11</v>
      </c>
      <c r="F151" s="2" t="s">
        <v>18</v>
      </c>
      <c r="G151" s="2" t="s">
        <v>19</v>
      </c>
      <c r="H151" s="2" t="s">
        <v>20</v>
      </c>
      <c r="I151" s="2" t="s">
        <v>20</v>
      </c>
    </row>
    <row r="152" spans="1:9" ht="14.5" x14ac:dyDescent="0.35">
      <c r="A152" s="2">
        <v>2519629</v>
      </c>
      <c r="B152" s="2" t="str">
        <f>"3328011810970005"</f>
        <v>3328011810970005</v>
      </c>
      <c r="C152" s="2" t="s">
        <v>309</v>
      </c>
      <c r="D152" s="2" t="s">
        <v>17</v>
      </c>
      <c r="E152" s="2" t="s">
        <v>11</v>
      </c>
      <c r="F152" s="2" t="s">
        <v>18</v>
      </c>
      <c r="G152" s="2" t="s">
        <v>19</v>
      </c>
      <c r="H152" s="2" t="s">
        <v>20</v>
      </c>
      <c r="I152" s="2" t="s">
        <v>20</v>
      </c>
    </row>
    <row r="153" spans="1:9" ht="14.5" x14ac:dyDescent="0.35">
      <c r="A153" s="2">
        <v>404237</v>
      </c>
      <c r="B153" s="2" t="str">
        <f>"3328011810970005"</f>
        <v>3328011810970005</v>
      </c>
      <c r="C153" s="2" t="s">
        <v>309</v>
      </c>
      <c r="D153" s="2" t="s">
        <v>189</v>
      </c>
      <c r="E153" s="2" t="s">
        <v>11</v>
      </c>
      <c r="F153" s="2" t="s">
        <v>18</v>
      </c>
      <c r="G153" s="2" t="s">
        <v>190</v>
      </c>
      <c r="H153" s="2" t="s">
        <v>310</v>
      </c>
      <c r="I153" s="2" t="s">
        <v>311</v>
      </c>
    </row>
    <row r="154" spans="1:9" ht="14.5" x14ac:dyDescent="0.35">
      <c r="A154" s="2">
        <v>1951864</v>
      </c>
      <c r="B154" s="2" t="str">
        <f>"3328012007020006"</f>
        <v>3328012007020006</v>
      </c>
      <c r="C154" s="2" t="s">
        <v>312</v>
      </c>
      <c r="D154" s="2" t="s">
        <v>17</v>
      </c>
      <c r="E154" s="2" t="s">
        <v>11</v>
      </c>
      <c r="F154" s="2" t="s">
        <v>50</v>
      </c>
      <c r="G154" s="2" t="s">
        <v>86</v>
      </c>
      <c r="H154" s="2" t="s">
        <v>313</v>
      </c>
      <c r="I154" s="2" t="s">
        <v>313</v>
      </c>
    </row>
    <row r="155" spans="1:9" ht="14.5" x14ac:dyDescent="0.35">
      <c r="A155" s="2">
        <v>2574147</v>
      </c>
      <c r="B155" s="2" t="str">
        <f>"3328012007020006"</f>
        <v>3328012007020006</v>
      </c>
      <c r="C155" s="2" t="s">
        <v>312</v>
      </c>
      <c r="D155" s="2" t="s">
        <v>17</v>
      </c>
      <c r="E155" s="2" t="s">
        <v>11</v>
      </c>
      <c r="F155" s="2" t="s">
        <v>18</v>
      </c>
      <c r="G155" s="2" t="s">
        <v>19</v>
      </c>
      <c r="H155" s="2" t="s">
        <v>20</v>
      </c>
      <c r="I155" s="2" t="s">
        <v>20</v>
      </c>
    </row>
    <row r="156" spans="1:9" ht="14.5" x14ac:dyDescent="0.35">
      <c r="A156" s="2">
        <v>1445479</v>
      </c>
      <c r="B156" s="2" t="str">
        <f>"3328012109870002"</f>
        <v>3328012109870002</v>
      </c>
      <c r="C156" s="2" t="s">
        <v>314</v>
      </c>
      <c r="D156" s="2" t="s">
        <v>10</v>
      </c>
      <c r="E156" s="2" t="s">
        <v>11</v>
      </c>
      <c r="F156" s="2" t="s">
        <v>18</v>
      </c>
      <c r="G156" s="2" t="s">
        <v>19</v>
      </c>
      <c r="H156" s="2" t="s">
        <v>20</v>
      </c>
      <c r="I156" s="2" t="s">
        <v>53</v>
      </c>
    </row>
    <row r="157" spans="1:9" ht="14.5" x14ac:dyDescent="0.35">
      <c r="A157" s="2">
        <v>2424482</v>
      </c>
      <c r="B157" s="2" t="str">
        <f>"3328012109870002"</f>
        <v>3328012109870002</v>
      </c>
      <c r="C157" s="2" t="s">
        <v>315</v>
      </c>
      <c r="D157" s="2" t="s">
        <v>17</v>
      </c>
      <c r="E157" s="2" t="s">
        <v>11</v>
      </c>
      <c r="F157" s="2" t="s">
        <v>50</v>
      </c>
      <c r="G157" s="2" t="s">
        <v>58</v>
      </c>
      <c r="H157" s="2" t="s">
        <v>316</v>
      </c>
      <c r="I157" s="2" t="s">
        <v>317</v>
      </c>
    </row>
    <row r="158" spans="1:9" ht="14.5" x14ac:dyDescent="0.35">
      <c r="A158" s="2">
        <v>1529288</v>
      </c>
      <c r="B158" s="2" t="str">
        <f>"3328012204990007"</f>
        <v>3328012204990007</v>
      </c>
      <c r="C158" s="2" t="s">
        <v>318</v>
      </c>
      <c r="D158" s="2" t="s">
        <v>10</v>
      </c>
      <c r="E158" s="2" t="s">
        <v>11</v>
      </c>
      <c r="F158" s="2" t="s">
        <v>18</v>
      </c>
      <c r="G158" s="2" t="s">
        <v>19</v>
      </c>
      <c r="H158" s="2" t="s">
        <v>20</v>
      </c>
      <c r="I158" s="2" t="s">
        <v>21</v>
      </c>
    </row>
    <row r="159" spans="1:9" ht="14.5" x14ac:dyDescent="0.35">
      <c r="A159" s="2">
        <v>1877374</v>
      </c>
      <c r="B159" s="2" t="str">
        <f>"3328012204990007"</f>
        <v>3328012204990007</v>
      </c>
      <c r="C159" s="2" t="s">
        <v>319</v>
      </c>
      <c r="D159" s="2" t="s">
        <v>17</v>
      </c>
      <c r="E159" s="2" t="s">
        <v>11</v>
      </c>
      <c r="F159" s="2" t="s">
        <v>91</v>
      </c>
      <c r="G159" s="2" t="s">
        <v>320</v>
      </c>
      <c r="H159" s="2" t="s">
        <v>321</v>
      </c>
      <c r="I159" s="2" t="s">
        <v>222</v>
      </c>
    </row>
    <row r="160" spans="1:9" ht="14.5" x14ac:dyDescent="0.35">
      <c r="A160" s="2">
        <v>1452096</v>
      </c>
      <c r="B160" s="2" t="str">
        <f>"3328012205990008"</f>
        <v>3328012205990008</v>
      </c>
      <c r="C160" s="2" t="s">
        <v>322</v>
      </c>
      <c r="D160" s="2" t="s">
        <v>10</v>
      </c>
      <c r="E160" s="2" t="s">
        <v>11</v>
      </c>
      <c r="F160" s="2" t="s">
        <v>18</v>
      </c>
      <c r="G160" s="2" t="s">
        <v>19</v>
      </c>
      <c r="H160" s="2" t="s">
        <v>20</v>
      </c>
      <c r="I160" s="2" t="s">
        <v>53</v>
      </c>
    </row>
    <row r="161" spans="1:9" ht="14.5" x14ac:dyDescent="0.35">
      <c r="A161" s="2">
        <v>1577679</v>
      </c>
      <c r="B161" s="2" t="str">
        <f>"3328012205990008"</f>
        <v>3328012205990008</v>
      </c>
      <c r="C161" s="2" t="s">
        <v>323</v>
      </c>
      <c r="D161" s="2" t="s">
        <v>17</v>
      </c>
      <c r="E161" s="2" t="s">
        <v>11</v>
      </c>
      <c r="F161" s="2" t="s">
        <v>18</v>
      </c>
      <c r="G161" s="2" t="s">
        <v>264</v>
      </c>
      <c r="H161" s="2" t="s">
        <v>324</v>
      </c>
      <c r="I161" s="2" t="s">
        <v>325</v>
      </c>
    </row>
    <row r="162" spans="1:9" ht="14.5" x14ac:dyDescent="0.35">
      <c r="A162" s="2">
        <v>2520458</v>
      </c>
      <c r="B162" s="2" t="str">
        <f>"3328012211770001"</f>
        <v>3328012211770001</v>
      </c>
      <c r="C162" s="2" t="s">
        <v>326</v>
      </c>
      <c r="D162" s="2" t="s">
        <v>17</v>
      </c>
      <c r="E162" s="2" t="s">
        <v>11</v>
      </c>
      <c r="F162" s="2" t="s">
        <v>18</v>
      </c>
      <c r="G162" s="2" t="s">
        <v>19</v>
      </c>
      <c r="H162" s="2" t="s">
        <v>20</v>
      </c>
      <c r="I162" s="2" t="s">
        <v>145</v>
      </c>
    </row>
    <row r="163" spans="1:9" ht="14.5" x14ac:dyDescent="0.35">
      <c r="A163" s="2">
        <v>683476</v>
      </c>
      <c r="B163" s="2" t="str">
        <f>"3328012211770001"</f>
        <v>3328012211770001</v>
      </c>
      <c r="C163" s="2" t="s">
        <v>327</v>
      </c>
      <c r="D163" s="2" t="s">
        <v>10</v>
      </c>
      <c r="E163" s="2" t="s">
        <v>11</v>
      </c>
      <c r="F163" s="2" t="s">
        <v>50</v>
      </c>
      <c r="G163" s="2" t="s">
        <v>58</v>
      </c>
      <c r="H163" s="2" t="s">
        <v>97</v>
      </c>
      <c r="I163" s="2" t="s">
        <v>328</v>
      </c>
    </row>
    <row r="164" spans="1:9" ht="14.5" x14ac:dyDescent="0.35">
      <c r="A164" s="2">
        <v>1549769</v>
      </c>
      <c r="B164" s="2" t="str">
        <f>"3328012304970005"</f>
        <v>3328012304970005</v>
      </c>
      <c r="C164" s="2" t="s">
        <v>329</v>
      </c>
      <c r="D164" s="2" t="s">
        <v>10</v>
      </c>
      <c r="E164" s="2" t="s">
        <v>11</v>
      </c>
      <c r="F164" s="2" t="s">
        <v>18</v>
      </c>
      <c r="G164" s="2" t="s">
        <v>264</v>
      </c>
      <c r="H164" s="2" t="s">
        <v>330</v>
      </c>
      <c r="I164" s="2" t="s">
        <v>331</v>
      </c>
    </row>
    <row r="165" spans="1:9" ht="14.5" x14ac:dyDescent="0.35">
      <c r="A165" s="2">
        <v>2521136</v>
      </c>
      <c r="B165" s="2" t="str">
        <f>"3328012304970005"</f>
        <v>3328012304970005</v>
      </c>
      <c r="C165" s="2" t="s">
        <v>332</v>
      </c>
      <c r="D165" s="2" t="s">
        <v>17</v>
      </c>
      <c r="E165" s="2" t="s">
        <v>11</v>
      </c>
      <c r="F165" s="2" t="s">
        <v>18</v>
      </c>
      <c r="G165" s="2" t="s">
        <v>19</v>
      </c>
      <c r="H165" s="2" t="s">
        <v>20</v>
      </c>
      <c r="I165" s="2" t="s">
        <v>301</v>
      </c>
    </row>
    <row r="166" spans="1:9" ht="14.5" x14ac:dyDescent="0.35">
      <c r="A166" s="2">
        <v>620683</v>
      </c>
      <c r="B166" s="2" t="str">
        <f>"3328012506020005"</f>
        <v>3328012506020005</v>
      </c>
      <c r="C166" s="2" t="s">
        <v>333</v>
      </c>
      <c r="D166" s="2" t="s">
        <v>10</v>
      </c>
      <c r="E166" s="2" t="s">
        <v>11</v>
      </c>
      <c r="F166" s="2" t="s">
        <v>50</v>
      </c>
      <c r="G166" s="2" t="s">
        <v>51</v>
      </c>
      <c r="H166" s="2" t="s">
        <v>78</v>
      </c>
      <c r="I166" s="2" t="s">
        <v>334</v>
      </c>
    </row>
    <row r="167" spans="1:9" ht="14.5" x14ac:dyDescent="0.35">
      <c r="A167" s="2">
        <v>2520155</v>
      </c>
      <c r="B167" s="2" t="str">
        <f>"3328012506020005"</f>
        <v>3328012506020005</v>
      </c>
      <c r="C167" s="2" t="s">
        <v>333</v>
      </c>
      <c r="D167" s="2" t="s">
        <v>17</v>
      </c>
      <c r="E167" s="2" t="s">
        <v>11</v>
      </c>
      <c r="F167" s="2" t="s">
        <v>18</v>
      </c>
      <c r="G167" s="2" t="s">
        <v>19</v>
      </c>
      <c r="H167" s="2" t="s">
        <v>20</v>
      </c>
      <c r="I167" s="2" t="s">
        <v>37</v>
      </c>
    </row>
    <row r="168" spans="1:9" ht="14.5" x14ac:dyDescent="0.35">
      <c r="A168" s="2">
        <v>2071840</v>
      </c>
      <c r="B168" s="2" t="str">
        <f>"3328012708940001"</f>
        <v>3328012708940001</v>
      </c>
      <c r="C168" s="2" t="s">
        <v>335</v>
      </c>
      <c r="D168" s="2" t="s">
        <v>10</v>
      </c>
      <c r="E168" s="2" t="s">
        <v>11</v>
      </c>
      <c r="F168" s="2" t="s">
        <v>18</v>
      </c>
      <c r="G168" s="2" t="s">
        <v>19</v>
      </c>
      <c r="H168" s="2" t="s">
        <v>20</v>
      </c>
      <c r="I168" s="2" t="s">
        <v>37</v>
      </c>
    </row>
    <row r="169" spans="1:9" ht="14.5" x14ac:dyDescent="0.35">
      <c r="A169" s="2">
        <v>2574144</v>
      </c>
      <c r="B169" s="2" t="str">
        <f>"3328012708940001"</f>
        <v>3328012708940001</v>
      </c>
      <c r="C169" s="2" t="s">
        <v>336</v>
      </c>
      <c r="D169" s="2" t="s">
        <v>17</v>
      </c>
      <c r="E169" s="2" t="s">
        <v>11</v>
      </c>
      <c r="F169" s="2" t="s">
        <v>18</v>
      </c>
      <c r="G169" s="2" t="s">
        <v>19</v>
      </c>
      <c r="H169" s="2" t="s">
        <v>20</v>
      </c>
      <c r="I169" s="2" t="s">
        <v>20</v>
      </c>
    </row>
    <row r="170" spans="1:9" ht="14.5" x14ac:dyDescent="0.35">
      <c r="A170" s="2">
        <v>427090</v>
      </c>
      <c r="B170" s="2" t="str">
        <f>"3328012708970002"</f>
        <v>3328012708970002</v>
      </c>
      <c r="C170" s="2" t="s">
        <v>337</v>
      </c>
      <c r="D170" s="2" t="s">
        <v>10</v>
      </c>
      <c r="E170" s="2" t="s">
        <v>11</v>
      </c>
      <c r="F170" s="2" t="s">
        <v>33</v>
      </c>
      <c r="G170" s="2" t="s">
        <v>338</v>
      </c>
      <c r="H170" s="2" t="s">
        <v>339</v>
      </c>
      <c r="I170" s="2" t="s">
        <v>340</v>
      </c>
    </row>
    <row r="171" spans="1:9" ht="14.5" x14ac:dyDescent="0.35">
      <c r="A171" s="2">
        <v>2572917</v>
      </c>
      <c r="B171" s="2" t="str">
        <f>"3328012708970002"</f>
        <v>3328012708970002</v>
      </c>
      <c r="C171" s="2" t="s">
        <v>337</v>
      </c>
      <c r="D171" s="2" t="s">
        <v>17</v>
      </c>
      <c r="E171" s="2" t="s">
        <v>11</v>
      </c>
      <c r="F171" s="2" t="s">
        <v>18</v>
      </c>
      <c r="G171" s="2" t="s">
        <v>19</v>
      </c>
      <c r="H171" s="2" t="s">
        <v>20</v>
      </c>
      <c r="I171" s="2" t="s">
        <v>53</v>
      </c>
    </row>
    <row r="172" spans="1:9" ht="14.5" x14ac:dyDescent="0.35">
      <c r="A172" s="2">
        <v>1890948</v>
      </c>
      <c r="B172" s="2" t="str">
        <f>"3328012806020004"</f>
        <v>3328012806020004</v>
      </c>
      <c r="C172" s="2" t="s">
        <v>341</v>
      </c>
      <c r="D172" s="2" t="s">
        <v>10</v>
      </c>
      <c r="E172" s="2" t="s">
        <v>11</v>
      </c>
      <c r="F172" s="2" t="s">
        <v>50</v>
      </c>
      <c r="G172" s="2" t="s">
        <v>58</v>
      </c>
      <c r="H172" s="2" t="s">
        <v>97</v>
      </c>
      <c r="I172" s="2" t="s">
        <v>342</v>
      </c>
    </row>
    <row r="173" spans="1:9" ht="14.5" x14ac:dyDescent="0.35">
      <c r="A173" s="2">
        <v>2519707</v>
      </c>
      <c r="B173" s="2" t="str">
        <f>"3328012806020004"</f>
        <v>3328012806020004</v>
      </c>
      <c r="C173" s="2" t="s">
        <v>341</v>
      </c>
      <c r="D173" s="2" t="s">
        <v>17</v>
      </c>
      <c r="E173" s="2" t="s">
        <v>11</v>
      </c>
      <c r="F173" s="2" t="s">
        <v>18</v>
      </c>
      <c r="G173" s="2" t="s">
        <v>19</v>
      </c>
      <c r="H173" s="2" t="s">
        <v>20</v>
      </c>
      <c r="I173" s="2" t="s">
        <v>20</v>
      </c>
    </row>
    <row r="174" spans="1:9" ht="14.5" x14ac:dyDescent="0.35">
      <c r="A174" s="2">
        <v>816423</v>
      </c>
      <c r="B174" s="2" t="str">
        <f>"3328012904000004"</f>
        <v>3328012904000004</v>
      </c>
      <c r="C174" s="2" t="s">
        <v>343</v>
      </c>
      <c r="D174" s="2" t="s">
        <v>10</v>
      </c>
      <c r="E174" s="2" t="s">
        <v>11</v>
      </c>
      <c r="F174" s="2" t="s">
        <v>18</v>
      </c>
      <c r="G174" s="2" t="s">
        <v>264</v>
      </c>
      <c r="H174" s="2" t="s">
        <v>344</v>
      </c>
      <c r="I174" s="2" t="s">
        <v>345</v>
      </c>
    </row>
    <row r="175" spans="1:9" ht="14.5" x14ac:dyDescent="0.35">
      <c r="A175" s="2">
        <v>2519384</v>
      </c>
      <c r="B175" s="2" t="str">
        <f>"3328012904000004"</f>
        <v>3328012904000004</v>
      </c>
      <c r="C175" s="2" t="s">
        <v>346</v>
      </c>
      <c r="D175" s="2" t="s">
        <v>17</v>
      </c>
      <c r="E175" s="2" t="s">
        <v>11</v>
      </c>
      <c r="F175" s="2" t="s">
        <v>18</v>
      </c>
      <c r="G175" s="2" t="s">
        <v>19</v>
      </c>
      <c r="H175" s="2" t="s">
        <v>20</v>
      </c>
      <c r="I175" s="2" t="s">
        <v>248</v>
      </c>
    </row>
    <row r="176" spans="1:9" ht="14.5" x14ac:dyDescent="0.35">
      <c r="A176" s="2">
        <v>2016159</v>
      </c>
      <c r="B176" s="2" t="str">
        <f>"3328012904910002"</f>
        <v>3328012904910002</v>
      </c>
      <c r="C176" s="2" t="s">
        <v>347</v>
      </c>
      <c r="D176" s="2" t="s">
        <v>189</v>
      </c>
      <c r="E176" s="2" t="s">
        <v>11</v>
      </c>
      <c r="F176" s="2" t="s">
        <v>18</v>
      </c>
      <c r="G176" s="2" t="s">
        <v>19</v>
      </c>
      <c r="H176" s="2" t="s">
        <v>348</v>
      </c>
      <c r="I176" s="2" t="s">
        <v>349</v>
      </c>
    </row>
    <row r="177" spans="1:9" ht="14.5" x14ac:dyDescent="0.35">
      <c r="A177" s="2">
        <v>2574194</v>
      </c>
      <c r="B177" s="2" t="str">
        <f>"3328012904910002"</f>
        <v>3328012904910002</v>
      </c>
      <c r="C177" s="2" t="s">
        <v>347</v>
      </c>
      <c r="D177" s="2" t="s">
        <v>17</v>
      </c>
      <c r="E177" s="2" t="s">
        <v>11</v>
      </c>
      <c r="F177" s="2" t="s">
        <v>18</v>
      </c>
      <c r="G177" s="2" t="s">
        <v>19</v>
      </c>
      <c r="H177" s="2" t="s">
        <v>20</v>
      </c>
      <c r="I177" s="2" t="s">
        <v>20</v>
      </c>
    </row>
    <row r="178" spans="1:9" ht="14.5" x14ac:dyDescent="0.35">
      <c r="A178" s="2">
        <v>2415239</v>
      </c>
      <c r="B178" s="2" t="str">
        <f>"3328013006870006"</f>
        <v>3328013006870006</v>
      </c>
      <c r="C178" s="2" t="s">
        <v>350</v>
      </c>
      <c r="D178" s="2" t="s">
        <v>10</v>
      </c>
      <c r="E178" s="2" t="s">
        <v>11</v>
      </c>
      <c r="F178" s="2" t="s">
        <v>18</v>
      </c>
      <c r="G178" s="2" t="s">
        <v>19</v>
      </c>
      <c r="H178" s="2" t="s">
        <v>20</v>
      </c>
      <c r="I178" s="2" t="s">
        <v>55</v>
      </c>
    </row>
    <row r="179" spans="1:9" ht="14.5" x14ac:dyDescent="0.35">
      <c r="A179" s="2">
        <v>1635376</v>
      </c>
      <c r="B179" s="2" t="str">
        <f>"3328013006870006"</f>
        <v>3328013006870006</v>
      </c>
      <c r="C179" s="2" t="s">
        <v>351</v>
      </c>
      <c r="D179" s="2" t="s">
        <v>17</v>
      </c>
      <c r="E179" s="2" t="s">
        <v>11</v>
      </c>
      <c r="F179" s="2" t="s">
        <v>18</v>
      </c>
      <c r="G179" s="2" t="s">
        <v>167</v>
      </c>
      <c r="H179" s="2" t="s">
        <v>352</v>
      </c>
      <c r="I179" s="2" t="s">
        <v>353</v>
      </c>
    </row>
    <row r="180" spans="1:9" ht="14.5" x14ac:dyDescent="0.35">
      <c r="A180" s="2">
        <v>1535076</v>
      </c>
      <c r="B180" s="2" t="str">
        <f>"3328013008970006"</f>
        <v>3328013008970006</v>
      </c>
      <c r="C180" s="2" t="s">
        <v>354</v>
      </c>
      <c r="D180" s="2" t="s">
        <v>10</v>
      </c>
      <c r="E180" s="2" t="s">
        <v>11</v>
      </c>
      <c r="F180" s="2" t="s">
        <v>18</v>
      </c>
      <c r="G180" s="2" t="s">
        <v>19</v>
      </c>
      <c r="H180" s="2" t="s">
        <v>20</v>
      </c>
      <c r="I180" s="2" t="s">
        <v>21</v>
      </c>
    </row>
    <row r="181" spans="1:9" ht="14.5" x14ac:dyDescent="0.35">
      <c r="A181" s="2">
        <v>1097474</v>
      </c>
      <c r="B181" s="2" t="str">
        <f>"3328013008970006"</f>
        <v>3328013008970006</v>
      </c>
      <c r="C181" s="2" t="s">
        <v>354</v>
      </c>
      <c r="D181" s="2" t="s">
        <v>17</v>
      </c>
      <c r="E181" s="2" t="s">
        <v>11</v>
      </c>
      <c r="F181" s="2" t="s">
        <v>18</v>
      </c>
      <c r="G181" s="2" t="s">
        <v>171</v>
      </c>
      <c r="H181" s="2" t="s">
        <v>355</v>
      </c>
      <c r="I181" s="2" t="s">
        <v>356</v>
      </c>
    </row>
    <row r="182" spans="1:9" ht="14.5" x14ac:dyDescent="0.35">
      <c r="A182" s="2">
        <v>2071912</v>
      </c>
      <c r="B182" s="2" t="str">
        <f>"3328013112880035"</f>
        <v>3328013112880035</v>
      </c>
      <c r="C182" s="2" t="s">
        <v>357</v>
      </c>
      <c r="D182" s="2" t="s">
        <v>10</v>
      </c>
      <c r="E182" s="2" t="s">
        <v>11</v>
      </c>
      <c r="F182" s="2" t="s">
        <v>18</v>
      </c>
      <c r="G182" s="2" t="s">
        <v>19</v>
      </c>
      <c r="H182" s="2" t="s">
        <v>20</v>
      </c>
      <c r="I182" s="2" t="s">
        <v>37</v>
      </c>
    </row>
    <row r="183" spans="1:9" ht="14.5" x14ac:dyDescent="0.35">
      <c r="A183" s="2">
        <v>1637310</v>
      </c>
      <c r="B183" s="2" t="str">
        <f>"3328013112880035"</f>
        <v>3328013112880035</v>
      </c>
      <c r="C183" s="2" t="s">
        <v>358</v>
      </c>
      <c r="D183" s="2" t="s">
        <v>10</v>
      </c>
      <c r="E183" s="2" t="s">
        <v>57</v>
      </c>
      <c r="F183" s="2" t="s">
        <v>18</v>
      </c>
      <c r="G183" s="2" t="s">
        <v>264</v>
      </c>
      <c r="H183" s="2" t="s">
        <v>264</v>
      </c>
      <c r="I183" s="2" t="s">
        <v>264</v>
      </c>
    </row>
    <row r="184" spans="1:9" ht="14.5" x14ac:dyDescent="0.35">
      <c r="A184" s="2">
        <v>1456558</v>
      </c>
      <c r="B184" s="2" t="str">
        <f>"3328013112920013"</f>
        <v>3328013112920013</v>
      </c>
      <c r="C184" s="2" t="s">
        <v>359</v>
      </c>
      <c r="D184" s="2" t="s">
        <v>10</v>
      </c>
      <c r="E184" s="2" t="s">
        <v>11</v>
      </c>
      <c r="F184" s="2" t="s">
        <v>18</v>
      </c>
      <c r="G184" s="2" t="s">
        <v>19</v>
      </c>
      <c r="H184" s="2" t="s">
        <v>20</v>
      </c>
      <c r="I184" s="2" t="s">
        <v>76</v>
      </c>
    </row>
    <row r="185" spans="1:9" ht="14.5" x14ac:dyDescent="0.35">
      <c r="A185" s="2">
        <v>1910276</v>
      </c>
      <c r="B185" s="2" t="str">
        <f>"3328013112920013"</f>
        <v>3328013112920013</v>
      </c>
      <c r="C185" s="2" t="s">
        <v>359</v>
      </c>
      <c r="D185" s="2" t="s">
        <v>17</v>
      </c>
      <c r="E185" s="2" t="s">
        <v>11</v>
      </c>
      <c r="F185" s="2" t="s">
        <v>91</v>
      </c>
      <c r="G185" s="2" t="s">
        <v>320</v>
      </c>
      <c r="H185" s="2" t="s">
        <v>360</v>
      </c>
      <c r="I185" s="2" t="s">
        <v>361</v>
      </c>
    </row>
    <row r="186" spans="1:9" ht="14.5" x14ac:dyDescent="0.35">
      <c r="A186" s="2">
        <v>1111516</v>
      </c>
      <c r="B186" s="2" t="str">
        <f>"3328014102870003"</f>
        <v>3328014102870003</v>
      </c>
      <c r="C186" s="2" t="s">
        <v>362</v>
      </c>
      <c r="D186" s="2" t="s">
        <v>17</v>
      </c>
      <c r="E186" s="2" t="s">
        <v>11</v>
      </c>
      <c r="F186" s="2" t="s">
        <v>18</v>
      </c>
      <c r="G186" s="2" t="s">
        <v>171</v>
      </c>
      <c r="H186" s="2" t="s">
        <v>363</v>
      </c>
      <c r="I186" s="2" t="s">
        <v>364</v>
      </c>
    </row>
    <row r="187" spans="1:9" ht="14.5" x14ac:dyDescent="0.35">
      <c r="A187" s="2">
        <v>1458342</v>
      </c>
      <c r="B187" s="2" t="str">
        <f>"3328014102870003"</f>
        <v>3328014102870003</v>
      </c>
      <c r="C187" s="2" t="s">
        <v>362</v>
      </c>
      <c r="D187" s="2" t="s">
        <v>189</v>
      </c>
      <c r="E187" s="2" t="s">
        <v>11</v>
      </c>
      <c r="F187" s="2" t="s">
        <v>18</v>
      </c>
      <c r="G187" s="2" t="s">
        <v>19</v>
      </c>
      <c r="H187" s="2" t="s">
        <v>20</v>
      </c>
      <c r="I187" s="2" t="s">
        <v>76</v>
      </c>
    </row>
    <row r="188" spans="1:9" ht="14.5" x14ac:dyDescent="0.35">
      <c r="A188" s="2">
        <v>1457396</v>
      </c>
      <c r="B188" s="2" t="str">
        <f>"3328014107860008"</f>
        <v>3328014107860008</v>
      </c>
      <c r="C188" s="2" t="s">
        <v>365</v>
      </c>
      <c r="D188" s="2" t="s">
        <v>10</v>
      </c>
      <c r="E188" s="2" t="s">
        <v>11</v>
      </c>
      <c r="F188" s="2" t="s">
        <v>18</v>
      </c>
      <c r="G188" s="2" t="s">
        <v>19</v>
      </c>
      <c r="H188" s="2" t="s">
        <v>20</v>
      </c>
      <c r="I188" s="2" t="s">
        <v>76</v>
      </c>
    </row>
    <row r="189" spans="1:9" ht="14.5" x14ac:dyDescent="0.35">
      <c r="A189" s="2">
        <v>1951894</v>
      </c>
      <c r="B189" s="2" t="str">
        <f>"3328014107860008"</f>
        <v>3328014107860008</v>
      </c>
      <c r="C189" s="2" t="s">
        <v>366</v>
      </c>
      <c r="D189" s="2" t="s">
        <v>17</v>
      </c>
      <c r="E189" s="2" t="s">
        <v>11</v>
      </c>
      <c r="F189" s="2" t="s">
        <v>50</v>
      </c>
      <c r="G189" s="2" t="s">
        <v>86</v>
      </c>
      <c r="H189" s="2" t="s">
        <v>313</v>
      </c>
      <c r="I189" s="2" t="s">
        <v>313</v>
      </c>
    </row>
    <row r="190" spans="1:9" ht="14.5" x14ac:dyDescent="0.35">
      <c r="A190" s="2">
        <v>596666</v>
      </c>
      <c r="B190" s="2" t="str">
        <f>"3328014111020003"</f>
        <v>3328014111020003</v>
      </c>
      <c r="C190" s="2" t="s">
        <v>367</v>
      </c>
      <c r="D190" s="2" t="s">
        <v>10</v>
      </c>
      <c r="E190" s="2" t="s">
        <v>11</v>
      </c>
      <c r="F190" s="2" t="s">
        <v>91</v>
      </c>
      <c r="G190" s="2" t="s">
        <v>320</v>
      </c>
      <c r="H190" s="2" t="s">
        <v>368</v>
      </c>
      <c r="I190" s="2" t="s">
        <v>369</v>
      </c>
    </row>
    <row r="191" spans="1:9" ht="14.5" x14ac:dyDescent="0.35">
      <c r="A191" s="2">
        <v>2519097</v>
      </c>
      <c r="B191" s="2" t="str">
        <f>"3328014111020003"</f>
        <v>3328014111020003</v>
      </c>
      <c r="C191" s="2" t="s">
        <v>367</v>
      </c>
      <c r="D191" s="2" t="s">
        <v>17</v>
      </c>
      <c r="E191" s="2" t="s">
        <v>11</v>
      </c>
      <c r="F191" s="2" t="s">
        <v>18</v>
      </c>
      <c r="G191" s="2" t="s">
        <v>19</v>
      </c>
      <c r="H191" s="2" t="s">
        <v>20</v>
      </c>
      <c r="I191" s="2" t="s">
        <v>76</v>
      </c>
    </row>
    <row r="192" spans="1:9" ht="14.5" x14ac:dyDescent="0.35">
      <c r="A192" s="2">
        <v>233989</v>
      </c>
      <c r="B192" s="2" t="str">
        <f>"3328014208890003"</f>
        <v>3328014208890003</v>
      </c>
      <c r="C192" s="2" t="s">
        <v>370</v>
      </c>
      <c r="D192" s="2" t="s">
        <v>10</v>
      </c>
      <c r="E192" s="2" t="s">
        <v>11</v>
      </c>
      <c r="F192" s="2" t="s">
        <v>18</v>
      </c>
      <c r="G192" s="2" t="s">
        <v>268</v>
      </c>
      <c r="H192" s="2" t="s">
        <v>371</v>
      </c>
      <c r="I192" s="2" t="s">
        <v>372</v>
      </c>
    </row>
    <row r="193" spans="1:9" ht="14.5" x14ac:dyDescent="0.35">
      <c r="A193" s="2">
        <v>2520125</v>
      </c>
      <c r="B193" s="2" t="str">
        <f>"3328014208890003"</f>
        <v>3328014208890003</v>
      </c>
      <c r="C193" s="2" t="s">
        <v>373</v>
      </c>
      <c r="D193" s="2" t="s">
        <v>17</v>
      </c>
      <c r="E193" s="2" t="s">
        <v>11</v>
      </c>
      <c r="F193" s="2" t="s">
        <v>18</v>
      </c>
      <c r="G193" s="2" t="s">
        <v>19</v>
      </c>
      <c r="H193" s="2" t="s">
        <v>20</v>
      </c>
      <c r="I193" s="2" t="s">
        <v>37</v>
      </c>
    </row>
    <row r="194" spans="1:9" ht="14.5" x14ac:dyDescent="0.35">
      <c r="A194" s="2">
        <v>2069081</v>
      </c>
      <c r="B194" s="2" t="str">
        <f>"3328014211010003"</f>
        <v>3328014211010003</v>
      </c>
      <c r="C194" s="2" t="s">
        <v>374</v>
      </c>
      <c r="D194" s="2" t="s">
        <v>10</v>
      </c>
      <c r="E194" s="2" t="s">
        <v>11</v>
      </c>
      <c r="F194" s="2" t="s">
        <v>18</v>
      </c>
      <c r="G194" s="2" t="s">
        <v>19</v>
      </c>
      <c r="H194" s="2" t="s">
        <v>20</v>
      </c>
      <c r="I194" s="2" t="s">
        <v>37</v>
      </c>
    </row>
    <row r="195" spans="1:9" ht="14.5" x14ac:dyDescent="0.35">
      <c r="A195" s="2">
        <v>2595323</v>
      </c>
      <c r="B195" s="2" t="str">
        <f>"3328014211010003"</f>
        <v>3328014211010003</v>
      </c>
      <c r="C195" s="2" t="s">
        <v>374</v>
      </c>
      <c r="D195" s="2" t="s">
        <v>10</v>
      </c>
      <c r="E195" s="2" t="s">
        <v>57</v>
      </c>
      <c r="F195" s="2" t="s">
        <v>67</v>
      </c>
      <c r="G195" s="2" t="s">
        <v>375</v>
      </c>
      <c r="H195" s="2" t="s">
        <v>376</v>
      </c>
      <c r="I195" s="2" t="s">
        <v>377</v>
      </c>
    </row>
    <row r="196" spans="1:9" ht="14.5" x14ac:dyDescent="0.35">
      <c r="A196" s="2">
        <v>227697</v>
      </c>
      <c r="B196" s="2" t="str">
        <f>"3328014304960006"</f>
        <v>3328014304960006</v>
      </c>
      <c r="C196" s="2" t="s">
        <v>378</v>
      </c>
      <c r="D196" s="2" t="s">
        <v>10</v>
      </c>
      <c r="E196" s="2" t="s">
        <v>11</v>
      </c>
      <c r="F196" s="2" t="s">
        <v>379</v>
      </c>
      <c r="G196" s="2" t="s">
        <v>380</v>
      </c>
      <c r="H196" s="2" t="s">
        <v>381</v>
      </c>
      <c r="I196" s="2" t="s">
        <v>382</v>
      </c>
    </row>
    <row r="197" spans="1:9" ht="14.5" x14ac:dyDescent="0.35">
      <c r="A197" s="2">
        <v>2574192</v>
      </c>
      <c r="B197" s="2" t="str">
        <f>"3328014304960006"</f>
        <v>3328014304960006</v>
      </c>
      <c r="C197" s="2" t="s">
        <v>383</v>
      </c>
      <c r="D197" s="2" t="s">
        <v>17</v>
      </c>
      <c r="E197" s="2" t="s">
        <v>11</v>
      </c>
      <c r="F197" s="2" t="s">
        <v>18</v>
      </c>
      <c r="G197" s="2" t="s">
        <v>19</v>
      </c>
      <c r="H197" s="2" t="s">
        <v>20</v>
      </c>
      <c r="I197" s="2" t="s">
        <v>20</v>
      </c>
    </row>
    <row r="198" spans="1:9" ht="14.5" x14ac:dyDescent="0.35">
      <c r="A198" s="2">
        <v>2415020</v>
      </c>
      <c r="B198" s="2" t="str">
        <f>"3328014306870013"</f>
        <v>3328014306870013</v>
      </c>
      <c r="C198" s="2" t="s">
        <v>384</v>
      </c>
      <c r="D198" s="2" t="s">
        <v>10</v>
      </c>
      <c r="E198" s="2" t="s">
        <v>11</v>
      </c>
      <c r="F198" s="2" t="s">
        <v>18</v>
      </c>
      <c r="G198" s="2" t="s">
        <v>19</v>
      </c>
      <c r="H198" s="2" t="s">
        <v>20</v>
      </c>
      <c r="I198" s="2" t="s">
        <v>55</v>
      </c>
    </row>
    <row r="199" spans="1:9" ht="14.5" x14ac:dyDescent="0.35">
      <c r="A199" s="2">
        <v>1008962</v>
      </c>
      <c r="B199" s="2" t="str">
        <f>"3328014306870013"</f>
        <v>3328014306870013</v>
      </c>
      <c r="C199" s="2" t="s">
        <v>384</v>
      </c>
      <c r="D199" s="2" t="s">
        <v>17</v>
      </c>
      <c r="E199" s="2" t="s">
        <v>11</v>
      </c>
      <c r="F199" s="2" t="s">
        <v>18</v>
      </c>
      <c r="G199" s="2" t="s">
        <v>385</v>
      </c>
      <c r="H199" s="2" t="s">
        <v>386</v>
      </c>
      <c r="I199" s="2" t="s">
        <v>387</v>
      </c>
    </row>
    <row r="200" spans="1:9" ht="14.5" x14ac:dyDescent="0.35">
      <c r="A200" s="2">
        <v>1465458</v>
      </c>
      <c r="B200" s="2" t="str">
        <f>"3328014308860005"</f>
        <v>3328014308860005</v>
      </c>
      <c r="C200" s="2" t="s">
        <v>388</v>
      </c>
      <c r="D200" s="2" t="s">
        <v>10</v>
      </c>
      <c r="E200" s="2" t="s">
        <v>11</v>
      </c>
      <c r="F200" s="2" t="s">
        <v>18</v>
      </c>
      <c r="G200" s="2" t="s">
        <v>19</v>
      </c>
      <c r="H200" s="2" t="s">
        <v>20</v>
      </c>
      <c r="I200" s="2" t="s">
        <v>145</v>
      </c>
    </row>
    <row r="201" spans="1:9" ht="14.5" x14ac:dyDescent="0.35">
      <c r="A201" s="2">
        <v>1691642</v>
      </c>
      <c r="B201" s="2" t="str">
        <f>"3328014308860005"</f>
        <v>3328014308860005</v>
      </c>
      <c r="C201" s="2" t="s">
        <v>388</v>
      </c>
      <c r="D201" s="2" t="s">
        <v>17</v>
      </c>
      <c r="E201" s="2" t="s">
        <v>11</v>
      </c>
      <c r="F201" s="2" t="s">
        <v>18</v>
      </c>
      <c r="G201" s="2" t="s">
        <v>264</v>
      </c>
      <c r="H201" s="2" t="s">
        <v>273</v>
      </c>
      <c r="I201" s="2" t="s">
        <v>273</v>
      </c>
    </row>
    <row r="202" spans="1:9" ht="14.5" x14ac:dyDescent="0.35">
      <c r="A202" s="2">
        <v>354550</v>
      </c>
      <c r="B202" s="2" t="str">
        <f>"3328014507800004"</f>
        <v>3328014507800004</v>
      </c>
      <c r="C202" s="2" t="s">
        <v>389</v>
      </c>
      <c r="D202" s="2" t="s">
        <v>10</v>
      </c>
      <c r="E202" s="2" t="s">
        <v>11</v>
      </c>
      <c r="F202" s="2" t="s">
        <v>91</v>
      </c>
      <c r="G202" s="2" t="s">
        <v>92</v>
      </c>
      <c r="H202" s="2" t="s">
        <v>237</v>
      </c>
      <c r="I202" s="2" t="s">
        <v>150</v>
      </c>
    </row>
    <row r="203" spans="1:9" ht="14.5" x14ac:dyDescent="0.35">
      <c r="A203" s="2">
        <v>2574219</v>
      </c>
      <c r="B203" s="2" t="str">
        <f>"3328014507800004"</f>
        <v>3328014507800004</v>
      </c>
      <c r="C203" s="2" t="s">
        <v>390</v>
      </c>
      <c r="D203" s="2" t="s">
        <v>17</v>
      </c>
      <c r="E203" s="2" t="s">
        <v>11</v>
      </c>
      <c r="F203" s="2" t="s">
        <v>18</v>
      </c>
      <c r="G203" s="2" t="s">
        <v>19</v>
      </c>
      <c r="H203" s="2" t="s">
        <v>20</v>
      </c>
      <c r="I203" s="2" t="s">
        <v>20</v>
      </c>
    </row>
    <row r="204" spans="1:9" ht="14.5" x14ac:dyDescent="0.35">
      <c r="A204" s="2">
        <v>1463046</v>
      </c>
      <c r="B204" s="2" t="str">
        <f>"3328014507820008"</f>
        <v>3328014507820008</v>
      </c>
      <c r="C204" s="2" t="s">
        <v>391</v>
      </c>
      <c r="D204" s="2" t="s">
        <v>10</v>
      </c>
      <c r="E204" s="2" t="s">
        <v>11</v>
      </c>
      <c r="F204" s="2" t="s">
        <v>18</v>
      </c>
      <c r="G204" s="2" t="s">
        <v>19</v>
      </c>
      <c r="H204" s="2" t="s">
        <v>20</v>
      </c>
      <c r="I204" s="2" t="s">
        <v>145</v>
      </c>
    </row>
    <row r="205" spans="1:9" ht="14.5" x14ac:dyDescent="0.35">
      <c r="A205" s="2">
        <v>723136</v>
      </c>
      <c r="B205" s="2" t="str">
        <f>"3328014507820008"</f>
        <v>3328014507820008</v>
      </c>
      <c r="C205" s="2" t="s">
        <v>391</v>
      </c>
      <c r="D205" s="2" t="s">
        <v>17</v>
      </c>
      <c r="E205" s="2" t="s">
        <v>11</v>
      </c>
      <c r="F205" s="2" t="s">
        <v>18</v>
      </c>
      <c r="G205" s="2" t="s">
        <v>392</v>
      </c>
      <c r="H205" s="2" t="s">
        <v>393</v>
      </c>
      <c r="I205" s="2" t="s">
        <v>394</v>
      </c>
    </row>
    <row r="206" spans="1:9" ht="14.5" x14ac:dyDescent="0.35">
      <c r="A206" s="2">
        <v>1457089</v>
      </c>
      <c r="B206" s="2" t="str">
        <f>"3328014508990005"</f>
        <v>3328014508990005</v>
      </c>
      <c r="C206" s="2" t="s">
        <v>395</v>
      </c>
      <c r="D206" s="2" t="s">
        <v>10</v>
      </c>
      <c r="E206" s="2" t="s">
        <v>11</v>
      </c>
      <c r="F206" s="2" t="s">
        <v>18</v>
      </c>
      <c r="G206" s="2" t="s">
        <v>19</v>
      </c>
      <c r="H206" s="2" t="s">
        <v>20</v>
      </c>
      <c r="I206" s="2" t="s">
        <v>76</v>
      </c>
    </row>
    <row r="207" spans="1:9" ht="14.5" x14ac:dyDescent="0.35">
      <c r="A207" s="2">
        <v>1674063</v>
      </c>
      <c r="B207" s="2" t="str">
        <f>"3328014508990005"</f>
        <v>3328014508990005</v>
      </c>
      <c r="C207" s="2" t="s">
        <v>395</v>
      </c>
      <c r="D207" s="2" t="s">
        <v>17</v>
      </c>
      <c r="E207" s="2" t="s">
        <v>11</v>
      </c>
      <c r="F207" s="2" t="s">
        <v>18</v>
      </c>
      <c r="G207" s="2" t="s">
        <v>264</v>
      </c>
      <c r="H207" s="2" t="s">
        <v>396</v>
      </c>
      <c r="I207" s="2" t="s">
        <v>397</v>
      </c>
    </row>
    <row r="208" spans="1:9" ht="14.5" x14ac:dyDescent="0.35">
      <c r="A208" s="2">
        <v>2412348</v>
      </c>
      <c r="B208" s="2" t="str">
        <f>"3328014705960007"</f>
        <v>3328014705960007</v>
      </c>
      <c r="C208" s="2" t="s">
        <v>398</v>
      </c>
      <c r="D208" s="2" t="s">
        <v>10</v>
      </c>
      <c r="E208" s="2" t="s">
        <v>11</v>
      </c>
      <c r="F208" s="2" t="s">
        <v>18</v>
      </c>
      <c r="G208" s="2" t="s">
        <v>19</v>
      </c>
      <c r="H208" s="2" t="s">
        <v>20</v>
      </c>
      <c r="I208" s="2" t="s">
        <v>55</v>
      </c>
    </row>
    <row r="209" spans="1:9" ht="14.5" x14ac:dyDescent="0.35">
      <c r="A209" s="2">
        <v>1376094</v>
      </c>
      <c r="B209" s="2" t="str">
        <f>"3328014705960007"</f>
        <v>3328014705960007</v>
      </c>
      <c r="C209" s="2" t="s">
        <v>399</v>
      </c>
      <c r="D209" s="2" t="s">
        <v>17</v>
      </c>
      <c r="E209" s="2" t="s">
        <v>11</v>
      </c>
      <c r="F209" s="2" t="s">
        <v>50</v>
      </c>
      <c r="G209" s="2" t="s">
        <v>51</v>
      </c>
      <c r="H209" s="2" t="s">
        <v>284</v>
      </c>
      <c r="I209" s="2" t="s">
        <v>400</v>
      </c>
    </row>
    <row r="210" spans="1:9" ht="14.5" x14ac:dyDescent="0.35">
      <c r="A210" s="2">
        <v>658534</v>
      </c>
      <c r="B210" s="2" t="str">
        <f>"3328014812780010"</f>
        <v>3328014812780010</v>
      </c>
      <c r="C210" s="2" t="s">
        <v>401</v>
      </c>
      <c r="D210" s="2" t="s">
        <v>10</v>
      </c>
      <c r="E210" s="2" t="s">
        <v>11</v>
      </c>
      <c r="F210" s="2" t="s">
        <v>50</v>
      </c>
      <c r="G210" s="2" t="s">
        <v>280</v>
      </c>
      <c r="H210" s="2" t="s">
        <v>402</v>
      </c>
      <c r="I210" s="2" t="s">
        <v>402</v>
      </c>
    </row>
    <row r="211" spans="1:9" ht="14.5" x14ac:dyDescent="0.35">
      <c r="A211" s="2">
        <v>2518963</v>
      </c>
      <c r="B211" s="2" t="str">
        <f>"3328014812780010"</f>
        <v>3328014812780010</v>
      </c>
      <c r="C211" s="2" t="s">
        <v>403</v>
      </c>
      <c r="D211" s="2" t="s">
        <v>17</v>
      </c>
      <c r="E211" s="2" t="s">
        <v>11</v>
      </c>
      <c r="F211" s="2" t="s">
        <v>18</v>
      </c>
      <c r="G211" s="2" t="s">
        <v>19</v>
      </c>
      <c r="H211" s="2" t="s">
        <v>20</v>
      </c>
      <c r="I211" s="2" t="s">
        <v>23</v>
      </c>
    </row>
    <row r="212" spans="1:9" ht="14.5" x14ac:dyDescent="0.35">
      <c r="A212" s="2">
        <v>165726</v>
      </c>
      <c r="B212" s="2" t="str">
        <f>"3328014911870006"</f>
        <v>3328014911870006</v>
      </c>
      <c r="C212" s="2" t="s">
        <v>404</v>
      </c>
      <c r="D212" s="2" t="s">
        <v>10</v>
      </c>
      <c r="E212" s="2" t="s">
        <v>11</v>
      </c>
      <c r="F212" s="2" t="s">
        <v>50</v>
      </c>
      <c r="G212" s="2" t="s">
        <v>72</v>
      </c>
      <c r="H212" s="2" t="s">
        <v>246</v>
      </c>
      <c r="I212" s="2" t="s">
        <v>247</v>
      </c>
    </row>
    <row r="213" spans="1:9" ht="14.5" x14ac:dyDescent="0.35">
      <c r="A213" s="2">
        <v>2519392</v>
      </c>
      <c r="B213" s="2" t="str">
        <f>"3328014911870006"</f>
        <v>3328014911870006</v>
      </c>
      <c r="C213" s="2" t="s">
        <v>404</v>
      </c>
      <c r="D213" s="2" t="s">
        <v>17</v>
      </c>
      <c r="E213" s="2" t="s">
        <v>11</v>
      </c>
      <c r="F213" s="2" t="s">
        <v>18</v>
      </c>
      <c r="G213" s="2" t="s">
        <v>19</v>
      </c>
      <c r="H213" s="2" t="s">
        <v>20</v>
      </c>
      <c r="I213" s="2" t="s">
        <v>248</v>
      </c>
    </row>
    <row r="214" spans="1:9" ht="14.5" x14ac:dyDescent="0.35">
      <c r="A214" s="2">
        <v>2414525</v>
      </c>
      <c r="B214" s="2" t="str">
        <f>"3328015002880012"</f>
        <v>3328015002880012</v>
      </c>
      <c r="C214" s="2" t="s">
        <v>405</v>
      </c>
      <c r="D214" s="2" t="s">
        <v>10</v>
      </c>
      <c r="E214" s="2" t="s">
        <v>11</v>
      </c>
      <c r="F214" s="2" t="s">
        <v>18</v>
      </c>
      <c r="G214" s="2" t="s">
        <v>19</v>
      </c>
      <c r="H214" s="2" t="s">
        <v>20</v>
      </c>
      <c r="I214" s="2" t="s">
        <v>55</v>
      </c>
    </row>
    <row r="215" spans="1:9" ht="14.5" x14ac:dyDescent="0.35">
      <c r="A215" s="2">
        <v>2427565</v>
      </c>
      <c r="B215" s="2" t="str">
        <f>"3328015002880012"</f>
        <v>3328015002880012</v>
      </c>
      <c r="C215" s="2" t="s">
        <v>405</v>
      </c>
      <c r="D215" s="2" t="s">
        <v>17</v>
      </c>
      <c r="E215" s="2" t="s">
        <v>11</v>
      </c>
      <c r="F215" s="2" t="s">
        <v>50</v>
      </c>
      <c r="G215" s="2" t="s">
        <v>58</v>
      </c>
      <c r="H215" s="2" t="s">
        <v>406</v>
      </c>
      <c r="I215" s="2" t="s">
        <v>407</v>
      </c>
    </row>
    <row r="216" spans="1:9" ht="14.5" x14ac:dyDescent="0.35">
      <c r="A216" s="2">
        <v>1064368</v>
      </c>
      <c r="B216" s="2" t="str">
        <f>"3328015104010001"</f>
        <v>3328015104010001</v>
      </c>
      <c r="C216" s="2" t="s">
        <v>408</v>
      </c>
      <c r="D216" s="2" t="s">
        <v>10</v>
      </c>
      <c r="E216" s="2" t="s">
        <v>11</v>
      </c>
      <c r="F216" s="2" t="s">
        <v>91</v>
      </c>
      <c r="G216" s="2" t="s">
        <v>320</v>
      </c>
      <c r="H216" s="2" t="s">
        <v>409</v>
      </c>
      <c r="I216" s="2" t="s">
        <v>410</v>
      </c>
    </row>
    <row r="217" spans="1:9" ht="14.5" x14ac:dyDescent="0.35">
      <c r="A217" s="2">
        <v>2519568</v>
      </c>
      <c r="B217" s="2" t="str">
        <f>"3328015104010001"</f>
        <v>3328015104010001</v>
      </c>
      <c r="C217" s="2" t="s">
        <v>408</v>
      </c>
      <c r="D217" s="2" t="s">
        <v>17</v>
      </c>
      <c r="E217" s="2" t="s">
        <v>11</v>
      </c>
      <c r="F217" s="2" t="s">
        <v>18</v>
      </c>
      <c r="G217" s="2" t="s">
        <v>19</v>
      </c>
      <c r="H217" s="2" t="s">
        <v>20</v>
      </c>
      <c r="I217" s="2" t="s">
        <v>55</v>
      </c>
    </row>
    <row r="218" spans="1:9" ht="14.5" x14ac:dyDescent="0.35">
      <c r="A218" s="2">
        <v>67224</v>
      </c>
      <c r="B218" s="2" t="str">
        <f>"3328015106960004"</f>
        <v>3328015106960004</v>
      </c>
      <c r="C218" s="2" t="s">
        <v>411</v>
      </c>
      <c r="D218" s="2" t="s">
        <v>10</v>
      </c>
      <c r="E218" s="2" t="s">
        <v>11</v>
      </c>
      <c r="F218" s="2" t="s">
        <v>412</v>
      </c>
      <c r="G218" s="2" t="s">
        <v>413</v>
      </c>
      <c r="H218" s="2" t="s">
        <v>414</v>
      </c>
      <c r="I218" s="2" t="s">
        <v>415</v>
      </c>
    </row>
    <row r="219" spans="1:9" ht="14.5" x14ac:dyDescent="0.35">
      <c r="A219" s="2">
        <v>2519253</v>
      </c>
      <c r="B219" s="2" t="str">
        <f>"3328015106960004"</f>
        <v>3328015106960004</v>
      </c>
      <c r="C219" s="2" t="s">
        <v>411</v>
      </c>
      <c r="D219" s="2" t="s">
        <v>17</v>
      </c>
      <c r="E219" s="2" t="s">
        <v>11</v>
      </c>
      <c r="F219" s="2" t="s">
        <v>18</v>
      </c>
      <c r="G219" s="2" t="s">
        <v>19</v>
      </c>
      <c r="H219" s="2" t="s">
        <v>20</v>
      </c>
      <c r="I219" s="2" t="s">
        <v>248</v>
      </c>
    </row>
    <row r="220" spans="1:9" ht="14.5" x14ac:dyDescent="0.35">
      <c r="A220" s="2">
        <v>2250600</v>
      </c>
      <c r="B220" s="2" t="str">
        <f>"3328015204780003"</f>
        <v>3328015204780003</v>
      </c>
      <c r="C220" s="2" t="s">
        <v>416</v>
      </c>
      <c r="D220" s="2" t="s">
        <v>10</v>
      </c>
      <c r="E220" s="2" t="s">
        <v>11</v>
      </c>
      <c r="F220" s="2" t="s">
        <v>50</v>
      </c>
      <c r="G220" s="2" t="s">
        <v>58</v>
      </c>
      <c r="H220" s="2" t="s">
        <v>417</v>
      </c>
      <c r="I220" s="2" t="s">
        <v>418</v>
      </c>
    </row>
    <row r="221" spans="1:9" ht="14.5" x14ac:dyDescent="0.35">
      <c r="A221" s="2">
        <v>2518987</v>
      </c>
      <c r="B221" s="2" t="str">
        <f>"3328015204780003"</f>
        <v>3328015204780003</v>
      </c>
      <c r="C221" s="2" t="s">
        <v>419</v>
      </c>
      <c r="D221" s="2" t="s">
        <v>17</v>
      </c>
      <c r="E221" s="2" t="s">
        <v>11</v>
      </c>
      <c r="F221" s="2" t="s">
        <v>18</v>
      </c>
      <c r="G221" s="2" t="s">
        <v>19</v>
      </c>
      <c r="H221" s="2" t="s">
        <v>20</v>
      </c>
      <c r="I221" s="2" t="s">
        <v>23</v>
      </c>
    </row>
    <row r="222" spans="1:9" ht="14.5" x14ac:dyDescent="0.35">
      <c r="A222" s="2">
        <v>50886</v>
      </c>
      <c r="B222" s="2" t="str">
        <f>"3328015305660003"</f>
        <v>3328015305660003</v>
      </c>
      <c r="C222" s="2" t="s">
        <v>420</v>
      </c>
      <c r="D222" s="2" t="s">
        <v>10</v>
      </c>
      <c r="E222" s="2" t="s">
        <v>11</v>
      </c>
      <c r="F222" s="2" t="s">
        <v>211</v>
      </c>
      <c r="G222" s="2" t="s">
        <v>212</v>
      </c>
      <c r="H222" s="2" t="s">
        <v>213</v>
      </c>
      <c r="I222" s="2" t="s">
        <v>213</v>
      </c>
    </row>
    <row r="223" spans="1:9" ht="14.5" x14ac:dyDescent="0.35">
      <c r="A223" s="2">
        <v>2520817</v>
      </c>
      <c r="B223" s="2" t="str">
        <f>"3328015305660003"</f>
        <v>3328015305660003</v>
      </c>
      <c r="C223" s="2" t="s">
        <v>420</v>
      </c>
      <c r="D223" s="2" t="s">
        <v>17</v>
      </c>
      <c r="E223" s="2" t="s">
        <v>11</v>
      </c>
      <c r="F223" s="2" t="s">
        <v>18</v>
      </c>
      <c r="G223" s="2" t="s">
        <v>19</v>
      </c>
      <c r="H223" s="2" t="s">
        <v>20</v>
      </c>
      <c r="I223" s="2" t="s">
        <v>48</v>
      </c>
    </row>
    <row r="224" spans="1:9" ht="14.5" x14ac:dyDescent="0.35">
      <c r="A224" s="2">
        <v>2418124</v>
      </c>
      <c r="B224" s="2" t="str">
        <f>"3328015306940001"</f>
        <v>3328015306940001</v>
      </c>
      <c r="C224" s="2" t="s">
        <v>421</v>
      </c>
      <c r="D224" s="2" t="s">
        <v>10</v>
      </c>
      <c r="E224" s="2" t="s">
        <v>11</v>
      </c>
      <c r="F224" s="2" t="s">
        <v>18</v>
      </c>
      <c r="G224" s="2" t="s">
        <v>19</v>
      </c>
      <c r="H224" s="2" t="s">
        <v>20</v>
      </c>
      <c r="I224" s="2" t="s">
        <v>55</v>
      </c>
    </row>
    <row r="225" spans="1:9" ht="14.5" x14ac:dyDescent="0.35">
      <c r="A225" s="2">
        <v>1007195</v>
      </c>
      <c r="B225" s="2" t="str">
        <f>"3328015306940001"</f>
        <v>3328015306940001</v>
      </c>
      <c r="C225" s="2" t="s">
        <v>421</v>
      </c>
      <c r="D225" s="2" t="s">
        <v>17</v>
      </c>
      <c r="E225" s="2" t="s">
        <v>11</v>
      </c>
      <c r="F225" s="2" t="s">
        <v>18</v>
      </c>
      <c r="G225" s="2" t="s">
        <v>385</v>
      </c>
      <c r="H225" s="2" t="s">
        <v>422</v>
      </c>
      <c r="I225" s="2" t="s">
        <v>423</v>
      </c>
    </row>
    <row r="226" spans="1:9" ht="14.5" x14ac:dyDescent="0.35">
      <c r="A226" s="2">
        <v>414876</v>
      </c>
      <c r="B226" s="2" t="str">
        <f>"3328015801840001"</f>
        <v>3328015801840001</v>
      </c>
      <c r="C226" s="2" t="s">
        <v>424</v>
      </c>
      <c r="D226" s="2" t="s">
        <v>10</v>
      </c>
      <c r="E226" s="2" t="s">
        <v>11</v>
      </c>
      <c r="F226" s="2" t="s">
        <v>50</v>
      </c>
      <c r="G226" s="2" t="s">
        <v>51</v>
      </c>
      <c r="H226" s="2" t="s">
        <v>425</v>
      </c>
      <c r="I226" s="2" t="s">
        <v>426</v>
      </c>
    </row>
    <row r="227" spans="1:9" ht="14.5" x14ac:dyDescent="0.35">
      <c r="A227" s="2">
        <v>2518827</v>
      </c>
      <c r="B227" s="2" t="str">
        <f>"3328015801840001"</f>
        <v>3328015801840001</v>
      </c>
      <c r="C227" s="2" t="s">
        <v>424</v>
      </c>
      <c r="D227" s="2" t="s">
        <v>17</v>
      </c>
      <c r="E227" s="2" t="s">
        <v>11</v>
      </c>
      <c r="F227" s="2" t="s">
        <v>18</v>
      </c>
      <c r="G227" s="2" t="s">
        <v>19</v>
      </c>
      <c r="H227" s="2" t="s">
        <v>20</v>
      </c>
      <c r="I227" s="2" t="s">
        <v>23</v>
      </c>
    </row>
    <row r="228" spans="1:9" ht="14.5" x14ac:dyDescent="0.35">
      <c r="A228" s="2">
        <v>2064912</v>
      </c>
      <c r="B228" s="2" t="str">
        <f>"3328015811970002"</f>
        <v>3328015811970002</v>
      </c>
      <c r="C228" s="2" t="s">
        <v>427</v>
      </c>
      <c r="D228" s="2" t="s">
        <v>10</v>
      </c>
      <c r="E228" s="2" t="s">
        <v>11</v>
      </c>
      <c r="F228" s="2" t="s">
        <v>18</v>
      </c>
      <c r="G228" s="2" t="s">
        <v>19</v>
      </c>
      <c r="H228" s="2" t="s">
        <v>20</v>
      </c>
      <c r="I228" s="2" t="s">
        <v>20</v>
      </c>
    </row>
    <row r="229" spans="1:9" ht="14.5" x14ac:dyDescent="0.35">
      <c r="A229" s="2">
        <v>3122319</v>
      </c>
      <c r="B229" s="2" t="str">
        <f>"3328015811970002"</f>
        <v>3328015811970002</v>
      </c>
      <c r="C229" s="2" t="s">
        <v>427</v>
      </c>
      <c r="D229" s="2" t="s">
        <v>17</v>
      </c>
      <c r="E229" s="2" t="s">
        <v>11</v>
      </c>
      <c r="F229" s="2" t="s">
        <v>18</v>
      </c>
      <c r="G229" s="2" t="s">
        <v>163</v>
      </c>
      <c r="H229" s="2" t="s">
        <v>428</v>
      </c>
      <c r="I229" s="2" t="s">
        <v>429</v>
      </c>
    </row>
    <row r="230" spans="1:9" ht="14.5" x14ac:dyDescent="0.35">
      <c r="A230" s="2">
        <v>2413840</v>
      </c>
      <c r="B230" s="2" t="str">
        <f>"3328016009880010"</f>
        <v>3328016009880010</v>
      </c>
      <c r="C230" s="2" t="s">
        <v>430</v>
      </c>
      <c r="D230" s="2" t="s">
        <v>10</v>
      </c>
      <c r="E230" s="2" t="s">
        <v>11</v>
      </c>
      <c r="F230" s="2" t="s">
        <v>18</v>
      </c>
      <c r="G230" s="2" t="s">
        <v>19</v>
      </c>
      <c r="H230" s="2" t="s">
        <v>20</v>
      </c>
      <c r="I230" s="2" t="s">
        <v>55</v>
      </c>
    </row>
    <row r="231" spans="1:9" ht="14.5" x14ac:dyDescent="0.35">
      <c r="A231" s="2">
        <v>1374780</v>
      </c>
      <c r="B231" s="2" t="str">
        <f>"3328016009880010"</f>
        <v>3328016009880010</v>
      </c>
      <c r="C231" s="2" t="s">
        <v>430</v>
      </c>
      <c r="D231" s="2" t="s">
        <v>17</v>
      </c>
      <c r="E231" s="2" t="s">
        <v>11</v>
      </c>
      <c r="F231" s="2" t="s">
        <v>50</v>
      </c>
      <c r="G231" s="2" t="s">
        <v>51</v>
      </c>
      <c r="H231" s="2" t="s">
        <v>284</v>
      </c>
      <c r="I231" s="2" t="s">
        <v>284</v>
      </c>
    </row>
    <row r="232" spans="1:9" ht="14.5" x14ac:dyDescent="0.35">
      <c r="A232" s="2">
        <v>2520459</v>
      </c>
      <c r="B232" s="2" t="str">
        <f>"3328016011820001"</f>
        <v>3328016011820001</v>
      </c>
      <c r="C232" s="2" t="s">
        <v>431</v>
      </c>
      <c r="D232" s="2" t="s">
        <v>17</v>
      </c>
      <c r="E232" s="2" t="s">
        <v>11</v>
      </c>
      <c r="F232" s="2" t="s">
        <v>18</v>
      </c>
      <c r="G232" s="2" t="s">
        <v>19</v>
      </c>
      <c r="H232" s="2" t="s">
        <v>20</v>
      </c>
      <c r="I232" s="2" t="s">
        <v>145</v>
      </c>
    </row>
    <row r="233" spans="1:9" ht="14.5" x14ac:dyDescent="0.35">
      <c r="A233" s="2">
        <v>683477</v>
      </c>
      <c r="B233" s="2" t="str">
        <f>"3328016011820001"</f>
        <v>3328016011820001</v>
      </c>
      <c r="C233" s="2" t="s">
        <v>432</v>
      </c>
      <c r="D233" s="2" t="s">
        <v>10</v>
      </c>
      <c r="E233" s="2" t="s">
        <v>11</v>
      </c>
      <c r="F233" s="2" t="s">
        <v>50</v>
      </c>
      <c r="G233" s="2" t="s">
        <v>58</v>
      </c>
      <c r="H233" s="2" t="s">
        <v>97</v>
      </c>
      <c r="I233" s="2" t="s">
        <v>328</v>
      </c>
    </row>
    <row r="234" spans="1:9" ht="14.5" x14ac:dyDescent="0.35">
      <c r="A234" s="2">
        <v>414875</v>
      </c>
      <c r="B234" s="2" t="str">
        <f>"3328016101060005"</f>
        <v>3328016101060005</v>
      </c>
      <c r="C234" s="2" t="s">
        <v>433</v>
      </c>
      <c r="D234" s="2" t="s">
        <v>10</v>
      </c>
      <c r="E234" s="2" t="s">
        <v>11</v>
      </c>
      <c r="F234" s="2" t="s">
        <v>50</v>
      </c>
      <c r="G234" s="2" t="s">
        <v>51</v>
      </c>
      <c r="H234" s="2" t="s">
        <v>425</v>
      </c>
      <c r="I234" s="2" t="s">
        <v>426</v>
      </c>
    </row>
    <row r="235" spans="1:9" ht="14.5" x14ac:dyDescent="0.35">
      <c r="A235" s="2">
        <v>2518824</v>
      </c>
      <c r="B235" s="2" t="str">
        <f>"3328016101060005"</f>
        <v>3328016101060005</v>
      </c>
      <c r="C235" s="2" t="s">
        <v>433</v>
      </c>
      <c r="D235" s="2" t="s">
        <v>17</v>
      </c>
      <c r="E235" s="2" t="s">
        <v>11</v>
      </c>
      <c r="F235" s="2" t="s">
        <v>18</v>
      </c>
      <c r="G235" s="2" t="s">
        <v>19</v>
      </c>
      <c r="H235" s="2" t="s">
        <v>20</v>
      </c>
      <c r="I235" s="2" t="s">
        <v>23</v>
      </c>
    </row>
    <row r="236" spans="1:9" ht="14.5" x14ac:dyDescent="0.35">
      <c r="A236" s="2">
        <v>1459919</v>
      </c>
      <c r="B236" s="2" t="str">
        <f>"3328016208910016"</f>
        <v>3328016208910016</v>
      </c>
      <c r="C236" s="2" t="s">
        <v>434</v>
      </c>
      <c r="D236" s="2" t="s">
        <v>10</v>
      </c>
      <c r="E236" s="2" t="s">
        <v>11</v>
      </c>
      <c r="F236" s="2" t="s">
        <v>18</v>
      </c>
      <c r="G236" s="2" t="s">
        <v>19</v>
      </c>
      <c r="H236" s="2" t="s">
        <v>20</v>
      </c>
      <c r="I236" s="2" t="s">
        <v>76</v>
      </c>
    </row>
    <row r="237" spans="1:9" ht="14.5" x14ac:dyDescent="0.35">
      <c r="A237" s="2">
        <v>1385685</v>
      </c>
      <c r="B237" s="2" t="str">
        <f>"3328016208910016"</f>
        <v>3328016208910016</v>
      </c>
      <c r="C237" s="2" t="s">
        <v>435</v>
      </c>
      <c r="D237" s="2" t="s">
        <v>17</v>
      </c>
      <c r="E237" s="2" t="s">
        <v>11</v>
      </c>
      <c r="F237" s="2" t="s">
        <v>50</v>
      </c>
      <c r="G237" s="2" t="s">
        <v>51</v>
      </c>
      <c r="H237" s="2" t="s">
        <v>78</v>
      </c>
      <c r="I237" s="2" t="s">
        <v>436</v>
      </c>
    </row>
    <row r="238" spans="1:9" ht="14.5" x14ac:dyDescent="0.35">
      <c r="A238" s="2">
        <v>650018</v>
      </c>
      <c r="B238" s="2" t="str">
        <f>"3328016312880005"</f>
        <v>3328016312880005</v>
      </c>
      <c r="C238" s="2" t="s">
        <v>437</v>
      </c>
      <c r="D238" s="2" t="s">
        <v>10</v>
      </c>
      <c r="E238" s="2" t="s">
        <v>11</v>
      </c>
      <c r="F238" s="2" t="s">
        <v>91</v>
      </c>
      <c r="G238" s="2" t="s">
        <v>438</v>
      </c>
      <c r="H238" s="2" t="s">
        <v>439</v>
      </c>
      <c r="I238" s="2" t="s">
        <v>440</v>
      </c>
    </row>
    <row r="239" spans="1:9" ht="14.5" x14ac:dyDescent="0.35">
      <c r="A239" s="2">
        <v>2519463</v>
      </c>
      <c r="B239" s="2" t="str">
        <f>"3328016312880005"</f>
        <v>3328016312880005</v>
      </c>
      <c r="C239" s="2" t="s">
        <v>441</v>
      </c>
      <c r="D239" s="2" t="s">
        <v>17</v>
      </c>
      <c r="E239" s="2" t="s">
        <v>11</v>
      </c>
      <c r="F239" s="2" t="s">
        <v>18</v>
      </c>
      <c r="G239" s="2" t="s">
        <v>19</v>
      </c>
      <c r="H239" s="2" t="s">
        <v>20</v>
      </c>
      <c r="I239" s="2" t="s">
        <v>65</v>
      </c>
    </row>
    <row r="240" spans="1:9" ht="14.5" x14ac:dyDescent="0.35">
      <c r="A240" s="2">
        <v>1468522</v>
      </c>
      <c r="B240" s="2" t="str">
        <f>"3328016703640001"</f>
        <v>3328016703640001</v>
      </c>
      <c r="C240" s="2" t="s">
        <v>442</v>
      </c>
      <c r="D240" s="2" t="s">
        <v>10</v>
      </c>
      <c r="E240" s="2" t="s">
        <v>11</v>
      </c>
      <c r="F240" s="2" t="s">
        <v>18</v>
      </c>
      <c r="G240" s="2" t="s">
        <v>19</v>
      </c>
      <c r="H240" s="2" t="s">
        <v>20</v>
      </c>
      <c r="I240" s="2" t="s">
        <v>145</v>
      </c>
    </row>
    <row r="241" spans="1:9" ht="14.5" x14ac:dyDescent="0.35">
      <c r="A241" s="2">
        <v>2572912</v>
      </c>
      <c r="B241" s="2" t="str">
        <f>"3328016703640001"</f>
        <v>3328016703640001</v>
      </c>
      <c r="C241" s="2" t="s">
        <v>443</v>
      </c>
      <c r="D241" s="2" t="s">
        <v>17</v>
      </c>
      <c r="E241" s="2" t="s">
        <v>11</v>
      </c>
      <c r="F241" s="2" t="s">
        <v>18</v>
      </c>
      <c r="G241" s="2" t="s">
        <v>19</v>
      </c>
      <c r="H241" s="2" t="s">
        <v>20</v>
      </c>
      <c r="I241" s="2" t="s">
        <v>53</v>
      </c>
    </row>
    <row r="242" spans="1:9" ht="14.5" x14ac:dyDescent="0.35">
      <c r="A242" s="2">
        <v>1729047</v>
      </c>
      <c r="B242" s="2" t="str">
        <f>"3328016804970001"</f>
        <v>3328016804970001</v>
      </c>
      <c r="C242" s="2" t="s">
        <v>444</v>
      </c>
      <c r="D242" s="2" t="s">
        <v>10</v>
      </c>
      <c r="E242" s="2" t="s">
        <v>11</v>
      </c>
      <c r="F242" s="2" t="s">
        <v>50</v>
      </c>
      <c r="G242" s="2" t="s">
        <v>86</v>
      </c>
      <c r="H242" s="2" t="s">
        <v>445</v>
      </c>
      <c r="I242" s="2" t="s">
        <v>446</v>
      </c>
    </row>
    <row r="243" spans="1:9" ht="14.5" x14ac:dyDescent="0.35">
      <c r="A243" s="2">
        <v>2519962</v>
      </c>
      <c r="B243" s="2" t="str">
        <f>"3328016804970001"</f>
        <v>3328016804970001</v>
      </c>
      <c r="C243" s="2" t="s">
        <v>444</v>
      </c>
      <c r="D243" s="2" t="s">
        <v>17</v>
      </c>
      <c r="E243" s="2" t="s">
        <v>11</v>
      </c>
      <c r="F243" s="2" t="s">
        <v>18</v>
      </c>
      <c r="G243" s="2" t="s">
        <v>19</v>
      </c>
      <c r="H243" s="2" t="s">
        <v>20</v>
      </c>
      <c r="I243" s="2" t="s">
        <v>21</v>
      </c>
    </row>
    <row r="244" spans="1:9" ht="14.5" x14ac:dyDescent="0.35">
      <c r="A244" s="2">
        <v>2421743</v>
      </c>
      <c r="B244" s="2" t="str">
        <f>"3328016809000004"</f>
        <v>3328016809000004</v>
      </c>
      <c r="C244" s="2" t="s">
        <v>447</v>
      </c>
      <c r="D244" s="2" t="s">
        <v>10</v>
      </c>
      <c r="E244" s="2" t="s">
        <v>11</v>
      </c>
      <c r="F244" s="2" t="s">
        <v>18</v>
      </c>
      <c r="G244" s="2" t="s">
        <v>19</v>
      </c>
      <c r="H244" s="2" t="s">
        <v>20</v>
      </c>
      <c r="I244" s="2" t="s">
        <v>55</v>
      </c>
    </row>
    <row r="245" spans="1:9" ht="14.5" x14ac:dyDescent="0.35">
      <c r="A245" s="2">
        <v>420957</v>
      </c>
      <c r="B245" s="2" t="str">
        <f>"3328016809000004"</f>
        <v>3328016809000004</v>
      </c>
      <c r="C245" s="2" t="s">
        <v>447</v>
      </c>
      <c r="D245" s="2" t="s">
        <v>17</v>
      </c>
      <c r="E245" s="2" t="s">
        <v>11</v>
      </c>
      <c r="F245" s="2" t="s">
        <v>18</v>
      </c>
      <c r="G245" s="2" t="s">
        <v>268</v>
      </c>
      <c r="H245" s="2" t="s">
        <v>448</v>
      </c>
      <c r="I245" s="2" t="s">
        <v>449</v>
      </c>
    </row>
    <row r="246" spans="1:9" ht="14.5" x14ac:dyDescent="0.35">
      <c r="A246" s="2">
        <v>1187723</v>
      </c>
      <c r="B246" s="2" t="str">
        <f>"3328016810860005"</f>
        <v>3328016810860005</v>
      </c>
      <c r="C246" s="2" t="s">
        <v>450</v>
      </c>
      <c r="D246" s="2" t="s">
        <v>10</v>
      </c>
      <c r="E246" s="2" t="s">
        <v>11</v>
      </c>
      <c r="F246" s="2" t="s">
        <v>91</v>
      </c>
      <c r="G246" s="2" t="s">
        <v>92</v>
      </c>
      <c r="H246" s="2" t="s">
        <v>128</v>
      </c>
      <c r="I246" s="2" t="s">
        <v>451</v>
      </c>
    </row>
    <row r="247" spans="1:9" ht="14.5" x14ac:dyDescent="0.35">
      <c r="A247" s="2">
        <v>2520038</v>
      </c>
      <c r="B247" s="2" t="str">
        <f>"3328016810860005"</f>
        <v>3328016810860005</v>
      </c>
      <c r="C247" s="2" t="s">
        <v>450</v>
      </c>
      <c r="D247" s="2" t="s">
        <v>17</v>
      </c>
      <c r="E247" s="2" t="s">
        <v>11</v>
      </c>
      <c r="F247" s="2" t="s">
        <v>18</v>
      </c>
      <c r="G247" s="2" t="s">
        <v>19</v>
      </c>
      <c r="H247" s="2" t="s">
        <v>20</v>
      </c>
      <c r="I247" s="2" t="s">
        <v>21</v>
      </c>
    </row>
    <row r="248" spans="1:9" ht="14.5" x14ac:dyDescent="0.35">
      <c r="A248" s="2">
        <v>2520456</v>
      </c>
      <c r="B248" s="2" t="str">
        <f>"3328016911990003"</f>
        <v>3328016911990003</v>
      </c>
      <c r="C248" s="2" t="s">
        <v>452</v>
      </c>
      <c r="D248" s="2" t="s">
        <v>17</v>
      </c>
      <c r="E248" s="2" t="s">
        <v>11</v>
      </c>
      <c r="F248" s="2" t="s">
        <v>18</v>
      </c>
      <c r="G248" s="2" t="s">
        <v>19</v>
      </c>
      <c r="H248" s="2" t="s">
        <v>20</v>
      </c>
      <c r="I248" s="2" t="s">
        <v>145</v>
      </c>
    </row>
    <row r="249" spans="1:9" ht="14.5" x14ac:dyDescent="0.35">
      <c r="A249" s="2">
        <v>683478</v>
      </c>
      <c r="B249" s="2" t="str">
        <f>"3328016911990003"</f>
        <v>3328016911990003</v>
      </c>
      <c r="C249" s="2" t="s">
        <v>453</v>
      </c>
      <c r="D249" s="2" t="s">
        <v>10</v>
      </c>
      <c r="E249" s="2" t="s">
        <v>11</v>
      </c>
      <c r="F249" s="2" t="s">
        <v>50</v>
      </c>
      <c r="G249" s="2" t="s">
        <v>58</v>
      </c>
      <c r="H249" s="2" t="s">
        <v>97</v>
      </c>
      <c r="I249" s="2" t="s">
        <v>328</v>
      </c>
    </row>
    <row r="250" spans="1:9" ht="14.5" x14ac:dyDescent="0.35">
      <c r="A250" s="2">
        <v>75417</v>
      </c>
      <c r="B250" s="2" t="str">
        <f>"3328017112730044"</f>
        <v>3328017112730044</v>
      </c>
      <c r="C250" s="2" t="s">
        <v>454</v>
      </c>
      <c r="D250" s="2" t="s">
        <v>10</v>
      </c>
      <c r="E250" s="2" t="s">
        <v>11</v>
      </c>
      <c r="F250" s="2" t="s">
        <v>50</v>
      </c>
      <c r="G250" s="2" t="s">
        <v>280</v>
      </c>
      <c r="H250" s="2" t="s">
        <v>455</v>
      </c>
      <c r="I250" s="2" t="s">
        <v>456</v>
      </c>
    </row>
    <row r="251" spans="1:9" ht="14.5" x14ac:dyDescent="0.35">
      <c r="A251" s="2">
        <v>2520083</v>
      </c>
      <c r="B251" s="2" t="str">
        <f>"3328017112730044"</f>
        <v>3328017112730044</v>
      </c>
      <c r="C251" s="2" t="s">
        <v>457</v>
      </c>
      <c r="D251" s="2" t="s">
        <v>17</v>
      </c>
      <c r="E251" s="2" t="s">
        <v>11</v>
      </c>
      <c r="F251" s="2" t="s">
        <v>18</v>
      </c>
      <c r="G251" s="2" t="s">
        <v>19</v>
      </c>
      <c r="H251" s="2" t="s">
        <v>20</v>
      </c>
      <c r="I251" s="2" t="s">
        <v>21</v>
      </c>
    </row>
    <row r="252" spans="1:9" ht="14.5" x14ac:dyDescent="0.35">
      <c r="A252" s="2">
        <v>1300541</v>
      </c>
      <c r="B252" s="2" t="str">
        <f>"3328180602800007"</f>
        <v>3328180602800007</v>
      </c>
      <c r="C252" s="2" t="s">
        <v>458</v>
      </c>
      <c r="D252" s="2" t="s">
        <v>10</v>
      </c>
      <c r="E252" s="2" t="s">
        <v>11</v>
      </c>
      <c r="F252" s="2" t="s">
        <v>18</v>
      </c>
      <c r="G252" s="2" t="s">
        <v>264</v>
      </c>
      <c r="H252" s="2" t="s">
        <v>265</v>
      </c>
      <c r="I252" s="2" t="s">
        <v>459</v>
      </c>
    </row>
    <row r="253" spans="1:9" ht="14.5" x14ac:dyDescent="0.35">
      <c r="A253" s="2">
        <v>2520117</v>
      </c>
      <c r="B253" s="2" t="str">
        <f>"3328180602800007"</f>
        <v>3328180602800007</v>
      </c>
      <c r="C253" s="2" t="s">
        <v>458</v>
      </c>
      <c r="D253" s="2" t="s">
        <v>17</v>
      </c>
      <c r="E253" s="2" t="s">
        <v>11</v>
      </c>
      <c r="F253" s="2" t="s">
        <v>18</v>
      </c>
      <c r="G253" s="2" t="s">
        <v>19</v>
      </c>
      <c r="H253" s="2" t="s">
        <v>20</v>
      </c>
      <c r="I253" s="2" t="s">
        <v>37</v>
      </c>
    </row>
    <row r="254" spans="1:9" ht="14.5" x14ac:dyDescent="0.35">
      <c r="A254" s="2">
        <v>1444376</v>
      </c>
      <c r="B254" s="2" t="str">
        <f>"3329032002930004"</f>
        <v>3329032002930004</v>
      </c>
      <c r="C254" s="2" t="s">
        <v>460</v>
      </c>
      <c r="D254" s="2" t="s">
        <v>10</v>
      </c>
      <c r="E254" s="2" t="s">
        <v>11</v>
      </c>
      <c r="F254" s="2" t="s">
        <v>18</v>
      </c>
      <c r="G254" s="2" t="s">
        <v>19</v>
      </c>
      <c r="H254" s="2" t="s">
        <v>20</v>
      </c>
      <c r="I254" s="2" t="s">
        <v>53</v>
      </c>
    </row>
    <row r="255" spans="1:9" ht="14.5" x14ac:dyDescent="0.35">
      <c r="A255" s="2">
        <v>1655054</v>
      </c>
      <c r="B255" s="2" t="str">
        <f>"3329032002930004"</f>
        <v>3329032002930004</v>
      </c>
      <c r="C255" s="2" t="s">
        <v>460</v>
      </c>
      <c r="D255" s="2" t="s">
        <v>17</v>
      </c>
      <c r="E255" s="2" t="s">
        <v>11</v>
      </c>
      <c r="F255" s="2" t="s">
        <v>18</v>
      </c>
      <c r="G255" s="2" t="s">
        <v>264</v>
      </c>
      <c r="H255" s="2" t="s">
        <v>461</v>
      </c>
      <c r="I255" s="2" t="s">
        <v>462</v>
      </c>
    </row>
    <row r="256" spans="1:9" ht="14.5" x14ac:dyDescent="0.35">
      <c r="A256" s="2">
        <v>1444378</v>
      </c>
      <c r="B256" s="2" t="str">
        <f>"3329035203730006"</f>
        <v>3329035203730006</v>
      </c>
      <c r="C256" s="2" t="s">
        <v>463</v>
      </c>
      <c r="D256" s="2" t="s">
        <v>10</v>
      </c>
      <c r="E256" s="2" t="s">
        <v>11</v>
      </c>
      <c r="F256" s="2" t="s">
        <v>18</v>
      </c>
      <c r="G256" s="2" t="s">
        <v>19</v>
      </c>
      <c r="H256" s="2" t="s">
        <v>20</v>
      </c>
      <c r="I256" s="2" t="s">
        <v>53</v>
      </c>
    </row>
    <row r="257" spans="1:9" ht="14.5" x14ac:dyDescent="0.35">
      <c r="A257" s="2">
        <v>1655052</v>
      </c>
      <c r="B257" s="2" t="str">
        <f>"3329035203730006"</f>
        <v>3329035203730006</v>
      </c>
      <c r="C257" s="2" t="s">
        <v>463</v>
      </c>
      <c r="D257" s="2" t="s">
        <v>17</v>
      </c>
      <c r="E257" s="2" t="s">
        <v>11</v>
      </c>
      <c r="F257" s="2" t="s">
        <v>18</v>
      </c>
      <c r="G257" s="2" t="s">
        <v>264</v>
      </c>
      <c r="H257" s="2" t="s">
        <v>461</v>
      </c>
      <c r="I257" s="2" t="s">
        <v>462</v>
      </c>
    </row>
    <row r="258" spans="1:9" ht="14.5" x14ac:dyDescent="0.35">
      <c r="A258" s="2">
        <v>1933382</v>
      </c>
      <c r="B258" s="2" t="str">
        <f>"3329055208680003"</f>
        <v>3329055208680003</v>
      </c>
      <c r="C258" s="2" t="s">
        <v>464</v>
      </c>
      <c r="D258" s="2" t="s">
        <v>10</v>
      </c>
      <c r="E258" s="2" t="s">
        <v>11</v>
      </c>
      <c r="F258" s="2" t="s">
        <v>18</v>
      </c>
      <c r="G258" s="2" t="s">
        <v>19</v>
      </c>
      <c r="H258" s="2" t="s">
        <v>20</v>
      </c>
      <c r="I258" s="2" t="s">
        <v>48</v>
      </c>
    </row>
    <row r="259" spans="1:9" ht="14.5" x14ac:dyDescent="0.35">
      <c r="A259" s="2">
        <v>1680933</v>
      </c>
      <c r="B259" s="2" t="str">
        <f>"3329055208680003"</f>
        <v>3329055208680003</v>
      </c>
      <c r="C259" s="2" t="s">
        <v>465</v>
      </c>
      <c r="D259" s="2" t="s">
        <v>17</v>
      </c>
      <c r="E259" s="2" t="s">
        <v>11</v>
      </c>
      <c r="F259" s="2" t="s">
        <v>18</v>
      </c>
      <c r="G259" s="2" t="s">
        <v>264</v>
      </c>
      <c r="H259" s="2" t="s">
        <v>289</v>
      </c>
      <c r="I259" s="2" t="s">
        <v>466</v>
      </c>
    </row>
    <row r="260" spans="1:9" ht="14.5" x14ac:dyDescent="0.35">
      <c r="A260" s="2">
        <v>168342</v>
      </c>
      <c r="B260" s="2" t="str">
        <f>"3329061404920001"</f>
        <v>3329061404920001</v>
      </c>
      <c r="C260" s="2" t="s">
        <v>467</v>
      </c>
      <c r="D260" s="2" t="s">
        <v>10</v>
      </c>
      <c r="E260" s="2" t="s">
        <v>11</v>
      </c>
      <c r="F260" s="2" t="s">
        <v>18</v>
      </c>
      <c r="G260" s="2" t="s">
        <v>264</v>
      </c>
      <c r="H260" s="2" t="s">
        <v>468</v>
      </c>
      <c r="I260" s="2" t="s">
        <v>469</v>
      </c>
    </row>
    <row r="261" spans="1:9" ht="14.5" x14ac:dyDescent="0.35">
      <c r="A261" s="2">
        <v>2519117</v>
      </c>
      <c r="B261" s="2" t="str">
        <f>"3329061404920001"</f>
        <v>3329061404920001</v>
      </c>
      <c r="C261" s="2" t="s">
        <v>467</v>
      </c>
      <c r="D261" s="2" t="s">
        <v>17</v>
      </c>
      <c r="E261" s="2" t="s">
        <v>11</v>
      </c>
      <c r="F261" s="2" t="s">
        <v>18</v>
      </c>
      <c r="G261" s="2" t="s">
        <v>19</v>
      </c>
      <c r="H261" s="2" t="s">
        <v>20</v>
      </c>
      <c r="I261" s="2" t="s">
        <v>76</v>
      </c>
    </row>
    <row r="262" spans="1:9" ht="14.5" x14ac:dyDescent="0.35">
      <c r="A262" s="2">
        <v>1241964</v>
      </c>
      <c r="B262" s="2" t="str">
        <f>"3329070301830006"</f>
        <v>3329070301830006</v>
      </c>
      <c r="C262" s="2" t="s">
        <v>288</v>
      </c>
      <c r="D262" s="2" t="s">
        <v>10</v>
      </c>
      <c r="E262" s="2" t="s">
        <v>11</v>
      </c>
      <c r="F262" s="2" t="s">
        <v>18</v>
      </c>
      <c r="G262" s="2" t="s">
        <v>264</v>
      </c>
      <c r="H262" s="2" t="s">
        <v>265</v>
      </c>
      <c r="I262" s="2" t="s">
        <v>470</v>
      </c>
    </row>
    <row r="263" spans="1:9" ht="14.5" x14ac:dyDescent="0.35">
      <c r="A263" s="2">
        <v>2572965</v>
      </c>
      <c r="B263" s="2" t="str">
        <f>"3329070301830006"</f>
        <v>3329070301830006</v>
      </c>
      <c r="C263" s="2" t="s">
        <v>288</v>
      </c>
      <c r="D263" s="2" t="s">
        <v>17</v>
      </c>
      <c r="E263" s="2" t="s">
        <v>11</v>
      </c>
      <c r="F263" s="2" t="s">
        <v>18</v>
      </c>
      <c r="G263" s="2" t="s">
        <v>19</v>
      </c>
      <c r="H263" s="2" t="s">
        <v>20</v>
      </c>
      <c r="I263" s="2" t="s">
        <v>53</v>
      </c>
    </row>
    <row r="264" spans="1:9" ht="14.5" x14ac:dyDescent="0.35">
      <c r="A264" s="2">
        <v>1033303</v>
      </c>
      <c r="B264" s="2" t="str">
        <f>"3329081801890004"</f>
        <v>3329081801890004</v>
      </c>
      <c r="C264" s="2" t="s">
        <v>471</v>
      </c>
      <c r="D264" s="2" t="s">
        <v>10</v>
      </c>
      <c r="E264" s="2" t="s">
        <v>11</v>
      </c>
      <c r="F264" s="2" t="s">
        <v>18</v>
      </c>
      <c r="G264" s="2" t="s">
        <v>264</v>
      </c>
      <c r="H264" s="2" t="s">
        <v>248</v>
      </c>
      <c r="I264" s="2" t="s">
        <v>472</v>
      </c>
    </row>
    <row r="265" spans="1:9" ht="14.5" x14ac:dyDescent="0.35">
      <c r="A265" s="2">
        <v>2518866</v>
      </c>
      <c r="B265" s="2" t="str">
        <f>"3329081801890004"</f>
        <v>3329081801890004</v>
      </c>
      <c r="C265" s="2" t="s">
        <v>471</v>
      </c>
      <c r="D265" s="2" t="s">
        <v>17</v>
      </c>
      <c r="E265" s="2" t="s">
        <v>11</v>
      </c>
      <c r="F265" s="2" t="s">
        <v>18</v>
      </c>
      <c r="G265" s="2" t="s">
        <v>19</v>
      </c>
      <c r="H265" s="2" t="s">
        <v>20</v>
      </c>
      <c r="I265" s="2" t="s">
        <v>23</v>
      </c>
    </row>
    <row r="266" spans="1:9" ht="14.5" x14ac:dyDescent="0.35">
      <c r="A266" s="2">
        <v>655230</v>
      </c>
      <c r="B266" s="2" t="str">
        <f>"3329092308900005"</f>
        <v>3329092308900005</v>
      </c>
      <c r="C266" s="2" t="s">
        <v>473</v>
      </c>
      <c r="D266" s="2" t="s">
        <v>10</v>
      </c>
      <c r="E266" s="2" t="s">
        <v>11</v>
      </c>
      <c r="F266" s="2" t="s">
        <v>18</v>
      </c>
      <c r="G266" s="2" t="s">
        <v>264</v>
      </c>
      <c r="H266" s="2" t="s">
        <v>264</v>
      </c>
      <c r="I266" s="2" t="s">
        <v>474</v>
      </c>
    </row>
    <row r="267" spans="1:9" ht="14.5" x14ac:dyDescent="0.35">
      <c r="A267" s="2">
        <v>2520639</v>
      </c>
      <c r="B267" s="2" t="str">
        <f>"3329092308900005"</f>
        <v>3329092308900005</v>
      </c>
      <c r="C267" s="2" t="s">
        <v>473</v>
      </c>
      <c r="D267" s="2" t="s">
        <v>17</v>
      </c>
      <c r="E267" s="2" t="s">
        <v>11</v>
      </c>
      <c r="F267" s="2" t="s">
        <v>18</v>
      </c>
      <c r="G267" s="2" t="s">
        <v>19</v>
      </c>
      <c r="H267" s="2" t="s">
        <v>20</v>
      </c>
      <c r="I267" s="2" t="s">
        <v>48</v>
      </c>
    </row>
    <row r="268" spans="1:9" ht="14.5" x14ac:dyDescent="0.35">
      <c r="A268" s="2">
        <v>1516903</v>
      </c>
      <c r="B268" s="2" t="str">
        <f>"3329100308760001"</f>
        <v>3329100308760001</v>
      </c>
      <c r="C268" s="2" t="s">
        <v>475</v>
      </c>
      <c r="D268" s="2" t="s">
        <v>10</v>
      </c>
      <c r="E268" s="2" t="s">
        <v>11</v>
      </c>
      <c r="F268" s="2" t="s">
        <v>18</v>
      </c>
      <c r="G268" s="2" t="s">
        <v>264</v>
      </c>
      <c r="H268" s="2" t="s">
        <v>273</v>
      </c>
      <c r="I268" s="2" t="s">
        <v>273</v>
      </c>
    </row>
    <row r="269" spans="1:9" ht="14.5" x14ac:dyDescent="0.35">
      <c r="A269" s="2">
        <v>2518822</v>
      </c>
      <c r="B269" s="2" t="str">
        <f>"3329100308760001"</f>
        <v>3329100308760001</v>
      </c>
      <c r="C269" s="2" t="s">
        <v>475</v>
      </c>
      <c r="D269" s="2" t="s">
        <v>17</v>
      </c>
      <c r="E269" s="2" t="s">
        <v>11</v>
      </c>
      <c r="F269" s="2" t="s">
        <v>18</v>
      </c>
      <c r="G269" s="2" t="s">
        <v>19</v>
      </c>
      <c r="H269" s="2" t="s">
        <v>20</v>
      </c>
      <c r="I269" s="2" t="s">
        <v>23</v>
      </c>
    </row>
    <row r="270" spans="1:9" ht="14.5" x14ac:dyDescent="0.35">
      <c r="A270" s="2">
        <v>1684032</v>
      </c>
      <c r="B270" s="2" t="str">
        <f>"3329145002880015"</f>
        <v>3329145002880015</v>
      </c>
      <c r="C270" s="2" t="s">
        <v>476</v>
      </c>
      <c r="D270" s="2" t="s">
        <v>10</v>
      </c>
      <c r="E270" s="2" t="s">
        <v>11</v>
      </c>
      <c r="F270" s="2" t="s">
        <v>18</v>
      </c>
      <c r="G270" s="2" t="s">
        <v>19</v>
      </c>
      <c r="H270" s="2" t="s">
        <v>20</v>
      </c>
      <c r="I270" s="2" t="s">
        <v>23</v>
      </c>
    </row>
    <row r="271" spans="1:9" ht="14.5" x14ac:dyDescent="0.35">
      <c r="A271" s="2">
        <v>1639218</v>
      </c>
      <c r="B271" s="2" t="str">
        <f>"3329145002880015"</f>
        <v>3329145002880015</v>
      </c>
      <c r="C271" s="2" t="s">
        <v>476</v>
      </c>
      <c r="D271" s="2" t="s">
        <v>17</v>
      </c>
      <c r="E271" s="2" t="s">
        <v>11</v>
      </c>
      <c r="F271" s="2" t="s">
        <v>18</v>
      </c>
      <c r="G271" s="2" t="s">
        <v>264</v>
      </c>
      <c r="H271" s="2" t="s">
        <v>477</v>
      </c>
      <c r="I271" s="2" t="s">
        <v>478</v>
      </c>
    </row>
    <row r="272" spans="1:9" ht="14.5" x14ac:dyDescent="0.35">
      <c r="A272" s="2">
        <v>1685188</v>
      </c>
      <c r="B272" s="2" t="str">
        <f>"3329146811610001"</f>
        <v>3329146811610001</v>
      </c>
      <c r="C272" s="2" t="s">
        <v>479</v>
      </c>
      <c r="D272" s="2" t="s">
        <v>10</v>
      </c>
      <c r="E272" s="2" t="s">
        <v>11</v>
      </c>
      <c r="F272" s="2" t="s">
        <v>18</v>
      </c>
      <c r="G272" s="2" t="s">
        <v>19</v>
      </c>
      <c r="H272" s="2" t="s">
        <v>20</v>
      </c>
      <c r="I272" s="2" t="s">
        <v>23</v>
      </c>
    </row>
    <row r="273" spans="1:9" ht="14.5" x14ac:dyDescent="0.35">
      <c r="A273" s="2">
        <v>1632864</v>
      </c>
      <c r="B273" s="2" t="str">
        <f>"3329146811610001"</f>
        <v>3329146811610001</v>
      </c>
      <c r="C273" s="2" t="s">
        <v>479</v>
      </c>
      <c r="D273" s="2" t="s">
        <v>17</v>
      </c>
      <c r="E273" s="2" t="s">
        <v>11</v>
      </c>
      <c r="F273" s="2" t="s">
        <v>18</v>
      </c>
      <c r="G273" s="2" t="s">
        <v>264</v>
      </c>
      <c r="H273" s="2" t="s">
        <v>477</v>
      </c>
      <c r="I273" s="2" t="s">
        <v>480</v>
      </c>
    </row>
    <row r="274" spans="1:9" ht="14.5" x14ac:dyDescent="0.35">
      <c r="A274" s="2">
        <v>1558639</v>
      </c>
      <c r="B274" s="2" t="str">
        <f>"3329151401910001"</f>
        <v>3329151401910001</v>
      </c>
      <c r="C274" s="2" t="s">
        <v>481</v>
      </c>
      <c r="D274" s="2" t="s">
        <v>10</v>
      </c>
      <c r="E274" s="2" t="s">
        <v>11</v>
      </c>
      <c r="F274" s="2" t="s">
        <v>18</v>
      </c>
      <c r="G274" s="2" t="s">
        <v>264</v>
      </c>
      <c r="H274" s="2" t="s">
        <v>330</v>
      </c>
      <c r="I274" s="2" t="s">
        <v>330</v>
      </c>
    </row>
    <row r="275" spans="1:9" ht="14.5" x14ac:dyDescent="0.35">
      <c r="A275" s="2">
        <v>2520367</v>
      </c>
      <c r="B275" s="2" t="str">
        <f>"3329151401910001"</f>
        <v>3329151401910001</v>
      </c>
      <c r="C275" s="2" t="s">
        <v>482</v>
      </c>
      <c r="D275" s="2" t="s">
        <v>17</v>
      </c>
      <c r="E275" s="2" t="s">
        <v>11</v>
      </c>
      <c r="F275" s="2" t="s">
        <v>18</v>
      </c>
      <c r="G275" s="2" t="s">
        <v>19</v>
      </c>
      <c r="H275" s="2" t="s">
        <v>20</v>
      </c>
      <c r="I275" s="2" t="s">
        <v>145</v>
      </c>
    </row>
    <row r="276" spans="1:9" ht="14.5" x14ac:dyDescent="0.35">
      <c r="A276" s="2">
        <v>1546663</v>
      </c>
      <c r="B276" s="2" t="str">
        <f>"3329152304800004"</f>
        <v>3329152304800004</v>
      </c>
      <c r="C276" s="2" t="s">
        <v>483</v>
      </c>
      <c r="D276" s="2" t="s">
        <v>10</v>
      </c>
      <c r="E276" s="2" t="s">
        <v>11</v>
      </c>
      <c r="F276" s="2" t="s">
        <v>18</v>
      </c>
      <c r="G276" s="2" t="s">
        <v>264</v>
      </c>
      <c r="H276" s="2" t="s">
        <v>330</v>
      </c>
      <c r="I276" s="2" t="s">
        <v>331</v>
      </c>
    </row>
    <row r="277" spans="1:9" ht="14.5" x14ac:dyDescent="0.35">
      <c r="A277" s="2">
        <v>2519025</v>
      </c>
      <c r="B277" s="2" t="str">
        <f>"3329152304800004"</f>
        <v>3329152304800004</v>
      </c>
      <c r="C277" s="2" t="s">
        <v>484</v>
      </c>
      <c r="D277" s="2" t="s">
        <v>17</v>
      </c>
      <c r="E277" s="2" t="s">
        <v>11</v>
      </c>
      <c r="F277" s="2" t="s">
        <v>18</v>
      </c>
      <c r="G277" s="2" t="s">
        <v>19</v>
      </c>
      <c r="H277" s="2" t="s">
        <v>20</v>
      </c>
      <c r="I277" s="2" t="s">
        <v>23</v>
      </c>
    </row>
    <row r="278" spans="1:9" ht="14.5" x14ac:dyDescent="0.35">
      <c r="A278" s="2">
        <v>1547491</v>
      </c>
      <c r="B278" s="2" t="str">
        <f>"3329154312990002"</f>
        <v>3329154312990002</v>
      </c>
      <c r="C278" s="2" t="s">
        <v>373</v>
      </c>
      <c r="D278" s="2" t="s">
        <v>10</v>
      </c>
      <c r="E278" s="2" t="s">
        <v>11</v>
      </c>
      <c r="F278" s="2" t="s">
        <v>18</v>
      </c>
      <c r="G278" s="2" t="s">
        <v>264</v>
      </c>
      <c r="H278" s="2" t="s">
        <v>330</v>
      </c>
      <c r="I278" s="2" t="s">
        <v>331</v>
      </c>
    </row>
    <row r="279" spans="1:9" ht="14.5" x14ac:dyDescent="0.35">
      <c r="A279" s="2">
        <v>2520956</v>
      </c>
      <c r="B279" s="2" t="str">
        <f>"3329154312990002"</f>
        <v>3329154312990002</v>
      </c>
      <c r="C279" s="2" t="s">
        <v>373</v>
      </c>
      <c r="D279" s="2" t="s">
        <v>17</v>
      </c>
      <c r="E279" s="2" t="s">
        <v>11</v>
      </c>
      <c r="F279" s="2" t="s">
        <v>18</v>
      </c>
      <c r="G279" s="2" t="s">
        <v>19</v>
      </c>
      <c r="H279" s="2" t="s">
        <v>20</v>
      </c>
      <c r="I279" s="2" t="s">
        <v>301</v>
      </c>
    </row>
    <row r="280" spans="1:9" ht="14.5" x14ac:dyDescent="0.35">
      <c r="A280" s="2">
        <v>1546664</v>
      </c>
      <c r="B280" s="2" t="str">
        <f>"3329154711880001"</f>
        <v>3329154711880001</v>
      </c>
      <c r="C280" s="2" t="s">
        <v>485</v>
      </c>
      <c r="D280" s="2" t="s">
        <v>10</v>
      </c>
      <c r="E280" s="2" t="s">
        <v>11</v>
      </c>
      <c r="F280" s="2" t="s">
        <v>18</v>
      </c>
      <c r="G280" s="2" t="s">
        <v>264</v>
      </c>
      <c r="H280" s="2" t="s">
        <v>330</v>
      </c>
      <c r="I280" s="2" t="s">
        <v>331</v>
      </c>
    </row>
    <row r="281" spans="1:9" ht="14.5" x14ac:dyDescent="0.35">
      <c r="A281" s="2">
        <v>2519026</v>
      </c>
      <c r="B281" s="2" t="str">
        <f>"3329154711880001"</f>
        <v>3329154711880001</v>
      </c>
      <c r="C281" s="2" t="s">
        <v>486</v>
      </c>
      <c r="D281" s="2" t="s">
        <v>17</v>
      </c>
      <c r="E281" s="2" t="s">
        <v>11</v>
      </c>
      <c r="F281" s="2" t="s">
        <v>18</v>
      </c>
      <c r="G281" s="2" t="s">
        <v>19</v>
      </c>
      <c r="H281" s="2" t="s">
        <v>20</v>
      </c>
      <c r="I281" s="2" t="s">
        <v>23</v>
      </c>
    </row>
    <row r="282" spans="1:9" ht="14.5" x14ac:dyDescent="0.35">
      <c r="A282" s="2">
        <v>1683597</v>
      </c>
      <c r="B282" s="2" t="str">
        <f>"3329155803920004"</f>
        <v>3329155803920004</v>
      </c>
      <c r="C282" s="2" t="s">
        <v>487</v>
      </c>
      <c r="D282" s="2" t="s">
        <v>10</v>
      </c>
      <c r="E282" s="2" t="s">
        <v>11</v>
      </c>
      <c r="F282" s="2" t="s">
        <v>18</v>
      </c>
      <c r="G282" s="2" t="s">
        <v>19</v>
      </c>
      <c r="H282" s="2" t="s">
        <v>20</v>
      </c>
      <c r="I282" s="2" t="s">
        <v>23</v>
      </c>
    </row>
    <row r="283" spans="1:9" ht="14.5" x14ac:dyDescent="0.35">
      <c r="A283" s="2">
        <v>1124379</v>
      </c>
      <c r="B283" s="2" t="str">
        <f>"3329155803920004"</f>
        <v>3329155803920004</v>
      </c>
      <c r="C283" s="2" t="s">
        <v>488</v>
      </c>
      <c r="D283" s="2" t="s">
        <v>189</v>
      </c>
      <c r="E283" s="2" t="s">
        <v>11</v>
      </c>
      <c r="F283" s="2" t="s">
        <v>18</v>
      </c>
      <c r="G283" s="2" t="s">
        <v>264</v>
      </c>
      <c r="H283" s="2" t="s">
        <v>330</v>
      </c>
      <c r="I283" s="2" t="s">
        <v>489</v>
      </c>
    </row>
    <row r="284" spans="1:9" ht="14.5" x14ac:dyDescent="0.35">
      <c r="A284" s="2">
        <v>1549770</v>
      </c>
      <c r="B284" s="2" t="str">
        <f>"3329156207990004"</f>
        <v>3329156207990004</v>
      </c>
      <c r="C284" s="2" t="s">
        <v>490</v>
      </c>
      <c r="D284" s="2" t="s">
        <v>10</v>
      </c>
      <c r="E284" s="2" t="s">
        <v>11</v>
      </c>
      <c r="F284" s="2" t="s">
        <v>18</v>
      </c>
      <c r="G284" s="2" t="s">
        <v>264</v>
      </c>
      <c r="H284" s="2" t="s">
        <v>330</v>
      </c>
      <c r="I284" s="2" t="s">
        <v>331</v>
      </c>
    </row>
    <row r="285" spans="1:9" ht="14.5" x14ac:dyDescent="0.35">
      <c r="A285" s="2">
        <v>2521137</v>
      </c>
      <c r="B285" s="2" t="str">
        <f>"3329156207990004"</f>
        <v>3329156207990004</v>
      </c>
      <c r="C285" s="2" t="s">
        <v>491</v>
      </c>
      <c r="D285" s="2" t="s">
        <v>17</v>
      </c>
      <c r="E285" s="2" t="s">
        <v>11</v>
      </c>
      <c r="F285" s="2" t="s">
        <v>18</v>
      </c>
      <c r="G285" s="2" t="s">
        <v>19</v>
      </c>
      <c r="H285" s="2" t="s">
        <v>20</v>
      </c>
      <c r="I285" s="2" t="s">
        <v>301</v>
      </c>
    </row>
    <row r="286" spans="1:9" ht="14.5" x14ac:dyDescent="0.35">
      <c r="A286" s="2">
        <v>2418193</v>
      </c>
      <c r="B286" s="2" t="str">
        <f>"3329163103590003"</f>
        <v>3329163103590003</v>
      </c>
      <c r="C286" s="2" t="s">
        <v>288</v>
      </c>
      <c r="D286" s="2" t="s">
        <v>10</v>
      </c>
      <c r="E286" s="2" t="s">
        <v>11</v>
      </c>
      <c r="F286" s="2" t="s">
        <v>18</v>
      </c>
      <c r="G286" s="2" t="s">
        <v>19</v>
      </c>
      <c r="H286" s="2" t="s">
        <v>20</v>
      </c>
      <c r="I286" s="2" t="s">
        <v>55</v>
      </c>
    </row>
    <row r="287" spans="1:9" ht="14.5" x14ac:dyDescent="0.35">
      <c r="A287" s="2">
        <v>1640844</v>
      </c>
      <c r="B287" s="2" t="str">
        <f>"3329163103590003"</f>
        <v>3329163103590003</v>
      </c>
      <c r="C287" s="2" t="s">
        <v>288</v>
      </c>
      <c r="D287" s="2" t="s">
        <v>17</v>
      </c>
      <c r="E287" s="2" t="s">
        <v>11</v>
      </c>
      <c r="F287" s="2" t="s">
        <v>18</v>
      </c>
      <c r="G287" s="2" t="s">
        <v>264</v>
      </c>
      <c r="H287" s="2" t="s">
        <v>344</v>
      </c>
      <c r="I287" s="2" t="s">
        <v>492</v>
      </c>
    </row>
    <row r="288" spans="1:9" ht="14.5" x14ac:dyDescent="0.35">
      <c r="A288" s="2">
        <v>1680866</v>
      </c>
      <c r="B288" s="2" t="str">
        <f>"3329165706770006"</f>
        <v>3329165706770006</v>
      </c>
      <c r="C288" s="2" t="s">
        <v>493</v>
      </c>
      <c r="D288" s="2" t="s">
        <v>10</v>
      </c>
      <c r="E288" s="2" t="s">
        <v>11</v>
      </c>
      <c r="F288" s="2" t="s">
        <v>18</v>
      </c>
      <c r="G288" s="2" t="s">
        <v>19</v>
      </c>
      <c r="H288" s="2" t="s">
        <v>20</v>
      </c>
      <c r="I288" s="2" t="s">
        <v>23</v>
      </c>
    </row>
    <row r="289" spans="1:9" ht="14.5" x14ac:dyDescent="0.35">
      <c r="A289" s="2">
        <v>1649958</v>
      </c>
      <c r="B289" s="2" t="str">
        <f>"3329165706770006"</f>
        <v>3329165706770006</v>
      </c>
      <c r="C289" s="2" t="s">
        <v>494</v>
      </c>
      <c r="D289" s="2" t="s">
        <v>17</v>
      </c>
      <c r="E289" s="2" t="s">
        <v>11</v>
      </c>
      <c r="F289" s="2" t="s">
        <v>18</v>
      </c>
      <c r="G289" s="2" t="s">
        <v>264</v>
      </c>
      <c r="H289" s="2" t="s">
        <v>344</v>
      </c>
      <c r="I289" s="2" t="s">
        <v>495</v>
      </c>
    </row>
    <row r="290" spans="1:9" ht="14.5" x14ac:dyDescent="0.35">
      <c r="A290" s="2">
        <v>247333</v>
      </c>
      <c r="B290" s="2" t="str">
        <f>"3376020801850002"</f>
        <v>3376020801850002</v>
      </c>
      <c r="C290" s="2" t="s">
        <v>496</v>
      </c>
      <c r="D290" s="2" t="s">
        <v>10</v>
      </c>
      <c r="E290" s="2" t="s">
        <v>11</v>
      </c>
      <c r="F290" s="2" t="s">
        <v>18</v>
      </c>
      <c r="G290" s="2" t="s">
        <v>268</v>
      </c>
      <c r="H290" s="2" t="s">
        <v>371</v>
      </c>
      <c r="I290" s="2" t="s">
        <v>497</v>
      </c>
    </row>
    <row r="291" spans="1:9" ht="14.5" x14ac:dyDescent="0.35">
      <c r="A291" s="2">
        <v>2519595</v>
      </c>
      <c r="B291" s="2" t="str">
        <f>"3376020801850002"</f>
        <v>3376020801850002</v>
      </c>
      <c r="C291" s="2" t="s">
        <v>496</v>
      </c>
      <c r="D291" s="2" t="s">
        <v>17</v>
      </c>
      <c r="E291" s="2" t="s">
        <v>11</v>
      </c>
      <c r="F291" s="2" t="s">
        <v>18</v>
      </c>
      <c r="G291" s="2" t="s">
        <v>19</v>
      </c>
      <c r="H291" s="2" t="s">
        <v>20</v>
      </c>
      <c r="I291" s="2" t="s">
        <v>20</v>
      </c>
    </row>
    <row r="292" spans="1:9" ht="14.5" x14ac:dyDescent="0.35">
      <c r="A292" s="2">
        <v>233990</v>
      </c>
      <c r="B292" s="2" t="str">
        <f>"3376021712900002"</f>
        <v>3376021712900002</v>
      </c>
      <c r="C292" s="2" t="s">
        <v>498</v>
      </c>
      <c r="D292" s="2" t="s">
        <v>10</v>
      </c>
      <c r="E292" s="2" t="s">
        <v>11</v>
      </c>
      <c r="F292" s="2" t="s">
        <v>18</v>
      </c>
      <c r="G292" s="2" t="s">
        <v>268</v>
      </c>
      <c r="H292" s="2" t="s">
        <v>371</v>
      </c>
      <c r="I292" s="2" t="s">
        <v>372</v>
      </c>
    </row>
    <row r="293" spans="1:9" ht="14.5" x14ac:dyDescent="0.35">
      <c r="A293" s="2">
        <v>2520124</v>
      </c>
      <c r="B293" s="2" t="str">
        <f>"3376021712900002"</f>
        <v>3376021712900002</v>
      </c>
      <c r="C293" s="2" t="s">
        <v>498</v>
      </c>
      <c r="D293" s="2" t="s">
        <v>17</v>
      </c>
      <c r="E293" s="2" t="s">
        <v>11</v>
      </c>
      <c r="F293" s="2" t="s">
        <v>18</v>
      </c>
      <c r="G293" s="2" t="s">
        <v>19</v>
      </c>
      <c r="H293" s="2" t="s">
        <v>20</v>
      </c>
      <c r="I293" s="2" t="s">
        <v>37</v>
      </c>
    </row>
    <row r="294" spans="1:9" ht="14.5" x14ac:dyDescent="0.35">
      <c r="A294" s="2">
        <v>1446723</v>
      </c>
      <c r="B294" s="2" t="str">
        <f>"3507320502910002"</f>
        <v>3507320502910002</v>
      </c>
      <c r="C294" s="2" t="s">
        <v>499</v>
      </c>
      <c r="D294" s="2" t="s">
        <v>10</v>
      </c>
      <c r="E294" s="2" t="s">
        <v>11</v>
      </c>
      <c r="F294" s="2" t="s">
        <v>18</v>
      </c>
      <c r="G294" s="2" t="s">
        <v>19</v>
      </c>
      <c r="H294" s="2" t="s">
        <v>20</v>
      </c>
      <c r="I294" s="2" t="s">
        <v>53</v>
      </c>
    </row>
    <row r="295" spans="1:9" ht="14.5" x14ac:dyDescent="0.35">
      <c r="A295" s="2">
        <v>4208298</v>
      </c>
      <c r="B295" s="2" t="str">
        <f>"3507320502910002"</f>
        <v>3507320502910002</v>
      </c>
      <c r="C295" s="2" t="s">
        <v>499</v>
      </c>
      <c r="D295" s="2" t="s">
        <v>17</v>
      </c>
      <c r="E295" s="2" t="s">
        <v>11</v>
      </c>
      <c r="F295" s="2" t="s">
        <v>303</v>
      </c>
      <c r="G295" s="2" t="s">
        <v>500</v>
      </c>
      <c r="H295" s="2" t="s">
        <v>501</v>
      </c>
      <c r="I295" s="2" t="s">
        <v>501</v>
      </c>
    </row>
    <row r="296" spans="1:9" ht="14.5" x14ac:dyDescent="0.35">
      <c r="A296" s="2">
        <v>1446724</v>
      </c>
      <c r="B296" s="2" t="str">
        <f>"3507320601020003"</f>
        <v>3507320601020003</v>
      </c>
      <c r="C296" s="2" t="s">
        <v>502</v>
      </c>
      <c r="D296" s="2" t="s">
        <v>10</v>
      </c>
      <c r="E296" s="2" t="s">
        <v>11</v>
      </c>
      <c r="F296" s="2" t="s">
        <v>18</v>
      </c>
      <c r="G296" s="2" t="s">
        <v>19</v>
      </c>
      <c r="H296" s="2" t="s">
        <v>20</v>
      </c>
      <c r="I296" s="2" t="s">
        <v>53</v>
      </c>
    </row>
    <row r="297" spans="1:9" ht="14.5" x14ac:dyDescent="0.35">
      <c r="A297" s="2">
        <v>4208300</v>
      </c>
      <c r="B297" s="2" t="str">
        <f>"3507320601020003"</f>
        <v>3507320601020003</v>
      </c>
      <c r="C297" s="2" t="s">
        <v>502</v>
      </c>
      <c r="D297" s="2" t="s">
        <v>17</v>
      </c>
      <c r="E297" s="2" t="s">
        <v>11</v>
      </c>
      <c r="F297" s="2" t="s">
        <v>303</v>
      </c>
      <c r="G297" s="2" t="s">
        <v>500</v>
      </c>
      <c r="H297" s="2" t="s">
        <v>501</v>
      </c>
      <c r="I297" s="2" t="s">
        <v>501</v>
      </c>
    </row>
    <row r="298" spans="1:9" ht="14.5" x14ac:dyDescent="0.35">
      <c r="A298" s="2">
        <v>1446725</v>
      </c>
      <c r="B298" s="2" t="str">
        <f>"3507322806960001"</f>
        <v>3507322806960001</v>
      </c>
      <c r="C298" s="2" t="s">
        <v>503</v>
      </c>
      <c r="D298" s="2" t="s">
        <v>10</v>
      </c>
      <c r="E298" s="2" t="s">
        <v>11</v>
      </c>
      <c r="F298" s="2" t="s">
        <v>18</v>
      </c>
      <c r="G298" s="2" t="s">
        <v>19</v>
      </c>
      <c r="H298" s="2" t="s">
        <v>20</v>
      </c>
      <c r="I298" s="2" t="s">
        <v>53</v>
      </c>
    </row>
    <row r="299" spans="1:9" ht="14.5" x14ac:dyDescent="0.35">
      <c r="A299" s="2">
        <v>4208299</v>
      </c>
      <c r="B299" s="2" t="str">
        <f>"3507322806960001"</f>
        <v>3507322806960001</v>
      </c>
      <c r="C299" s="2" t="s">
        <v>503</v>
      </c>
      <c r="D299" s="2" t="s">
        <v>17</v>
      </c>
      <c r="E299" s="2" t="s">
        <v>11</v>
      </c>
      <c r="F299" s="2" t="s">
        <v>303</v>
      </c>
      <c r="G299" s="2" t="s">
        <v>500</v>
      </c>
      <c r="H299" s="2" t="s">
        <v>501</v>
      </c>
      <c r="I299" s="2" t="s">
        <v>501</v>
      </c>
    </row>
    <row r="300" spans="1:9" ht="14.5" x14ac:dyDescent="0.35">
      <c r="A300" s="2">
        <v>1169569</v>
      </c>
      <c r="B300" s="2" t="str">
        <f>"3521120609780005"</f>
        <v>3521120609780005</v>
      </c>
      <c r="C300" s="2" t="s">
        <v>504</v>
      </c>
      <c r="D300" s="2" t="s">
        <v>10</v>
      </c>
      <c r="E300" s="2" t="s">
        <v>11</v>
      </c>
      <c r="F300" s="2" t="s">
        <v>303</v>
      </c>
      <c r="G300" s="2" t="s">
        <v>304</v>
      </c>
      <c r="H300" s="2" t="s">
        <v>505</v>
      </c>
      <c r="I300" s="2" t="s">
        <v>506</v>
      </c>
    </row>
    <row r="301" spans="1:9" ht="14.5" x14ac:dyDescent="0.35">
      <c r="A301" s="2">
        <v>2518750</v>
      </c>
      <c r="B301" s="2" t="str">
        <f>"3521120609780005"</f>
        <v>3521120609780005</v>
      </c>
      <c r="C301" s="2" t="s">
        <v>507</v>
      </c>
      <c r="D301" s="2" t="s">
        <v>17</v>
      </c>
      <c r="E301" s="2" t="s">
        <v>11</v>
      </c>
      <c r="F301" s="2" t="s">
        <v>18</v>
      </c>
      <c r="G301" s="2" t="s">
        <v>19</v>
      </c>
      <c r="H301" s="2" t="s">
        <v>20</v>
      </c>
      <c r="I301" s="2" t="s">
        <v>131</v>
      </c>
    </row>
    <row r="302" spans="1:9" ht="14.5" x14ac:dyDescent="0.35">
      <c r="A302" s="2">
        <v>2060209</v>
      </c>
      <c r="B302" s="2" t="str">
        <f>"3527071609970001"</f>
        <v>3527071609970001</v>
      </c>
      <c r="C302" s="2" t="s">
        <v>508</v>
      </c>
      <c r="D302" s="2" t="s">
        <v>10</v>
      </c>
      <c r="E302" s="2" t="s">
        <v>11</v>
      </c>
      <c r="F302" s="2" t="s">
        <v>18</v>
      </c>
      <c r="G302" s="2" t="s">
        <v>19</v>
      </c>
      <c r="H302" s="2" t="s">
        <v>20</v>
      </c>
      <c r="I302" s="2" t="s">
        <v>20</v>
      </c>
    </row>
    <row r="303" spans="1:9" ht="14.5" x14ac:dyDescent="0.35">
      <c r="A303" s="2">
        <v>1534570</v>
      </c>
      <c r="B303" s="2" t="str">
        <f>"3527071609970001"</f>
        <v>3527071609970001</v>
      </c>
      <c r="C303" s="2" t="s">
        <v>508</v>
      </c>
      <c r="D303" s="2" t="s">
        <v>17</v>
      </c>
      <c r="E303" s="2" t="s">
        <v>11</v>
      </c>
      <c r="F303" s="2" t="s">
        <v>303</v>
      </c>
      <c r="G303" s="2" t="s">
        <v>509</v>
      </c>
      <c r="H303" s="2" t="s">
        <v>510</v>
      </c>
      <c r="I303" s="2" t="s">
        <v>510</v>
      </c>
    </row>
    <row r="304" spans="1:9" ht="14.5" x14ac:dyDescent="0.35">
      <c r="A304" s="2">
        <v>2542265</v>
      </c>
      <c r="B304" s="2" t="str">
        <f>"3671064604020002"</f>
        <v>3671064604020002</v>
      </c>
      <c r="C304" s="2" t="s">
        <v>511</v>
      </c>
      <c r="D304" s="2" t="s">
        <v>10</v>
      </c>
      <c r="E304" s="2" t="s">
        <v>11</v>
      </c>
      <c r="F304" s="2" t="s">
        <v>67</v>
      </c>
      <c r="G304" s="2" t="s">
        <v>512</v>
      </c>
      <c r="H304" s="2" t="s">
        <v>513</v>
      </c>
      <c r="I304" s="2" t="s">
        <v>514</v>
      </c>
    </row>
    <row r="305" spans="1:9" ht="14.5" x14ac:dyDescent="0.35">
      <c r="A305" s="2">
        <v>2519051</v>
      </c>
      <c r="B305" s="2" t="str">
        <f>"3671064604020002"</f>
        <v>3671064604020002</v>
      </c>
      <c r="C305" s="2" t="s">
        <v>511</v>
      </c>
      <c r="D305" s="2" t="s">
        <v>17</v>
      </c>
      <c r="E305" s="2" t="s">
        <v>11</v>
      </c>
      <c r="F305" s="2" t="s">
        <v>18</v>
      </c>
      <c r="G305" s="2" t="s">
        <v>19</v>
      </c>
      <c r="H305" s="2" t="s">
        <v>20</v>
      </c>
      <c r="I305" s="2" t="s">
        <v>76</v>
      </c>
    </row>
    <row r="306" spans="1:9" ht="14.5" x14ac:dyDescent="0.35">
      <c r="A306" s="2">
        <v>1536984</v>
      </c>
      <c r="B306" s="2" t="str">
        <f>"6107030711940001"</f>
        <v>6107030711940001</v>
      </c>
      <c r="C306" s="2" t="s">
        <v>515</v>
      </c>
      <c r="D306" s="2" t="s">
        <v>10</v>
      </c>
      <c r="E306" s="2" t="s">
        <v>11</v>
      </c>
      <c r="F306" s="2" t="s">
        <v>18</v>
      </c>
      <c r="G306" s="2" t="s">
        <v>19</v>
      </c>
      <c r="H306" s="2" t="s">
        <v>20</v>
      </c>
      <c r="I306" s="2" t="s">
        <v>21</v>
      </c>
    </row>
    <row r="307" spans="1:9" ht="14.5" x14ac:dyDescent="0.35">
      <c r="A307" s="2">
        <v>440040</v>
      </c>
      <c r="B307" s="2" t="str">
        <f>"6107030711940001"</f>
        <v>6107030711940001</v>
      </c>
      <c r="C307" s="2" t="s">
        <v>515</v>
      </c>
      <c r="D307" s="2" t="s">
        <v>17</v>
      </c>
      <c r="E307" s="2" t="s">
        <v>11</v>
      </c>
      <c r="F307" s="2" t="s">
        <v>516</v>
      </c>
      <c r="G307" s="2" t="s">
        <v>517</v>
      </c>
      <c r="H307" s="2" t="s">
        <v>518</v>
      </c>
      <c r="I307" s="2" t="s">
        <v>519</v>
      </c>
    </row>
    <row r="308" spans="1:9" ht="14.5" x14ac:dyDescent="0.35">
      <c r="A308" s="2">
        <v>601103</v>
      </c>
      <c r="B308" s="2" t="str">
        <f>"6203075208950004"</f>
        <v>6203075208950004</v>
      </c>
      <c r="C308" s="2" t="s">
        <v>520</v>
      </c>
      <c r="D308" s="2" t="s">
        <v>10</v>
      </c>
      <c r="E308" s="2" t="s">
        <v>11</v>
      </c>
      <c r="F308" s="2" t="s">
        <v>521</v>
      </c>
      <c r="G308" s="2" t="s">
        <v>522</v>
      </c>
      <c r="H308" s="2" t="s">
        <v>523</v>
      </c>
      <c r="I308" s="2" t="s">
        <v>524</v>
      </c>
    </row>
    <row r="309" spans="1:9" ht="14.5" x14ac:dyDescent="0.35">
      <c r="A309" s="2">
        <v>2520800</v>
      </c>
      <c r="B309" s="2" t="str">
        <f>"6203075208950004"</f>
        <v>6203075208950004</v>
      </c>
      <c r="C309" s="2" t="s">
        <v>520</v>
      </c>
      <c r="D309" s="2" t="s">
        <v>17</v>
      </c>
      <c r="E309" s="2" t="s">
        <v>11</v>
      </c>
      <c r="F309" s="2" t="s">
        <v>18</v>
      </c>
      <c r="G309" s="2" t="s">
        <v>19</v>
      </c>
      <c r="H309" s="2" t="s">
        <v>20</v>
      </c>
      <c r="I309" s="2" t="s">
        <v>48</v>
      </c>
    </row>
    <row r="310" spans="1:9" ht="14.5" x14ac:dyDescent="0.35">
      <c r="A310" s="2">
        <v>1762287</v>
      </c>
      <c r="B310" s="2" t="str">
        <f>"3173042006730019"</f>
        <v>3173042006730019</v>
      </c>
      <c r="C310" s="2" t="s">
        <v>525</v>
      </c>
      <c r="D310" s="2" t="s">
        <v>10</v>
      </c>
      <c r="E310" s="2" t="s">
        <v>11</v>
      </c>
      <c r="F310" s="2" t="s">
        <v>50</v>
      </c>
      <c r="G310" s="2" t="s">
        <v>86</v>
      </c>
      <c r="H310" s="2" t="s">
        <v>445</v>
      </c>
      <c r="I310" s="2" t="s">
        <v>445</v>
      </c>
    </row>
    <row r="311" spans="1:9" ht="14.5" x14ac:dyDescent="0.35">
      <c r="A311" s="2">
        <v>2526555</v>
      </c>
      <c r="B311" s="2" t="str">
        <f>"3173042006730019"</f>
        <v>3173042006730019</v>
      </c>
      <c r="C311" s="2" t="s">
        <v>526</v>
      </c>
      <c r="D311" s="2" t="s">
        <v>17</v>
      </c>
      <c r="E311" s="2" t="s">
        <v>11</v>
      </c>
      <c r="F311" s="2" t="s">
        <v>18</v>
      </c>
      <c r="G311" s="2" t="s">
        <v>19</v>
      </c>
      <c r="H311" s="2" t="s">
        <v>527</v>
      </c>
      <c r="I311" s="2" t="s">
        <v>528</v>
      </c>
    </row>
    <row r="312" spans="1:9" ht="14.5" x14ac:dyDescent="0.35">
      <c r="A312" s="2">
        <v>907939</v>
      </c>
      <c r="B312" s="2" t="str">
        <f>"3173074707980005"</f>
        <v>3173074707980005</v>
      </c>
      <c r="C312" s="2" t="s">
        <v>529</v>
      </c>
      <c r="D312" s="2" t="s">
        <v>10</v>
      </c>
      <c r="E312" s="2" t="s">
        <v>11</v>
      </c>
      <c r="F312" s="2" t="s">
        <v>50</v>
      </c>
      <c r="G312" s="2" t="s">
        <v>86</v>
      </c>
      <c r="H312" s="2" t="s">
        <v>530</v>
      </c>
      <c r="I312" s="2" t="s">
        <v>531</v>
      </c>
    </row>
    <row r="313" spans="1:9" ht="14.5" x14ac:dyDescent="0.35">
      <c r="A313" s="2">
        <v>2524600</v>
      </c>
      <c r="B313" s="2" t="str">
        <f>"3173074707980005"</f>
        <v>3173074707980005</v>
      </c>
      <c r="C313" s="2" t="s">
        <v>529</v>
      </c>
      <c r="D313" s="2" t="s">
        <v>17</v>
      </c>
      <c r="E313" s="2" t="s">
        <v>11</v>
      </c>
      <c r="F313" s="2" t="s">
        <v>18</v>
      </c>
      <c r="G313" s="2" t="s">
        <v>19</v>
      </c>
      <c r="H313" s="2" t="s">
        <v>527</v>
      </c>
      <c r="I313" s="2" t="s">
        <v>532</v>
      </c>
    </row>
    <row r="314" spans="1:9" ht="14.5" x14ac:dyDescent="0.35">
      <c r="A314" s="2">
        <v>670187</v>
      </c>
      <c r="B314" s="2" t="str">
        <f>"3173084407590008"</f>
        <v>3173084407590008</v>
      </c>
      <c r="C314" s="2" t="s">
        <v>533</v>
      </c>
      <c r="D314" s="2" t="s">
        <v>10</v>
      </c>
      <c r="E314" s="2" t="s">
        <v>11</v>
      </c>
      <c r="F314" s="2" t="s">
        <v>50</v>
      </c>
      <c r="G314" s="2" t="s">
        <v>86</v>
      </c>
      <c r="H314" s="2" t="s">
        <v>530</v>
      </c>
      <c r="I314" s="2" t="s">
        <v>534</v>
      </c>
    </row>
    <row r="315" spans="1:9" ht="14.5" x14ac:dyDescent="0.35">
      <c r="A315" s="2">
        <v>2523344</v>
      </c>
      <c r="B315" s="2" t="str">
        <f>"3173084407590008"</f>
        <v>3173084407590008</v>
      </c>
      <c r="C315" s="2" t="s">
        <v>533</v>
      </c>
      <c r="D315" s="2" t="s">
        <v>17</v>
      </c>
      <c r="E315" s="2" t="s">
        <v>11</v>
      </c>
      <c r="F315" s="2" t="s">
        <v>18</v>
      </c>
      <c r="G315" s="2" t="s">
        <v>19</v>
      </c>
      <c r="H315" s="2" t="s">
        <v>527</v>
      </c>
      <c r="I315" s="2" t="s">
        <v>535</v>
      </c>
    </row>
    <row r="316" spans="1:9" ht="14.5" x14ac:dyDescent="0.35">
      <c r="A316" s="2">
        <v>823344</v>
      </c>
      <c r="B316" s="2" t="str">
        <f>"3173085001830007"</f>
        <v>3173085001830007</v>
      </c>
      <c r="C316" s="2" t="s">
        <v>536</v>
      </c>
      <c r="D316" s="2" t="s">
        <v>10</v>
      </c>
      <c r="E316" s="2" t="s">
        <v>11</v>
      </c>
      <c r="F316" s="2" t="s">
        <v>50</v>
      </c>
      <c r="G316" s="2" t="s">
        <v>86</v>
      </c>
      <c r="H316" s="2" t="s">
        <v>530</v>
      </c>
      <c r="I316" s="2" t="s">
        <v>537</v>
      </c>
    </row>
    <row r="317" spans="1:9" ht="14.5" x14ac:dyDescent="0.35">
      <c r="A317" s="2">
        <v>2523506</v>
      </c>
      <c r="B317" s="2" t="str">
        <f>"3173085001830007"</f>
        <v>3173085001830007</v>
      </c>
      <c r="C317" s="2" t="s">
        <v>538</v>
      </c>
      <c r="D317" s="2" t="s">
        <v>17</v>
      </c>
      <c r="E317" s="2" t="s">
        <v>11</v>
      </c>
      <c r="F317" s="2" t="s">
        <v>18</v>
      </c>
      <c r="G317" s="2" t="s">
        <v>19</v>
      </c>
      <c r="H317" s="2" t="s">
        <v>527</v>
      </c>
      <c r="I317" s="2" t="s">
        <v>539</v>
      </c>
    </row>
    <row r="318" spans="1:9" ht="14.5" x14ac:dyDescent="0.35">
      <c r="A318" s="2">
        <v>1122060</v>
      </c>
      <c r="B318" s="2" t="str">
        <f>"3174104604580003"</f>
        <v>3174104604580003</v>
      </c>
      <c r="C318" s="2" t="s">
        <v>540</v>
      </c>
      <c r="D318" s="2" t="s">
        <v>10</v>
      </c>
      <c r="E318" s="2" t="s">
        <v>11</v>
      </c>
      <c r="F318" s="2" t="s">
        <v>50</v>
      </c>
      <c r="G318" s="2" t="s">
        <v>72</v>
      </c>
      <c r="H318" s="2" t="s">
        <v>541</v>
      </c>
      <c r="I318" s="2" t="s">
        <v>542</v>
      </c>
    </row>
    <row r="319" spans="1:9" ht="14.5" x14ac:dyDescent="0.35">
      <c r="A319" s="2">
        <v>2524863</v>
      </c>
      <c r="B319" s="2" t="str">
        <f>"3174104604580003"</f>
        <v>3174104604580003</v>
      </c>
      <c r="C319" s="2" t="s">
        <v>540</v>
      </c>
      <c r="D319" s="2" t="s">
        <v>17</v>
      </c>
      <c r="E319" s="2" t="s">
        <v>11</v>
      </c>
      <c r="F319" s="2" t="s">
        <v>18</v>
      </c>
      <c r="G319" s="2" t="s">
        <v>19</v>
      </c>
      <c r="H319" s="2" t="s">
        <v>527</v>
      </c>
      <c r="I319" s="2" t="s">
        <v>543</v>
      </c>
    </row>
    <row r="320" spans="1:9" ht="14.5" x14ac:dyDescent="0.35">
      <c r="A320" s="2">
        <v>989219</v>
      </c>
      <c r="B320" s="2" t="str">
        <f>"3175010707720002"</f>
        <v>3175010707720002</v>
      </c>
      <c r="C320" s="2" t="s">
        <v>544</v>
      </c>
      <c r="D320" s="2" t="s">
        <v>10</v>
      </c>
      <c r="E320" s="2" t="s">
        <v>11</v>
      </c>
      <c r="F320" s="2" t="s">
        <v>50</v>
      </c>
      <c r="G320" s="2" t="s">
        <v>58</v>
      </c>
      <c r="H320" s="2" t="s">
        <v>406</v>
      </c>
      <c r="I320" s="2" t="s">
        <v>545</v>
      </c>
    </row>
    <row r="321" spans="1:9" ht="14.5" x14ac:dyDescent="0.35">
      <c r="A321" s="2">
        <v>2522880</v>
      </c>
      <c r="B321" s="2" t="str">
        <f>"3175010707720002"</f>
        <v>3175010707720002</v>
      </c>
      <c r="C321" s="2" t="s">
        <v>546</v>
      </c>
      <c r="D321" s="2" t="s">
        <v>17</v>
      </c>
      <c r="E321" s="2" t="s">
        <v>11</v>
      </c>
      <c r="F321" s="2" t="s">
        <v>18</v>
      </c>
      <c r="G321" s="2" t="s">
        <v>19</v>
      </c>
      <c r="H321" s="2" t="s">
        <v>527</v>
      </c>
      <c r="I321" s="2" t="s">
        <v>527</v>
      </c>
    </row>
    <row r="322" spans="1:9" ht="14.5" x14ac:dyDescent="0.35">
      <c r="A322" s="2">
        <v>823932</v>
      </c>
      <c r="B322" s="2" t="str">
        <f>"3175041702790012"</f>
        <v>3175041702790012</v>
      </c>
      <c r="C322" s="2" t="s">
        <v>547</v>
      </c>
      <c r="D322" s="2" t="s">
        <v>10</v>
      </c>
      <c r="E322" s="2" t="s">
        <v>11</v>
      </c>
      <c r="F322" s="2" t="s">
        <v>50</v>
      </c>
      <c r="G322" s="2" t="s">
        <v>58</v>
      </c>
      <c r="H322" s="2" t="s">
        <v>97</v>
      </c>
      <c r="I322" s="2" t="s">
        <v>548</v>
      </c>
    </row>
    <row r="323" spans="1:9" ht="14.5" x14ac:dyDescent="0.35">
      <c r="A323" s="2">
        <v>2523282</v>
      </c>
      <c r="B323" s="2" t="str">
        <f>"3175041702790012"</f>
        <v>3175041702790012</v>
      </c>
      <c r="C323" s="2" t="s">
        <v>547</v>
      </c>
      <c r="D323" s="2" t="s">
        <v>17</v>
      </c>
      <c r="E323" s="2" t="s">
        <v>11</v>
      </c>
      <c r="F323" s="2" t="s">
        <v>18</v>
      </c>
      <c r="G323" s="2" t="s">
        <v>19</v>
      </c>
      <c r="H323" s="2" t="s">
        <v>527</v>
      </c>
      <c r="I323" s="2" t="s">
        <v>535</v>
      </c>
    </row>
    <row r="324" spans="1:9" ht="14.5" x14ac:dyDescent="0.35">
      <c r="A324" s="2">
        <v>832243</v>
      </c>
      <c r="B324" s="2" t="str">
        <f>"3175046710580006"</f>
        <v>3175046710580006</v>
      </c>
      <c r="C324" s="2" t="s">
        <v>549</v>
      </c>
      <c r="D324" s="2" t="s">
        <v>10</v>
      </c>
      <c r="E324" s="2" t="s">
        <v>11</v>
      </c>
      <c r="F324" s="2" t="s">
        <v>50</v>
      </c>
      <c r="G324" s="2" t="s">
        <v>58</v>
      </c>
      <c r="H324" s="2" t="s">
        <v>97</v>
      </c>
      <c r="I324" s="2" t="s">
        <v>548</v>
      </c>
    </row>
    <row r="325" spans="1:9" ht="14.5" x14ac:dyDescent="0.35">
      <c r="A325" s="2">
        <v>2522536</v>
      </c>
      <c r="B325" s="2" t="str">
        <f>"3175046710580006"</f>
        <v>3175046710580006</v>
      </c>
      <c r="C325" s="2" t="s">
        <v>549</v>
      </c>
      <c r="D325" s="2" t="s">
        <v>17</v>
      </c>
      <c r="E325" s="2" t="s">
        <v>11</v>
      </c>
      <c r="F325" s="2" t="s">
        <v>18</v>
      </c>
      <c r="G325" s="2" t="s">
        <v>19</v>
      </c>
      <c r="H325" s="2" t="s">
        <v>527</v>
      </c>
      <c r="I325" s="2" t="s">
        <v>527</v>
      </c>
    </row>
    <row r="326" spans="1:9" ht="14.5" x14ac:dyDescent="0.35">
      <c r="A326" s="2">
        <v>2043065</v>
      </c>
      <c r="B326" s="2" t="str">
        <f>"3202241102820004"</f>
        <v>3202241102820004</v>
      </c>
      <c r="C326" s="2" t="s">
        <v>550</v>
      </c>
      <c r="D326" s="2" t="s">
        <v>10</v>
      </c>
      <c r="E326" s="2" t="s">
        <v>11</v>
      </c>
      <c r="F326" s="2" t="s">
        <v>91</v>
      </c>
      <c r="G326" s="2" t="s">
        <v>101</v>
      </c>
      <c r="H326" s="2" t="s">
        <v>551</v>
      </c>
      <c r="I326" s="2" t="s">
        <v>552</v>
      </c>
    </row>
    <row r="327" spans="1:9" ht="14.5" x14ac:dyDescent="0.35">
      <c r="A327" s="2">
        <v>2526801</v>
      </c>
      <c r="B327" s="2" t="str">
        <f>"3202241102820004"</f>
        <v>3202241102820004</v>
      </c>
      <c r="C327" s="2" t="s">
        <v>550</v>
      </c>
      <c r="D327" s="2" t="s">
        <v>17</v>
      </c>
      <c r="E327" s="2" t="s">
        <v>11</v>
      </c>
      <c r="F327" s="2" t="s">
        <v>18</v>
      </c>
      <c r="G327" s="2" t="s">
        <v>19</v>
      </c>
      <c r="H327" s="2" t="s">
        <v>527</v>
      </c>
      <c r="I327" s="2" t="s">
        <v>528</v>
      </c>
    </row>
    <row r="328" spans="1:9" ht="14.5" x14ac:dyDescent="0.35">
      <c r="A328" s="2">
        <v>2043023</v>
      </c>
      <c r="B328" s="2" t="str">
        <f>"3202245002840005"</f>
        <v>3202245002840005</v>
      </c>
      <c r="C328" s="2" t="s">
        <v>553</v>
      </c>
      <c r="D328" s="2" t="s">
        <v>10</v>
      </c>
      <c r="E328" s="2" t="s">
        <v>11</v>
      </c>
      <c r="F328" s="2" t="s">
        <v>91</v>
      </c>
      <c r="G328" s="2" t="s">
        <v>101</v>
      </c>
      <c r="H328" s="2" t="s">
        <v>551</v>
      </c>
      <c r="I328" s="2" t="s">
        <v>552</v>
      </c>
    </row>
    <row r="329" spans="1:9" ht="14.5" x14ac:dyDescent="0.35">
      <c r="A329" s="2">
        <v>2526802</v>
      </c>
      <c r="B329" s="2" t="str">
        <f>"3202245002840005"</f>
        <v>3202245002840005</v>
      </c>
      <c r="C329" s="2" t="s">
        <v>553</v>
      </c>
      <c r="D329" s="2" t="s">
        <v>17</v>
      </c>
      <c r="E329" s="2" t="s">
        <v>11</v>
      </c>
      <c r="F329" s="2" t="s">
        <v>18</v>
      </c>
      <c r="G329" s="2" t="s">
        <v>19</v>
      </c>
      <c r="H329" s="2" t="s">
        <v>527</v>
      </c>
      <c r="I329" s="2" t="s">
        <v>528</v>
      </c>
    </row>
    <row r="330" spans="1:9" ht="14.5" x14ac:dyDescent="0.35">
      <c r="A330" s="2">
        <v>1858089</v>
      </c>
      <c r="B330" s="2" t="str">
        <f>"3203150506850008"</f>
        <v>3203150506850008</v>
      </c>
      <c r="C330" s="2" t="s">
        <v>554</v>
      </c>
      <c r="D330" s="2" t="s">
        <v>10</v>
      </c>
      <c r="E330" s="2" t="s">
        <v>11</v>
      </c>
      <c r="F330" s="2" t="s">
        <v>91</v>
      </c>
      <c r="G330" s="2" t="s">
        <v>555</v>
      </c>
      <c r="H330" s="2" t="s">
        <v>556</v>
      </c>
      <c r="I330" s="2" t="s">
        <v>557</v>
      </c>
    </row>
    <row r="331" spans="1:9" ht="14.5" x14ac:dyDescent="0.35">
      <c r="A331" s="2">
        <v>2524870</v>
      </c>
      <c r="B331" s="2" t="str">
        <f>"3203150506850008"</f>
        <v>3203150506850008</v>
      </c>
      <c r="C331" s="2" t="s">
        <v>554</v>
      </c>
      <c r="D331" s="2" t="s">
        <v>17</v>
      </c>
      <c r="E331" s="2" t="s">
        <v>11</v>
      </c>
      <c r="F331" s="2" t="s">
        <v>18</v>
      </c>
      <c r="G331" s="2" t="s">
        <v>19</v>
      </c>
      <c r="H331" s="2" t="s">
        <v>527</v>
      </c>
      <c r="I331" s="2" t="s">
        <v>543</v>
      </c>
    </row>
    <row r="332" spans="1:9" ht="14.5" x14ac:dyDescent="0.35">
      <c r="A332" s="2">
        <v>1858049</v>
      </c>
      <c r="B332" s="2" t="str">
        <f>"3203151101900005"</f>
        <v>3203151101900005</v>
      </c>
      <c r="C332" s="2" t="s">
        <v>558</v>
      </c>
      <c r="D332" s="2" t="s">
        <v>10</v>
      </c>
      <c r="E332" s="2" t="s">
        <v>11</v>
      </c>
      <c r="F332" s="2" t="s">
        <v>91</v>
      </c>
      <c r="G332" s="2" t="s">
        <v>555</v>
      </c>
      <c r="H332" s="2" t="s">
        <v>556</v>
      </c>
      <c r="I332" s="2" t="s">
        <v>557</v>
      </c>
    </row>
    <row r="333" spans="1:9" ht="14.5" x14ac:dyDescent="0.35">
      <c r="A333" s="2">
        <v>2522174</v>
      </c>
      <c r="B333" s="2" t="str">
        <f>"3203151101900005"</f>
        <v>3203151101900005</v>
      </c>
      <c r="C333" s="2" t="s">
        <v>559</v>
      </c>
      <c r="D333" s="2" t="s">
        <v>17</v>
      </c>
      <c r="E333" s="2" t="s">
        <v>11</v>
      </c>
      <c r="F333" s="2" t="s">
        <v>18</v>
      </c>
      <c r="G333" s="2" t="s">
        <v>19</v>
      </c>
      <c r="H333" s="2" t="s">
        <v>527</v>
      </c>
      <c r="I333" s="2" t="s">
        <v>560</v>
      </c>
    </row>
    <row r="334" spans="1:9" ht="14.5" x14ac:dyDescent="0.35">
      <c r="A334" s="2">
        <v>299738</v>
      </c>
      <c r="B334" s="2" t="str">
        <f>"3212100211950001"</f>
        <v>3212100211950001</v>
      </c>
      <c r="C334" s="2" t="s">
        <v>561</v>
      </c>
      <c r="D334" s="2" t="s">
        <v>10</v>
      </c>
      <c r="E334" s="2" t="s">
        <v>11</v>
      </c>
      <c r="F334" s="2" t="s">
        <v>91</v>
      </c>
      <c r="G334" s="2" t="s">
        <v>114</v>
      </c>
      <c r="H334" s="2" t="s">
        <v>562</v>
      </c>
      <c r="I334" s="2" t="s">
        <v>563</v>
      </c>
    </row>
    <row r="335" spans="1:9" ht="14.5" x14ac:dyDescent="0.35">
      <c r="A335" s="2">
        <v>2523639</v>
      </c>
      <c r="B335" s="2" t="str">
        <f>"3212100211950001"</f>
        <v>3212100211950001</v>
      </c>
      <c r="C335" s="2" t="s">
        <v>561</v>
      </c>
      <c r="D335" s="2" t="s">
        <v>17</v>
      </c>
      <c r="E335" s="2" t="s">
        <v>11</v>
      </c>
      <c r="F335" s="2" t="s">
        <v>18</v>
      </c>
      <c r="G335" s="2" t="s">
        <v>19</v>
      </c>
      <c r="H335" s="2" t="s">
        <v>527</v>
      </c>
      <c r="I335" s="2" t="s">
        <v>564</v>
      </c>
    </row>
    <row r="336" spans="1:9" ht="14.5" x14ac:dyDescent="0.35">
      <c r="A336" s="2">
        <v>618592</v>
      </c>
      <c r="B336" s="2" t="str">
        <f>"3215082603840001"</f>
        <v>3215082603840001</v>
      </c>
      <c r="C336" s="2" t="s">
        <v>565</v>
      </c>
      <c r="D336" s="2" t="s">
        <v>10</v>
      </c>
      <c r="E336" s="2" t="s">
        <v>11</v>
      </c>
      <c r="F336" s="2" t="s">
        <v>91</v>
      </c>
      <c r="G336" s="2" t="s">
        <v>320</v>
      </c>
      <c r="H336" s="2" t="s">
        <v>566</v>
      </c>
      <c r="I336" s="2" t="s">
        <v>566</v>
      </c>
    </row>
    <row r="337" spans="1:9" ht="14.5" x14ac:dyDescent="0.35">
      <c r="A337" s="2">
        <v>2522807</v>
      </c>
      <c r="B337" s="2" t="str">
        <f>"3215082603840001"</f>
        <v>3215082603840001</v>
      </c>
      <c r="C337" s="2" t="s">
        <v>565</v>
      </c>
      <c r="D337" s="2" t="s">
        <v>17</v>
      </c>
      <c r="E337" s="2" t="s">
        <v>11</v>
      </c>
      <c r="F337" s="2" t="s">
        <v>18</v>
      </c>
      <c r="G337" s="2" t="s">
        <v>19</v>
      </c>
      <c r="H337" s="2" t="s">
        <v>527</v>
      </c>
      <c r="I337" s="2" t="s">
        <v>527</v>
      </c>
    </row>
    <row r="338" spans="1:9" ht="14.5" x14ac:dyDescent="0.35">
      <c r="A338" s="2">
        <v>809228</v>
      </c>
      <c r="B338" s="2" t="str">
        <f>"3215202106890002"</f>
        <v>3215202106890002</v>
      </c>
      <c r="C338" s="2" t="s">
        <v>567</v>
      </c>
      <c r="D338" s="2" t="s">
        <v>10</v>
      </c>
      <c r="E338" s="2" t="s">
        <v>11</v>
      </c>
      <c r="F338" s="2" t="s">
        <v>91</v>
      </c>
      <c r="G338" s="2" t="s">
        <v>320</v>
      </c>
      <c r="H338" s="2" t="s">
        <v>568</v>
      </c>
      <c r="I338" s="2" t="s">
        <v>569</v>
      </c>
    </row>
    <row r="339" spans="1:9" ht="14.5" x14ac:dyDescent="0.35">
      <c r="A339" s="2">
        <v>2524692</v>
      </c>
      <c r="B339" s="2" t="str">
        <f>"3215202106890002"</f>
        <v>3215202106890002</v>
      </c>
      <c r="C339" s="2" t="s">
        <v>567</v>
      </c>
      <c r="D339" s="2" t="s">
        <v>17</v>
      </c>
      <c r="E339" s="2" t="s">
        <v>11</v>
      </c>
      <c r="F339" s="2" t="s">
        <v>18</v>
      </c>
      <c r="G339" s="2" t="s">
        <v>19</v>
      </c>
      <c r="H339" s="2" t="s">
        <v>527</v>
      </c>
      <c r="I339" s="2" t="s">
        <v>543</v>
      </c>
    </row>
    <row r="340" spans="1:9" ht="14.5" x14ac:dyDescent="0.35">
      <c r="A340" s="2">
        <v>1471685</v>
      </c>
      <c r="B340" s="2" t="str">
        <f>"3216191501830003"</f>
        <v>3216191501830003</v>
      </c>
      <c r="C340" s="2" t="s">
        <v>570</v>
      </c>
      <c r="D340" s="2" t="s">
        <v>10</v>
      </c>
      <c r="E340" s="2" t="s">
        <v>11</v>
      </c>
      <c r="F340" s="2" t="s">
        <v>91</v>
      </c>
      <c r="G340" s="2" t="s">
        <v>92</v>
      </c>
      <c r="H340" s="2" t="s">
        <v>571</v>
      </c>
      <c r="I340" s="2" t="s">
        <v>572</v>
      </c>
    </row>
    <row r="341" spans="1:9" ht="14.5" x14ac:dyDescent="0.35">
      <c r="A341" s="2">
        <v>2522924</v>
      </c>
      <c r="B341" s="2" t="str">
        <f>"3216191501830003"</f>
        <v>3216191501830003</v>
      </c>
      <c r="C341" s="2" t="s">
        <v>570</v>
      </c>
      <c r="D341" s="2" t="s">
        <v>17</v>
      </c>
      <c r="E341" s="2" t="s">
        <v>11</v>
      </c>
      <c r="F341" s="2" t="s">
        <v>18</v>
      </c>
      <c r="G341" s="2" t="s">
        <v>19</v>
      </c>
      <c r="H341" s="2" t="s">
        <v>527</v>
      </c>
      <c r="I341" s="2" t="s">
        <v>527</v>
      </c>
    </row>
    <row r="342" spans="1:9" ht="14.5" x14ac:dyDescent="0.35">
      <c r="A342" s="2">
        <v>42158</v>
      </c>
      <c r="B342" s="2" t="str">
        <f>"3275092108930005"</f>
        <v>3275092108930005</v>
      </c>
      <c r="C342" s="2" t="s">
        <v>573</v>
      </c>
      <c r="D342" s="2" t="s">
        <v>10</v>
      </c>
      <c r="E342" s="2" t="s">
        <v>11</v>
      </c>
      <c r="F342" s="2" t="s">
        <v>412</v>
      </c>
      <c r="G342" s="2" t="s">
        <v>574</v>
      </c>
      <c r="H342" s="2" t="s">
        <v>575</v>
      </c>
      <c r="I342" s="2" t="s">
        <v>576</v>
      </c>
    </row>
    <row r="343" spans="1:9" ht="14.5" x14ac:dyDescent="0.35">
      <c r="A343" s="2">
        <v>2523363</v>
      </c>
      <c r="B343" s="2" t="str">
        <f>"3275092108930005"</f>
        <v>3275092108930005</v>
      </c>
      <c r="C343" s="2" t="s">
        <v>573</v>
      </c>
      <c r="D343" s="2" t="s">
        <v>17</v>
      </c>
      <c r="E343" s="2" t="s">
        <v>11</v>
      </c>
      <c r="F343" s="2" t="s">
        <v>18</v>
      </c>
      <c r="G343" s="2" t="s">
        <v>19</v>
      </c>
      <c r="H343" s="2" t="s">
        <v>527</v>
      </c>
      <c r="I343" s="2" t="s">
        <v>535</v>
      </c>
    </row>
    <row r="344" spans="1:9" ht="14.5" x14ac:dyDescent="0.35">
      <c r="A344" s="2">
        <v>42159</v>
      </c>
      <c r="B344" s="2" t="str">
        <f>"3275094403650008"</f>
        <v>3275094403650008</v>
      </c>
      <c r="C344" s="2" t="s">
        <v>577</v>
      </c>
      <c r="D344" s="2" t="s">
        <v>10</v>
      </c>
      <c r="E344" s="2" t="s">
        <v>11</v>
      </c>
      <c r="F344" s="2" t="s">
        <v>412</v>
      </c>
      <c r="G344" s="2" t="s">
        <v>574</v>
      </c>
      <c r="H344" s="2" t="s">
        <v>575</v>
      </c>
      <c r="I344" s="2" t="s">
        <v>576</v>
      </c>
    </row>
    <row r="345" spans="1:9" ht="14.5" x14ac:dyDescent="0.35">
      <c r="A345" s="2">
        <v>2523364</v>
      </c>
      <c r="B345" s="2" t="str">
        <f>"3275094403650008"</f>
        <v>3275094403650008</v>
      </c>
      <c r="C345" s="2" t="s">
        <v>577</v>
      </c>
      <c r="D345" s="2" t="s">
        <v>17</v>
      </c>
      <c r="E345" s="2" t="s">
        <v>11</v>
      </c>
      <c r="F345" s="2" t="s">
        <v>18</v>
      </c>
      <c r="G345" s="2" t="s">
        <v>19</v>
      </c>
      <c r="H345" s="2" t="s">
        <v>527</v>
      </c>
      <c r="I345" s="2" t="s">
        <v>535</v>
      </c>
    </row>
    <row r="346" spans="1:9" ht="14.5" x14ac:dyDescent="0.35">
      <c r="A346" s="2">
        <v>2522209</v>
      </c>
      <c r="B346" s="2" t="str">
        <f>"3276010202990010"</f>
        <v>3276010202990010</v>
      </c>
      <c r="C346" s="2" t="s">
        <v>578</v>
      </c>
      <c r="D346" s="2" t="s">
        <v>17</v>
      </c>
      <c r="E346" s="2" t="s">
        <v>11</v>
      </c>
      <c r="F346" s="2" t="s">
        <v>18</v>
      </c>
      <c r="G346" s="2" t="s">
        <v>19</v>
      </c>
      <c r="H346" s="2" t="s">
        <v>527</v>
      </c>
      <c r="I346" s="2" t="s">
        <v>527</v>
      </c>
    </row>
    <row r="347" spans="1:9" ht="14.5" x14ac:dyDescent="0.35">
      <c r="A347" s="2">
        <v>1628611</v>
      </c>
      <c r="B347" s="2" t="str">
        <f>"3276010202990010"</f>
        <v>3276010202990010</v>
      </c>
      <c r="C347" s="2" t="s">
        <v>579</v>
      </c>
      <c r="D347" s="2" t="s">
        <v>17</v>
      </c>
      <c r="E347" s="2" t="s">
        <v>11</v>
      </c>
      <c r="F347" s="2" t="s">
        <v>18</v>
      </c>
      <c r="G347" s="2" t="s">
        <v>264</v>
      </c>
      <c r="H347" s="2" t="s">
        <v>248</v>
      </c>
      <c r="I347" s="2" t="s">
        <v>472</v>
      </c>
    </row>
    <row r="348" spans="1:9" ht="14.5" x14ac:dyDescent="0.35">
      <c r="A348" s="2">
        <v>1281633</v>
      </c>
      <c r="B348" s="2" t="str">
        <f>"3311060908960001"</f>
        <v>3311060908960001</v>
      </c>
      <c r="C348" s="2" t="s">
        <v>580</v>
      </c>
      <c r="D348" s="2" t="s">
        <v>10</v>
      </c>
      <c r="E348" s="2" t="s">
        <v>11</v>
      </c>
      <c r="F348" s="2" t="s">
        <v>18</v>
      </c>
      <c r="G348" s="2" t="s">
        <v>581</v>
      </c>
      <c r="H348" s="2" t="s">
        <v>582</v>
      </c>
      <c r="I348" s="2" t="s">
        <v>583</v>
      </c>
    </row>
    <row r="349" spans="1:9" ht="14.5" x14ac:dyDescent="0.35">
      <c r="A349" s="2">
        <v>2522982</v>
      </c>
      <c r="B349" s="2" t="str">
        <f>"3311060908960001"</f>
        <v>3311060908960001</v>
      </c>
      <c r="C349" s="2" t="s">
        <v>584</v>
      </c>
      <c r="D349" s="2" t="s">
        <v>17</v>
      </c>
      <c r="E349" s="2" t="s">
        <v>11</v>
      </c>
      <c r="F349" s="2" t="s">
        <v>18</v>
      </c>
      <c r="G349" s="2" t="s">
        <v>19</v>
      </c>
      <c r="H349" s="2" t="s">
        <v>527</v>
      </c>
      <c r="I349" s="2" t="s">
        <v>527</v>
      </c>
    </row>
    <row r="350" spans="1:9" ht="14.5" x14ac:dyDescent="0.35">
      <c r="A350" s="2">
        <v>863336</v>
      </c>
      <c r="B350" s="2" t="str">
        <f>"3326022907850002"</f>
        <v>3326022907850002</v>
      </c>
      <c r="C350" s="2" t="s">
        <v>585</v>
      </c>
      <c r="D350" s="2" t="s">
        <v>10</v>
      </c>
      <c r="E350" s="2" t="s">
        <v>11</v>
      </c>
      <c r="F350" s="2" t="s">
        <v>18</v>
      </c>
      <c r="G350" s="2" t="s">
        <v>195</v>
      </c>
      <c r="H350" s="2" t="s">
        <v>586</v>
      </c>
      <c r="I350" s="2" t="s">
        <v>587</v>
      </c>
    </row>
    <row r="351" spans="1:9" ht="14.5" x14ac:dyDescent="0.35">
      <c r="A351" s="2">
        <v>2526288</v>
      </c>
      <c r="B351" s="2" t="str">
        <f>"3326022907850002"</f>
        <v>3326022907850002</v>
      </c>
      <c r="C351" s="2" t="s">
        <v>588</v>
      </c>
      <c r="D351" s="2" t="s">
        <v>17</v>
      </c>
      <c r="E351" s="2" t="s">
        <v>11</v>
      </c>
      <c r="F351" s="2" t="s">
        <v>18</v>
      </c>
      <c r="G351" s="2" t="s">
        <v>19</v>
      </c>
      <c r="H351" s="2" t="s">
        <v>527</v>
      </c>
      <c r="I351" s="2" t="s">
        <v>528</v>
      </c>
    </row>
    <row r="352" spans="1:9" ht="14.5" x14ac:dyDescent="0.35">
      <c r="A352" s="2">
        <v>950279</v>
      </c>
      <c r="B352" s="2" t="str">
        <f>"3326094807900003"</f>
        <v>3326094807900003</v>
      </c>
      <c r="C352" s="2" t="s">
        <v>589</v>
      </c>
      <c r="D352" s="2" t="s">
        <v>10</v>
      </c>
      <c r="E352" s="2" t="s">
        <v>11</v>
      </c>
      <c r="F352" s="2" t="s">
        <v>50</v>
      </c>
      <c r="G352" s="2" t="s">
        <v>86</v>
      </c>
      <c r="H352" s="2" t="s">
        <v>530</v>
      </c>
      <c r="I352" s="2" t="s">
        <v>531</v>
      </c>
    </row>
    <row r="353" spans="1:9" ht="14.5" x14ac:dyDescent="0.35">
      <c r="A353" s="2">
        <v>2523922</v>
      </c>
      <c r="B353" s="2" t="str">
        <f>"3326094807900003"</f>
        <v>3326094807900003</v>
      </c>
      <c r="C353" s="2" t="s">
        <v>589</v>
      </c>
      <c r="D353" s="2" t="s">
        <v>17</v>
      </c>
      <c r="E353" s="2" t="s">
        <v>11</v>
      </c>
      <c r="F353" s="2" t="s">
        <v>18</v>
      </c>
      <c r="G353" s="2" t="s">
        <v>19</v>
      </c>
      <c r="H353" s="2" t="s">
        <v>527</v>
      </c>
      <c r="I353" s="2" t="s">
        <v>590</v>
      </c>
    </row>
    <row r="354" spans="1:9" ht="14.5" x14ac:dyDescent="0.35">
      <c r="A354" s="2">
        <v>2522281</v>
      </c>
      <c r="B354" s="2" t="str">
        <f>"3326180107990011"</f>
        <v>3326180107990011</v>
      </c>
      <c r="C354" s="2" t="s">
        <v>591</v>
      </c>
      <c r="D354" s="2" t="s">
        <v>17</v>
      </c>
      <c r="E354" s="2" t="s">
        <v>11</v>
      </c>
      <c r="F354" s="2" t="s">
        <v>18</v>
      </c>
      <c r="G354" s="2" t="s">
        <v>19</v>
      </c>
      <c r="H354" s="2" t="s">
        <v>527</v>
      </c>
      <c r="I354" s="2" t="s">
        <v>527</v>
      </c>
    </row>
    <row r="355" spans="1:9" ht="14.5" x14ac:dyDescent="0.35">
      <c r="A355" s="2">
        <v>101145</v>
      </c>
      <c r="B355" s="2" t="str">
        <f>"3326180107990011"</f>
        <v>3326180107990011</v>
      </c>
      <c r="C355" s="2" t="s">
        <v>592</v>
      </c>
      <c r="D355" s="2" t="s">
        <v>189</v>
      </c>
      <c r="E355" s="2" t="s">
        <v>11</v>
      </c>
      <c r="F355" s="2" t="s">
        <v>18</v>
      </c>
      <c r="G355" s="2" t="s">
        <v>190</v>
      </c>
      <c r="H355" s="2" t="s">
        <v>190</v>
      </c>
      <c r="I355" s="2" t="s">
        <v>593</v>
      </c>
    </row>
    <row r="356" spans="1:9" ht="14.5" x14ac:dyDescent="0.35">
      <c r="A356" s="2">
        <v>1816995</v>
      </c>
      <c r="B356" s="2" t="str">
        <f>"3327023112820010"</f>
        <v>3327023112820010</v>
      </c>
      <c r="C356" s="2" t="s">
        <v>594</v>
      </c>
      <c r="D356" s="2" t="s">
        <v>10</v>
      </c>
      <c r="E356" s="2" t="s">
        <v>11</v>
      </c>
      <c r="F356" s="2" t="s">
        <v>18</v>
      </c>
      <c r="G356" s="2" t="s">
        <v>199</v>
      </c>
      <c r="H356" s="2" t="s">
        <v>595</v>
      </c>
      <c r="I356" s="2" t="s">
        <v>596</v>
      </c>
    </row>
    <row r="357" spans="1:9" ht="14.5" x14ac:dyDescent="0.35">
      <c r="A357" s="2">
        <v>2522547</v>
      </c>
      <c r="B357" s="2" t="str">
        <f>"3327023112820010"</f>
        <v>3327023112820010</v>
      </c>
      <c r="C357" s="2" t="s">
        <v>597</v>
      </c>
      <c r="D357" s="2" t="s">
        <v>17</v>
      </c>
      <c r="E357" s="2" t="s">
        <v>11</v>
      </c>
      <c r="F357" s="2" t="s">
        <v>18</v>
      </c>
      <c r="G357" s="2" t="s">
        <v>19</v>
      </c>
      <c r="H357" s="2" t="s">
        <v>527</v>
      </c>
      <c r="I357" s="2" t="s">
        <v>527</v>
      </c>
    </row>
    <row r="358" spans="1:9" ht="14.5" x14ac:dyDescent="0.35">
      <c r="A358" s="2">
        <v>1960277</v>
      </c>
      <c r="B358" s="2" t="str">
        <f>"3327032409840005"</f>
        <v>3327032409840005</v>
      </c>
      <c r="C358" s="2" t="s">
        <v>598</v>
      </c>
      <c r="D358" s="2" t="s">
        <v>10</v>
      </c>
      <c r="E358" s="2" t="s">
        <v>11</v>
      </c>
      <c r="F358" s="2" t="s">
        <v>18</v>
      </c>
      <c r="G358" s="2" t="s">
        <v>199</v>
      </c>
      <c r="H358" s="2" t="s">
        <v>599</v>
      </c>
      <c r="I358" s="2" t="s">
        <v>600</v>
      </c>
    </row>
    <row r="359" spans="1:9" ht="14.5" x14ac:dyDescent="0.35">
      <c r="A359" s="2">
        <v>2521707</v>
      </c>
      <c r="B359" s="2" t="str">
        <f>"3327032409840005"</f>
        <v>3327032409840005</v>
      </c>
      <c r="C359" s="2" t="s">
        <v>601</v>
      </c>
      <c r="D359" s="2" t="s">
        <v>17</v>
      </c>
      <c r="E359" s="2" t="s">
        <v>11</v>
      </c>
      <c r="F359" s="2" t="s">
        <v>18</v>
      </c>
      <c r="G359" s="2" t="s">
        <v>19</v>
      </c>
      <c r="H359" s="2" t="s">
        <v>527</v>
      </c>
      <c r="I359" s="2" t="s">
        <v>602</v>
      </c>
    </row>
    <row r="360" spans="1:9" ht="14.5" x14ac:dyDescent="0.35">
      <c r="A360" s="2">
        <v>1980944</v>
      </c>
      <c r="B360" s="2" t="str">
        <f>"3327103009950044"</f>
        <v>3327103009950044</v>
      </c>
      <c r="C360" s="2" t="s">
        <v>603</v>
      </c>
      <c r="D360" s="2" t="s">
        <v>10</v>
      </c>
      <c r="E360" s="2" t="s">
        <v>11</v>
      </c>
      <c r="F360" s="2" t="s">
        <v>18</v>
      </c>
      <c r="G360" s="2" t="s">
        <v>199</v>
      </c>
      <c r="H360" s="2" t="s">
        <v>200</v>
      </c>
      <c r="I360" s="2" t="s">
        <v>201</v>
      </c>
    </row>
    <row r="361" spans="1:9" ht="14.5" x14ac:dyDescent="0.35">
      <c r="A361" s="2">
        <v>2525338</v>
      </c>
      <c r="B361" s="2" t="str">
        <f>"3327103009950044"</f>
        <v>3327103009950044</v>
      </c>
      <c r="C361" s="2" t="s">
        <v>604</v>
      </c>
      <c r="D361" s="2" t="s">
        <v>17</v>
      </c>
      <c r="E361" s="2" t="s">
        <v>11</v>
      </c>
      <c r="F361" s="2" t="s">
        <v>18</v>
      </c>
      <c r="G361" s="2" t="s">
        <v>19</v>
      </c>
      <c r="H361" s="2" t="s">
        <v>527</v>
      </c>
      <c r="I361" s="2" t="s">
        <v>605</v>
      </c>
    </row>
    <row r="362" spans="1:9" ht="14.5" x14ac:dyDescent="0.35">
      <c r="A362" s="2">
        <v>2490071</v>
      </c>
      <c r="B362" s="2" t="str">
        <f>"3328020101070012"</f>
        <v>3328020101070012</v>
      </c>
      <c r="C362" s="2" t="s">
        <v>606</v>
      </c>
      <c r="D362" s="2" t="s">
        <v>189</v>
      </c>
      <c r="E362" s="2" t="s">
        <v>11</v>
      </c>
      <c r="F362" s="2" t="s">
        <v>18</v>
      </c>
      <c r="G362" s="2" t="s">
        <v>19</v>
      </c>
      <c r="H362" s="2" t="s">
        <v>527</v>
      </c>
      <c r="I362" s="2" t="s">
        <v>564</v>
      </c>
    </row>
    <row r="363" spans="1:9" ht="14.5" x14ac:dyDescent="0.35">
      <c r="A363" s="2">
        <v>1349035</v>
      </c>
      <c r="B363" s="2" t="str">
        <f>"3328020101070012"</f>
        <v>3328020101070012</v>
      </c>
      <c r="C363" s="2" t="s">
        <v>607</v>
      </c>
      <c r="D363" s="2" t="s">
        <v>10</v>
      </c>
      <c r="E363" s="2" t="s">
        <v>57</v>
      </c>
      <c r="F363" s="2" t="s">
        <v>303</v>
      </c>
      <c r="G363" s="2" t="s">
        <v>608</v>
      </c>
      <c r="H363" s="2" t="s">
        <v>609</v>
      </c>
      <c r="I363" s="2" t="s">
        <v>610</v>
      </c>
    </row>
    <row r="364" spans="1:9" ht="14.5" x14ac:dyDescent="0.35">
      <c r="A364" s="2">
        <v>2495861</v>
      </c>
      <c r="B364" s="2" t="str">
        <f>"3328020106980005"</f>
        <v>3328020106980005</v>
      </c>
      <c r="C364" s="2" t="s">
        <v>611</v>
      </c>
      <c r="D364" s="2" t="s">
        <v>189</v>
      </c>
      <c r="E364" s="2" t="s">
        <v>11</v>
      </c>
      <c r="F364" s="2" t="s">
        <v>18</v>
      </c>
      <c r="G364" s="2" t="s">
        <v>19</v>
      </c>
      <c r="H364" s="2" t="s">
        <v>527</v>
      </c>
      <c r="I364" s="2" t="s">
        <v>528</v>
      </c>
    </row>
    <row r="365" spans="1:9" ht="14.5" x14ac:dyDescent="0.35">
      <c r="A365" s="2">
        <v>1656598</v>
      </c>
      <c r="B365" s="2" t="str">
        <f>"3328020106980005"</f>
        <v>3328020106980005</v>
      </c>
      <c r="C365" s="2" t="s">
        <v>612</v>
      </c>
      <c r="D365" s="2" t="s">
        <v>17</v>
      </c>
      <c r="E365" s="2" t="s">
        <v>11</v>
      </c>
      <c r="F365" s="2" t="s">
        <v>18</v>
      </c>
      <c r="G365" s="2" t="s">
        <v>264</v>
      </c>
      <c r="H365" s="2" t="s">
        <v>289</v>
      </c>
      <c r="I365" s="2" t="s">
        <v>613</v>
      </c>
    </row>
    <row r="366" spans="1:9" ht="14.5" x14ac:dyDescent="0.35">
      <c r="A366" s="2">
        <v>521889</v>
      </c>
      <c r="B366" s="2" t="str">
        <f>"3328020107000059"</f>
        <v>3328020107000059</v>
      </c>
      <c r="C366" s="2" t="s">
        <v>614</v>
      </c>
      <c r="D366" s="2" t="s">
        <v>10</v>
      </c>
      <c r="E366" s="2" t="s">
        <v>11</v>
      </c>
      <c r="F366" s="2" t="s">
        <v>50</v>
      </c>
      <c r="G366" s="2" t="s">
        <v>51</v>
      </c>
      <c r="H366" s="2" t="s">
        <v>62</v>
      </c>
      <c r="I366" s="2" t="s">
        <v>615</v>
      </c>
    </row>
    <row r="367" spans="1:9" ht="14.5" x14ac:dyDescent="0.35">
      <c r="A367" s="2">
        <v>2521764</v>
      </c>
      <c r="B367" s="2" t="str">
        <f>"3328020107000059"</f>
        <v>3328020107000059</v>
      </c>
      <c r="C367" s="2" t="s">
        <v>614</v>
      </c>
      <c r="D367" s="2" t="s">
        <v>17</v>
      </c>
      <c r="E367" s="2" t="s">
        <v>11</v>
      </c>
      <c r="F367" s="2" t="s">
        <v>18</v>
      </c>
      <c r="G367" s="2" t="s">
        <v>19</v>
      </c>
      <c r="H367" s="2" t="s">
        <v>527</v>
      </c>
      <c r="I367" s="2" t="s">
        <v>616</v>
      </c>
    </row>
    <row r="368" spans="1:9" ht="14.5" x14ac:dyDescent="0.35">
      <c r="A368" s="2">
        <v>2456868</v>
      </c>
      <c r="B368" s="2" t="str">
        <f>"3328020107060019"</f>
        <v>3328020107060019</v>
      </c>
      <c r="C368" s="2" t="s">
        <v>617</v>
      </c>
      <c r="D368" s="2" t="s">
        <v>189</v>
      </c>
      <c r="E368" s="2" t="s">
        <v>11</v>
      </c>
      <c r="F368" s="2" t="s">
        <v>18</v>
      </c>
      <c r="G368" s="2" t="s">
        <v>19</v>
      </c>
      <c r="H368" s="2" t="s">
        <v>527</v>
      </c>
      <c r="I368" s="2" t="s">
        <v>602</v>
      </c>
    </row>
    <row r="369" spans="1:9" ht="14.5" x14ac:dyDescent="0.35">
      <c r="A369" s="2">
        <v>1349034</v>
      </c>
      <c r="B369" s="2" t="str">
        <f>"3328020107060019"</f>
        <v>3328020107060019</v>
      </c>
      <c r="C369" s="2" t="s">
        <v>617</v>
      </c>
      <c r="D369" s="2" t="s">
        <v>10</v>
      </c>
      <c r="E369" s="2" t="s">
        <v>57</v>
      </c>
      <c r="F369" s="2" t="s">
        <v>303</v>
      </c>
      <c r="G369" s="2" t="s">
        <v>608</v>
      </c>
      <c r="H369" s="2" t="s">
        <v>609</v>
      </c>
      <c r="I369" s="2" t="s">
        <v>610</v>
      </c>
    </row>
    <row r="370" spans="1:9" ht="14.5" x14ac:dyDescent="0.35">
      <c r="A370" s="2">
        <v>2484224</v>
      </c>
      <c r="B370" s="2" t="str">
        <f>"3328020107990051"</f>
        <v>3328020107990051</v>
      </c>
      <c r="C370" s="2" t="s">
        <v>618</v>
      </c>
      <c r="D370" s="2" t="s">
        <v>10</v>
      </c>
      <c r="E370" s="2" t="s">
        <v>11</v>
      </c>
      <c r="F370" s="2" t="s">
        <v>18</v>
      </c>
      <c r="G370" s="2" t="s">
        <v>19</v>
      </c>
      <c r="H370" s="2" t="s">
        <v>527</v>
      </c>
      <c r="I370" s="2" t="s">
        <v>590</v>
      </c>
    </row>
    <row r="371" spans="1:9" ht="14.5" x14ac:dyDescent="0.35">
      <c r="A371" s="2">
        <v>423775</v>
      </c>
      <c r="B371" s="2" t="str">
        <f>"3328020107990051"</f>
        <v>3328020107990051</v>
      </c>
      <c r="C371" s="2" t="s">
        <v>619</v>
      </c>
      <c r="D371" s="2" t="s">
        <v>10</v>
      </c>
      <c r="E371" s="2" t="s">
        <v>57</v>
      </c>
      <c r="F371" s="2" t="s">
        <v>18</v>
      </c>
      <c r="G371" s="2" t="s">
        <v>268</v>
      </c>
      <c r="H371" s="2" t="s">
        <v>277</v>
      </c>
      <c r="I371" s="2" t="s">
        <v>278</v>
      </c>
    </row>
    <row r="372" spans="1:9" ht="14.5" x14ac:dyDescent="0.35">
      <c r="A372" s="2">
        <v>55772</v>
      </c>
      <c r="B372" s="2" t="str">
        <f>"3328020209970008"</f>
        <v>3328020209970008</v>
      </c>
      <c r="C372" s="2" t="s">
        <v>620</v>
      </c>
      <c r="D372" s="2" t="s">
        <v>10</v>
      </c>
      <c r="E372" s="2" t="s">
        <v>11</v>
      </c>
      <c r="F372" s="2" t="s">
        <v>18</v>
      </c>
      <c r="G372" s="2" t="s">
        <v>264</v>
      </c>
      <c r="H372" s="2" t="s">
        <v>468</v>
      </c>
      <c r="I372" s="2" t="s">
        <v>621</v>
      </c>
    </row>
    <row r="373" spans="1:9" ht="14.5" x14ac:dyDescent="0.35">
      <c r="A373" s="2">
        <v>2522777</v>
      </c>
      <c r="B373" s="2" t="str">
        <f>"3328020209970008"</f>
        <v>3328020209970008</v>
      </c>
      <c r="C373" s="2" t="s">
        <v>622</v>
      </c>
      <c r="D373" s="2" t="s">
        <v>17</v>
      </c>
      <c r="E373" s="2" t="s">
        <v>11</v>
      </c>
      <c r="F373" s="2" t="s">
        <v>18</v>
      </c>
      <c r="G373" s="2" t="s">
        <v>19</v>
      </c>
      <c r="H373" s="2" t="s">
        <v>527</v>
      </c>
      <c r="I373" s="2" t="s">
        <v>527</v>
      </c>
    </row>
    <row r="374" spans="1:9" ht="14.5" x14ac:dyDescent="0.35">
      <c r="A374" s="2">
        <v>2430745</v>
      </c>
      <c r="B374" s="2" t="str">
        <f>"3328020501870011"</f>
        <v>3328020501870011</v>
      </c>
      <c r="C374" s="2" t="s">
        <v>623</v>
      </c>
      <c r="D374" s="2" t="s">
        <v>10</v>
      </c>
      <c r="E374" s="2" t="s">
        <v>11</v>
      </c>
      <c r="F374" s="2" t="s">
        <v>18</v>
      </c>
      <c r="G374" s="2" t="s">
        <v>19</v>
      </c>
      <c r="H374" s="2" t="s">
        <v>527</v>
      </c>
      <c r="I374" s="2" t="s">
        <v>539</v>
      </c>
    </row>
    <row r="375" spans="1:9" ht="14.5" x14ac:dyDescent="0.35">
      <c r="A375" s="2">
        <v>1178476</v>
      </c>
      <c r="B375" s="2" t="str">
        <f>"3328020501870011"</f>
        <v>3328020501870011</v>
      </c>
      <c r="C375" s="2" t="s">
        <v>623</v>
      </c>
      <c r="D375" s="2" t="s">
        <v>10</v>
      </c>
      <c r="E375" s="2" t="s">
        <v>11</v>
      </c>
      <c r="F375" s="2" t="s">
        <v>18</v>
      </c>
      <c r="G375" s="2" t="s">
        <v>180</v>
      </c>
      <c r="H375" s="2" t="s">
        <v>181</v>
      </c>
      <c r="I375" s="2" t="s">
        <v>624</v>
      </c>
    </row>
    <row r="376" spans="1:9" ht="14.5" x14ac:dyDescent="0.35">
      <c r="A376" s="2">
        <v>1728890</v>
      </c>
      <c r="B376" s="2" t="str">
        <f>"3328020502950007"</f>
        <v>3328020502950007</v>
      </c>
      <c r="C376" s="2" t="s">
        <v>625</v>
      </c>
      <c r="D376" s="2" t="s">
        <v>10</v>
      </c>
      <c r="E376" s="2" t="s">
        <v>11</v>
      </c>
      <c r="F376" s="2" t="s">
        <v>50</v>
      </c>
      <c r="G376" s="2" t="s">
        <v>58</v>
      </c>
      <c r="H376" s="2" t="s">
        <v>260</v>
      </c>
      <c r="I376" s="2" t="s">
        <v>626</v>
      </c>
    </row>
    <row r="377" spans="1:9" ht="14.5" x14ac:dyDescent="0.35">
      <c r="A377" s="2">
        <v>2524735</v>
      </c>
      <c r="B377" s="2" t="str">
        <f>"3328020502950007"</f>
        <v>3328020502950007</v>
      </c>
      <c r="C377" s="2" t="s">
        <v>625</v>
      </c>
      <c r="D377" s="2" t="s">
        <v>17</v>
      </c>
      <c r="E377" s="2" t="s">
        <v>11</v>
      </c>
      <c r="F377" s="2" t="s">
        <v>18</v>
      </c>
      <c r="G377" s="2" t="s">
        <v>19</v>
      </c>
      <c r="H377" s="2" t="s">
        <v>527</v>
      </c>
      <c r="I377" s="2" t="s">
        <v>543</v>
      </c>
    </row>
    <row r="378" spans="1:9" ht="14.5" x14ac:dyDescent="0.35">
      <c r="A378" s="2">
        <v>1378267</v>
      </c>
      <c r="B378" s="2" t="str">
        <f>"3328020802720001"</f>
        <v>3328020802720001</v>
      </c>
      <c r="C378" s="2" t="s">
        <v>627</v>
      </c>
      <c r="D378" s="2" t="s">
        <v>10</v>
      </c>
      <c r="E378" s="2" t="s">
        <v>11</v>
      </c>
      <c r="F378" s="2" t="s">
        <v>50</v>
      </c>
      <c r="G378" s="2" t="s">
        <v>72</v>
      </c>
      <c r="H378" s="2" t="s">
        <v>628</v>
      </c>
      <c r="I378" s="2" t="s">
        <v>629</v>
      </c>
    </row>
    <row r="379" spans="1:9" ht="14.5" x14ac:dyDescent="0.35">
      <c r="A379" s="2">
        <v>2526155</v>
      </c>
      <c r="B379" s="2" t="str">
        <f>"3328020802720001"</f>
        <v>3328020802720001</v>
      </c>
      <c r="C379" s="2" t="s">
        <v>627</v>
      </c>
      <c r="D379" s="2" t="s">
        <v>17</v>
      </c>
      <c r="E379" s="2" t="s">
        <v>11</v>
      </c>
      <c r="F379" s="2" t="s">
        <v>18</v>
      </c>
      <c r="G379" s="2" t="s">
        <v>19</v>
      </c>
      <c r="H379" s="2" t="s">
        <v>527</v>
      </c>
      <c r="I379" s="2" t="s">
        <v>528</v>
      </c>
    </row>
    <row r="380" spans="1:9" ht="14.5" x14ac:dyDescent="0.35">
      <c r="A380" s="2">
        <v>2437831</v>
      </c>
      <c r="B380" s="2" t="str">
        <f>"3328020804730005"</f>
        <v>3328020804730005</v>
      </c>
      <c r="C380" s="2" t="s">
        <v>630</v>
      </c>
      <c r="D380" s="2" t="s">
        <v>10</v>
      </c>
      <c r="E380" s="2" t="s">
        <v>11</v>
      </c>
      <c r="F380" s="2" t="s">
        <v>18</v>
      </c>
      <c r="G380" s="2" t="s">
        <v>19</v>
      </c>
      <c r="H380" s="2" t="s">
        <v>527</v>
      </c>
      <c r="I380" s="2" t="s">
        <v>535</v>
      </c>
    </row>
    <row r="381" spans="1:9" ht="14.5" x14ac:dyDescent="0.35">
      <c r="A381" s="2">
        <v>1133362</v>
      </c>
      <c r="B381" s="2" t="str">
        <f>"3328020804730005"</f>
        <v>3328020804730005</v>
      </c>
      <c r="C381" s="2" t="s">
        <v>630</v>
      </c>
      <c r="D381" s="2" t="s">
        <v>17</v>
      </c>
      <c r="E381" s="2" t="s">
        <v>11</v>
      </c>
      <c r="F381" s="2" t="s">
        <v>91</v>
      </c>
      <c r="G381" s="2" t="s">
        <v>631</v>
      </c>
      <c r="H381" s="2" t="s">
        <v>632</v>
      </c>
      <c r="I381" s="2" t="s">
        <v>633</v>
      </c>
    </row>
    <row r="382" spans="1:9" ht="14.5" x14ac:dyDescent="0.35">
      <c r="A382" s="2">
        <v>2523067</v>
      </c>
      <c r="B382" s="2" t="str">
        <f>"3328020811930002"</f>
        <v>3328020811930002</v>
      </c>
      <c r="C382" s="2" t="s">
        <v>634</v>
      </c>
      <c r="D382" s="2" t="s">
        <v>17</v>
      </c>
      <c r="E382" s="2" t="s">
        <v>11</v>
      </c>
      <c r="F382" s="2" t="s">
        <v>18</v>
      </c>
      <c r="G382" s="2" t="s">
        <v>19</v>
      </c>
      <c r="H382" s="2" t="s">
        <v>527</v>
      </c>
      <c r="I382" s="2" t="s">
        <v>527</v>
      </c>
    </row>
    <row r="383" spans="1:9" ht="14.5" x14ac:dyDescent="0.35">
      <c r="A383" s="2">
        <v>697085</v>
      </c>
      <c r="B383" s="2" t="str">
        <f>"3328020811930002"</f>
        <v>3328020811930002</v>
      </c>
      <c r="C383" s="2" t="s">
        <v>635</v>
      </c>
      <c r="D383" s="2" t="s">
        <v>189</v>
      </c>
      <c r="E383" s="2" t="s">
        <v>11</v>
      </c>
      <c r="F383" s="2" t="s">
        <v>50</v>
      </c>
      <c r="G383" s="2" t="s">
        <v>51</v>
      </c>
      <c r="H383" s="2" t="s">
        <v>62</v>
      </c>
      <c r="I383" s="2" t="s">
        <v>62</v>
      </c>
    </row>
    <row r="384" spans="1:9" ht="14.5" x14ac:dyDescent="0.35">
      <c r="A384" s="2">
        <v>1665252</v>
      </c>
      <c r="B384" s="2" t="str">
        <f>"3328020910950004"</f>
        <v>3328020910950004</v>
      </c>
      <c r="C384" s="2" t="s">
        <v>636</v>
      </c>
      <c r="D384" s="2" t="s">
        <v>10</v>
      </c>
      <c r="E384" s="2" t="s">
        <v>11</v>
      </c>
      <c r="F384" s="2" t="s">
        <v>67</v>
      </c>
      <c r="G384" s="2" t="s">
        <v>375</v>
      </c>
      <c r="H384" s="2" t="s">
        <v>637</v>
      </c>
      <c r="I384" s="2" t="s">
        <v>638</v>
      </c>
    </row>
    <row r="385" spans="1:9" ht="14.5" x14ac:dyDescent="0.35">
      <c r="A385" s="2">
        <v>2526162</v>
      </c>
      <c r="B385" s="2" t="str">
        <f>"3328020910950004"</f>
        <v>3328020910950004</v>
      </c>
      <c r="C385" s="2" t="s">
        <v>636</v>
      </c>
      <c r="D385" s="2" t="s">
        <v>17</v>
      </c>
      <c r="E385" s="2" t="s">
        <v>11</v>
      </c>
      <c r="F385" s="2" t="s">
        <v>18</v>
      </c>
      <c r="G385" s="2" t="s">
        <v>19</v>
      </c>
      <c r="H385" s="2" t="s">
        <v>527</v>
      </c>
      <c r="I385" s="2" t="s">
        <v>528</v>
      </c>
    </row>
    <row r="386" spans="1:9" ht="14.5" x14ac:dyDescent="0.35">
      <c r="A386" s="2">
        <v>2471959</v>
      </c>
      <c r="B386" s="2" t="str">
        <f>"3328021002990002"</f>
        <v>3328021002990002</v>
      </c>
      <c r="C386" s="2" t="s">
        <v>639</v>
      </c>
      <c r="D386" s="2" t="s">
        <v>10</v>
      </c>
      <c r="E386" s="2" t="s">
        <v>11</v>
      </c>
      <c r="F386" s="2" t="s">
        <v>18</v>
      </c>
      <c r="G386" s="2" t="s">
        <v>19</v>
      </c>
      <c r="H386" s="2" t="s">
        <v>527</v>
      </c>
      <c r="I386" s="2" t="s">
        <v>640</v>
      </c>
    </row>
    <row r="387" spans="1:9" ht="14.5" x14ac:dyDescent="0.35">
      <c r="A387" s="2">
        <v>211317</v>
      </c>
      <c r="B387" s="2" t="str">
        <f>"3328021002990002"</f>
        <v>3328021002990002</v>
      </c>
      <c r="C387" s="2" t="s">
        <v>641</v>
      </c>
      <c r="D387" s="2" t="s">
        <v>17</v>
      </c>
      <c r="E387" s="2" t="s">
        <v>11</v>
      </c>
      <c r="F387" s="2" t="s">
        <v>232</v>
      </c>
      <c r="G387" s="2" t="s">
        <v>642</v>
      </c>
      <c r="H387" s="2" t="s">
        <v>643</v>
      </c>
      <c r="I387" s="2" t="s">
        <v>644</v>
      </c>
    </row>
    <row r="388" spans="1:9" ht="14.5" x14ac:dyDescent="0.35">
      <c r="A388" s="2">
        <v>2491013</v>
      </c>
      <c r="B388" s="2" t="str">
        <f>"3328021005920013"</f>
        <v>3328021005920013</v>
      </c>
      <c r="C388" s="2" t="s">
        <v>645</v>
      </c>
      <c r="D388" s="2" t="s">
        <v>10</v>
      </c>
      <c r="E388" s="2" t="s">
        <v>11</v>
      </c>
      <c r="F388" s="2" t="s">
        <v>18</v>
      </c>
      <c r="G388" s="2" t="s">
        <v>19</v>
      </c>
      <c r="H388" s="2" t="s">
        <v>527</v>
      </c>
      <c r="I388" s="2" t="s">
        <v>532</v>
      </c>
    </row>
    <row r="389" spans="1:9" ht="14.5" x14ac:dyDescent="0.35">
      <c r="A389" s="2">
        <v>212498</v>
      </c>
      <c r="B389" s="2" t="str">
        <f>"3328021005920013"</f>
        <v>3328021005920013</v>
      </c>
      <c r="C389" s="2" t="s">
        <v>646</v>
      </c>
      <c r="D389" s="2" t="s">
        <v>10</v>
      </c>
      <c r="E389" s="2" t="s">
        <v>57</v>
      </c>
      <c r="F389" s="2" t="s">
        <v>240</v>
      </c>
      <c r="G389" s="2" t="s">
        <v>647</v>
      </c>
      <c r="H389" s="2" t="s">
        <v>640</v>
      </c>
      <c r="I389" s="2" t="s">
        <v>648</v>
      </c>
    </row>
    <row r="390" spans="1:9" ht="14.5" x14ac:dyDescent="0.35">
      <c r="A390" s="2">
        <v>3305908</v>
      </c>
      <c r="B390" s="2" t="str">
        <f>"3328021012750001"</f>
        <v>3328021012750001</v>
      </c>
      <c r="C390" s="2" t="s">
        <v>649</v>
      </c>
      <c r="D390" s="2" t="s">
        <v>10</v>
      </c>
      <c r="E390" s="2" t="s">
        <v>11</v>
      </c>
      <c r="F390" s="2" t="s">
        <v>91</v>
      </c>
      <c r="G390" s="2" t="s">
        <v>650</v>
      </c>
      <c r="H390" s="2" t="s">
        <v>651</v>
      </c>
      <c r="I390" s="2" t="s">
        <v>652</v>
      </c>
    </row>
    <row r="391" spans="1:9" ht="14.5" x14ac:dyDescent="0.35">
      <c r="A391" s="2">
        <v>2521570</v>
      </c>
      <c r="B391" s="2" t="str">
        <f>"3328021012750001"</f>
        <v>3328021012750001</v>
      </c>
      <c r="C391" s="2" t="s">
        <v>649</v>
      </c>
      <c r="D391" s="2" t="s">
        <v>17</v>
      </c>
      <c r="E391" s="2" t="s">
        <v>11</v>
      </c>
      <c r="F391" s="2" t="s">
        <v>18</v>
      </c>
      <c r="G391" s="2" t="s">
        <v>19</v>
      </c>
      <c r="H391" s="2" t="s">
        <v>527</v>
      </c>
      <c r="I391" s="2" t="s">
        <v>602</v>
      </c>
    </row>
    <row r="392" spans="1:9" ht="14.5" x14ac:dyDescent="0.35">
      <c r="A392" s="2">
        <v>2456598</v>
      </c>
      <c r="B392" s="2" t="str">
        <f>"3328021202000001"</f>
        <v>3328021202000001</v>
      </c>
      <c r="C392" s="2" t="s">
        <v>653</v>
      </c>
      <c r="D392" s="2" t="s">
        <v>10</v>
      </c>
      <c r="E392" s="2" t="s">
        <v>11</v>
      </c>
      <c r="F392" s="2" t="s">
        <v>18</v>
      </c>
      <c r="G392" s="2" t="s">
        <v>19</v>
      </c>
      <c r="H392" s="2" t="s">
        <v>527</v>
      </c>
      <c r="I392" s="2" t="s">
        <v>602</v>
      </c>
    </row>
    <row r="393" spans="1:9" ht="14.5" x14ac:dyDescent="0.35">
      <c r="A393" s="2">
        <v>1351186</v>
      </c>
      <c r="B393" s="2" t="str">
        <f>"3328021202000001"</f>
        <v>3328021202000001</v>
      </c>
      <c r="C393" s="2" t="s">
        <v>653</v>
      </c>
      <c r="D393" s="2" t="s">
        <v>10</v>
      </c>
      <c r="E393" s="2" t="s">
        <v>57</v>
      </c>
      <c r="F393" s="2" t="s">
        <v>303</v>
      </c>
      <c r="G393" s="2" t="s">
        <v>608</v>
      </c>
      <c r="H393" s="2" t="s">
        <v>609</v>
      </c>
      <c r="I393" s="2" t="s">
        <v>610</v>
      </c>
    </row>
    <row r="394" spans="1:9" ht="14.5" x14ac:dyDescent="0.35">
      <c r="A394" s="2">
        <v>2426510</v>
      </c>
      <c r="B394" s="2" t="str">
        <f>"3328021204000007"</f>
        <v>3328021204000007</v>
      </c>
      <c r="C394" s="2" t="s">
        <v>654</v>
      </c>
      <c r="D394" s="2" t="s">
        <v>10</v>
      </c>
      <c r="E394" s="2" t="s">
        <v>11</v>
      </c>
      <c r="F394" s="2" t="s">
        <v>18</v>
      </c>
      <c r="G394" s="2" t="s">
        <v>19</v>
      </c>
      <c r="H394" s="2" t="s">
        <v>527</v>
      </c>
      <c r="I394" s="2" t="s">
        <v>539</v>
      </c>
    </row>
    <row r="395" spans="1:9" ht="14.5" x14ac:dyDescent="0.35">
      <c r="A395" s="2">
        <v>1351189</v>
      </c>
      <c r="B395" s="2" t="str">
        <f>"3328021204000007"</f>
        <v>3328021204000007</v>
      </c>
      <c r="C395" s="2" t="s">
        <v>655</v>
      </c>
      <c r="D395" s="2" t="s">
        <v>10</v>
      </c>
      <c r="E395" s="2" t="s">
        <v>57</v>
      </c>
      <c r="F395" s="2" t="s">
        <v>303</v>
      </c>
      <c r="G395" s="2" t="s">
        <v>608</v>
      </c>
      <c r="H395" s="2" t="s">
        <v>609</v>
      </c>
      <c r="I395" s="2" t="s">
        <v>610</v>
      </c>
    </row>
    <row r="396" spans="1:9" ht="14.5" x14ac:dyDescent="0.35">
      <c r="A396" s="2">
        <v>2474242</v>
      </c>
      <c r="B396" s="2" t="str">
        <f>"3328021210920003"</f>
        <v>3328021210920003</v>
      </c>
      <c r="C396" s="2" t="s">
        <v>656</v>
      </c>
      <c r="D396" s="2" t="s">
        <v>10</v>
      </c>
      <c r="E396" s="2" t="s">
        <v>11</v>
      </c>
      <c r="F396" s="2" t="s">
        <v>18</v>
      </c>
      <c r="G396" s="2" t="s">
        <v>19</v>
      </c>
      <c r="H396" s="2" t="s">
        <v>527</v>
      </c>
      <c r="I396" s="2" t="s">
        <v>640</v>
      </c>
    </row>
    <row r="397" spans="1:9" ht="14.5" x14ac:dyDescent="0.35">
      <c r="A397" s="2">
        <v>257586</v>
      </c>
      <c r="B397" s="2" t="str">
        <f>"3328021210920003"</f>
        <v>3328021210920003</v>
      </c>
      <c r="C397" s="2" t="s">
        <v>656</v>
      </c>
      <c r="D397" s="2" t="s">
        <v>10</v>
      </c>
      <c r="E397" s="2" t="s">
        <v>57</v>
      </c>
      <c r="F397" s="2" t="s">
        <v>521</v>
      </c>
      <c r="G397" s="2" t="s">
        <v>657</v>
      </c>
      <c r="H397" s="2" t="s">
        <v>658</v>
      </c>
      <c r="I397" s="2" t="s">
        <v>659</v>
      </c>
    </row>
    <row r="398" spans="1:9" ht="14.5" x14ac:dyDescent="0.35">
      <c r="A398" s="2">
        <v>2484219</v>
      </c>
      <c r="B398" s="2" t="str">
        <f>"3328021303010002"</f>
        <v>3328021303010002</v>
      </c>
      <c r="C398" s="2" t="s">
        <v>660</v>
      </c>
      <c r="D398" s="2" t="s">
        <v>10</v>
      </c>
      <c r="E398" s="2" t="s">
        <v>11</v>
      </c>
      <c r="F398" s="2" t="s">
        <v>18</v>
      </c>
      <c r="G398" s="2" t="s">
        <v>19</v>
      </c>
      <c r="H398" s="2" t="s">
        <v>527</v>
      </c>
      <c r="I398" s="2" t="s">
        <v>590</v>
      </c>
    </row>
    <row r="399" spans="1:9" ht="14.5" x14ac:dyDescent="0.35">
      <c r="A399" s="2">
        <v>423688</v>
      </c>
      <c r="B399" s="2" t="str">
        <f>"3328021303010002"</f>
        <v>3328021303010002</v>
      </c>
      <c r="C399" s="2" t="s">
        <v>661</v>
      </c>
      <c r="D399" s="2" t="s">
        <v>10</v>
      </c>
      <c r="E399" s="2" t="s">
        <v>57</v>
      </c>
      <c r="F399" s="2" t="s">
        <v>18</v>
      </c>
      <c r="G399" s="2" t="s">
        <v>268</v>
      </c>
      <c r="H399" s="2" t="s">
        <v>277</v>
      </c>
      <c r="I399" s="2" t="s">
        <v>278</v>
      </c>
    </row>
    <row r="400" spans="1:9" ht="14.5" x14ac:dyDescent="0.35">
      <c r="A400" s="2">
        <v>2455644</v>
      </c>
      <c r="B400" s="2" t="str">
        <f>"3328021306030002"</f>
        <v>3328021306030002</v>
      </c>
      <c r="C400" s="2" t="s">
        <v>662</v>
      </c>
      <c r="D400" s="2" t="s">
        <v>10</v>
      </c>
      <c r="E400" s="2" t="s">
        <v>11</v>
      </c>
      <c r="F400" s="2" t="s">
        <v>18</v>
      </c>
      <c r="G400" s="2" t="s">
        <v>19</v>
      </c>
      <c r="H400" s="2" t="s">
        <v>527</v>
      </c>
      <c r="I400" s="2" t="s">
        <v>602</v>
      </c>
    </row>
    <row r="401" spans="1:9" ht="14.5" x14ac:dyDescent="0.35">
      <c r="A401" s="2">
        <v>1351187</v>
      </c>
      <c r="B401" s="2" t="str">
        <f>"3328021306030002"</f>
        <v>3328021306030002</v>
      </c>
      <c r="C401" s="2" t="s">
        <v>662</v>
      </c>
      <c r="D401" s="2" t="s">
        <v>10</v>
      </c>
      <c r="E401" s="2" t="s">
        <v>57</v>
      </c>
      <c r="F401" s="2" t="s">
        <v>303</v>
      </c>
      <c r="G401" s="2" t="s">
        <v>608</v>
      </c>
      <c r="H401" s="2" t="s">
        <v>609</v>
      </c>
      <c r="I401" s="2" t="s">
        <v>610</v>
      </c>
    </row>
    <row r="402" spans="1:9" ht="14.5" x14ac:dyDescent="0.35">
      <c r="A402" s="2">
        <v>349025</v>
      </c>
      <c r="B402" s="2" t="str">
        <f>"3328021408860001"</f>
        <v>3328021408860001</v>
      </c>
      <c r="C402" s="2" t="s">
        <v>663</v>
      </c>
      <c r="D402" s="2" t="s">
        <v>10</v>
      </c>
      <c r="E402" s="2" t="s">
        <v>11</v>
      </c>
      <c r="F402" s="2" t="s">
        <v>91</v>
      </c>
      <c r="G402" s="2" t="s">
        <v>320</v>
      </c>
      <c r="H402" s="2" t="s">
        <v>664</v>
      </c>
      <c r="I402" s="2" t="s">
        <v>665</v>
      </c>
    </row>
    <row r="403" spans="1:9" ht="14.5" x14ac:dyDescent="0.35">
      <c r="A403" s="2">
        <v>2522932</v>
      </c>
      <c r="B403" s="2" t="str">
        <f>"3328021408860001"</f>
        <v>3328021408860001</v>
      </c>
      <c r="C403" s="2" t="s">
        <v>663</v>
      </c>
      <c r="D403" s="2" t="s">
        <v>17</v>
      </c>
      <c r="E403" s="2" t="s">
        <v>11</v>
      </c>
      <c r="F403" s="2" t="s">
        <v>18</v>
      </c>
      <c r="G403" s="2" t="s">
        <v>19</v>
      </c>
      <c r="H403" s="2" t="s">
        <v>527</v>
      </c>
      <c r="I403" s="2" t="s">
        <v>527</v>
      </c>
    </row>
    <row r="404" spans="1:9" ht="14.5" x14ac:dyDescent="0.35">
      <c r="A404" s="2">
        <v>584556</v>
      </c>
      <c r="B404" s="2" t="str">
        <f>"3328021412980009"</f>
        <v>3328021412980009</v>
      </c>
      <c r="C404" s="2" t="s">
        <v>666</v>
      </c>
      <c r="D404" s="2" t="s">
        <v>10</v>
      </c>
      <c r="E404" s="2" t="s">
        <v>11</v>
      </c>
      <c r="F404" s="2" t="s">
        <v>667</v>
      </c>
      <c r="G404" s="2" t="s">
        <v>668</v>
      </c>
      <c r="H404" s="2" t="s">
        <v>669</v>
      </c>
      <c r="I404" s="2" t="s">
        <v>670</v>
      </c>
    </row>
    <row r="405" spans="1:9" ht="14.5" x14ac:dyDescent="0.35">
      <c r="A405" s="2">
        <v>2523785</v>
      </c>
      <c r="B405" s="2" t="str">
        <f>"3328021412980009"</f>
        <v>3328021412980009</v>
      </c>
      <c r="C405" s="2" t="s">
        <v>666</v>
      </c>
      <c r="D405" s="2" t="s">
        <v>17</v>
      </c>
      <c r="E405" s="2" t="s">
        <v>11</v>
      </c>
      <c r="F405" s="2" t="s">
        <v>18</v>
      </c>
      <c r="G405" s="2" t="s">
        <v>19</v>
      </c>
      <c r="H405" s="2" t="s">
        <v>527</v>
      </c>
      <c r="I405" s="2" t="s">
        <v>671</v>
      </c>
    </row>
    <row r="406" spans="1:9" ht="14.5" x14ac:dyDescent="0.35">
      <c r="A406" s="2">
        <v>1370247</v>
      </c>
      <c r="B406" s="2" t="str">
        <f>"3328021502860003"</f>
        <v>3328021502860003</v>
      </c>
      <c r="C406" s="2" t="s">
        <v>672</v>
      </c>
      <c r="D406" s="2" t="s">
        <v>10</v>
      </c>
      <c r="E406" s="2" t="s">
        <v>11</v>
      </c>
      <c r="F406" s="2" t="s">
        <v>91</v>
      </c>
      <c r="G406" s="2" t="s">
        <v>92</v>
      </c>
      <c r="H406" s="2" t="s">
        <v>673</v>
      </c>
      <c r="I406" s="2" t="s">
        <v>674</v>
      </c>
    </row>
    <row r="407" spans="1:9" ht="14.5" x14ac:dyDescent="0.35">
      <c r="A407" s="2">
        <v>2523431</v>
      </c>
      <c r="B407" s="2" t="str">
        <f>"3328021502860003"</f>
        <v>3328021502860003</v>
      </c>
      <c r="C407" s="2" t="s">
        <v>672</v>
      </c>
      <c r="D407" s="2" t="s">
        <v>17</v>
      </c>
      <c r="E407" s="2" t="s">
        <v>11</v>
      </c>
      <c r="F407" s="2" t="s">
        <v>18</v>
      </c>
      <c r="G407" s="2" t="s">
        <v>19</v>
      </c>
      <c r="H407" s="2" t="s">
        <v>527</v>
      </c>
      <c r="I407" s="2" t="s">
        <v>539</v>
      </c>
    </row>
    <row r="408" spans="1:9" ht="14.5" x14ac:dyDescent="0.35">
      <c r="A408" s="2">
        <v>2456241</v>
      </c>
      <c r="B408" s="2" t="str">
        <f>"3328021504030002"</f>
        <v>3328021504030002</v>
      </c>
      <c r="C408" s="2" t="s">
        <v>675</v>
      </c>
      <c r="D408" s="2" t="s">
        <v>10</v>
      </c>
      <c r="E408" s="2" t="s">
        <v>11</v>
      </c>
      <c r="F408" s="2" t="s">
        <v>18</v>
      </c>
      <c r="G408" s="2" t="s">
        <v>19</v>
      </c>
      <c r="H408" s="2" t="s">
        <v>527</v>
      </c>
      <c r="I408" s="2" t="s">
        <v>602</v>
      </c>
    </row>
    <row r="409" spans="1:9" ht="14.5" x14ac:dyDescent="0.35">
      <c r="A409" s="2">
        <v>1351188</v>
      </c>
      <c r="B409" s="2" t="str">
        <f>"3328021504030002"</f>
        <v>3328021504030002</v>
      </c>
      <c r="C409" s="2" t="s">
        <v>676</v>
      </c>
      <c r="D409" s="2" t="s">
        <v>10</v>
      </c>
      <c r="E409" s="2" t="s">
        <v>57</v>
      </c>
      <c r="F409" s="2" t="s">
        <v>303</v>
      </c>
      <c r="G409" s="2" t="s">
        <v>608</v>
      </c>
      <c r="H409" s="2" t="s">
        <v>609</v>
      </c>
      <c r="I409" s="2" t="s">
        <v>610</v>
      </c>
    </row>
    <row r="410" spans="1:9" ht="14.5" x14ac:dyDescent="0.35">
      <c r="A410" s="2">
        <v>324022</v>
      </c>
      <c r="B410" s="2" t="str">
        <f>"3328021506851458"</f>
        <v>3328021506851458</v>
      </c>
      <c r="C410" s="2" t="s">
        <v>677</v>
      </c>
      <c r="D410" s="2" t="s">
        <v>10</v>
      </c>
      <c r="E410" s="2" t="s">
        <v>11</v>
      </c>
      <c r="F410" s="2" t="s">
        <v>50</v>
      </c>
      <c r="G410" s="2" t="s">
        <v>58</v>
      </c>
      <c r="H410" s="2" t="s">
        <v>316</v>
      </c>
      <c r="I410" s="2" t="s">
        <v>678</v>
      </c>
    </row>
    <row r="411" spans="1:9" ht="14.5" x14ac:dyDescent="0.35">
      <c r="A411" s="2">
        <v>2523454</v>
      </c>
      <c r="B411" s="2" t="str">
        <f>"3328021506851458"</f>
        <v>3328021506851458</v>
      </c>
      <c r="C411" s="2" t="s">
        <v>677</v>
      </c>
      <c r="D411" s="2" t="s">
        <v>17</v>
      </c>
      <c r="E411" s="2" t="s">
        <v>11</v>
      </c>
      <c r="F411" s="2" t="s">
        <v>18</v>
      </c>
      <c r="G411" s="2" t="s">
        <v>19</v>
      </c>
      <c r="H411" s="2" t="s">
        <v>527</v>
      </c>
      <c r="I411" s="2" t="s">
        <v>539</v>
      </c>
    </row>
    <row r="412" spans="1:9" ht="14.5" x14ac:dyDescent="0.35">
      <c r="A412" s="2">
        <v>1183648</v>
      </c>
      <c r="B412" s="2" t="str">
        <f>"3328021508850006"</f>
        <v>3328021508850006</v>
      </c>
      <c r="C412" s="2" t="s">
        <v>679</v>
      </c>
      <c r="D412" s="2" t="s">
        <v>10</v>
      </c>
      <c r="E412" s="2" t="s">
        <v>11</v>
      </c>
      <c r="F412" s="2" t="s">
        <v>50</v>
      </c>
      <c r="G412" s="2" t="s">
        <v>51</v>
      </c>
      <c r="H412" s="2" t="s">
        <v>78</v>
      </c>
      <c r="I412" s="2" t="s">
        <v>680</v>
      </c>
    </row>
    <row r="413" spans="1:9" ht="14.5" x14ac:dyDescent="0.35">
      <c r="A413" s="2">
        <v>2524976</v>
      </c>
      <c r="B413" s="2" t="str">
        <f>"3328021508850006"</f>
        <v>3328021508850006</v>
      </c>
      <c r="C413" s="2" t="s">
        <v>679</v>
      </c>
      <c r="D413" s="2" t="s">
        <v>17</v>
      </c>
      <c r="E413" s="2" t="s">
        <v>11</v>
      </c>
      <c r="F413" s="2" t="s">
        <v>18</v>
      </c>
      <c r="G413" s="2" t="s">
        <v>19</v>
      </c>
      <c r="H413" s="2" t="s">
        <v>527</v>
      </c>
      <c r="I413" s="2" t="s">
        <v>543</v>
      </c>
    </row>
    <row r="414" spans="1:9" ht="14.5" x14ac:dyDescent="0.35">
      <c r="A414" s="2">
        <v>2148693</v>
      </c>
      <c r="B414" s="2" t="str">
        <f>"3328021607020001"</f>
        <v>3328021607020001</v>
      </c>
      <c r="C414" s="2" t="s">
        <v>681</v>
      </c>
      <c r="D414" s="2" t="s">
        <v>10</v>
      </c>
      <c r="E414" s="2" t="s">
        <v>11</v>
      </c>
      <c r="F414" s="2" t="s">
        <v>18</v>
      </c>
      <c r="G414" s="2" t="s">
        <v>19</v>
      </c>
      <c r="H414" s="2" t="s">
        <v>527</v>
      </c>
      <c r="I414" s="2" t="s">
        <v>682</v>
      </c>
    </row>
    <row r="415" spans="1:9" ht="14.5" x14ac:dyDescent="0.35">
      <c r="A415" s="2">
        <v>1351184</v>
      </c>
      <c r="B415" s="2" t="str">
        <f>"3328021607020001"</f>
        <v>3328021607020001</v>
      </c>
      <c r="C415" s="2" t="s">
        <v>681</v>
      </c>
      <c r="D415" s="2" t="s">
        <v>10</v>
      </c>
      <c r="E415" s="2" t="s">
        <v>57</v>
      </c>
      <c r="F415" s="2" t="s">
        <v>303</v>
      </c>
      <c r="G415" s="2" t="s">
        <v>608</v>
      </c>
      <c r="H415" s="2" t="s">
        <v>609</v>
      </c>
      <c r="I415" s="2" t="s">
        <v>610</v>
      </c>
    </row>
    <row r="416" spans="1:9" ht="14.5" x14ac:dyDescent="0.35">
      <c r="A416" s="2">
        <v>2425875</v>
      </c>
      <c r="B416" s="2" t="str">
        <f>"3328021610840003"</f>
        <v>3328021610840003</v>
      </c>
      <c r="C416" s="2" t="s">
        <v>683</v>
      </c>
      <c r="D416" s="2" t="s">
        <v>10</v>
      </c>
      <c r="E416" s="2" t="s">
        <v>11</v>
      </c>
      <c r="F416" s="2" t="s">
        <v>18</v>
      </c>
      <c r="G416" s="2" t="s">
        <v>19</v>
      </c>
      <c r="H416" s="2" t="s">
        <v>527</v>
      </c>
      <c r="I416" s="2" t="s">
        <v>684</v>
      </c>
    </row>
    <row r="417" spans="1:9" ht="14.5" x14ac:dyDescent="0.35">
      <c r="A417" s="2">
        <v>1884184</v>
      </c>
      <c r="B417" s="2" t="str">
        <f>"3328021610840003"</f>
        <v>3328021610840003</v>
      </c>
      <c r="C417" s="2" t="s">
        <v>683</v>
      </c>
      <c r="D417" s="2" t="s">
        <v>17</v>
      </c>
      <c r="E417" s="2" t="s">
        <v>57</v>
      </c>
      <c r="F417" s="2" t="s">
        <v>91</v>
      </c>
      <c r="G417" s="2" t="s">
        <v>159</v>
      </c>
      <c r="H417" s="2" t="s">
        <v>685</v>
      </c>
      <c r="I417" s="2" t="s">
        <v>686</v>
      </c>
    </row>
    <row r="418" spans="1:9" ht="14.5" x14ac:dyDescent="0.35">
      <c r="A418" s="2">
        <v>1579832</v>
      </c>
      <c r="B418" s="2" t="str">
        <f>"3328021612030003"</f>
        <v>3328021612030003</v>
      </c>
      <c r="C418" s="2" t="s">
        <v>687</v>
      </c>
      <c r="D418" s="2" t="s">
        <v>10</v>
      </c>
      <c r="E418" s="2" t="s">
        <v>11</v>
      </c>
      <c r="F418" s="2" t="s">
        <v>91</v>
      </c>
      <c r="G418" s="2" t="s">
        <v>650</v>
      </c>
      <c r="H418" s="2" t="s">
        <v>688</v>
      </c>
      <c r="I418" s="2" t="s">
        <v>689</v>
      </c>
    </row>
    <row r="419" spans="1:9" ht="14.5" x14ac:dyDescent="0.35">
      <c r="A419" s="2">
        <v>2525154</v>
      </c>
      <c r="B419" s="2" t="str">
        <f>"3328021612030003"</f>
        <v>3328021612030003</v>
      </c>
      <c r="C419" s="2" t="s">
        <v>690</v>
      </c>
      <c r="D419" s="2" t="s">
        <v>17</v>
      </c>
      <c r="E419" s="2" t="s">
        <v>11</v>
      </c>
      <c r="F419" s="2" t="s">
        <v>18</v>
      </c>
      <c r="G419" s="2" t="s">
        <v>19</v>
      </c>
      <c r="H419" s="2" t="s">
        <v>527</v>
      </c>
      <c r="I419" s="2" t="s">
        <v>691</v>
      </c>
    </row>
    <row r="420" spans="1:9" ht="14.5" x14ac:dyDescent="0.35">
      <c r="A420" s="2">
        <v>1685127</v>
      </c>
      <c r="B420" s="2" t="str">
        <f>"3328021707950024"</f>
        <v>3328021707950024</v>
      </c>
      <c r="C420" s="2" t="s">
        <v>692</v>
      </c>
      <c r="D420" s="2" t="s">
        <v>17</v>
      </c>
      <c r="E420" s="2" t="s">
        <v>11</v>
      </c>
      <c r="F420" s="2" t="s">
        <v>18</v>
      </c>
      <c r="G420" s="2" t="s">
        <v>184</v>
      </c>
      <c r="H420" s="2" t="s">
        <v>693</v>
      </c>
      <c r="I420" s="2" t="s">
        <v>694</v>
      </c>
    </row>
    <row r="421" spans="1:9" ht="14.5" x14ac:dyDescent="0.35">
      <c r="A421" s="2">
        <v>2480151</v>
      </c>
      <c r="B421" s="2" t="str">
        <f>"3328021707950024"</f>
        <v>3328021707950024</v>
      </c>
      <c r="C421" s="2" t="s">
        <v>692</v>
      </c>
      <c r="D421" s="2" t="s">
        <v>189</v>
      </c>
      <c r="E421" s="2" t="s">
        <v>11</v>
      </c>
      <c r="F421" s="2" t="s">
        <v>18</v>
      </c>
      <c r="G421" s="2" t="s">
        <v>19</v>
      </c>
      <c r="H421" s="2" t="s">
        <v>527</v>
      </c>
      <c r="I421" s="2" t="s">
        <v>543</v>
      </c>
    </row>
    <row r="422" spans="1:9" ht="14.5" x14ac:dyDescent="0.35">
      <c r="A422" s="2">
        <v>712683</v>
      </c>
      <c r="B422" s="2" t="str">
        <f>"3328021711920004"</f>
        <v>3328021711920004</v>
      </c>
      <c r="C422" s="2" t="s">
        <v>695</v>
      </c>
      <c r="D422" s="2" t="s">
        <v>10</v>
      </c>
      <c r="E422" s="2" t="s">
        <v>11</v>
      </c>
      <c r="F422" s="2" t="s">
        <v>67</v>
      </c>
      <c r="G422" s="2" t="s">
        <v>696</v>
      </c>
      <c r="H422" s="2" t="s">
        <v>697</v>
      </c>
      <c r="I422" s="2" t="s">
        <v>697</v>
      </c>
    </row>
    <row r="423" spans="1:9" ht="14.5" x14ac:dyDescent="0.35">
      <c r="A423" s="2">
        <v>2524772</v>
      </c>
      <c r="B423" s="2" t="str">
        <f>"3328021711920004"</f>
        <v>3328021711920004</v>
      </c>
      <c r="C423" s="2" t="s">
        <v>698</v>
      </c>
      <c r="D423" s="2" t="s">
        <v>17</v>
      </c>
      <c r="E423" s="2" t="s">
        <v>11</v>
      </c>
      <c r="F423" s="2" t="s">
        <v>18</v>
      </c>
      <c r="G423" s="2" t="s">
        <v>19</v>
      </c>
      <c r="H423" s="2" t="s">
        <v>527</v>
      </c>
      <c r="I423" s="2" t="s">
        <v>543</v>
      </c>
    </row>
    <row r="424" spans="1:9" ht="14.5" x14ac:dyDescent="0.35">
      <c r="A424" s="2">
        <v>1335006</v>
      </c>
      <c r="B424" s="2" t="str">
        <f>"3328021802960002"</f>
        <v>3328021802960002</v>
      </c>
      <c r="C424" s="2" t="s">
        <v>699</v>
      </c>
      <c r="D424" s="2" t="s">
        <v>10</v>
      </c>
      <c r="E424" s="2" t="s">
        <v>11</v>
      </c>
      <c r="F424" s="2" t="s">
        <v>18</v>
      </c>
      <c r="G424" s="2" t="s">
        <v>264</v>
      </c>
      <c r="H424" s="2" t="s">
        <v>273</v>
      </c>
      <c r="I424" s="2" t="s">
        <v>700</v>
      </c>
    </row>
    <row r="425" spans="1:9" ht="14.5" x14ac:dyDescent="0.35">
      <c r="A425" s="2">
        <v>2524818</v>
      </c>
      <c r="B425" s="2" t="str">
        <f>"3328021802960002"</f>
        <v>3328021802960002</v>
      </c>
      <c r="C425" s="2" t="s">
        <v>701</v>
      </c>
      <c r="D425" s="2" t="s">
        <v>17</v>
      </c>
      <c r="E425" s="2" t="s">
        <v>11</v>
      </c>
      <c r="F425" s="2" t="s">
        <v>18</v>
      </c>
      <c r="G425" s="2" t="s">
        <v>19</v>
      </c>
      <c r="H425" s="2" t="s">
        <v>527</v>
      </c>
      <c r="I425" s="2" t="s">
        <v>543</v>
      </c>
    </row>
    <row r="426" spans="1:9" ht="14.5" x14ac:dyDescent="0.35">
      <c r="A426" s="2">
        <v>501965</v>
      </c>
      <c r="B426" s="2" t="str">
        <f>"3328021910920004"</f>
        <v>3328021910920004</v>
      </c>
      <c r="C426" s="2" t="s">
        <v>702</v>
      </c>
      <c r="D426" s="2" t="s">
        <v>10</v>
      </c>
      <c r="E426" s="2" t="s">
        <v>11</v>
      </c>
      <c r="F426" s="2" t="s">
        <v>50</v>
      </c>
      <c r="G426" s="2" t="s">
        <v>72</v>
      </c>
      <c r="H426" s="2" t="s">
        <v>703</v>
      </c>
      <c r="I426" s="2" t="s">
        <v>704</v>
      </c>
    </row>
    <row r="427" spans="1:9" ht="14.5" x14ac:dyDescent="0.35">
      <c r="A427" s="2">
        <v>2524832</v>
      </c>
      <c r="B427" s="2" t="str">
        <f>"3328021910920004"</f>
        <v>3328021910920004</v>
      </c>
      <c r="C427" s="2" t="s">
        <v>702</v>
      </c>
      <c r="D427" s="2" t="s">
        <v>17</v>
      </c>
      <c r="E427" s="2" t="s">
        <v>11</v>
      </c>
      <c r="F427" s="2" t="s">
        <v>18</v>
      </c>
      <c r="G427" s="2" t="s">
        <v>19</v>
      </c>
      <c r="H427" s="2" t="s">
        <v>527</v>
      </c>
      <c r="I427" s="2" t="s">
        <v>543</v>
      </c>
    </row>
    <row r="428" spans="1:9" ht="14.5" x14ac:dyDescent="0.35">
      <c r="A428" s="2">
        <v>2128852</v>
      </c>
      <c r="B428" s="2" t="str">
        <f>"3328022006970005"</f>
        <v>3328022006970005</v>
      </c>
      <c r="C428" s="2" t="s">
        <v>705</v>
      </c>
      <c r="D428" s="2" t="s">
        <v>10</v>
      </c>
      <c r="E428" s="2" t="s">
        <v>11</v>
      </c>
      <c r="F428" s="2" t="s">
        <v>18</v>
      </c>
      <c r="G428" s="2" t="s">
        <v>199</v>
      </c>
      <c r="H428" s="2" t="s">
        <v>706</v>
      </c>
      <c r="I428" s="2" t="s">
        <v>707</v>
      </c>
    </row>
    <row r="429" spans="1:9" ht="14.5" x14ac:dyDescent="0.35">
      <c r="A429" s="2">
        <v>2523097</v>
      </c>
      <c r="B429" s="2" t="str">
        <f>"3328022006970005"</f>
        <v>3328022006970005</v>
      </c>
      <c r="C429" s="2" t="s">
        <v>705</v>
      </c>
      <c r="D429" s="2" t="s">
        <v>17</v>
      </c>
      <c r="E429" s="2" t="s">
        <v>11</v>
      </c>
      <c r="F429" s="2" t="s">
        <v>18</v>
      </c>
      <c r="G429" s="2" t="s">
        <v>19</v>
      </c>
      <c r="H429" s="2" t="s">
        <v>527</v>
      </c>
      <c r="I429" s="2" t="s">
        <v>527</v>
      </c>
    </row>
    <row r="430" spans="1:9" ht="14.5" x14ac:dyDescent="0.35">
      <c r="A430" s="2">
        <v>2523470</v>
      </c>
      <c r="B430" s="2" t="str">
        <f>"3328022011030002"</f>
        <v>3328022011030002</v>
      </c>
      <c r="C430" s="2" t="s">
        <v>708</v>
      </c>
      <c r="D430" s="2" t="s">
        <v>17</v>
      </c>
      <c r="E430" s="2" t="s">
        <v>11</v>
      </c>
      <c r="F430" s="2" t="s">
        <v>18</v>
      </c>
      <c r="G430" s="2" t="s">
        <v>19</v>
      </c>
      <c r="H430" s="2" t="s">
        <v>527</v>
      </c>
      <c r="I430" s="2" t="s">
        <v>539</v>
      </c>
    </row>
    <row r="431" spans="1:9" ht="14.5" x14ac:dyDescent="0.35">
      <c r="A431" s="2">
        <v>1351190</v>
      </c>
      <c r="B431" s="2" t="str">
        <f>"3328022011030002"</f>
        <v>3328022011030002</v>
      </c>
      <c r="C431" s="2" t="s">
        <v>709</v>
      </c>
      <c r="D431" s="2" t="s">
        <v>10</v>
      </c>
      <c r="E431" s="2" t="s">
        <v>57</v>
      </c>
      <c r="F431" s="2" t="s">
        <v>303</v>
      </c>
      <c r="G431" s="2" t="s">
        <v>608</v>
      </c>
      <c r="H431" s="2" t="s">
        <v>609</v>
      </c>
      <c r="I431" s="2" t="s">
        <v>610</v>
      </c>
    </row>
    <row r="432" spans="1:9" ht="14.5" x14ac:dyDescent="0.35">
      <c r="A432" s="2">
        <v>2431763</v>
      </c>
      <c r="B432" s="2" t="str">
        <f>"3328022105960002"</f>
        <v>3328022105960002</v>
      </c>
      <c r="C432" s="2" t="s">
        <v>710</v>
      </c>
      <c r="D432" s="2" t="s">
        <v>10</v>
      </c>
      <c r="E432" s="2" t="s">
        <v>11</v>
      </c>
      <c r="F432" s="2" t="s">
        <v>18</v>
      </c>
      <c r="G432" s="2" t="s">
        <v>19</v>
      </c>
      <c r="H432" s="2" t="s">
        <v>527</v>
      </c>
      <c r="I432" s="2" t="s">
        <v>539</v>
      </c>
    </row>
    <row r="433" spans="1:9" ht="14.5" x14ac:dyDescent="0.35">
      <c r="A433" s="2">
        <v>781589</v>
      </c>
      <c r="B433" s="2" t="str">
        <f>"3328022105960002"</f>
        <v>3328022105960002</v>
      </c>
      <c r="C433" s="2" t="s">
        <v>710</v>
      </c>
      <c r="D433" s="2" t="s">
        <v>17</v>
      </c>
      <c r="E433" s="2" t="s">
        <v>11</v>
      </c>
      <c r="F433" s="2" t="s">
        <v>379</v>
      </c>
      <c r="G433" s="2" t="s">
        <v>711</v>
      </c>
      <c r="H433" s="2" t="s">
        <v>712</v>
      </c>
      <c r="I433" s="2" t="s">
        <v>713</v>
      </c>
    </row>
    <row r="434" spans="1:9" ht="14.5" x14ac:dyDescent="0.35">
      <c r="A434" s="2">
        <v>2131316</v>
      </c>
      <c r="B434" s="2" t="str">
        <f>"3328022211910009"</f>
        <v>3328022211910009</v>
      </c>
      <c r="C434" s="2" t="s">
        <v>714</v>
      </c>
      <c r="D434" s="2" t="s">
        <v>189</v>
      </c>
      <c r="E434" s="2" t="s">
        <v>11</v>
      </c>
      <c r="F434" s="2" t="s">
        <v>18</v>
      </c>
      <c r="G434" s="2" t="s">
        <v>19</v>
      </c>
      <c r="H434" s="2" t="s">
        <v>527</v>
      </c>
      <c r="I434" s="2" t="s">
        <v>682</v>
      </c>
    </row>
    <row r="435" spans="1:9" ht="14.5" x14ac:dyDescent="0.35">
      <c r="A435" s="2">
        <v>1660252</v>
      </c>
      <c r="B435" s="2" t="str">
        <f>"3328022211910009"</f>
        <v>3328022211910009</v>
      </c>
      <c r="C435" s="2" t="s">
        <v>715</v>
      </c>
      <c r="D435" s="2" t="s">
        <v>17</v>
      </c>
      <c r="E435" s="2" t="s">
        <v>11</v>
      </c>
      <c r="F435" s="2" t="s">
        <v>18</v>
      </c>
      <c r="G435" s="2" t="s">
        <v>264</v>
      </c>
      <c r="H435" s="2" t="s">
        <v>289</v>
      </c>
      <c r="I435" s="2" t="s">
        <v>290</v>
      </c>
    </row>
    <row r="436" spans="1:9" ht="14.5" x14ac:dyDescent="0.35">
      <c r="A436" s="2">
        <v>2491917</v>
      </c>
      <c r="B436" s="2" t="str">
        <f>"3328022211990003"</f>
        <v>3328022211990003</v>
      </c>
      <c r="C436" s="2" t="s">
        <v>716</v>
      </c>
      <c r="D436" s="2" t="s">
        <v>10</v>
      </c>
      <c r="E436" s="2" t="s">
        <v>11</v>
      </c>
      <c r="F436" s="2" t="s">
        <v>18</v>
      </c>
      <c r="G436" s="2" t="s">
        <v>19</v>
      </c>
      <c r="H436" s="2" t="s">
        <v>527</v>
      </c>
      <c r="I436" s="2" t="s">
        <v>532</v>
      </c>
    </row>
    <row r="437" spans="1:9" ht="14.5" x14ac:dyDescent="0.35">
      <c r="A437" s="2">
        <v>762475</v>
      </c>
      <c r="B437" s="2" t="str">
        <f>"3328022211990003"</f>
        <v>3328022211990003</v>
      </c>
      <c r="C437" s="2" t="s">
        <v>717</v>
      </c>
      <c r="D437" s="2" t="s">
        <v>10</v>
      </c>
      <c r="E437" s="2" t="s">
        <v>57</v>
      </c>
      <c r="F437" s="2" t="s">
        <v>379</v>
      </c>
      <c r="G437" s="2" t="s">
        <v>711</v>
      </c>
      <c r="H437" s="2" t="s">
        <v>718</v>
      </c>
      <c r="I437" s="2" t="s">
        <v>719</v>
      </c>
    </row>
    <row r="438" spans="1:9" ht="14.5" x14ac:dyDescent="0.35">
      <c r="A438" s="2">
        <v>2425902</v>
      </c>
      <c r="B438" s="2" t="str">
        <f>"3328022305780001"</f>
        <v>3328022305780001</v>
      </c>
      <c r="C438" s="2" t="s">
        <v>720</v>
      </c>
      <c r="D438" s="2" t="s">
        <v>10</v>
      </c>
      <c r="E438" s="2" t="s">
        <v>11</v>
      </c>
      <c r="F438" s="2" t="s">
        <v>18</v>
      </c>
      <c r="G438" s="2" t="s">
        <v>19</v>
      </c>
      <c r="H438" s="2" t="s">
        <v>527</v>
      </c>
      <c r="I438" s="2" t="s">
        <v>684</v>
      </c>
    </row>
    <row r="439" spans="1:9" ht="14.5" x14ac:dyDescent="0.35">
      <c r="A439" s="2">
        <v>1660286</v>
      </c>
      <c r="B439" s="2" t="str">
        <f>"3328022305780001"</f>
        <v>3328022305780001</v>
      </c>
      <c r="C439" s="2" t="s">
        <v>720</v>
      </c>
      <c r="D439" s="2" t="s">
        <v>17</v>
      </c>
      <c r="E439" s="2" t="s">
        <v>11</v>
      </c>
      <c r="F439" s="2" t="s">
        <v>18</v>
      </c>
      <c r="G439" s="2" t="s">
        <v>264</v>
      </c>
      <c r="H439" s="2" t="s">
        <v>289</v>
      </c>
      <c r="I439" s="2" t="s">
        <v>290</v>
      </c>
    </row>
    <row r="440" spans="1:9" ht="14.5" x14ac:dyDescent="0.35">
      <c r="A440" s="2">
        <v>2426419</v>
      </c>
      <c r="B440" s="2" t="str">
        <f>"3328022409010004"</f>
        <v>3328022409010004</v>
      </c>
      <c r="C440" s="2" t="s">
        <v>721</v>
      </c>
      <c r="D440" s="2" t="s">
        <v>10</v>
      </c>
      <c r="E440" s="2" t="s">
        <v>11</v>
      </c>
      <c r="F440" s="2" t="s">
        <v>18</v>
      </c>
      <c r="G440" s="2" t="s">
        <v>19</v>
      </c>
      <c r="H440" s="2" t="s">
        <v>527</v>
      </c>
      <c r="I440" s="2" t="s">
        <v>539</v>
      </c>
    </row>
    <row r="441" spans="1:9" ht="14.5" x14ac:dyDescent="0.35">
      <c r="A441" s="2">
        <v>3124665</v>
      </c>
      <c r="B441" s="2" t="str">
        <f>"3328022409010004"</f>
        <v>3328022409010004</v>
      </c>
      <c r="C441" s="2" t="s">
        <v>722</v>
      </c>
      <c r="D441" s="2" t="s">
        <v>17</v>
      </c>
      <c r="E441" s="2" t="s">
        <v>57</v>
      </c>
      <c r="F441" s="2" t="s">
        <v>18</v>
      </c>
      <c r="G441" s="2" t="s">
        <v>163</v>
      </c>
      <c r="H441" s="2" t="s">
        <v>723</v>
      </c>
      <c r="I441" s="2" t="s">
        <v>724</v>
      </c>
    </row>
    <row r="442" spans="1:9" ht="14.5" x14ac:dyDescent="0.35">
      <c r="A442" s="2">
        <v>2480807</v>
      </c>
      <c r="B442" s="2" t="str">
        <f>"3328022505020001"</f>
        <v>3328022505020001</v>
      </c>
      <c r="C442" s="2" t="s">
        <v>725</v>
      </c>
      <c r="D442" s="2" t="s">
        <v>189</v>
      </c>
      <c r="E442" s="2" t="s">
        <v>11</v>
      </c>
      <c r="F442" s="2" t="s">
        <v>18</v>
      </c>
      <c r="G442" s="2" t="s">
        <v>19</v>
      </c>
      <c r="H442" s="2" t="s">
        <v>527</v>
      </c>
      <c r="I442" s="2" t="s">
        <v>543</v>
      </c>
    </row>
    <row r="443" spans="1:9" ht="14.5" x14ac:dyDescent="0.35">
      <c r="A443" s="2">
        <v>476391</v>
      </c>
      <c r="B443" s="2" t="str">
        <f>"3328022505020001"</f>
        <v>3328022505020001</v>
      </c>
      <c r="C443" s="2" t="s">
        <v>726</v>
      </c>
      <c r="D443" s="2" t="s">
        <v>10</v>
      </c>
      <c r="E443" s="2" t="s">
        <v>57</v>
      </c>
      <c r="F443" s="2" t="s">
        <v>727</v>
      </c>
      <c r="G443" s="2" t="s">
        <v>728</v>
      </c>
      <c r="H443" s="2" t="s">
        <v>729</v>
      </c>
      <c r="I443" s="2" t="s">
        <v>729</v>
      </c>
    </row>
    <row r="444" spans="1:9" ht="14.5" x14ac:dyDescent="0.35">
      <c r="A444" s="2">
        <v>1729436</v>
      </c>
      <c r="B444" s="2" t="str">
        <f>"3328022510030005"</f>
        <v>3328022510030005</v>
      </c>
      <c r="C444" s="2" t="s">
        <v>730</v>
      </c>
      <c r="D444" s="2" t="s">
        <v>10</v>
      </c>
      <c r="E444" s="2" t="s">
        <v>11</v>
      </c>
      <c r="F444" s="2" t="s">
        <v>50</v>
      </c>
      <c r="G444" s="2" t="s">
        <v>58</v>
      </c>
      <c r="H444" s="2" t="s">
        <v>260</v>
      </c>
      <c r="I444" s="2" t="s">
        <v>626</v>
      </c>
    </row>
    <row r="445" spans="1:9" ht="14.5" x14ac:dyDescent="0.35">
      <c r="A445" s="2">
        <v>2524707</v>
      </c>
      <c r="B445" s="2" t="str">
        <f>"3328022510030005"</f>
        <v>3328022510030005</v>
      </c>
      <c r="C445" s="2" t="s">
        <v>731</v>
      </c>
      <c r="D445" s="2" t="s">
        <v>17</v>
      </c>
      <c r="E445" s="2" t="s">
        <v>11</v>
      </c>
      <c r="F445" s="2" t="s">
        <v>18</v>
      </c>
      <c r="G445" s="2" t="s">
        <v>19</v>
      </c>
      <c r="H445" s="2" t="s">
        <v>527</v>
      </c>
      <c r="I445" s="2" t="s">
        <v>543</v>
      </c>
    </row>
    <row r="446" spans="1:9" ht="14.5" x14ac:dyDescent="0.35">
      <c r="A446" s="2">
        <v>2468864</v>
      </c>
      <c r="B446" s="2" t="str">
        <f>"3328022601960002"</f>
        <v>3328022601960002</v>
      </c>
      <c r="C446" s="2" t="s">
        <v>715</v>
      </c>
      <c r="D446" s="2" t="s">
        <v>10</v>
      </c>
      <c r="E446" s="2" t="s">
        <v>11</v>
      </c>
      <c r="F446" s="2" t="s">
        <v>18</v>
      </c>
      <c r="G446" s="2" t="s">
        <v>19</v>
      </c>
      <c r="H446" s="2" t="s">
        <v>527</v>
      </c>
      <c r="I446" s="2" t="s">
        <v>671</v>
      </c>
    </row>
    <row r="447" spans="1:9" ht="14.5" x14ac:dyDescent="0.35">
      <c r="A447" s="2">
        <v>1862133</v>
      </c>
      <c r="B447" s="2" t="str">
        <f>"3328022601960002"</f>
        <v>3328022601960002</v>
      </c>
      <c r="C447" s="2" t="s">
        <v>732</v>
      </c>
      <c r="D447" s="2" t="s">
        <v>10</v>
      </c>
      <c r="E447" s="2" t="s">
        <v>57</v>
      </c>
      <c r="F447" s="2" t="s">
        <v>18</v>
      </c>
      <c r="G447" s="2" t="s">
        <v>733</v>
      </c>
      <c r="H447" s="2" t="s">
        <v>733</v>
      </c>
      <c r="I447" s="2" t="s">
        <v>734</v>
      </c>
    </row>
    <row r="448" spans="1:9" ht="14.5" x14ac:dyDescent="0.35">
      <c r="A448" s="2">
        <v>2506481</v>
      </c>
      <c r="B448" s="2" t="str">
        <f>"3328022608990003"</f>
        <v>3328022608990003</v>
      </c>
      <c r="C448" s="2" t="s">
        <v>735</v>
      </c>
      <c r="D448" s="2" t="s">
        <v>10</v>
      </c>
      <c r="E448" s="2" t="s">
        <v>11</v>
      </c>
      <c r="F448" s="2" t="s">
        <v>18</v>
      </c>
      <c r="G448" s="2" t="s">
        <v>19</v>
      </c>
      <c r="H448" s="2" t="s">
        <v>527</v>
      </c>
      <c r="I448" s="2" t="s">
        <v>527</v>
      </c>
    </row>
    <row r="449" spans="1:9" ht="14.5" x14ac:dyDescent="0.35">
      <c r="A449" s="2">
        <v>423750</v>
      </c>
      <c r="B449" s="2" t="str">
        <f>"3328022608990003"</f>
        <v>3328022608990003</v>
      </c>
      <c r="C449" s="2" t="s">
        <v>736</v>
      </c>
      <c r="D449" s="2" t="s">
        <v>10</v>
      </c>
      <c r="E449" s="2" t="s">
        <v>57</v>
      </c>
      <c r="F449" s="2" t="s">
        <v>18</v>
      </c>
      <c r="G449" s="2" t="s">
        <v>268</v>
      </c>
      <c r="H449" s="2" t="s">
        <v>277</v>
      </c>
      <c r="I449" s="2" t="s">
        <v>278</v>
      </c>
    </row>
    <row r="450" spans="1:9" ht="14.5" x14ac:dyDescent="0.35">
      <c r="A450" s="2">
        <v>1745644</v>
      </c>
      <c r="B450" s="2" t="str">
        <f>"3328022609900006"</f>
        <v>3328022609900006</v>
      </c>
      <c r="C450" s="2" t="s">
        <v>737</v>
      </c>
      <c r="D450" s="2" t="s">
        <v>10</v>
      </c>
      <c r="E450" s="2" t="s">
        <v>11</v>
      </c>
      <c r="F450" s="2" t="s">
        <v>50</v>
      </c>
      <c r="G450" s="2" t="s">
        <v>72</v>
      </c>
      <c r="H450" s="2" t="s">
        <v>738</v>
      </c>
      <c r="I450" s="2" t="s">
        <v>739</v>
      </c>
    </row>
    <row r="451" spans="1:9" ht="14.5" x14ac:dyDescent="0.35">
      <c r="A451" s="2">
        <v>2523885</v>
      </c>
      <c r="B451" s="2" t="str">
        <f>"3328022609900006"</f>
        <v>3328022609900006</v>
      </c>
      <c r="C451" s="2" t="s">
        <v>737</v>
      </c>
      <c r="D451" s="2" t="s">
        <v>17</v>
      </c>
      <c r="E451" s="2" t="s">
        <v>11</v>
      </c>
      <c r="F451" s="2" t="s">
        <v>18</v>
      </c>
      <c r="G451" s="2" t="s">
        <v>19</v>
      </c>
      <c r="H451" s="2" t="s">
        <v>527</v>
      </c>
      <c r="I451" s="2" t="s">
        <v>590</v>
      </c>
    </row>
    <row r="452" spans="1:9" ht="14.5" x14ac:dyDescent="0.35">
      <c r="A452" s="2">
        <v>2430644</v>
      </c>
      <c r="B452" s="2" t="str">
        <f>"3328022704030002"</f>
        <v>3328022704030002</v>
      </c>
      <c r="C452" s="2" t="s">
        <v>740</v>
      </c>
      <c r="D452" s="2" t="s">
        <v>10</v>
      </c>
      <c r="E452" s="2" t="s">
        <v>11</v>
      </c>
      <c r="F452" s="2" t="s">
        <v>18</v>
      </c>
      <c r="G452" s="2" t="s">
        <v>19</v>
      </c>
      <c r="H452" s="2" t="s">
        <v>527</v>
      </c>
      <c r="I452" s="2" t="s">
        <v>539</v>
      </c>
    </row>
    <row r="453" spans="1:9" ht="14.5" x14ac:dyDescent="0.35">
      <c r="A453" s="2">
        <v>1351191</v>
      </c>
      <c r="B453" s="2" t="str">
        <f>"3328022704030002"</f>
        <v>3328022704030002</v>
      </c>
      <c r="C453" s="2" t="s">
        <v>740</v>
      </c>
      <c r="D453" s="2" t="s">
        <v>10</v>
      </c>
      <c r="E453" s="2" t="s">
        <v>57</v>
      </c>
      <c r="F453" s="2" t="s">
        <v>303</v>
      </c>
      <c r="G453" s="2" t="s">
        <v>608</v>
      </c>
      <c r="H453" s="2" t="s">
        <v>609</v>
      </c>
      <c r="I453" s="2" t="s">
        <v>610</v>
      </c>
    </row>
    <row r="454" spans="1:9" ht="14.5" x14ac:dyDescent="0.35">
      <c r="A454" s="2">
        <v>2479870</v>
      </c>
      <c r="B454" s="2" t="str">
        <f>"3328022807010003"</f>
        <v>3328022807010003</v>
      </c>
      <c r="C454" s="2" t="s">
        <v>741</v>
      </c>
      <c r="D454" s="2" t="s">
        <v>10</v>
      </c>
      <c r="E454" s="2" t="s">
        <v>11</v>
      </c>
      <c r="F454" s="2" t="s">
        <v>18</v>
      </c>
      <c r="G454" s="2" t="s">
        <v>19</v>
      </c>
      <c r="H454" s="2" t="s">
        <v>527</v>
      </c>
      <c r="I454" s="2" t="s">
        <v>543</v>
      </c>
    </row>
    <row r="455" spans="1:9" ht="14.5" x14ac:dyDescent="0.35">
      <c r="A455" s="2">
        <v>2424880</v>
      </c>
      <c r="B455" s="2" t="str">
        <f>"3328022807010003"</f>
        <v>3328022807010003</v>
      </c>
      <c r="C455" s="2" t="s">
        <v>742</v>
      </c>
      <c r="D455" s="2" t="s">
        <v>17</v>
      </c>
      <c r="E455" s="2" t="s">
        <v>11</v>
      </c>
      <c r="F455" s="2" t="s">
        <v>50</v>
      </c>
      <c r="G455" s="2" t="s">
        <v>58</v>
      </c>
      <c r="H455" s="2" t="s">
        <v>316</v>
      </c>
      <c r="I455" s="2" t="s">
        <v>743</v>
      </c>
    </row>
    <row r="456" spans="1:9" ht="14.5" x14ac:dyDescent="0.35">
      <c r="A456" s="2">
        <v>2449115</v>
      </c>
      <c r="B456" s="2" t="str">
        <f>"3328023112750077"</f>
        <v>3328023112750077</v>
      </c>
      <c r="C456" s="2" t="s">
        <v>744</v>
      </c>
      <c r="D456" s="2" t="s">
        <v>10</v>
      </c>
      <c r="E456" s="2" t="s">
        <v>11</v>
      </c>
      <c r="F456" s="2" t="s">
        <v>18</v>
      </c>
      <c r="G456" s="2" t="s">
        <v>19</v>
      </c>
      <c r="H456" s="2" t="s">
        <v>527</v>
      </c>
      <c r="I456" s="2" t="s">
        <v>616</v>
      </c>
    </row>
    <row r="457" spans="1:9" ht="14.5" x14ac:dyDescent="0.35">
      <c r="A457" s="2">
        <v>2573902</v>
      </c>
      <c r="B457" s="2" t="str">
        <f>"3328023112750077"</f>
        <v>3328023112750077</v>
      </c>
      <c r="C457" s="2" t="s">
        <v>744</v>
      </c>
      <c r="D457" s="2" t="s">
        <v>17</v>
      </c>
      <c r="E457" s="2" t="s">
        <v>11</v>
      </c>
      <c r="F457" s="2" t="s">
        <v>18</v>
      </c>
      <c r="G457" s="2" t="s">
        <v>19</v>
      </c>
      <c r="H457" s="2" t="s">
        <v>745</v>
      </c>
      <c r="I457" s="2" t="s">
        <v>746</v>
      </c>
    </row>
    <row r="458" spans="1:9" ht="14.5" x14ac:dyDescent="0.35">
      <c r="A458" s="2">
        <v>302638</v>
      </c>
      <c r="B458" s="2" t="str">
        <f>"3328024107770163"</f>
        <v>3328024107770163</v>
      </c>
      <c r="C458" s="2" t="s">
        <v>488</v>
      </c>
      <c r="D458" s="2" t="s">
        <v>10</v>
      </c>
      <c r="E458" s="2" t="s">
        <v>11</v>
      </c>
      <c r="F458" s="2" t="s">
        <v>50</v>
      </c>
      <c r="G458" s="2" t="s">
        <v>51</v>
      </c>
      <c r="H458" s="2" t="s">
        <v>52</v>
      </c>
      <c r="I458" s="2" t="s">
        <v>747</v>
      </c>
    </row>
    <row r="459" spans="1:9" ht="14.5" x14ac:dyDescent="0.35">
      <c r="A459" s="2">
        <v>2526399</v>
      </c>
      <c r="B459" s="2" t="str">
        <f>"3328024107770163"</f>
        <v>3328024107770163</v>
      </c>
      <c r="C459" s="2" t="s">
        <v>488</v>
      </c>
      <c r="D459" s="2" t="s">
        <v>17</v>
      </c>
      <c r="E459" s="2" t="s">
        <v>11</v>
      </c>
      <c r="F459" s="2" t="s">
        <v>18</v>
      </c>
      <c r="G459" s="2" t="s">
        <v>19</v>
      </c>
      <c r="H459" s="2" t="s">
        <v>527</v>
      </c>
      <c r="I459" s="2" t="s">
        <v>528</v>
      </c>
    </row>
    <row r="460" spans="1:9" ht="14.5" x14ac:dyDescent="0.35">
      <c r="A460" s="2">
        <v>1762285</v>
      </c>
      <c r="B460" s="2" t="str">
        <f>"3328024107790181"</f>
        <v>3328024107790181</v>
      </c>
      <c r="C460" s="2" t="s">
        <v>748</v>
      </c>
      <c r="D460" s="2" t="s">
        <v>10</v>
      </c>
      <c r="E460" s="2" t="s">
        <v>11</v>
      </c>
      <c r="F460" s="2" t="s">
        <v>50</v>
      </c>
      <c r="G460" s="2" t="s">
        <v>86</v>
      </c>
      <c r="H460" s="2" t="s">
        <v>445</v>
      </c>
      <c r="I460" s="2" t="s">
        <v>445</v>
      </c>
    </row>
    <row r="461" spans="1:9" ht="14.5" x14ac:dyDescent="0.35">
      <c r="A461" s="2">
        <v>2526556</v>
      </c>
      <c r="B461" s="2" t="str">
        <f>"3328024107790181"</f>
        <v>3328024107790181</v>
      </c>
      <c r="C461" s="2" t="s">
        <v>748</v>
      </c>
      <c r="D461" s="2" t="s">
        <v>17</v>
      </c>
      <c r="E461" s="2" t="s">
        <v>11</v>
      </c>
      <c r="F461" s="2" t="s">
        <v>18</v>
      </c>
      <c r="G461" s="2" t="s">
        <v>19</v>
      </c>
      <c r="H461" s="2" t="s">
        <v>527</v>
      </c>
      <c r="I461" s="2" t="s">
        <v>528</v>
      </c>
    </row>
    <row r="462" spans="1:9" ht="14.5" x14ac:dyDescent="0.35">
      <c r="A462" s="2">
        <v>2526521</v>
      </c>
      <c r="B462" s="2" t="str">
        <f>"3328024107930059"</f>
        <v>3328024107930059</v>
      </c>
      <c r="C462" s="2" t="s">
        <v>749</v>
      </c>
      <c r="D462" s="2" t="s">
        <v>17</v>
      </c>
      <c r="E462" s="2" t="s">
        <v>11</v>
      </c>
      <c r="F462" s="2" t="s">
        <v>18</v>
      </c>
      <c r="G462" s="2" t="s">
        <v>19</v>
      </c>
      <c r="H462" s="2" t="s">
        <v>527</v>
      </c>
      <c r="I462" s="2" t="s">
        <v>528</v>
      </c>
    </row>
    <row r="463" spans="1:9" ht="14.5" x14ac:dyDescent="0.35">
      <c r="A463" s="2">
        <v>1660381</v>
      </c>
      <c r="B463" s="2" t="str">
        <f>"3328024107930059"</f>
        <v>3328024107930059</v>
      </c>
      <c r="C463" s="2" t="s">
        <v>750</v>
      </c>
      <c r="D463" s="2" t="s">
        <v>17</v>
      </c>
      <c r="E463" s="2" t="s">
        <v>11</v>
      </c>
      <c r="F463" s="2" t="s">
        <v>18</v>
      </c>
      <c r="G463" s="2" t="s">
        <v>264</v>
      </c>
      <c r="H463" s="2" t="s">
        <v>289</v>
      </c>
      <c r="I463" s="2" t="s">
        <v>290</v>
      </c>
    </row>
    <row r="464" spans="1:9" ht="14.5" x14ac:dyDescent="0.35">
      <c r="A464" s="2">
        <v>2448109</v>
      </c>
      <c r="B464" s="2" t="str">
        <f>"3328024405020009"</f>
        <v>3328024405020009</v>
      </c>
      <c r="C464" s="2" t="s">
        <v>751</v>
      </c>
      <c r="D464" s="2" t="s">
        <v>10</v>
      </c>
      <c r="E464" s="2" t="s">
        <v>11</v>
      </c>
      <c r="F464" s="2" t="s">
        <v>18</v>
      </c>
      <c r="G464" s="2" t="s">
        <v>19</v>
      </c>
      <c r="H464" s="2" t="s">
        <v>527</v>
      </c>
      <c r="I464" s="2" t="s">
        <v>616</v>
      </c>
    </row>
    <row r="465" spans="1:9" ht="14.5" x14ac:dyDescent="0.35">
      <c r="A465" s="2">
        <v>1656907</v>
      </c>
      <c r="B465" s="2" t="str">
        <f>"3328024405020009"</f>
        <v>3328024405020009</v>
      </c>
      <c r="C465" s="2" t="s">
        <v>751</v>
      </c>
      <c r="D465" s="2" t="s">
        <v>17</v>
      </c>
      <c r="E465" s="2" t="s">
        <v>11</v>
      </c>
      <c r="F465" s="2" t="s">
        <v>18</v>
      </c>
      <c r="G465" s="2" t="s">
        <v>264</v>
      </c>
      <c r="H465" s="2" t="s">
        <v>289</v>
      </c>
      <c r="I465" s="2" t="s">
        <v>613</v>
      </c>
    </row>
    <row r="466" spans="1:9" ht="14.5" x14ac:dyDescent="0.35">
      <c r="A466" s="2">
        <v>2493391</v>
      </c>
      <c r="B466" s="2" t="str">
        <f>"3328024410870002"</f>
        <v>3328024410870002</v>
      </c>
      <c r="C466" s="2" t="s">
        <v>752</v>
      </c>
      <c r="D466" s="2" t="s">
        <v>10</v>
      </c>
      <c r="E466" s="2" t="s">
        <v>11</v>
      </c>
      <c r="F466" s="2" t="s">
        <v>18</v>
      </c>
      <c r="G466" s="2" t="s">
        <v>19</v>
      </c>
      <c r="H466" s="2" t="s">
        <v>527</v>
      </c>
      <c r="I466" s="2" t="s">
        <v>532</v>
      </c>
    </row>
    <row r="467" spans="1:9" ht="14.5" x14ac:dyDescent="0.35">
      <c r="A467" s="2">
        <v>359571</v>
      </c>
      <c r="B467" s="2" t="str">
        <f>"3328024410870002"</f>
        <v>3328024410870002</v>
      </c>
      <c r="C467" s="2" t="s">
        <v>753</v>
      </c>
      <c r="D467" s="2" t="s">
        <v>17</v>
      </c>
      <c r="E467" s="2" t="s">
        <v>11</v>
      </c>
      <c r="F467" s="2" t="s">
        <v>91</v>
      </c>
      <c r="G467" s="2" t="s">
        <v>754</v>
      </c>
      <c r="H467" s="2" t="s">
        <v>755</v>
      </c>
      <c r="I467" s="2" t="s">
        <v>756</v>
      </c>
    </row>
    <row r="468" spans="1:9" ht="14.5" x14ac:dyDescent="0.35">
      <c r="A468" s="2">
        <v>1434339</v>
      </c>
      <c r="B468" s="2" t="str">
        <f>"3328024410950005"</f>
        <v>3328024410950005</v>
      </c>
      <c r="C468" s="2" t="s">
        <v>757</v>
      </c>
      <c r="D468" s="2" t="s">
        <v>10</v>
      </c>
      <c r="E468" s="2" t="s">
        <v>11</v>
      </c>
      <c r="F468" s="2" t="s">
        <v>18</v>
      </c>
      <c r="G468" s="2" t="s">
        <v>264</v>
      </c>
      <c r="H468" s="2" t="s">
        <v>289</v>
      </c>
      <c r="I468" s="2" t="s">
        <v>758</v>
      </c>
    </row>
    <row r="469" spans="1:9" ht="14.5" x14ac:dyDescent="0.35">
      <c r="A469" s="2">
        <v>2526772</v>
      </c>
      <c r="B469" s="2" t="str">
        <f>"3328024410950005"</f>
        <v>3328024410950005</v>
      </c>
      <c r="C469" s="2" t="s">
        <v>757</v>
      </c>
      <c r="D469" s="2" t="s">
        <v>17</v>
      </c>
      <c r="E469" s="2" t="s">
        <v>11</v>
      </c>
      <c r="F469" s="2" t="s">
        <v>18</v>
      </c>
      <c r="G469" s="2" t="s">
        <v>19</v>
      </c>
      <c r="H469" s="2" t="s">
        <v>527</v>
      </c>
      <c r="I469" s="2" t="s">
        <v>528</v>
      </c>
    </row>
    <row r="470" spans="1:9" ht="14.5" x14ac:dyDescent="0.35">
      <c r="A470" s="2">
        <v>296909</v>
      </c>
      <c r="B470" s="2" t="str">
        <f>"3328024508740007"</f>
        <v>3328024508740007</v>
      </c>
      <c r="C470" s="2" t="s">
        <v>759</v>
      </c>
      <c r="D470" s="2" t="s">
        <v>10</v>
      </c>
      <c r="E470" s="2" t="s">
        <v>11</v>
      </c>
      <c r="F470" s="2" t="s">
        <v>91</v>
      </c>
      <c r="G470" s="2" t="s">
        <v>438</v>
      </c>
      <c r="H470" s="2" t="s">
        <v>760</v>
      </c>
      <c r="I470" s="2" t="s">
        <v>761</v>
      </c>
    </row>
    <row r="471" spans="1:9" ht="14.5" x14ac:dyDescent="0.35">
      <c r="A471" s="2">
        <v>2524328</v>
      </c>
      <c r="B471" s="2" t="str">
        <f>"3328024508740007"</f>
        <v>3328024508740007</v>
      </c>
      <c r="C471" s="2" t="s">
        <v>759</v>
      </c>
      <c r="D471" s="2" t="s">
        <v>17</v>
      </c>
      <c r="E471" s="2" t="s">
        <v>11</v>
      </c>
      <c r="F471" s="2" t="s">
        <v>18</v>
      </c>
      <c r="G471" s="2" t="s">
        <v>19</v>
      </c>
      <c r="H471" s="2" t="s">
        <v>527</v>
      </c>
      <c r="I471" s="2" t="s">
        <v>532</v>
      </c>
    </row>
    <row r="472" spans="1:9" ht="14.5" x14ac:dyDescent="0.35">
      <c r="A472" s="2">
        <v>2523452</v>
      </c>
      <c r="B472" s="2" t="str">
        <f>"3328024510040004"</f>
        <v>3328024510040004</v>
      </c>
      <c r="C472" s="2" t="s">
        <v>762</v>
      </c>
      <c r="D472" s="2" t="s">
        <v>17</v>
      </c>
      <c r="E472" s="2" t="s">
        <v>11</v>
      </c>
      <c r="F472" s="2" t="s">
        <v>18</v>
      </c>
      <c r="G472" s="2" t="s">
        <v>19</v>
      </c>
      <c r="H472" s="2" t="s">
        <v>527</v>
      </c>
      <c r="I472" s="2" t="s">
        <v>539</v>
      </c>
    </row>
    <row r="473" spans="1:9" ht="14.5" x14ac:dyDescent="0.35">
      <c r="A473" s="2">
        <v>1352892</v>
      </c>
      <c r="B473" s="2" t="str">
        <f>"3328024510040004"</f>
        <v>3328024510040004</v>
      </c>
      <c r="C473" s="2" t="s">
        <v>763</v>
      </c>
      <c r="D473" s="2" t="s">
        <v>10</v>
      </c>
      <c r="E473" s="2" t="s">
        <v>57</v>
      </c>
      <c r="F473" s="2" t="s">
        <v>303</v>
      </c>
      <c r="G473" s="2" t="s">
        <v>608</v>
      </c>
      <c r="H473" s="2" t="s">
        <v>609</v>
      </c>
      <c r="I473" s="2" t="s">
        <v>610</v>
      </c>
    </row>
    <row r="474" spans="1:9" ht="14.5" x14ac:dyDescent="0.35">
      <c r="A474" s="2">
        <v>2478082</v>
      </c>
      <c r="B474" s="2" t="str">
        <f>"3328024701770003"</f>
        <v>3328024701770003</v>
      </c>
      <c r="C474" s="2" t="s">
        <v>764</v>
      </c>
      <c r="D474" s="2" t="s">
        <v>10</v>
      </c>
      <c r="E474" s="2" t="s">
        <v>11</v>
      </c>
      <c r="F474" s="2" t="s">
        <v>18</v>
      </c>
      <c r="G474" s="2" t="s">
        <v>19</v>
      </c>
      <c r="H474" s="2" t="s">
        <v>527</v>
      </c>
      <c r="I474" s="2" t="s">
        <v>543</v>
      </c>
    </row>
    <row r="475" spans="1:9" ht="14.5" x14ac:dyDescent="0.35">
      <c r="A475" s="2">
        <v>2425236</v>
      </c>
      <c r="B475" s="2" t="str">
        <f>"3328024701770003"</f>
        <v>3328024701770003</v>
      </c>
      <c r="C475" s="2" t="s">
        <v>764</v>
      </c>
      <c r="D475" s="2" t="s">
        <v>17</v>
      </c>
      <c r="E475" s="2" t="s">
        <v>11</v>
      </c>
      <c r="F475" s="2" t="s">
        <v>50</v>
      </c>
      <c r="G475" s="2" t="s">
        <v>58</v>
      </c>
      <c r="H475" s="2" t="s">
        <v>260</v>
      </c>
      <c r="I475" s="2" t="s">
        <v>626</v>
      </c>
    </row>
    <row r="476" spans="1:9" ht="14.5" x14ac:dyDescent="0.35">
      <c r="A476" s="2">
        <v>179930</v>
      </c>
      <c r="B476" s="2" t="str">
        <f>"3328024807990005"</f>
        <v>3328024807990005</v>
      </c>
      <c r="C476" s="2" t="s">
        <v>765</v>
      </c>
      <c r="D476" s="2" t="s">
        <v>10</v>
      </c>
      <c r="E476" s="2" t="s">
        <v>11</v>
      </c>
      <c r="F476" s="2" t="s">
        <v>18</v>
      </c>
      <c r="G476" s="2" t="s">
        <v>392</v>
      </c>
      <c r="H476" s="2" t="s">
        <v>766</v>
      </c>
      <c r="I476" s="2" t="s">
        <v>767</v>
      </c>
    </row>
    <row r="477" spans="1:9" ht="14.5" x14ac:dyDescent="0.35">
      <c r="A477" s="2">
        <v>2524268</v>
      </c>
      <c r="B477" s="2" t="str">
        <f>"3328024807990005"</f>
        <v>3328024807990005</v>
      </c>
      <c r="C477" s="2" t="s">
        <v>765</v>
      </c>
      <c r="D477" s="2" t="s">
        <v>17</v>
      </c>
      <c r="E477" s="2" t="s">
        <v>11</v>
      </c>
      <c r="F477" s="2" t="s">
        <v>18</v>
      </c>
      <c r="G477" s="2" t="s">
        <v>19</v>
      </c>
      <c r="H477" s="2" t="s">
        <v>527</v>
      </c>
      <c r="I477" s="2" t="s">
        <v>682</v>
      </c>
    </row>
    <row r="478" spans="1:9" ht="14.5" x14ac:dyDescent="0.35">
      <c r="A478" s="2">
        <v>2499607</v>
      </c>
      <c r="B478" s="2" t="str">
        <f>"3328024811920002"</f>
        <v>3328024811920002</v>
      </c>
      <c r="C478" s="2" t="s">
        <v>768</v>
      </c>
      <c r="D478" s="2" t="s">
        <v>10</v>
      </c>
      <c r="E478" s="2" t="s">
        <v>11</v>
      </c>
      <c r="F478" s="2" t="s">
        <v>18</v>
      </c>
      <c r="G478" s="2" t="s">
        <v>19</v>
      </c>
      <c r="H478" s="2" t="s">
        <v>527</v>
      </c>
      <c r="I478" s="2" t="s">
        <v>528</v>
      </c>
    </row>
    <row r="479" spans="1:9" ht="14.5" x14ac:dyDescent="0.35">
      <c r="A479" s="2">
        <v>2424866</v>
      </c>
      <c r="B479" s="2" t="str">
        <f>"3328024811920002"</f>
        <v>3328024811920002</v>
      </c>
      <c r="C479" s="2" t="s">
        <v>769</v>
      </c>
      <c r="D479" s="2" t="s">
        <v>17</v>
      </c>
      <c r="E479" s="2" t="s">
        <v>11</v>
      </c>
      <c r="F479" s="2" t="s">
        <v>50</v>
      </c>
      <c r="G479" s="2" t="s">
        <v>58</v>
      </c>
      <c r="H479" s="2" t="s">
        <v>316</v>
      </c>
      <c r="I479" s="2" t="s">
        <v>743</v>
      </c>
    </row>
    <row r="480" spans="1:9" ht="14.5" x14ac:dyDescent="0.35">
      <c r="A480" s="2">
        <v>2635364</v>
      </c>
      <c r="B480" s="2" t="str">
        <f>"3328024909920004"</f>
        <v>3328024909920004</v>
      </c>
      <c r="C480" s="2" t="s">
        <v>770</v>
      </c>
      <c r="D480" s="2" t="s">
        <v>17</v>
      </c>
      <c r="E480" s="2" t="s">
        <v>11</v>
      </c>
      <c r="F480" s="2" t="s">
        <v>18</v>
      </c>
      <c r="G480" s="2" t="s">
        <v>199</v>
      </c>
      <c r="H480" s="2" t="s">
        <v>599</v>
      </c>
      <c r="I480" s="2" t="s">
        <v>600</v>
      </c>
    </row>
    <row r="481" spans="1:9" ht="14.5" x14ac:dyDescent="0.35">
      <c r="A481" s="2">
        <v>2521712</v>
      </c>
      <c r="B481" s="2" t="str">
        <f>"3328024909920004"</f>
        <v>3328024909920004</v>
      </c>
      <c r="C481" s="2" t="s">
        <v>771</v>
      </c>
      <c r="D481" s="2" t="s">
        <v>17</v>
      </c>
      <c r="E481" s="2" t="s">
        <v>11</v>
      </c>
      <c r="F481" s="2" t="s">
        <v>18</v>
      </c>
      <c r="G481" s="2" t="s">
        <v>19</v>
      </c>
      <c r="H481" s="2" t="s">
        <v>527</v>
      </c>
      <c r="I481" s="2" t="s">
        <v>602</v>
      </c>
    </row>
    <row r="482" spans="1:9" ht="14.5" x14ac:dyDescent="0.35">
      <c r="A482" s="2">
        <v>935742</v>
      </c>
      <c r="B482" s="2" t="str">
        <f>"3328024911020005"</f>
        <v>3328024911020005</v>
      </c>
      <c r="C482" s="2" t="s">
        <v>772</v>
      </c>
      <c r="D482" s="2" t="s">
        <v>10</v>
      </c>
      <c r="E482" s="2" t="s">
        <v>11</v>
      </c>
      <c r="F482" s="2" t="s">
        <v>18</v>
      </c>
      <c r="G482" s="2" t="s">
        <v>264</v>
      </c>
      <c r="H482" s="2" t="s">
        <v>773</v>
      </c>
      <c r="I482" s="2" t="s">
        <v>774</v>
      </c>
    </row>
    <row r="483" spans="1:9" ht="14.5" x14ac:dyDescent="0.35">
      <c r="A483" s="2">
        <v>2524258</v>
      </c>
      <c r="B483" s="2" t="str">
        <f>"3328024911020005"</f>
        <v>3328024911020005</v>
      </c>
      <c r="C483" s="2" t="s">
        <v>772</v>
      </c>
      <c r="D483" s="2" t="s">
        <v>17</v>
      </c>
      <c r="E483" s="2" t="s">
        <v>11</v>
      </c>
      <c r="F483" s="2" t="s">
        <v>18</v>
      </c>
      <c r="G483" s="2" t="s">
        <v>19</v>
      </c>
      <c r="H483" s="2" t="s">
        <v>527</v>
      </c>
      <c r="I483" s="2" t="s">
        <v>682</v>
      </c>
    </row>
    <row r="484" spans="1:9" ht="14.5" x14ac:dyDescent="0.35">
      <c r="A484" s="2">
        <v>2472019</v>
      </c>
      <c r="B484" s="2" t="str">
        <f>"3328025005930011"</f>
        <v>3328025005930011</v>
      </c>
      <c r="C484" s="2" t="s">
        <v>775</v>
      </c>
      <c r="D484" s="2" t="s">
        <v>10</v>
      </c>
      <c r="E484" s="2" t="s">
        <v>11</v>
      </c>
      <c r="F484" s="2" t="s">
        <v>18</v>
      </c>
      <c r="G484" s="2" t="s">
        <v>19</v>
      </c>
      <c r="H484" s="2" t="s">
        <v>527</v>
      </c>
      <c r="I484" s="2" t="s">
        <v>640</v>
      </c>
    </row>
    <row r="485" spans="1:9" ht="14.5" x14ac:dyDescent="0.35">
      <c r="A485" s="2">
        <v>851500</v>
      </c>
      <c r="B485" s="2" t="str">
        <f>"3328025005930011"</f>
        <v>3328025005930011</v>
      </c>
      <c r="C485" s="2" t="s">
        <v>775</v>
      </c>
      <c r="D485" s="2" t="s">
        <v>17</v>
      </c>
      <c r="E485" s="2" t="s">
        <v>11</v>
      </c>
      <c r="F485" s="2" t="s">
        <v>50</v>
      </c>
      <c r="G485" s="2" t="s">
        <v>280</v>
      </c>
      <c r="H485" s="2" t="s">
        <v>776</v>
      </c>
      <c r="I485" s="2" t="s">
        <v>777</v>
      </c>
    </row>
    <row r="486" spans="1:9" ht="14.5" x14ac:dyDescent="0.35">
      <c r="A486" s="2">
        <v>117510</v>
      </c>
      <c r="B486" s="2" t="str">
        <f>"3328025007960006"</f>
        <v>3328025007960006</v>
      </c>
      <c r="C486" s="2" t="s">
        <v>778</v>
      </c>
      <c r="D486" s="2" t="s">
        <v>10</v>
      </c>
      <c r="E486" s="2" t="s">
        <v>11</v>
      </c>
      <c r="F486" s="2" t="s">
        <v>33</v>
      </c>
      <c r="G486" s="2" t="s">
        <v>338</v>
      </c>
      <c r="H486" s="2" t="s">
        <v>779</v>
      </c>
      <c r="I486" s="2" t="s">
        <v>780</v>
      </c>
    </row>
    <row r="487" spans="1:9" ht="14.5" x14ac:dyDescent="0.35">
      <c r="A487" s="2">
        <v>2524065</v>
      </c>
      <c r="B487" s="2" t="str">
        <f>"3328025007960006"</f>
        <v>3328025007960006</v>
      </c>
      <c r="C487" s="2" t="s">
        <v>781</v>
      </c>
      <c r="D487" s="2" t="s">
        <v>17</v>
      </c>
      <c r="E487" s="2" t="s">
        <v>11</v>
      </c>
      <c r="F487" s="2" t="s">
        <v>18</v>
      </c>
      <c r="G487" s="2" t="s">
        <v>19</v>
      </c>
      <c r="H487" s="2" t="s">
        <v>527</v>
      </c>
      <c r="I487" s="2" t="s">
        <v>590</v>
      </c>
    </row>
    <row r="488" spans="1:9" ht="14.5" x14ac:dyDescent="0.35">
      <c r="A488" s="2">
        <v>83290</v>
      </c>
      <c r="B488" s="2" t="str">
        <f>"3328025106810002"</f>
        <v>3328025106810002</v>
      </c>
      <c r="C488" s="2" t="s">
        <v>782</v>
      </c>
      <c r="D488" s="2" t="s">
        <v>10</v>
      </c>
      <c r="E488" s="2" t="s">
        <v>11</v>
      </c>
      <c r="F488" s="2" t="s">
        <v>783</v>
      </c>
      <c r="G488" s="2" t="s">
        <v>784</v>
      </c>
      <c r="H488" s="2" t="s">
        <v>785</v>
      </c>
      <c r="I488" s="2" t="s">
        <v>786</v>
      </c>
    </row>
    <row r="489" spans="1:9" ht="14.5" x14ac:dyDescent="0.35">
      <c r="A489" s="2">
        <v>2523863</v>
      </c>
      <c r="B489" s="2" t="str">
        <f>"3328025106810002"</f>
        <v>3328025106810002</v>
      </c>
      <c r="C489" s="2" t="s">
        <v>782</v>
      </c>
      <c r="D489" s="2" t="s">
        <v>17</v>
      </c>
      <c r="E489" s="2" t="s">
        <v>11</v>
      </c>
      <c r="F489" s="2" t="s">
        <v>18</v>
      </c>
      <c r="G489" s="2" t="s">
        <v>19</v>
      </c>
      <c r="H489" s="2" t="s">
        <v>527</v>
      </c>
      <c r="I489" s="2" t="s">
        <v>671</v>
      </c>
    </row>
    <row r="490" spans="1:9" ht="14.5" x14ac:dyDescent="0.35">
      <c r="A490" s="2">
        <v>2488796</v>
      </c>
      <c r="B490" s="2" t="str">
        <f>"3328025109920002"</f>
        <v>3328025109920002</v>
      </c>
      <c r="C490" s="2" t="s">
        <v>787</v>
      </c>
      <c r="D490" s="2" t="s">
        <v>10</v>
      </c>
      <c r="E490" s="2" t="s">
        <v>11</v>
      </c>
      <c r="F490" s="2" t="s">
        <v>18</v>
      </c>
      <c r="G490" s="2" t="s">
        <v>19</v>
      </c>
      <c r="H490" s="2" t="s">
        <v>527</v>
      </c>
      <c r="I490" s="2" t="s">
        <v>564</v>
      </c>
    </row>
    <row r="491" spans="1:9" ht="14.5" x14ac:dyDescent="0.35">
      <c r="A491" s="2">
        <v>1940122</v>
      </c>
      <c r="B491" s="2" t="str">
        <f>"3328025109920002"</f>
        <v>3328025109920002</v>
      </c>
      <c r="C491" s="2" t="s">
        <v>788</v>
      </c>
      <c r="D491" s="2" t="s">
        <v>17</v>
      </c>
      <c r="E491" s="2" t="s">
        <v>11</v>
      </c>
      <c r="F491" s="2" t="s">
        <v>50</v>
      </c>
      <c r="G491" s="2" t="s">
        <v>86</v>
      </c>
      <c r="H491" s="2" t="s">
        <v>530</v>
      </c>
      <c r="I491" s="2" t="s">
        <v>789</v>
      </c>
    </row>
    <row r="492" spans="1:9" ht="14.5" x14ac:dyDescent="0.35">
      <c r="A492" s="2">
        <v>2341826</v>
      </c>
      <c r="B492" s="2" t="str">
        <f>"3328025111980001"</f>
        <v>3328025111980001</v>
      </c>
      <c r="C492" s="2" t="s">
        <v>790</v>
      </c>
      <c r="D492" s="2" t="s">
        <v>10</v>
      </c>
      <c r="E492" s="2" t="s">
        <v>11</v>
      </c>
      <c r="F492" s="2" t="s">
        <v>67</v>
      </c>
      <c r="G492" s="2" t="s">
        <v>791</v>
      </c>
      <c r="H492" s="2" t="s">
        <v>792</v>
      </c>
      <c r="I492" s="2" t="s">
        <v>793</v>
      </c>
    </row>
    <row r="493" spans="1:9" ht="14.5" x14ac:dyDescent="0.35">
      <c r="A493" s="2">
        <v>2524341</v>
      </c>
      <c r="B493" s="2" t="str">
        <f>"3328025111980001"</f>
        <v>3328025111980001</v>
      </c>
      <c r="C493" s="2" t="s">
        <v>790</v>
      </c>
      <c r="D493" s="2" t="s">
        <v>17</v>
      </c>
      <c r="E493" s="2" t="s">
        <v>11</v>
      </c>
      <c r="F493" s="2" t="s">
        <v>18</v>
      </c>
      <c r="G493" s="2" t="s">
        <v>19</v>
      </c>
      <c r="H493" s="2" t="s">
        <v>527</v>
      </c>
      <c r="I493" s="2" t="s">
        <v>532</v>
      </c>
    </row>
    <row r="494" spans="1:9" ht="14.5" x14ac:dyDescent="0.35">
      <c r="A494" s="2">
        <v>1290148</v>
      </c>
      <c r="B494" s="2" t="str">
        <f>"3328025206950007"</f>
        <v>3328025206950007</v>
      </c>
      <c r="C494" s="2" t="s">
        <v>794</v>
      </c>
      <c r="D494" s="2" t="s">
        <v>10</v>
      </c>
      <c r="E494" s="2" t="s">
        <v>11</v>
      </c>
      <c r="F494" s="2" t="s">
        <v>91</v>
      </c>
      <c r="G494" s="2" t="s">
        <v>137</v>
      </c>
      <c r="H494" s="2" t="s">
        <v>218</v>
      </c>
      <c r="I494" s="2" t="s">
        <v>795</v>
      </c>
    </row>
    <row r="495" spans="1:9" ht="14.5" x14ac:dyDescent="0.35">
      <c r="A495" s="2">
        <v>2524090</v>
      </c>
      <c r="B495" s="2" t="str">
        <f>"3328025206950007"</f>
        <v>3328025206950007</v>
      </c>
      <c r="C495" s="2" t="s">
        <v>796</v>
      </c>
      <c r="D495" s="2" t="s">
        <v>17</v>
      </c>
      <c r="E495" s="2" t="s">
        <v>11</v>
      </c>
      <c r="F495" s="2" t="s">
        <v>18</v>
      </c>
      <c r="G495" s="2" t="s">
        <v>19</v>
      </c>
      <c r="H495" s="2" t="s">
        <v>527</v>
      </c>
      <c r="I495" s="2" t="s">
        <v>590</v>
      </c>
    </row>
    <row r="496" spans="1:9" ht="14.5" x14ac:dyDescent="0.35">
      <c r="A496" s="2">
        <v>2430854</v>
      </c>
      <c r="B496" s="2" t="str">
        <f>"3328025405940006"</f>
        <v>3328025405940006</v>
      </c>
      <c r="C496" s="2" t="s">
        <v>797</v>
      </c>
      <c r="D496" s="2" t="s">
        <v>10</v>
      </c>
      <c r="E496" s="2" t="s">
        <v>11</v>
      </c>
      <c r="F496" s="2" t="s">
        <v>18</v>
      </c>
      <c r="G496" s="2" t="s">
        <v>19</v>
      </c>
      <c r="H496" s="2" t="s">
        <v>527</v>
      </c>
      <c r="I496" s="2" t="s">
        <v>539</v>
      </c>
    </row>
    <row r="497" spans="1:9" ht="14.5" x14ac:dyDescent="0.35">
      <c r="A497" s="2">
        <v>1178477</v>
      </c>
      <c r="B497" s="2" t="str">
        <f>"3328025405940006"</f>
        <v>3328025405940006</v>
      </c>
      <c r="C497" s="2" t="s">
        <v>797</v>
      </c>
      <c r="D497" s="2" t="s">
        <v>10</v>
      </c>
      <c r="E497" s="2" t="s">
        <v>11</v>
      </c>
      <c r="F497" s="2" t="s">
        <v>18</v>
      </c>
      <c r="G497" s="2" t="s">
        <v>180</v>
      </c>
      <c r="H497" s="2" t="s">
        <v>181</v>
      </c>
      <c r="I497" s="2" t="s">
        <v>624</v>
      </c>
    </row>
    <row r="498" spans="1:9" ht="14.5" x14ac:dyDescent="0.35">
      <c r="A498" s="2">
        <v>2426036</v>
      </c>
      <c r="B498" s="2" t="str">
        <f>"3328025406920007"</f>
        <v>3328025406920007</v>
      </c>
      <c r="C498" s="2" t="s">
        <v>798</v>
      </c>
      <c r="D498" s="2" t="s">
        <v>10</v>
      </c>
      <c r="E498" s="2" t="s">
        <v>11</v>
      </c>
      <c r="F498" s="2" t="s">
        <v>18</v>
      </c>
      <c r="G498" s="2" t="s">
        <v>19</v>
      </c>
      <c r="H498" s="2" t="s">
        <v>527</v>
      </c>
      <c r="I498" s="2" t="s">
        <v>684</v>
      </c>
    </row>
    <row r="499" spans="1:9" ht="14.5" x14ac:dyDescent="0.35">
      <c r="A499" s="2">
        <v>1660287</v>
      </c>
      <c r="B499" s="2" t="str">
        <f>"3328025406920007"</f>
        <v>3328025406920007</v>
      </c>
      <c r="C499" s="2" t="s">
        <v>798</v>
      </c>
      <c r="D499" s="2" t="s">
        <v>17</v>
      </c>
      <c r="E499" s="2" t="s">
        <v>11</v>
      </c>
      <c r="F499" s="2" t="s">
        <v>18</v>
      </c>
      <c r="G499" s="2" t="s">
        <v>264</v>
      </c>
      <c r="H499" s="2" t="s">
        <v>289</v>
      </c>
      <c r="I499" s="2" t="s">
        <v>290</v>
      </c>
    </row>
    <row r="500" spans="1:9" ht="14.5" x14ac:dyDescent="0.35">
      <c r="A500" s="2">
        <v>844664</v>
      </c>
      <c r="B500" s="2" t="str">
        <f>"3328025410910001"</f>
        <v>3328025410910001</v>
      </c>
      <c r="C500" s="2" t="s">
        <v>799</v>
      </c>
      <c r="D500" s="2" t="s">
        <v>10</v>
      </c>
      <c r="E500" s="2" t="s">
        <v>11</v>
      </c>
      <c r="F500" s="2" t="s">
        <v>50</v>
      </c>
      <c r="G500" s="2" t="s">
        <v>72</v>
      </c>
      <c r="H500" s="2" t="s">
        <v>73</v>
      </c>
      <c r="I500" s="2" t="s">
        <v>800</v>
      </c>
    </row>
    <row r="501" spans="1:9" ht="14.5" x14ac:dyDescent="0.35">
      <c r="A501" s="2">
        <v>2525217</v>
      </c>
      <c r="B501" s="2" t="str">
        <f>"3328025410910001"</f>
        <v>3328025410910001</v>
      </c>
      <c r="C501" s="2" t="s">
        <v>799</v>
      </c>
      <c r="D501" s="2" t="s">
        <v>17</v>
      </c>
      <c r="E501" s="2" t="s">
        <v>11</v>
      </c>
      <c r="F501" s="2" t="s">
        <v>18</v>
      </c>
      <c r="G501" s="2" t="s">
        <v>19</v>
      </c>
      <c r="H501" s="2" t="s">
        <v>527</v>
      </c>
      <c r="I501" s="2" t="s">
        <v>801</v>
      </c>
    </row>
    <row r="502" spans="1:9" ht="14.5" x14ac:dyDescent="0.35">
      <c r="A502" s="2">
        <v>965769</v>
      </c>
      <c r="B502" s="2" t="str">
        <f>"3328025502960004"</f>
        <v>3328025502960004</v>
      </c>
      <c r="C502" s="2" t="s">
        <v>802</v>
      </c>
      <c r="D502" s="2" t="s">
        <v>10</v>
      </c>
      <c r="E502" s="2" t="s">
        <v>11</v>
      </c>
      <c r="F502" s="2" t="s">
        <v>50</v>
      </c>
      <c r="G502" s="2" t="s">
        <v>72</v>
      </c>
      <c r="H502" s="2" t="s">
        <v>803</v>
      </c>
      <c r="I502" s="2" t="s">
        <v>804</v>
      </c>
    </row>
    <row r="503" spans="1:9" ht="14.5" x14ac:dyDescent="0.35">
      <c r="A503" s="2">
        <v>2524995</v>
      </c>
      <c r="B503" s="2" t="str">
        <f>"3328025502960004"</f>
        <v>3328025502960004</v>
      </c>
      <c r="C503" s="2" t="s">
        <v>802</v>
      </c>
      <c r="D503" s="2" t="s">
        <v>17</v>
      </c>
      <c r="E503" s="2" t="s">
        <v>11</v>
      </c>
      <c r="F503" s="2" t="s">
        <v>18</v>
      </c>
      <c r="G503" s="2" t="s">
        <v>19</v>
      </c>
      <c r="H503" s="2" t="s">
        <v>527</v>
      </c>
      <c r="I503" s="2" t="s">
        <v>543</v>
      </c>
    </row>
    <row r="504" spans="1:9" ht="14.5" x14ac:dyDescent="0.35">
      <c r="A504" s="2">
        <v>286379</v>
      </c>
      <c r="B504" s="2" t="str">
        <f>"3328025601990005"</f>
        <v>3328025601990005</v>
      </c>
      <c r="C504" s="2" t="s">
        <v>805</v>
      </c>
      <c r="D504" s="2" t="s">
        <v>10</v>
      </c>
      <c r="E504" s="2" t="s">
        <v>11</v>
      </c>
      <c r="F504" s="2" t="s">
        <v>33</v>
      </c>
      <c r="G504" s="2" t="s">
        <v>806</v>
      </c>
      <c r="H504" s="2" t="s">
        <v>807</v>
      </c>
      <c r="I504" s="2" t="s">
        <v>808</v>
      </c>
    </row>
    <row r="505" spans="1:9" ht="14.5" x14ac:dyDescent="0.35">
      <c r="A505" s="2">
        <v>2522749</v>
      </c>
      <c r="B505" s="2" t="str">
        <f>"3328025601990005"</f>
        <v>3328025601990005</v>
      </c>
      <c r="C505" s="2" t="s">
        <v>809</v>
      </c>
      <c r="D505" s="2" t="s">
        <v>17</v>
      </c>
      <c r="E505" s="2" t="s">
        <v>11</v>
      </c>
      <c r="F505" s="2" t="s">
        <v>18</v>
      </c>
      <c r="G505" s="2" t="s">
        <v>19</v>
      </c>
      <c r="H505" s="2" t="s">
        <v>527</v>
      </c>
      <c r="I505" s="2" t="s">
        <v>527</v>
      </c>
    </row>
    <row r="506" spans="1:9" ht="14.5" x14ac:dyDescent="0.35">
      <c r="A506" s="2">
        <v>540110</v>
      </c>
      <c r="B506" s="2" t="str">
        <f>"3328025705920002"</f>
        <v>3328025705920002</v>
      </c>
      <c r="C506" s="2" t="s">
        <v>810</v>
      </c>
      <c r="D506" s="2" t="s">
        <v>10</v>
      </c>
      <c r="E506" s="2" t="s">
        <v>11</v>
      </c>
      <c r="F506" s="2" t="s">
        <v>811</v>
      </c>
      <c r="G506" s="2" t="s">
        <v>812</v>
      </c>
      <c r="H506" s="2" t="s">
        <v>813</v>
      </c>
      <c r="I506" s="2" t="s">
        <v>814</v>
      </c>
    </row>
    <row r="507" spans="1:9" ht="14.5" x14ac:dyDescent="0.35">
      <c r="A507" s="2">
        <v>2523018</v>
      </c>
      <c r="B507" s="2" t="str">
        <f>"3328025705920002"</f>
        <v>3328025705920002</v>
      </c>
      <c r="C507" s="2" t="s">
        <v>810</v>
      </c>
      <c r="D507" s="2" t="s">
        <v>17</v>
      </c>
      <c r="E507" s="2" t="s">
        <v>11</v>
      </c>
      <c r="F507" s="2" t="s">
        <v>18</v>
      </c>
      <c r="G507" s="2" t="s">
        <v>19</v>
      </c>
      <c r="H507" s="2" t="s">
        <v>527</v>
      </c>
      <c r="I507" s="2" t="s">
        <v>527</v>
      </c>
    </row>
    <row r="508" spans="1:9" ht="14.5" x14ac:dyDescent="0.35">
      <c r="A508" s="2">
        <v>2452347</v>
      </c>
      <c r="B508" s="2" t="str">
        <f>"3328025711040003"</f>
        <v>3328025711040003</v>
      </c>
      <c r="C508" s="2" t="s">
        <v>815</v>
      </c>
      <c r="D508" s="2" t="s">
        <v>10</v>
      </c>
      <c r="E508" s="2" t="s">
        <v>11</v>
      </c>
      <c r="F508" s="2" t="s">
        <v>18</v>
      </c>
      <c r="G508" s="2" t="s">
        <v>19</v>
      </c>
      <c r="H508" s="2" t="s">
        <v>527</v>
      </c>
      <c r="I508" s="2" t="s">
        <v>691</v>
      </c>
    </row>
    <row r="509" spans="1:9" ht="14.5" x14ac:dyDescent="0.35">
      <c r="A509" s="2">
        <v>1352891</v>
      </c>
      <c r="B509" s="2" t="str">
        <f>"3328025711040003"</f>
        <v>3328025711040003</v>
      </c>
      <c r="C509" s="2" t="s">
        <v>815</v>
      </c>
      <c r="D509" s="2" t="s">
        <v>10</v>
      </c>
      <c r="E509" s="2" t="s">
        <v>57</v>
      </c>
      <c r="F509" s="2" t="s">
        <v>303</v>
      </c>
      <c r="G509" s="2" t="s">
        <v>608</v>
      </c>
      <c r="H509" s="2" t="s">
        <v>609</v>
      </c>
      <c r="I509" s="2" t="s">
        <v>610</v>
      </c>
    </row>
    <row r="510" spans="1:9" ht="14.5" x14ac:dyDescent="0.35">
      <c r="A510" s="2">
        <v>2440387</v>
      </c>
      <c r="B510" s="2" t="str">
        <f>"3328025802020002"</f>
        <v>3328025802020002</v>
      </c>
      <c r="C510" s="2" t="s">
        <v>816</v>
      </c>
      <c r="D510" s="2" t="s">
        <v>10</v>
      </c>
      <c r="E510" s="2" t="s">
        <v>11</v>
      </c>
      <c r="F510" s="2" t="s">
        <v>18</v>
      </c>
      <c r="G510" s="2" t="s">
        <v>19</v>
      </c>
      <c r="H510" s="2" t="s">
        <v>527</v>
      </c>
      <c r="I510" s="2" t="s">
        <v>535</v>
      </c>
    </row>
    <row r="511" spans="1:9" ht="14.5" x14ac:dyDescent="0.35">
      <c r="A511" s="2">
        <v>1352890</v>
      </c>
      <c r="B511" s="2" t="str">
        <f>"3328025802020002"</f>
        <v>3328025802020002</v>
      </c>
      <c r="C511" s="2" t="s">
        <v>817</v>
      </c>
      <c r="D511" s="2" t="s">
        <v>10</v>
      </c>
      <c r="E511" s="2" t="s">
        <v>57</v>
      </c>
      <c r="F511" s="2" t="s">
        <v>303</v>
      </c>
      <c r="G511" s="2" t="s">
        <v>608</v>
      </c>
      <c r="H511" s="2" t="s">
        <v>609</v>
      </c>
      <c r="I511" s="2" t="s">
        <v>610</v>
      </c>
    </row>
    <row r="512" spans="1:9" ht="14.5" x14ac:dyDescent="0.35">
      <c r="A512" s="2">
        <v>2440425</v>
      </c>
      <c r="B512" s="2" t="str">
        <f>"3328025802060001"</f>
        <v>3328025802060001</v>
      </c>
      <c r="C512" s="2" t="s">
        <v>818</v>
      </c>
      <c r="D512" s="2" t="s">
        <v>189</v>
      </c>
      <c r="E512" s="2" t="s">
        <v>11</v>
      </c>
      <c r="F512" s="2" t="s">
        <v>18</v>
      </c>
      <c r="G512" s="2" t="s">
        <v>19</v>
      </c>
      <c r="H512" s="2" t="s">
        <v>527</v>
      </c>
      <c r="I512" s="2" t="s">
        <v>535</v>
      </c>
    </row>
    <row r="513" spans="1:9" ht="14.5" x14ac:dyDescent="0.35">
      <c r="A513" s="2">
        <v>1352894</v>
      </c>
      <c r="B513" s="2" t="str">
        <f>"3328025802060001"</f>
        <v>3328025802060001</v>
      </c>
      <c r="C513" s="2" t="s">
        <v>818</v>
      </c>
      <c r="D513" s="2" t="s">
        <v>10</v>
      </c>
      <c r="E513" s="2" t="s">
        <v>57</v>
      </c>
      <c r="F513" s="2" t="s">
        <v>303</v>
      </c>
      <c r="G513" s="2" t="s">
        <v>608</v>
      </c>
      <c r="H513" s="2" t="s">
        <v>609</v>
      </c>
      <c r="I513" s="2" t="s">
        <v>610</v>
      </c>
    </row>
    <row r="514" spans="1:9" ht="14.5" x14ac:dyDescent="0.35">
      <c r="A514" s="2">
        <v>2456736</v>
      </c>
      <c r="B514" s="2" t="str">
        <f>"3328025807060002"</f>
        <v>3328025807060002</v>
      </c>
      <c r="C514" s="2" t="s">
        <v>819</v>
      </c>
      <c r="D514" s="2" t="s">
        <v>10</v>
      </c>
      <c r="E514" s="2" t="s">
        <v>11</v>
      </c>
      <c r="F514" s="2" t="s">
        <v>18</v>
      </c>
      <c r="G514" s="2" t="s">
        <v>19</v>
      </c>
      <c r="H514" s="2" t="s">
        <v>527</v>
      </c>
      <c r="I514" s="2" t="s">
        <v>602</v>
      </c>
    </row>
    <row r="515" spans="1:9" ht="14.5" x14ac:dyDescent="0.35">
      <c r="A515" s="2">
        <v>1352893</v>
      </c>
      <c r="B515" s="2" t="str">
        <f>"3328025807060002"</f>
        <v>3328025807060002</v>
      </c>
      <c r="C515" s="2" t="s">
        <v>819</v>
      </c>
      <c r="D515" s="2" t="s">
        <v>10</v>
      </c>
      <c r="E515" s="2" t="s">
        <v>57</v>
      </c>
      <c r="F515" s="2" t="s">
        <v>303</v>
      </c>
      <c r="G515" s="2" t="s">
        <v>608</v>
      </c>
      <c r="H515" s="2" t="s">
        <v>609</v>
      </c>
      <c r="I515" s="2" t="s">
        <v>610</v>
      </c>
    </row>
    <row r="516" spans="1:9" ht="14.5" x14ac:dyDescent="0.35">
      <c r="A516" s="2">
        <v>2448093</v>
      </c>
      <c r="B516" s="2" t="str">
        <f>"3328025902050003"</f>
        <v>3328025902050003</v>
      </c>
      <c r="C516" s="2" t="s">
        <v>820</v>
      </c>
      <c r="D516" s="2" t="s">
        <v>10</v>
      </c>
      <c r="E516" s="2" t="s">
        <v>11</v>
      </c>
      <c r="F516" s="2" t="s">
        <v>18</v>
      </c>
      <c r="G516" s="2" t="s">
        <v>19</v>
      </c>
      <c r="H516" s="2" t="s">
        <v>527</v>
      </c>
      <c r="I516" s="2" t="s">
        <v>616</v>
      </c>
    </row>
    <row r="517" spans="1:9" ht="14.5" x14ac:dyDescent="0.35">
      <c r="A517" s="2">
        <v>1680217</v>
      </c>
      <c r="B517" s="2" t="str">
        <f>"3328025902050003"</f>
        <v>3328025902050003</v>
      </c>
      <c r="C517" s="2" t="s">
        <v>821</v>
      </c>
      <c r="D517" s="2" t="s">
        <v>17</v>
      </c>
      <c r="E517" s="2" t="s">
        <v>11</v>
      </c>
      <c r="F517" s="2" t="s">
        <v>18</v>
      </c>
      <c r="G517" s="2" t="s">
        <v>264</v>
      </c>
      <c r="H517" s="2" t="s">
        <v>289</v>
      </c>
      <c r="I517" s="2" t="s">
        <v>822</v>
      </c>
    </row>
    <row r="518" spans="1:9" ht="14.5" x14ac:dyDescent="0.35">
      <c r="A518" s="2">
        <v>2525224</v>
      </c>
      <c r="B518" s="2" t="str">
        <f>"3328026401010001"</f>
        <v>3328026401010001</v>
      </c>
      <c r="C518" s="2" t="s">
        <v>823</v>
      </c>
      <c r="D518" s="2" t="s">
        <v>17</v>
      </c>
      <c r="E518" s="2" t="s">
        <v>11</v>
      </c>
      <c r="F518" s="2" t="s">
        <v>18</v>
      </c>
      <c r="G518" s="2" t="s">
        <v>19</v>
      </c>
      <c r="H518" s="2" t="s">
        <v>527</v>
      </c>
      <c r="I518" s="2" t="s">
        <v>801</v>
      </c>
    </row>
    <row r="519" spans="1:9" ht="14.5" x14ac:dyDescent="0.35">
      <c r="A519" s="2">
        <v>898724</v>
      </c>
      <c r="B519" s="2" t="str">
        <f>"3328026401010001"</f>
        <v>3328026401010001</v>
      </c>
      <c r="C519" s="2" t="s">
        <v>823</v>
      </c>
      <c r="D519" s="2" t="s">
        <v>10</v>
      </c>
      <c r="E519" s="2" t="s">
        <v>11</v>
      </c>
      <c r="F519" s="2" t="s">
        <v>50</v>
      </c>
      <c r="G519" s="2" t="s">
        <v>58</v>
      </c>
      <c r="H519" s="2" t="s">
        <v>59</v>
      </c>
      <c r="I519" s="2" t="s">
        <v>824</v>
      </c>
    </row>
    <row r="520" spans="1:9" ht="14.5" x14ac:dyDescent="0.35">
      <c r="A520" s="2">
        <v>1056203</v>
      </c>
      <c r="B520" s="2" t="str">
        <f>"3328026410760001"</f>
        <v>3328026410760001</v>
      </c>
      <c r="C520" s="2" t="s">
        <v>825</v>
      </c>
      <c r="D520" s="2" t="s">
        <v>10</v>
      </c>
      <c r="E520" s="2" t="s">
        <v>11</v>
      </c>
      <c r="F520" s="2" t="s">
        <v>91</v>
      </c>
      <c r="G520" s="2" t="s">
        <v>159</v>
      </c>
      <c r="H520" s="2" t="s">
        <v>160</v>
      </c>
      <c r="I520" s="2" t="s">
        <v>826</v>
      </c>
    </row>
    <row r="521" spans="1:9" ht="14.5" x14ac:dyDescent="0.35">
      <c r="A521" s="2">
        <v>2525198</v>
      </c>
      <c r="B521" s="2" t="str">
        <f>"3328026410760001"</f>
        <v>3328026410760001</v>
      </c>
      <c r="C521" s="2" t="s">
        <v>827</v>
      </c>
      <c r="D521" s="2" t="s">
        <v>17</v>
      </c>
      <c r="E521" s="2" t="s">
        <v>11</v>
      </c>
      <c r="F521" s="2" t="s">
        <v>18</v>
      </c>
      <c r="G521" s="2" t="s">
        <v>19</v>
      </c>
      <c r="H521" s="2" t="s">
        <v>527</v>
      </c>
      <c r="I521" s="2" t="s">
        <v>801</v>
      </c>
    </row>
    <row r="522" spans="1:9" ht="14.5" x14ac:dyDescent="0.35">
      <c r="A522" s="2">
        <v>1432595</v>
      </c>
      <c r="B522" s="2" t="str">
        <f>"3328026509990009"</f>
        <v>3328026509990009</v>
      </c>
      <c r="C522" s="2" t="s">
        <v>828</v>
      </c>
      <c r="D522" s="2" t="s">
        <v>10</v>
      </c>
      <c r="E522" s="2" t="s">
        <v>11</v>
      </c>
      <c r="F522" s="2" t="s">
        <v>18</v>
      </c>
      <c r="G522" s="2" t="s">
        <v>264</v>
      </c>
      <c r="H522" s="2" t="s">
        <v>289</v>
      </c>
      <c r="I522" s="2" t="s">
        <v>758</v>
      </c>
    </row>
    <row r="523" spans="1:9" ht="14.5" x14ac:dyDescent="0.35">
      <c r="A523" s="2">
        <v>2526156</v>
      </c>
      <c r="B523" s="2" t="str">
        <f>"3328026509990009"</f>
        <v>3328026509990009</v>
      </c>
      <c r="C523" s="2" t="s">
        <v>828</v>
      </c>
      <c r="D523" s="2" t="s">
        <v>17</v>
      </c>
      <c r="E523" s="2" t="s">
        <v>11</v>
      </c>
      <c r="F523" s="2" t="s">
        <v>18</v>
      </c>
      <c r="G523" s="2" t="s">
        <v>19</v>
      </c>
      <c r="H523" s="2" t="s">
        <v>527</v>
      </c>
      <c r="I523" s="2" t="s">
        <v>528</v>
      </c>
    </row>
    <row r="524" spans="1:9" ht="14.5" x14ac:dyDescent="0.35">
      <c r="A524" s="2">
        <v>2523270</v>
      </c>
      <c r="B524" s="2" t="str">
        <f>"3328026606050003"</f>
        <v>3328026606050003</v>
      </c>
      <c r="C524" s="2" t="s">
        <v>829</v>
      </c>
      <c r="D524" s="2" t="s">
        <v>17</v>
      </c>
      <c r="E524" s="2" t="s">
        <v>11</v>
      </c>
      <c r="F524" s="2" t="s">
        <v>18</v>
      </c>
      <c r="G524" s="2" t="s">
        <v>19</v>
      </c>
      <c r="H524" s="2" t="s">
        <v>527</v>
      </c>
      <c r="I524" s="2" t="s">
        <v>535</v>
      </c>
    </row>
    <row r="525" spans="1:9" ht="14.5" x14ac:dyDescent="0.35">
      <c r="A525" s="2">
        <v>1373082</v>
      </c>
      <c r="B525" s="2" t="str">
        <f>"3328026606050003"</f>
        <v>3328026606050003</v>
      </c>
      <c r="C525" s="2" t="s">
        <v>830</v>
      </c>
      <c r="D525" s="2" t="s">
        <v>17</v>
      </c>
      <c r="E525" s="2" t="s">
        <v>11</v>
      </c>
      <c r="F525" s="2" t="s">
        <v>50</v>
      </c>
      <c r="G525" s="2" t="s">
        <v>51</v>
      </c>
      <c r="H525" s="2" t="s">
        <v>78</v>
      </c>
      <c r="I525" s="2" t="s">
        <v>84</v>
      </c>
    </row>
    <row r="526" spans="1:9" ht="14.5" x14ac:dyDescent="0.35">
      <c r="A526" s="2">
        <v>2522205</v>
      </c>
      <c r="B526" s="2" t="str">
        <f>"3328026906050001"</f>
        <v>3328026906050001</v>
      </c>
      <c r="C526" s="2" t="s">
        <v>831</v>
      </c>
      <c r="D526" s="2" t="s">
        <v>17</v>
      </c>
      <c r="E526" s="2" t="s">
        <v>11</v>
      </c>
      <c r="F526" s="2" t="s">
        <v>18</v>
      </c>
      <c r="G526" s="2" t="s">
        <v>19</v>
      </c>
      <c r="H526" s="2" t="s">
        <v>527</v>
      </c>
      <c r="I526" s="2" t="s">
        <v>527</v>
      </c>
    </row>
    <row r="527" spans="1:9" ht="14.5" x14ac:dyDescent="0.35">
      <c r="A527" s="2">
        <v>1361655</v>
      </c>
      <c r="B527" s="2" t="str">
        <f>"3328026906050001"</f>
        <v>3328026906050001</v>
      </c>
      <c r="C527" s="2" t="s">
        <v>831</v>
      </c>
      <c r="D527" s="2" t="s">
        <v>10</v>
      </c>
      <c r="E527" s="2" t="s">
        <v>57</v>
      </c>
      <c r="F527" s="2" t="s">
        <v>303</v>
      </c>
      <c r="G527" s="2" t="s">
        <v>608</v>
      </c>
      <c r="H527" s="2" t="s">
        <v>609</v>
      </c>
      <c r="I527" s="2" t="s">
        <v>610</v>
      </c>
    </row>
    <row r="528" spans="1:9" ht="14.5" x14ac:dyDescent="0.35">
      <c r="A528" s="2">
        <v>1745645</v>
      </c>
      <c r="B528" s="2" t="str">
        <f>"3328027101920003"</f>
        <v>3328027101920003</v>
      </c>
      <c r="C528" s="2" t="s">
        <v>832</v>
      </c>
      <c r="D528" s="2" t="s">
        <v>10</v>
      </c>
      <c r="E528" s="2" t="s">
        <v>11</v>
      </c>
      <c r="F528" s="2" t="s">
        <v>50</v>
      </c>
      <c r="G528" s="2" t="s">
        <v>72</v>
      </c>
      <c r="H528" s="2" t="s">
        <v>738</v>
      </c>
      <c r="I528" s="2" t="s">
        <v>739</v>
      </c>
    </row>
    <row r="529" spans="1:9" ht="14.5" x14ac:dyDescent="0.35">
      <c r="A529" s="2">
        <v>2523886</v>
      </c>
      <c r="B529" s="2" t="str">
        <f>"3328027101920003"</f>
        <v>3328027101920003</v>
      </c>
      <c r="C529" s="2" t="s">
        <v>832</v>
      </c>
      <c r="D529" s="2" t="s">
        <v>17</v>
      </c>
      <c r="E529" s="2" t="s">
        <v>11</v>
      </c>
      <c r="F529" s="2" t="s">
        <v>18</v>
      </c>
      <c r="G529" s="2" t="s">
        <v>19</v>
      </c>
      <c r="H529" s="2" t="s">
        <v>527</v>
      </c>
      <c r="I529" s="2" t="s">
        <v>590</v>
      </c>
    </row>
    <row r="530" spans="1:9" ht="14.5" x14ac:dyDescent="0.35">
      <c r="A530" s="2">
        <v>2446795</v>
      </c>
      <c r="B530" s="2" t="str">
        <f>"3328027112030004"</f>
        <v>3328027112030004</v>
      </c>
      <c r="C530" s="2" t="s">
        <v>833</v>
      </c>
      <c r="D530" s="2" t="s">
        <v>10</v>
      </c>
      <c r="E530" s="2" t="s">
        <v>11</v>
      </c>
      <c r="F530" s="2" t="s">
        <v>18</v>
      </c>
      <c r="G530" s="2" t="s">
        <v>19</v>
      </c>
      <c r="H530" s="2" t="s">
        <v>527</v>
      </c>
      <c r="I530" s="2" t="s">
        <v>616</v>
      </c>
    </row>
    <row r="531" spans="1:9" ht="14.5" x14ac:dyDescent="0.35">
      <c r="A531" s="2">
        <v>1679015</v>
      </c>
      <c r="B531" s="2" t="str">
        <f>"3328027112030004"</f>
        <v>3328027112030004</v>
      </c>
      <c r="C531" s="2" t="s">
        <v>833</v>
      </c>
      <c r="D531" s="2" t="s">
        <v>17</v>
      </c>
      <c r="E531" s="2" t="s">
        <v>11</v>
      </c>
      <c r="F531" s="2" t="s">
        <v>18</v>
      </c>
      <c r="G531" s="2" t="s">
        <v>264</v>
      </c>
      <c r="H531" s="2" t="s">
        <v>289</v>
      </c>
      <c r="I531" s="2" t="s">
        <v>834</v>
      </c>
    </row>
    <row r="532" spans="1:9" ht="14.5" x14ac:dyDescent="0.35">
      <c r="A532" s="2">
        <v>2471357</v>
      </c>
      <c r="B532" s="2" t="str">
        <f>"3328040906920010"</f>
        <v>3328040906920010</v>
      </c>
      <c r="C532" s="2" t="s">
        <v>835</v>
      </c>
      <c r="D532" s="2" t="s">
        <v>10</v>
      </c>
      <c r="E532" s="2" t="s">
        <v>11</v>
      </c>
      <c r="F532" s="2" t="s">
        <v>18</v>
      </c>
      <c r="G532" s="2" t="s">
        <v>19</v>
      </c>
      <c r="H532" s="2" t="s">
        <v>527</v>
      </c>
      <c r="I532" s="2" t="s">
        <v>605</v>
      </c>
    </row>
    <row r="533" spans="1:9" ht="14.5" x14ac:dyDescent="0.35">
      <c r="A533" s="2">
        <v>2573323</v>
      </c>
      <c r="B533" s="2" t="str">
        <f>"3328040906920010"</f>
        <v>3328040906920010</v>
      </c>
      <c r="C533" s="2" t="s">
        <v>836</v>
      </c>
      <c r="D533" s="2" t="s">
        <v>17</v>
      </c>
      <c r="E533" s="2" t="s">
        <v>11</v>
      </c>
      <c r="F533" s="2" t="s">
        <v>18</v>
      </c>
      <c r="G533" s="2" t="s">
        <v>19</v>
      </c>
      <c r="H533" s="2" t="s">
        <v>745</v>
      </c>
      <c r="I533" s="2" t="s">
        <v>746</v>
      </c>
    </row>
    <row r="534" spans="1:9" ht="14.5" x14ac:dyDescent="0.35">
      <c r="A534" s="2">
        <v>2511823</v>
      </c>
      <c r="B534" s="2" t="str">
        <f>"3328111106190003"</f>
        <v>3328111106190003</v>
      </c>
      <c r="C534" s="2" t="s">
        <v>837</v>
      </c>
      <c r="D534" s="2" t="s">
        <v>10</v>
      </c>
      <c r="E534" s="2" t="s">
        <v>11</v>
      </c>
      <c r="F534" s="2" t="s">
        <v>18</v>
      </c>
      <c r="G534" s="2" t="s">
        <v>19</v>
      </c>
      <c r="H534" s="2" t="s">
        <v>527</v>
      </c>
      <c r="I534" s="2" t="s">
        <v>527</v>
      </c>
    </row>
    <row r="535" spans="1:9" ht="14.5" x14ac:dyDescent="0.35">
      <c r="A535" s="2">
        <v>2662274</v>
      </c>
      <c r="B535" s="2" t="str">
        <f>"3328111106190003"</f>
        <v>3328111106190003</v>
      </c>
      <c r="C535" s="2" t="s">
        <v>838</v>
      </c>
      <c r="D535" s="2" t="s">
        <v>10</v>
      </c>
      <c r="E535" s="2" t="s">
        <v>57</v>
      </c>
      <c r="F535" s="2" t="s">
        <v>18</v>
      </c>
      <c r="G535" s="2" t="s">
        <v>199</v>
      </c>
      <c r="H535" s="2" t="s">
        <v>199</v>
      </c>
      <c r="I535" s="2" t="s">
        <v>839</v>
      </c>
    </row>
    <row r="536" spans="1:9" ht="14.5" x14ac:dyDescent="0.35">
      <c r="A536" s="2">
        <v>2490448</v>
      </c>
      <c r="B536" s="2" t="str">
        <f>"3329034511940004"</f>
        <v>3329034511940004</v>
      </c>
      <c r="C536" s="2" t="s">
        <v>840</v>
      </c>
      <c r="D536" s="2" t="s">
        <v>10</v>
      </c>
      <c r="E536" s="2" t="s">
        <v>11</v>
      </c>
      <c r="F536" s="2" t="s">
        <v>18</v>
      </c>
      <c r="G536" s="2" t="s">
        <v>19</v>
      </c>
      <c r="H536" s="2" t="s">
        <v>527</v>
      </c>
      <c r="I536" s="2" t="s">
        <v>532</v>
      </c>
    </row>
    <row r="537" spans="1:9" ht="14.5" x14ac:dyDescent="0.35">
      <c r="A537" s="2">
        <v>1652860</v>
      </c>
      <c r="B537" s="2" t="str">
        <f>"3329034511940004"</f>
        <v>3329034511940004</v>
      </c>
      <c r="C537" s="2" t="s">
        <v>841</v>
      </c>
      <c r="D537" s="2" t="s">
        <v>17</v>
      </c>
      <c r="E537" s="2" t="s">
        <v>11</v>
      </c>
      <c r="F537" s="2" t="s">
        <v>18</v>
      </c>
      <c r="G537" s="2" t="s">
        <v>264</v>
      </c>
      <c r="H537" s="2" t="s">
        <v>461</v>
      </c>
      <c r="I537" s="2" t="s">
        <v>842</v>
      </c>
    </row>
    <row r="538" spans="1:9" ht="14.5" x14ac:dyDescent="0.35">
      <c r="A538" s="2">
        <v>1185547</v>
      </c>
      <c r="B538" s="2" t="str">
        <f>"3329045102020009"</f>
        <v>3329045102020009</v>
      </c>
      <c r="C538" s="2" t="s">
        <v>843</v>
      </c>
      <c r="D538" s="2" t="s">
        <v>10</v>
      </c>
      <c r="E538" s="2" t="s">
        <v>11</v>
      </c>
      <c r="F538" s="2" t="s">
        <v>18</v>
      </c>
      <c r="G538" s="2" t="s">
        <v>264</v>
      </c>
      <c r="H538" s="2" t="s">
        <v>396</v>
      </c>
      <c r="I538" s="2" t="s">
        <v>844</v>
      </c>
    </row>
    <row r="539" spans="1:9" ht="14.5" x14ac:dyDescent="0.35">
      <c r="A539" s="2">
        <v>2522904</v>
      </c>
      <c r="B539" s="2" t="str">
        <f>"3329045102020009"</f>
        <v>3329045102020009</v>
      </c>
      <c r="C539" s="2" t="s">
        <v>843</v>
      </c>
      <c r="D539" s="2" t="s">
        <v>17</v>
      </c>
      <c r="E539" s="2" t="s">
        <v>11</v>
      </c>
      <c r="F539" s="2" t="s">
        <v>18</v>
      </c>
      <c r="G539" s="2" t="s">
        <v>19</v>
      </c>
      <c r="H539" s="2" t="s">
        <v>527</v>
      </c>
      <c r="I539" s="2" t="s">
        <v>527</v>
      </c>
    </row>
    <row r="540" spans="1:9" ht="14.5" x14ac:dyDescent="0.35">
      <c r="A540" s="2">
        <v>405435</v>
      </c>
      <c r="B540" s="2" t="str">
        <f>"3329046402980003"</f>
        <v>3329046402980003</v>
      </c>
      <c r="C540" s="2" t="s">
        <v>845</v>
      </c>
      <c r="D540" s="2" t="s">
        <v>10</v>
      </c>
      <c r="E540" s="2" t="s">
        <v>11</v>
      </c>
      <c r="F540" s="2" t="s">
        <v>18</v>
      </c>
      <c r="G540" s="2" t="s">
        <v>264</v>
      </c>
      <c r="H540" s="2" t="s">
        <v>396</v>
      </c>
      <c r="I540" s="2" t="s">
        <v>846</v>
      </c>
    </row>
    <row r="541" spans="1:9" ht="14.5" x14ac:dyDescent="0.35">
      <c r="A541" s="2">
        <v>2522040</v>
      </c>
      <c r="B541" s="2" t="str">
        <f>"3329046402980003"</f>
        <v>3329046402980003</v>
      </c>
      <c r="C541" s="2" t="s">
        <v>847</v>
      </c>
      <c r="D541" s="2" t="s">
        <v>17</v>
      </c>
      <c r="E541" s="2" t="s">
        <v>11</v>
      </c>
      <c r="F541" s="2" t="s">
        <v>18</v>
      </c>
      <c r="G541" s="2" t="s">
        <v>19</v>
      </c>
      <c r="H541" s="2" t="s">
        <v>527</v>
      </c>
      <c r="I541" s="2" t="s">
        <v>616</v>
      </c>
    </row>
    <row r="542" spans="1:9" ht="14.5" x14ac:dyDescent="0.35">
      <c r="A542" s="2">
        <v>2447997</v>
      </c>
      <c r="B542" s="2" t="str">
        <f>"3329050107990033"</f>
        <v>3329050107990033</v>
      </c>
      <c r="C542" s="2" t="s">
        <v>848</v>
      </c>
      <c r="D542" s="2" t="s">
        <v>10</v>
      </c>
      <c r="E542" s="2" t="s">
        <v>11</v>
      </c>
      <c r="F542" s="2" t="s">
        <v>18</v>
      </c>
      <c r="G542" s="2" t="s">
        <v>19</v>
      </c>
      <c r="H542" s="2" t="s">
        <v>527</v>
      </c>
      <c r="I542" s="2" t="s">
        <v>616</v>
      </c>
    </row>
    <row r="543" spans="1:9" ht="14.5" x14ac:dyDescent="0.35">
      <c r="A543" s="2">
        <v>1656906</v>
      </c>
      <c r="B543" s="2" t="str">
        <f>"3329050107990033"</f>
        <v>3329050107990033</v>
      </c>
      <c r="C543" s="2" t="s">
        <v>848</v>
      </c>
      <c r="D543" s="2" t="s">
        <v>17</v>
      </c>
      <c r="E543" s="2" t="s">
        <v>11</v>
      </c>
      <c r="F543" s="2" t="s">
        <v>18</v>
      </c>
      <c r="G543" s="2" t="s">
        <v>264</v>
      </c>
      <c r="H543" s="2" t="s">
        <v>289</v>
      </c>
      <c r="I543" s="2" t="s">
        <v>613</v>
      </c>
    </row>
    <row r="544" spans="1:9" ht="14.5" x14ac:dyDescent="0.35">
      <c r="A544" s="2">
        <v>1433197</v>
      </c>
      <c r="B544" s="2" t="str">
        <f>"3329050109960001"</f>
        <v>3329050109960001</v>
      </c>
      <c r="C544" s="2" t="s">
        <v>849</v>
      </c>
      <c r="D544" s="2" t="s">
        <v>10</v>
      </c>
      <c r="E544" s="2" t="s">
        <v>11</v>
      </c>
      <c r="F544" s="2" t="s">
        <v>18</v>
      </c>
      <c r="G544" s="2" t="s">
        <v>264</v>
      </c>
      <c r="H544" s="2" t="s">
        <v>289</v>
      </c>
      <c r="I544" s="2" t="s">
        <v>758</v>
      </c>
    </row>
    <row r="545" spans="1:9" ht="14.5" x14ac:dyDescent="0.35">
      <c r="A545" s="2">
        <v>2526158</v>
      </c>
      <c r="B545" s="2" t="str">
        <f>"3329050109960001"</f>
        <v>3329050109960001</v>
      </c>
      <c r="C545" s="2" t="s">
        <v>849</v>
      </c>
      <c r="D545" s="2" t="s">
        <v>17</v>
      </c>
      <c r="E545" s="2" t="s">
        <v>11</v>
      </c>
      <c r="F545" s="2" t="s">
        <v>18</v>
      </c>
      <c r="G545" s="2" t="s">
        <v>19</v>
      </c>
      <c r="H545" s="2" t="s">
        <v>527</v>
      </c>
      <c r="I545" s="2" t="s">
        <v>528</v>
      </c>
    </row>
    <row r="546" spans="1:9" ht="14.5" x14ac:dyDescent="0.35">
      <c r="A546" s="2">
        <v>1323333</v>
      </c>
      <c r="B546" s="2" t="str">
        <f>"3329050611820001"</f>
        <v>3329050611820001</v>
      </c>
      <c r="C546" s="2" t="s">
        <v>850</v>
      </c>
      <c r="D546" s="2" t="s">
        <v>10</v>
      </c>
      <c r="E546" s="2" t="s">
        <v>11</v>
      </c>
      <c r="F546" s="2" t="s">
        <v>18</v>
      </c>
      <c r="G546" s="2" t="s">
        <v>264</v>
      </c>
      <c r="H546" s="2" t="s">
        <v>289</v>
      </c>
      <c r="I546" s="2" t="s">
        <v>290</v>
      </c>
    </row>
    <row r="547" spans="1:9" ht="14.5" x14ac:dyDescent="0.35">
      <c r="A547" s="2">
        <v>2526520</v>
      </c>
      <c r="B547" s="2" t="str">
        <f>"3329050611820001"</f>
        <v>3329050611820001</v>
      </c>
      <c r="C547" s="2" t="s">
        <v>850</v>
      </c>
      <c r="D547" s="2" t="s">
        <v>17</v>
      </c>
      <c r="E547" s="2" t="s">
        <v>11</v>
      </c>
      <c r="F547" s="2" t="s">
        <v>18</v>
      </c>
      <c r="G547" s="2" t="s">
        <v>19</v>
      </c>
      <c r="H547" s="2" t="s">
        <v>527</v>
      </c>
      <c r="I547" s="2" t="s">
        <v>528</v>
      </c>
    </row>
    <row r="548" spans="1:9" ht="14.5" x14ac:dyDescent="0.35">
      <c r="A548" s="2">
        <v>2526301</v>
      </c>
      <c r="B548" s="2" t="str">
        <f>"3329050911900004"</f>
        <v>3329050911900004</v>
      </c>
      <c r="C548" s="2" t="s">
        <v>851</v>
      </c>
      <c r="D548" s="2" t="s">
        <v>17</v>
      </c>
      <c r="E548" s="2" t="s">
        <v>11</v>
      </c>
      <c r="F548" s="2" t="s">
        <v>18</v>
      </c>
      <c r="G548" s="2" t="s">
        <v>19</v>
      </c>
      <c r="H548" s="2" t="s">
        <v>527</v>
      </c>
      <c r="I548" s="2" t="s">
        <v>528</v>
      </c>
    </row>
    <row r="549" spans="1:9" ht="14.5" x14ac:dyDescent="0.35">
      <c r="A549" s="2">
        <v>1434353</v>
      </c>
      <c r="B549" s="2" t="str">
        <f>"3329050911900004"</f>
        <v>3329050911900004</v>
      </c>
      <c r="C549" s="2" t="s">
        <v>851</v>
      </c>
      <c r="D549" s="2" t="s">
        <v>189</v>
      </c>
      <c r="E549" s="2" t="s">
        <v>11</v>
      </c>
      <c r="F549" s="2" t="s">
        <v>18</v>
      </c>
      <c r="G549" s="2" t="s">
        <v>264</v>
      </c>
      <c r="H549" s="2" t="s">
        <v>289</v>
      </c>
      <c r="I549" s="2" t="s">
        <v>758</v>
      </c>
    </row>
    <row r="550" spans="1:9" ht="14.5" x14ac:dyDescent="0.35">
      <c r="A550" s="2">
        <v>1494721</v>
      </c>
      <c r="B550" s="2" t="str">
        <f>"3329051212830003"</f>
        <v>3329051212830003</v>
      </c>
      <c r="C550" s="2" t="s">
        <v>852</v>
      </c>
      <c r="D550" s="2" t="s">
        <v>10</v>
      </c>
      <c r="E550" s="2" t="s">
        <v>11</v>
      </c>
      <c r="F550" s="2" t="s">
        <v>18</v>
      </c>
      <c r="G550" s="2" t="s">
        <v>264</v>
      </c>
      <c r="H550" s="2" t="s">
        <v>289</v>
      </c>
      <c r="I550" s="2" t="s">
        <v>853</v>
      </c>
    </row>
    <row r="551" spans="1:9" ht="14.5" x14ac:dyDescent="0.35">
      <c r="A551" s="2">
        <v>2526779</v>
      </c>
      <c r="B551" s="2" t="str">
        <f>"3329051212830003"</f>
        <v>3329051212830003</v>
      </c>
      <c r="C551" s="2" t="s">
        <v>854</v>
      </c>
      <c r="D551" s="2" t="s">
        <v>17</v>
      </c>
      <c r="E551" s="2" t="s">
        <v>11</v>
      </c>
      <c r="F551" s="2" t="s">
        <v>18</v>
      </c>
      <c r="G551" s="2" t="s">
        <v>19</v>
      </c>
      <c r="H551" s="2" t="s">
        <v>527</v>
      </c>
      <c r="I551" s="2" t="s">
        <v>528</v>
      </c>
    </row>
    <row r="552" spans="1:9" ht="14.5" x14ac:dyDescent="0.35">
      <c r="A552" s="2">
        <v>2447998</v>
      </c>
      <c r="B552" s="2" t="str">
        <f>"3329051811950001"</f>
        <v>3329051811950001</v>
      </c>
      <c r="C552" s="2" t="s">
        <v>855</v>
      </c>
      <c r="D552" s="2" t="s">
        <v>10</v>
      </c>
      <c r="E552" s="2" t="s">
        <v>11</v>
      </c>
      <c r="F552" s="2" t="s">
        <v>18</v>
      </c>
      <c r="G552" s="2" t="s">
        <v>19</v>
      </c>
      <c r="H552" s="2" t="s">
        <v>527</v>
      </c>
      <c r="I552" s="2" t="s">
        <v>616</v>
      </c>
    </row>
    <row r="553" spans="1:9" ht="14.5" x14ac:dyDescent="0.35">
      <c r="A553" s="2">
        <v>1680216</v>
      </c>
      <c r="B553" s="2" t="str">
        <f>"3329051811950001"</f>
        <v>3329051811950001</v>
      </c>
      <c r="C553" s="2" t="s">
        <v>856</v>
      </c>
      <c r="D553" s="2" t="s">
        <v>17</v>
      </c>
      <c r="E553" s="2" t="s">
        <v>11</v>
      </c>
      <c r="F553" s="2" t="s">
        <v>18</v>
      </c>
      <c r="G553" s="2" t="s">
        <v>264</v>
      </c>
      <c r="H553" s="2" t="s">
        <v>289</v>
      </c>
      <c r="I553" s="2" t="s">
        <v>822</v>
      </c>
    </row>
    <row r="554" spans="1:9" ht="14.5" x14ac:dyDescent="0.35">
      <c r="A554" s="2">
        <v>1337340</v>
      </c>
      <c r="B554" s="2" t="str">
        <f>"3329053108060004"</f>
        <v>3329053108060004</v>
      </c>
      <c r="C554" s="2" t="s">
        <v>857</v>
      </c>
      <c r="D554" s="2" t="s">
        <v>10</v>
      </c>
      <c r="E554" s="2" t="s">
        <v>11</v>
      </c>
      <c r="F554" s="2" t="s">
        <v>18</v>
      </c>
      <c r="G554" s="2" t="s">
        <v>264</v>
      </c>
      <c r="H554" s="2" t="s">
        <v>289</v>
      </c>
      <c r="I554" s="2" t="s">
        <v>613</v>
      </c>
    </row>
    <row r="555" spans="1:9" ht="14.5" x14ac:dyDescent="0.35">
      <c r="A555" s="2">
        <v>2521948</v>
      </c>
      <c r="B555" s="2" t="str">
        <f>"3329053108060004"</f>
        <v>3329053108060004</v>
      </c>
      <c r="C555" s="2" t="s">
        <v>857</v>
      </c>
      <c r="D555" s="2" t="s">
        <v>17</v>
      </c>
      <c r="E555" s="2" t="s">
        <v>11</v>
      </c>
      <c r="F555" s="2" t="s">
        <v>18</v>
      </c>
      <c r="G555" s="2" t="s">
        <v>19</v>
      </c>
      <c r="H555" s="2" t="s">
        <v>527</v>
      </c>
      <c r="I555" s="2" t="s">
        <v>616</v>
      </c>
    </row>
    <row r="556" spans="1:9" ht="14.5" x14ac:dyDescent="0.35">
      <c r="A556" s="2">
        <v>1339005</v>
      </c>
      <c r="B556" s="2" t="str">
        <f>"3329054404960006"</f>
        <v>3329054404960006</v>
      </c>
      <c r="C556" s="2" t="s">
        <v>858</v>
      </c>
      <c r="D556" s="2" t="s">
        <v>10</v>
      </c>
      <c r="E556" s="2" t="s">
        <v>11</v>
      </c>
      <c r="F556" s="2" t="s">
        <v>18</v>
      </c>
      <c r="G556" s="2" t="s">
        <v>264</v>
      </c>
      <c r="H556" s="2" t="s">
        <v>289</v>
      </c>
      <c r="I556" s="2" t="s">
        <v>613</v>
      </c>
    </row>
    <row r="557" spans="1:9" ht="14.5" x14ac:dyDescent="0.35">
      <c r="A557" s="2">
        <v>2521959</v>
      </c>
      <c r="B557" s="2" t="str">
        <f>"3329054404960006"</f>
        <v>3329054404960006</v>
      </c>
      <c r="C557" s="2" t="s">
        <v>858</v>
      </c>
      <c r="D557" s="2" t="s">
        <v>17</v>
      </c>
      <c r="E557" s="2" t="s">
        <v>11</v>
      </c>
      <c r="F557" s="2" t="s">
        <v>18</v>
      </c>
      <c r="G557" s="2" t="s">
        <v>19</v>
      </c>
      <c r="H557" s="2" t="s">
        <v>527</v>
      </c>
      <c r="I557" s="2" t="s">
        <v>616</v>
      </c>
    </row>
    <row r="558" spans="1:9" ht="14.5" x14ac:dyDescent="0.35">
      <c r="A558" s="2">
        <v>1338555</v>
      </c>
      <c r="B558" s="2" t="str">
        <f>"3329054809850002"</f>
        <v>3329054809850002</v>
      </c>
      <c r="C558" s="2" t="s">
        <v>859</v>
      </c>
      <c r="D558" s="2" t="s">
        <v>10</v>
      </c>
      <c r="E558" s="2" t="s">
        <v>11</v>
      </c>
      <c r="F558" s="2" t="s">
        <v>18</v>
      </c>
      <c r="G558" s="2" t="s">
        <v>264</v>
      </c>
      <c r="H558" s="2" t="s">
        <v>289</v>
      </c>
      <c r="I558" s="2" t="s">
        <v>613</v>
      </c>
    </row>
    <row r="559" spans="1:9" ht="14.5" x14ac:dyDescent="0.35">
      <c r="A559" s="2">
        <v>2521970</v>
      </c>
      <c r="B559" s="2" t="str">
        <f>"3329054809850002"</f>
        <v>3329054809850002</v>
      </c>
      <c r="C559" s="2" t="s">
        <v>859</v>
      </c>
      <c r="D559" s="2" t="s">
        <v>17</v>
      </c>
      <c r="E559" s="2" t="s">
        <v>11</v>
      </c>
      <c r="F559" s="2" t="s">
        <v>18</v>
      </c>
      <c r="G559" s="2" t="s">
        <v>19</v>
      </c>
      <c r="H559" s="2" t="s">
        <v>527</v>
      </c>
      <c r="I559" s="2" t="s">
        <v>616</v>
      </c>
    </row>
    <row r="560" spans="1:9" ht="14.5" x14ac:dyDescent="0.35">
      <c r="A560" s="2">
        <v>248592</v>
      </c>
      <c r="B560" s="2" t="str">
        <f>"3329064307950005"</f>
        <v>3329064307950005</v>
      </c>
      <c r="C560" s="2" t="s">
        <v>860</v>
      </c>
      <c r="D560" s="2" t="s">
        <v>10</v>
      </c>
      <c r="E560" s="2" t="s">
        <v>11</v>
      </c>
      <c r="F560" s="2" t="s">
        <v>18</v>
      </c>
      <c r="G560" s="2" t="s">
        <v>264</v>
      </c>
      <c r="H560" s="2" t="s">
        <v>468</v>
      </c>
      <c r="I560" s="2" t="s">
        <v>861</v>
      </c>
    </row>
    <row r="561" spans="1:9" ht="14.5" x14ac:dyDescent="0.35">
      <c r="A561" s="2">
        <v>2521913</v>
      </c>
      <c r="B561" s="2" t="str">
        <f>"3329064307950005"</f>
        <v>3329064307950005</v>
      </c>
      <c r="C561" s="2" t="s">
        <v>860</v>
      </c>
      <c r="D561" s="2" t="s">
        <v>17</v>
      </c>
      <c r="E561" s="2" t="s">
        <v>11</v>
      </c>
      <c r="F561" s="2" t="s">
        <v>18</v>
      </c>
      <c r="G561" s="2" t="s">
        <v>19</v>
      </c>
      <c r="H561" s="2" t="s">
        <v>527</v>
      </c>
      <c r="I561" s="2" t="s">
        <v>616</v>
      </c>
    </row>
    <row r="562" spans="1:9" ht="14.5" x14ac:dyDescent="0.35">
      <c r="A562" s="2">
        <v>2491837</v>
      </c>
      <c r="B562" s="2" t="str">
        <f>"3329071911850003"</f>
        <v>3329071911850003</v>
      </c>
      <c r="C562" s="2" t="s">
        <v>862</v>
      </c>
      <c r="D562" s="2" t="s">
        <v>10</v>
      </c>
      <c r="E562" s="2" t="s">
        <v>11</v>
      </c>
      <c r="F562" s="2" t="s">
        <v>18</v>
      </c>
      <c r="G562" s="2" t="s">
        <v>19</v>
      </c>
      <c r="H562" s="2" t="s">
        <v>527</v>
      </c>
      <c r="I562" s="2" t="s">
        <v>532</v>
      </c>
    </row>
    <row r="563" spans="1:9" ht="14.5" x14ac:dyDescent="0.35">
      <c r="A563" s="2">
        <v>1681490</v>
      </c>
      <c r="B563" s="2" t="str">
        <f>"3329071911850003"</f>
        <v>3329071911850003</v>
      </c>
      <c r="C563" s="2" t="s">
        <v>862</v>
      </c>
      <c r="D563" s="2" t="s">
        <v>17</v>
      </c>
      <c r="E563" s="2" t="s">
        <v>11</v>
      </c>
      <c r="F563" s="2" t="s">
        <v>18</v>
      </c>
      <c r="G563" s="2" t="s">
        <v>264</v>
      </c>
      <c r="H563" s="2" t="s">
        <v>265</v>
      </c>
      <c r="I563" s="2" t="s">
        <v>863</v>
      </c>
    </row>
    <row r="564" spans="1:9" ht="14.5" x14ac:dyDescent="0.35">
      <c r="A564" s="2">
        <v>1311664</v>
      </c>
      <c r="B564" s="2" t="str">
        <f>"3329072812850009"</f>
        <v>3329072812850009</v>
      </c>
      <c r="C564" s="2" t="s">
        <v>864</v>
      </c>
      <c r="D564" s="2" t="s">
        <v>10</v>
      </c>
      <c r="E564" s="2" t="s">
        <v>11</v>
      </c>
      <c r="F564" s="2" t="s">
        <v>18</v>
      </c>
      <c r="G564" s="2" t="s">
        <v>264</v>
      </c>
      <c r="H564" s="2" t="s">
        <v>265</v>
      </c>
      <c r="I564" s="2" t="s">
        <v>865</v>
      </c>
    </row>
    <row r="565" spans="1:9" ht="14.5" x14ac:dyDescent="0.35">
      <c r="A565" s="2">
        <v>2523988</v>
      </c>
      <c r="B565" s="2" t="str">
        <f>"3329072812850009"</f>
        <v>3329072812850009</v>
      </c>
      <c r="C565" s="2" t="s">
        <v>866</v>
      </c>
      <c r="D565" s="2" t="s">
        <v>17</v>
      </c>
      <c r="E565" s="2" t="s">
        <v>11</v>
      </c>
      <c r="F565" s="2" t="s">
        <v>18</v>
      </c>
      <c r="G565" s="2" t="s">
        <v>19</v>
      </c>
      <c r="H565" s="2" t="s">
        <v>527</v>
      </c>
      <c r="I565" s="2" t="s">
        <v>590</v>
      </c>
    </row>
    <row r="566" spans="1:9" ht="14.5" x14ac:dyDescent="0.35">
      <c r="A566" s="2">
        <v>1271370</v>
      </c>
      <c r="B566" s="2" t="str">
        <f>"3329085903860006"</f>
        <v>3329085903860006</v>
      </c>
      <c r="C566" s="2" t="s">
        <v>867</v>
      </c>
      <c r="D566" s="2" t="s">
        <v>10</v>
      </c>
      <c r="E566" s="2" t="s">
        <v>11</v>
      </c>
      <c r="F566" s="2" t="s">
        <v>18</v>
      </c>
      <c r="G566" s="2" t="s">
        <v>264</v>
      </c>
      <c r="H566" s="2" t="s">
        <v>248</v>
      </c>
      <c r="I566" s="2" t="s">
        <v>868</v>
      </c>
    </row>
    <row r="567" spans="1:9" ht="14.5" x14ac:dyDescent="0.35">
      <c r="A567" s="2">
        <v>2522846</v>
      </c>
      <c r="B567" s="2" t="str">
        <f>"3329085903860006"</f>
        <v>3329085903860006</v>
      </c>
      <c r="C567" s="2" t="s">
        <v>867</v>
      </c>
      <c r="D567" s="2" t="s">
        <v>17</v>
      </c>
      <c r="E567" s="2" t="s">
        <v>11</v>
      </c>
      <c r="F567" s="2" t="s">
        <v>18</v>
      </c>
      <c r="G567" s="2" t="s">
        <v>19</v>
      </c>
      <c r="H567" s="2" t="s">
        <v>527</v>
      </c>
      <c r="I567" s="2" t="s">
        <v>527</v>
      </c>
    </row>
    <row r="568" spans="1:9" ht="14.5" x14ac:dyDescent="0.35">
      <c r="A568" s="2">
        <v>2496908</v>
      </c>
      <c r="B568" s="2" t="str">
        <f>"3329092711870007"</f>
        <v>3329092711870007</v>
      </c>
      <c r="C568" s="2" t="s">
        <v>869</v>
      </c>
      <c r="D568" s="2" t="s">
        <v>10</v>
      </c>
      <c r="E568" s="2" t="s">
        <v>11</v>
      </c>
      <c r="F568" s="2" t="s">
        <v>18</v>
      </c>
      <c r="G568" s="2" t="s">
        <v>19</v>
      </c>
      <c r="H568" s="2" t="s">
        <v>527</v>
      </c>
      <c r="I568" s="2" t="s">
        <v>528</v>
      </c>
    </row>
    <row r="569" spans="1:9" ht="14.5" x14ac:dyDescent="0.35">
      <c r="A569" s="2">
        <v>254129</v>
      </c>
      <c r="B569" s="2" t="str">
        <f>"3329092711870007"</f>
        <v>3329092711870007</v>
      </c>
      <c r="C569" s="2" t="s">
        <v>870</v>
      </c>
      <c r="D569" s="2" t="s">
        <v>10</v>
      </c>
      <c r="E569" s="2" t="s">
        <v>57</v>
      </c>
      <c r="F569" s="2" t="s">
        <v>521</v>
      </c>
      <c r="G569" s="2" t="s">
        <v>657</v>
      </c>
      <c r="H569" s="2" t="s">
        <v>658</v>
      </c>
      <c r="I569" s="2" t="s">
        <v>871</v>
      </c>
    </row>
    <row r="570" spans="1:9" ht="14.5" x14ac:dyDescent="0.35">
      <c r="A570" s="2">
        <v>786027</v>
      </c>
      <c r="B570" s="2" t="str">
        <f>"3329095705900008"</f>
        <v>3329095705900008</v>
      </c>
      <c r="C570" s="2" t="s">
        <v>872</v>
      </c>
      <c r="D570" s="2" t="s">
        <v>189</v>
      </c>
      <c r="E570" s="2" t="s">
        <v>11</v>
      </c>
      <c r="F570" s="2" t="s">
        <v>18</v>
      </c>
      <c r="G570" s="2" t="s">
        <v>264</v>
      </c>
      <c r="H570" s="2" t="s">
        <v>264</v>
      </c>
      <c r="I570" s="2" t="s">
        <v>873</v>
      </c>
    </row>
    <row r="571" spans="1:9" ht="14.5" x14ac:dyDescent="0.35">
      <c r="A571" s="2">
        <v>2522847</v>
      </c>
      <c r="B571" s="2" t="str">
        <f>"3329095705900008"</f>
        <v>3329095705900008</v>
      </c>
      <c r="C571" s="2" t="s">
        <v>872</v>
      </c>
      <c r="D571" s="2" t="s">
        <v>17</v>
      </c>
      <c r="E571" s="2" t="s">
        <v>11</v>
      </c>
      <c r="F571" s="2" t="s">
        <v>18</v>
      </c>
      <c r="G571" s="2" t="s">
        <v>19</v>
      </c>
      <c r="H571" s="2" t="s">
        <v>527</v>
      </c>
      <c r="I571" s="2" t="s">
        <v>527</v>
      </c>
    </row>
    <row r="572" spans="1:9" ht="14.5" x14ac:dyDescent="0.35">
      <c r="A572" s="2">
        <v>1442093</v>
      </c>
      <c r="B572" s="2" t="str">
        <f>"3329100901820003"</f>
        <v>3329100901820003</v>
      </c>
      <c r="C572" s="2" t="s">
        <v>874</v>
      </c>
      <c r="D572" s="2" t="s">
        <v>10</v>
      </c>
      <c r="E572" s="2" t="s">
        <v>11</v>
      </c>
      <c r="F572" s="2" t="s">
        <v>18</v>
      </c>
      <c r="G572" s="2" t="s">
        <v>264</v>
      </c>
      <c r="H572" s="2" t="s">
        <v>273</v>
      </c>
      <c r="I572" s="2" t="s">
        <v>875</v>
      </c>
    </row>
    <row r="573" spans="1:9" ht="14.5" x14ac:dyDescent="0.35">
      <c r="A573" s="2">
        <v>2523905</v>
      </c>
      <c r="B573" s="2" t="str">
        <f>"3329100901820003"</f>
        <v>3329100901820003</v>
      </c>
      <c r="C573" s="2" t="s">
        <v>874</v>
      </c>
      <c r="D573" s="2" t="s">
        <v>17</v>
      </c>
      <c r="E573" s="2" t="s">
        <v>11</v>
      </c>
      <c r="F573" s="2" t="s">
        <v>18</v>
      </c>
      <c r="G573" s="2" t="s">
        <v>19</v>
      </c>
      <c r="H573" s="2" t="s">
        <v>527</v>
      </c>
      <c r="I573" s="2" t="s">
        <v>590</v>
      </c>
    </row>
    <row r="574" spans="1:9" ht="14.5" x14ac:dyDescent="0.35">
      <c r="A574" s="2">
        <v>542319</v>
      </c>
      <c r="B574" s="2" t="str">
        <f>"3329122003000005"</f>
        <v>3329122003000005</v>
      </c>
      <c r="C574" s="2" t="s">
        <v>876</v>
      </c>
      <c r="D574" s="2" t="s">
        <v>10</v>
      </c>
      <c r="E574" s="2" t="s">
        <v>11</v>
      </c>
      <c r="F574" s="2" t="s">
        <v>18</v>
      </c>
      <c r="G574" s="2" t="s">
        <v>264</v>
      </c>
      <c r="H574" s="2" t="s">
        <v>877</v>
      </c>
      <c r="I574" s="2" t="s">
        <v>878</v>
      </c>
    </row>
    <row r="575" spans="1:9" ht="14.5" x14ac:dyDescent="0.35">
      <c r="A575" s="2">
        <v>2522844</v>
      </c>
      <c r="B575" s="2" t="str">
        <f>"3329122003000005"</f>
        <v>3329122003000005</v>
      </c>
      <c r="C575" s="2" t="s">
        <v>876</v>
      </c>
      <c r="D575" s="2" t="s">
        <v>17</v>
      </c>
      <c r="E575" s="2" t="s">
        <v>11</v>
      </c>
      <c r="F575" s="2" t="s">
        <v>18</v>
      </c>
      <c r="G575" s="2" t="s">
        <v>19</v>
      </c>
      <c r="H575" s="2" t="s">
        <v>527</v>
      </c>
      <c r="I575" s="2" t="s">
        <v>527</v>
      </c>
    </row>
    <row r="576" spans="1:9" ht="14.5" x14ac:dyDescent="0.35">
      <c r="A576" s="2">
        <v>811421</v>
      </c>
      <c r="B576" s="2" t="str">
        <f>"3329164809890002"</f>
        <v>3329164809890002</v>
      </c>
      <c r="C576" s="2" t="s">
        <v>879</v>
      </c>
      <c r="D576" s="2" t="s">
        <v>10</v>
      </c>
      <c r="E576" s="2" t="s">
        <v>11</v>
      </c>
      <c r="F576" s="2" t="s">
        <v>18</v>
      </c>
      <c r="G576" s="2" t="s">
        <v>264</v>
      </c>
      <c r="H576" s="2" t="s">
        <v>344</v>
      </c>
      <c r="I576" s="2" t="s">
        <v>344</v>
      </c>
    </row>
    <row r="577" spans="1:9" ht="14.5" x14ac:dyDescent="0.35">
      <c r="A577" s="2">
        <v>2522962</v>
      </c>
      <c r="B577" s="2" t="str">
        <f>"3329164809890002"</f>
        <v>3329164809890002</v>
      </c>
      <c r="C577" s="2" t="s">
        <v>879</v>
      </c>
      <c r="D577" s="2" t="s">
        <v>17</v>
      </c>
      <c r="E577" s="2" t="s">
        <v>11</v>
      </c>
      <c r="F577" s="2" t="s">
        <v>18</v>
      </c>
      <c r="G577" s="2" t="s">
        <v>19</v>
      </c>
      <c r="H577" s="2" t="s">
        <v>527</v>
      </c>
      <c r="I577" s="2" t="s">
        <v>527</v>
      </c>
    </row>
    <row r="578" spans="1:9" ht="14.5" x14ac:dyDescent="0.35">
      <c r="A578" s="2">
        <v>946615</v>
      </c>
      <c r="B578" s="2" t="str">
        <f>"3329170809810004"</f>
        <v>3329170809810004</v>
      </c>
      <c r="C578" s="2" t="s">
        <v>880</v>
      </c>
      <c r="D578" s="2" t="s">
        <v>10</v>
      </c>
      <c r="E578" s="2" t="s">
        <v>11</v>
      </c>
      <c r="F578" s="2" t="s">
        <v>18</v>
      </c>
      <c r="G578" s="2" t="s">
        <v>264</v>
      </c>
      <c r="H578" s="2" t="s">
        <v>881</v>
      </c>
      <c r="I578" s="2" t="s">
        <v>882</v>
      </c>
    </row>
    <row r="579" spans="1:9" ht="14.5" x14ac:dyDescent="0.35">
      <c r="A579" s="2">
        <v>2444158</v>
      </c>
      <c r="B579" s="2" t="str">
        <f>"3329170809810004"</f>
        <v>3329170809810004</v>
      </c>
      <c r="C579" s="2" t="s">
        <v>880</v>
      </c>
      <c r="D579" s="2" t="s">
        <v>189</v>
      </c>
      <c r="E579" s="2" t="s">
        <v>11</v>
      </c>
      <c r="F579" s="2" t="s">
        <v>18</v>
      </c>
      <c r="G579" s="2" t="s">
        <v>19</v>
      </c>
      <c r="H579" s="2" t="s">
        <v>527</v>
      </c>
      <c r="I579" s="2" t="s">
        <v>616</v>
      </c>
    </row>
    <row r="580" spans="1:9" ht="14.5" x14ac:dyDescent="0.35">
      <c r="A580" s="2">
        <v>283092</v>
      </c>
      <c r="B580" s="2" t="str">
        <f>"3376016105660002"</f>
        <v>3376016105660002</v>
      </c>
      <c r="C580" s="2" t="s">
        <v>883</v>
      </c>
      <c r="D580" s="2" t="s">
        <v>10</v>
      </c>
      <c r="E580" s="2" t="s">
        <v>11</v>
      </c>
      <c r="F580" s="2" t="s">
        <v>18</v>
      </c>
      <c r="G580" s="2" t="s">
        <v>268</v>
      </c>
      <c r="H580" s="2" t="s">
        <v>277</v>
      </c>
      <c r="I580" s="2" t="s">
        <v>884</v>
      </c>
    </row>
    <row r="581" spans="1:9" ht="14.5" x14ac:dyDescent="0.35">
      <c r="A581" s="2">
        <v>2522104</v>
      </c>
      <c r="B581" s="2" t="str">
        <f>"3376016105660002"</f>
        <v>3376016105660002</v>
      </c>
      <c r="C581" s="2" t="s">
        <v>883</v>
      </c>
      <c r="D581" s="2" t="s">
        <v>17</v>
      </c>
      <c r="E581" s="2" t="s">
        <v>11</v>
      </c>
      <c r="F581" s="2" t="s">
        <v>18</v>
      </c>
      <c r="G581" s="2" t="s">
        <v>19</v>
      </c>
      <c r="H581" s="2" t="s">
        <v>527</v>
      </c>
      <c r="I581" s="2" t="s">
        <v>560</v>
      </c>
    </row>
    <row r="582" spans="1:9" ht="14.5" x14ac:dyDescent="0.35">
      <c r="A582" s="2">
        <v>264870</v>
      </c>
      <c r="B582" s="2" t="str">
        <f>"3376022003560002"</f>
        <v>3376022003560002</v>
      </c>
      <c r="C582" s="2" t="s">
        <v>885</v>
      </c>
      <c r="D582" s="2" t="s">
        <v>10</v>
      </c>
      <c r="E582" s="2" t="s">
        <v>11</v>
      </c>
      <c r="F582" s="2" t="s">
        <v>18</v>
      </c>
      <c r="G582" s="2" t="s">
        <v>268</v>
      </c>
      <c r="H582" s="2" t="s">
        <v>371</v>
      </c>
      <c r="I582" s="2" t="s">
        <v>497</v>
      </c>
    </row>
    <row r="583" spans="1:9" ht="14.5" x14ac:dyDescent="0.35">
      <c r="A583" s="2">
        <v>2522956</v>
      </c>
      <c r="B583" s="2" t="str">
        <f>"3376022003560002"</f>
        <v>3376022003560002</v>
      </c>
      <c r="C583" s="2" t="s">
        <v>885</v>
      </c>
      <c r="D583" s="2" t="s">
        <v>17</v>
      </c>
      <c r="E583" s="2" t="s">
        <v>11</v>
      </c>
      <c r="F583" s="2" t="s">
        <v>18</v>
      </c>
      <c r="G583" s="2" t="s">
        <v>19</v>
      </c>
      <c r="H583" s="2" t="s">
        <v>527</v>
      </c>
      <c r="I583" s="2" t="s">
        <v>527</v>
      </c>
    </row>
    <row r="584" spans="1:9" ht="14.5" x14ac:dyDescent="0.35">
      <c r="A584" s="2">
        <v>264869</v>
      </c>
      <c r="B584" s="2" t="str">
        <f>"3376025602760001"</f>
        <v>3376025602760001</v>
      </c>
      <c r="C584" s="2" t="s">
        <v>886</v>
      </c>
      <c r="D584" s="2" t="s">
        <v>10</v>
      </c>
      <c r="E584" s="2" t="s">
        <v>11</v>
      </c>
      <c r="F584" s="2" t="s">
        <v>18</v>
      </c>
      <c r="G584" s="2" t="s">
        <v>268</v>
      </c>
      <c r="H584" s="2" t="s">
        <v>371</v>
      </c>
      <c r="I584" s="2" t="s">
        <v>497</v>
      </c>
    </row>
    <row r="585" spans="1:9" ht="14.5" x14ac:dyDescent="0.35">
      <c r="A585" s="2">
        <v>2522957</v>
      </c>
      <c r="B585" s="2" t="str">
        <f>"3376025602760001"</f>
        <v>3376025602760001</v>
      </c>
      <c r="C585" s="2" t="s">
        <v>886</v>
      </c>
      <c r="D585" s="2" t="s">
        <v>17</v>
      </c>
      <c r="E585" s="2" t="s">
        <v>11</v>
      </c>
      <c r="F585" s="2" t="s">
        <v>18</v>
      </c>
      <c r="G585" s="2" t="s">
        <v>19</v>
      </c>
      <c r="H585" s="2" t="s">
        <v>527</v>
      </c>
      <c r="I585" s="2" t="s">
        <v>527</v>
      </c>
    </row>
    <row r="586" spans="1:9" ht="14.5" x14ac:dyDescent="0.35">
      <c r="A586" s="2">
        <v>413738</v>
      </c>
      <c r="B586" s="2" t="str">
        <f>"3376043112730005"</f>
        <v>3376043112730005</v>
      </c>
      <c r="C586" s="2" t="s">
        <v>887</v>
      </c>
      <c r="D586" s="2" t="s">
        <v>10</v>
      </c>
      <c r="E586" s="2" t="s">
        <v>11</v>
      </c>
      <c r="F586" s="2" t="s">
        <v>18</v>
      </c>
      <c r="G586" s="2" t="s">
        <v>268</v>
      </c>
      <c r="H586" s="2" t="s">
        <v>448</v>
      </c>
      <c r="I586" s="2" t="s">
        <v>888</v>
      </c>
    </row>
    <row r="587" spans="1:9" ht="14.5" x14ac:dyDescent="0.35">
      <c r="A587" s="2">
        <v>2523967</v>
      </c>
      <c r="B587" s="2" t="str">
        <f>"3376043112730005"</f>
        <v>3376043112730005</v>
      </c>
      <c r="C587" s="2" t="s">
        <v>887</v>
      </c>
      <c r="D587" s="2" t="s">
        <v>17</v>
      </c>
      <c r="E587" s="2" t="s">
        <v>11</v>
      </c>
      <c r="F587" s="2" t="s">
        <v>18</v>
      </c>
      <c r="G587" s="2" t="s">
        <v>19</v>
      </c>
      <c r="H587" s="2" t="s">
        <v>527</v>
      </c>
      <c r="I587" s="2" t="s">
        <v>590</v>
      </c>
    </row>
    <row r="588" spans="1:9" ht="14.5" x14ac:dyDescent="0.35">
      <c r="A588" s="2">
        <v>1246626</v>
      </c>
      <c r="B588" s="2" t="str">
        <f>"3601094904830002"</f>
        <v>3601094904830002</v>
      </c>
      <c r="C588" s="2" t="s">
        <v>889</v>
      </c>
      <c r="D588" s="2" t="s">
        <v>10</v>
      </c>
      <c r="E588" s="2" t="s">
        <v>11</v>
      </c>
      <c r="F588" s="2" t="s">
        <v>67</v>
      </c>
      <c r="G588" s="2" t="s">
        <v>890</v>
      </c>
      <c r="H588" s="2" t="s">
        <v>891</v>
      </c>
      <c r="I588" s="2" t="s">
        <v>891</v>
      </c>
    </row>
    <row r="589" spans="1:9" ht="14.5" x14ac:dyDescent="0.35">
      <c r="A589" s="2">
        <v>2525211</v>
      </c>
      <c r="B589" s="2" t="str">
        <f>"3601094904830002"</f>
        <v>3601094904830002</v>
      </c>
      <c r="C589" s="2" t="s">
        <v>892</v>
      </c>
      <c r="D589" s="2" t="s">
        <v>17</v>
      </c>
      <c r="E589" s="2" t="s">
        <v>11</v>
      </c>
      <c r="F589" s="2" t="s">
        <v>18</v>
      </c>
      <c r="G589" s="2" t="s">
        <v>19</v>
      </c>
      <c r="H589" s="2" t="s">
        <v>527</v>
      </c>
      <c r="I589" s="2" t="s">
        <v>801</v>
      </c>
    </row>
    <row r="590" spans="1:9" ht="14.5" x14ac:dyDescent="0.35">
      <c r="A590" s="2">
        <v>1323000</v>
      </c>
      <c r="B590" s="2" t="str">
        <f>"3602116808930002"</f>
        <v>3602116808930002</v>
      </c>
      <c r="C590" s="2" t="s">
        <v>893</v>
      </c>
      <c r="D590" s="2" t="s">
        <v>10</v>
      </c>
      <c r="E590" s="2" t="s">
        <v>11</v>
      </c>
      <c r="F590" s="2" t="s">
        <v>67</v>
      </c>
      <c r="G590" s="2" t="s">
        <v>638</v>
      </c>
      <c r="H590" s="2" t="s">
        <v>894</v>
      </c>
      <c r="I590" s="2" t="s">
        <v>895</v>
      </c>
    </row>
    <row r="591" spans="1:9" ht="14.5" x14ac:dyDescent="0.35">
      <c r="A591" s="2">
        <v>2526274</v>
      </c>
      <c r="B591" s="2" t="str">
        <f>"3602116808930002"</f>
        <v>3602116808930002</v>
      </c>
      <c r="C591" s="2" t="s">
        <v>893</v>
      </c>
      <c r="D591" s="2" t="s">
        <v>17</v>
      </c>
      <c r="E591" s="2" t="s">
        <v>11</v>
      </c>
      <c r="F591" s="2" t="s">
        <v>18</v>
      </c>
      <c r="G591" s="2" t="s">
        <v>19</v>
      </c>
      <c r="H591" s="2" t="s">
        <v>527</v>
      </c>
      <c r="I591" s="2" t="s">
        <v>528</v>
      </c>
    </row>
    <row r="592" spans="1:9" ht="14.5" x14ac:dyDescent="0.35">
      <c r="A592" s="2">
        <v>2493907</v>
      </c>
      <c r="B592" s="2" t="str">
        <f>"3603135703960001"</f>
        <v>3603135703960001</v>
      </c>
      <c r="C592" s="2" t="s">
        <v>896</v>
      </c>
      <c r="D592" s="2" t="s">
        <v>10</v>
      </c>
      <c r="E592" s="2" t="s">
        <v>11</v>
      </c>
      <c r="F592" s="2" t="s">
        <v>18</v>
      </c>
      <c r="G592" s="2" t="s">
        <v>19</v>
      </c>
      <c r="H592" s="2" t="s">
        <v>527</v>
      </c>
      <c r="I592" s="2" t="s">
        <v>532</v>
      </c>
    </row>
    <row r="593" spans="1:9" ht="14.5" x14ac:dyDescent="0.35">
      <c r="A593" s="2">
        <v>2414186</v>
      </c>
      <c r="B593" s="2" t="str">
        <f>"3603135703960001"</f>
        <v>3603135703960001</v>
      </c>
      <c r="C593" s="2" t="s">
        <v>897</v>
      </c>
      <c r="D593" s="2" t="s">
        <v>17</v>
      </c>
      <c r="E593" s="2" t="s">
        <v>11</v>
      </c>
      <c r="F593" s="2" t="s">
        <v>67</v>
      </c>
      <c r="G593" s="2" t="s">
        <v>791</v>
      </c>
      <c r="H593" s="2" t="s">
        <v>898</v>
      </c>
      <c r="I593" s="2" t="s">
        <v>899</v>
      </c>
    </row>
    <row r="594" spans="1:9" ht="14.5" x14ac:dyDescent="0.35">
      <c r="A594" s="2">
        <v>2498966</v>
      </c>
      <c r="B594" s="2" t="str">
        <f>"3604295407880006"</f>
        <v>3604295407880006</v>
      </c>
      <c r="C594" s="2" t="s">
        <v>900</v>
      </c>
      <c r="D594" s="2" t="s">
        <v>10</v>
      </c>
      <c r="E594" s="2" t="s">
        <v>11</v>
      </c>
      <c r="F594" s="2" t="s">
        <v>18</v>
      </c>
      <c r="G594" s="2" t="s">
        <v>19</v>
      </c>
      <c r="H594" s="2" t="s">
        <v>527</v>
      </c>
      <c r="I594" s="2" t="s">
        <v>528</v>
      </c>
    </row>
    <row r="595" spans="1:9" ht="14.5" x14ac:dyDescent="0.35">
      <c r="A595" s="2">
        <v>2625824</v>
      </c>
      <c r="B595" s="2" t="str">
        <f>"3604295407880006"</f>
        <v>3604295407880006</v>
      </c>
      <c r="C595" s="2" t="s">
        <v>900</v>
      </c>
      <c r="D595" s="2" t="s">
        <v>17</v>
      </c>
      <c r="E595" s="2" t="s">
        <v>11</v>
      </c>
      <c r="F595" s="2" t="s">
        <v>67</v>
      </c>
      <c r="G595" s="2" t="s">
        <v>375</v>
      </c>
      <c r="H595" s="2" t="s">
        <v>901</v>
      </c>
      <c r="I595" s="2" t="s">
        <v>637</v>
      </c>
    </row>
    <row r="596" spans="1:9" ht="14.5" x14ac:dyDescent="0.35">
      <c r="A596" s="2">
        <v>1288964</v>
      </c>
      <c r="B596" s="2" t="str">
        <f>"1304080308940003"</f>
        <v>1304080308940003</v>
      </c>
      <c r="C596" s="2" t="s">
        <v>902</v>
      </c>
      <c r="D596" s="2" t="s">
        <v>10</v>
      </c>
      <c r="E596" s="2" t="s">
        <v>11</v>
      </c>
      <c r="F596" s="2" t="s">
        <v>91</v>
      </c>
      <c r="G596" s="2" t="s">
        <v>903</v>
      </c>
      <c r="H596" s="2" t="s">
        <v>904</v>
      </c>
      <c r="I596" s="2" t="s">
        <v>905</v>
      </c>
    </row>
    <row r="597" spans="1:9" ht="14.5" x14ac:dyDescent="0.35">
      <c r="A597" s="2">
        <v>2529840</v>
      </c>
      <c r="B597" s="2" t="str">
        <f>"1304080308940003"</f>
        <v>1304080308940003</v>
      </c>
      <c r="C597" s="2" t="s">
        <v>902</v>
      </c>
      <c r="D597" s="2" t="s">
        <v>17</v>
      </c>
      <c r="E597" s="2" t="s">
        <v>11</v>
      </c>
      <c r="F597" s="2" t="s">
        <v>18</v>
      </c>
      <c r="G597" s="2" t="s">
        <v>19</v>
      </c>
      <c r="H597" s="2" t="s">
        <v>906</v>
      </c>
      <c r="I597" s="2" t="s">
        <v>907</v>
      </c>
    </row>
    <row r="598" spans="1:9" ht="14.5" x14ac:dyDescent="0.35">
      <c r="A598" s="2">
        <v>135967</v>
      </c>
      <c r="B598" s="2" t="str">
        <f>"1801175508930004"</f>
        <v>1801175508930004</v>
      </c>
      <c r="C598" s="2" t="s">
        <v>908</v>
      </c>
      <c r="D598" s="2" t="s">
        <v>10</v>
      </c>
      <c r="E598" s="2" t="s">
        <v>11</v>
      </c>
      <c r="F598" s="2" t="s">
        <v>44</v>
      </c>
      <c r="G598" s="2" t="s">
        <v>909</v>
      </c>
      <c r="H598" s="2" t="s">
        <v>910</v>
      </c>
      <c r="I598" s="2" t="s">
        <v>911</v>
      </c>
    </row>
    <row r="599" spans="1:9" ht="14.5" x14ac:dyDescent="0.35">
      <c r="A599" s="2">
        <v>2529678</v>
      </c>
      <c r="B599" s="2" t="str">
        <f>"1801175508930004"</f>
        <v>1801175508930004</v>
      </c>
      <c r="C599" s="2" t="s">
        <v>912</v>
      </c>
      <c r="D599" s="2" t="s">
        <v>17</v>
      </c>
      <c r="E599" s="2" t="s">
        <v>11</v>
      </c>
      <c r="F599" s="2" t="s">
        <v>18</v>
      </c>
      <c r="G599" s="2" t="s">
        <v>19</v>
      </c>
      <c r="H599" s="2" t="s">
        <v>906</v>
      </c>
      <c r="I599" s="2" t="s">
        <v>913</v>
      </c>
    </row>
    <row r="600" spans="1:9" ht="14.5" x14ac:dyDescent="0.35">
      <c r="A600" s="2">
        <v>895514</v>
      </c>
      <c r="B600" s="2" t="str">
        <f>"3172015410800008"</f>
        <v>3172015410800008</v>
      </c>
      <c r="C600" s="2" t="s">
        <v>914</v>
      </c>
      <c r="D600" s="2" t="s">
        <v>10</v>
      </c>
      <c r="E600" s="2" t="s">
        <v>11</v>
      </c>
      <c r="F600" s="2" t="s">
        <v>91</v>
      </c>
      <c r="G600" s="2" t="s">
        <v>903</v>
      </c>
      <c r="H600" s="2" t="s">
        <v>915</v>
      </c>
      <c r="I600" s="2" t="s">
        <v>916</v>
      </c>
    </row>
    <row r="601" spans="1:9" ht="14.5" x14ac:dyDescent="0.35">
      <c r="A601" s="2">
        <v>2529841</v>
      </c>
      <c r="B601" s="2" t="str">
        <f>"3172015410800008"</f>
        <v>3172015410800008</v>
      </c>
      <c r="C601" s="2" t="s">
        <v>914</v>
      </c>
      <c r="D601" s="2" t="s">
        <v>17</v>
      </c>
      <c r="E601" s="2" t="s">
        <v>11</v>
      </c>
      <c r="F601" s="2" t="s">
        <v>18</v>
      </c>
      <c r="G601" s="2" t="s">
        <v>19</v>
      </c>
      <c r="H601" s="2" t="s">
        <v>906</v>
      </c>
      <c r="I601" s="2" t="s">
        <v>907</v>
      </c>
    </row>
    <row r="602" spans="1:9" ht="14.5" x14ac:dyDescent="0.35">
      <c r="A602" s="2">
        <v>353365</v>
      </c>
      <c r="B602" s="2" t="str">
        <f>"3172020711880014"</f>
        <v>3172020711880014</v>
      </c>
      <c r="C602" s="2" t="s">
        <v>917</v>
      </c>
      <c r="D602" s="2" t="s">
        <v>10</v>
      </c>
      <c r="E602" s="2" t="s">
        <v>11</v>
      </c>
      <c r="F602" s="2" t="s">
        <v>50</v>
      </c>
      <c r="G602" s="2" t="s">
        <v>51</v>
      </c>
      <c r="H602" s="2" t="s">
        <v>62</v>
      </c>
      <c r="I602" s="2" t="s">
        <v>918</v>
      </c>
    </row>
    <row r="603" spans="1:9" ht="14.5" x14ac:dyDescent="0.35">
      <c r="A603" s="2">
        <v>2529557</v>
      </c>
      <c r="B603" s="2" t="str">
        <f>"3172020711880014"</f>
        <v>3172020711880014</v>
      </c>
      <c r="C603" s="2" t="s">
        <v>919</v>
      </c>
      <c r="D603" s="2" t="s">
        <v>17</v>
      </c>
      <c r="E603" s="2" t="s">
        <v>11</v>
      </c>
      <c r="F603" s="2" t="s">
        <v>18</v>
      </c>
      <c r="G603" s="2" t="s">
        <v>19</v>
      </c>
      <c r="H603" s="2" t="s">
        <v>906</v>
      </c>
      <c r="I603" s="2" t="s">
        <v>920</v>
      </c>
    </row>
    <row r="604" spans="1:9" ht="14.5" x14ac:dyDescent="0.35">
      <c r="A604" s="2">
        <v>866475</v>
      </c>
      <c r="B604" s="2" t="str">
        <f>"3172052607811001"</f>
        <v>3172052607811001</v>
      </c>
      <c r="C604" s="2" t="s">
        <v>921</v>
      </c>
      <c r="D604" s="2" t="s">
        <v>10</v>
      </c>
      <c r="E604" s="2" t="s">
        <v>11</v>
      </c>
      <c r="F604" s="2" t="s">
        <v>50</v>
      </c>
      <c r="G604" s="2" t="s">
        <v>51</v>
      </c>
      <c r="H604" s="2" t="s">
        <v>922</v>
      </c>
      <c r="I604" s="2" t="s">
        <v>923</v>
      </c>
    </row>
    <row r="605" spans="1:9" ht="14.5" x14ac:dyDescent="0.35">
      <c r="A605" s="2">
        <v>2529842</v>
      </c>
      <c r="B605" s="2" t="str">
        <f>"3172052607811001"</f>
        <v>3172052607811001</v>
      </c>
      <c r="C605" s="2" t="s">
        <v>921</v>
      </c>
      <c r="D605" s="2" t="s">
        <v>17</v>
      </c>
      <c r="E605" s="2" t="s">
        <v>11</v>
      </c>
      <c r="F605" s="2" t="s">
        <v>18</v>
      </c>
      <c r="G605" s="2" t="s">
        <v>19</v>
      </c>
      <c r="H605" s="2" t="s">
        <v>906</v>
      </c>
      <c r="I605" s="2" t="s">
        <v>907</v>
      </c>
    </row>
    <row r="606" spans="1:9" ht="14.5" x14ac:dyDescent="0.35">
      <c r="A606" s="2">
        <v>171460</v>
      </c>
      <c r="B606" s="2" t="str">
        <f>"3173070309801001"</f>
        <v>3173070309801001</v>
      </c>
      <c r="C606" s="2" t="s">
        <v>924</v>
      </c>
      <c r="D606" s="2" t="s">
        <v>10</v>
      </c>
      <c r="E606" s="2" t="s">
        <v>11</v>
      </c>
      <c r="F606" s="2" t="s">
        <v>50</v>
      </c>
      <c r="G606" s="2" t="s">
        <v>86</v>
      </c>
      <c r="H606" s="2" t="s">
        <v>925</v>
      </c>
      <c r="I606" s="2" t="s">
        <v>926</v>
      </c>
    </row>
    <row r="607" spans="1:9" ht="14.5" x14ac:dyDescent="0.35">
      <c r="A607" s="2">
        <v>2529281</v>
      </c>
      <c r="B607" s="2" t="str">
        <f>"3173070309801001"</f>
        <v>3173070309801001</v>
      </c>
      <c r="C607" s="2" t="s">
        <v>924</v>
      </c>
      <c r="D607" s="2" t="s">
        <v>17</v>
      </c>
      <c r="E607" s="2" t="s">
        <v>11</v>
      </c>
      <c r="F607" s="2" t="s">
        <v>18</v>
      </c>
      <c r="G607" s="2" t="s">
        <v>19</v>
      </c>
      <c r="H607" s="2" t="s">
        <v>906</v>
      </c>
      <c r="I607" s="2" t="s">
        <v>927</v>
      </c>
    </row>
    <row r="608" spans="1:9" ht="14.5" x14ac:dyDescent="0.35">
      <c r="A608" s="2">
        <v>172274</v>
      </c>
      <c r="B608" s="2" t="str">
        <f>"3173074606840014"</f>
        <v>3173074606840014</v>
      </c>
      <c r="C608" s="2" t="s">
        <v>928</v>
      </c>
      <c r="D608" s="2" t="s">
        <v>10</v>
      </c>
      <c r="E608" s="2" t="s">
        <v>11</v>
      </c>
      <c r="F608" s="2" t="s">
        <v>50</v>
      </c>
      <c r="G608" s="2" t="s">
        <v>86</v>
      </c>
      <c r="H608" s="2" t="s">
        <v>925</v>
      </c>
      <c r="I608" s="2" t="s">
        <v>926</v>
      </c>
    </row>
    <row r="609" spans="1:9" ht="14.5" x14ac:dyDescent="0.35">
      <c r="A609" s="2">
        <v>2528895</v>
      </c>
      <c r="B609" s="2" t="str">
        <f>"3173074606840014"</f>
        <v>3173074606840014</v>
      </c>
      <c r="C609" s="2" t="s">
        <v>928</v>
      </c>
      <c r="D609" s="2" t="s">
        <v>17</v>
      </c>
      <c r="E609" s="2" t="s">
        <v>11</v>
      </c>
      <c r="F609" s="2" t="s">
        <v>18</v>
      </c>
      <c r="G609" s="2" t="s">
        <v>19</v>
      </c>
      <c r="H609" s="2" t="s">
        <v>906</v>
      </c>
      <c r="I609" s="2" t="s">
        <v>929</v>
      </c>
    </row>
    <row r="610" spans="1:9" ht="14.5" x14ac:dyDescent="0.35">
      <c r="A610" s="2">
        <v>172272</v>
      </c>
      <c r="B610" s="2" t="str">
        <f>"3173076206060006"</f>
        <v>3173076206060006</v>
      </c>
      <c r="C610" s="2" t="s">
        <v>930</v>
      </c>
      <c r="D610" s="2" t="s">
        <v>10</v>
      </c>
      <c r="E610" s="2" t="s">
        <v>11</v>
      </c>
      <c r="F610" s="2" t="s">
        <v>50</v>
      </c>
      <c r="G610" s="2" t="s">
        <v>86</v>
      </c>
      <c r="H610" s="2" t="s">
        <v>925</v>
      </c>
      <c r="I610" s="2" t="s">
        <v>926</v>
      </c>
    </row>
    <row r="611" spans="1:9" ht="14.5" x14ac:dyDescent="0.35">
      <c r="A611" s="2">
        <v>2528892</v>
      </c>
      <c r="B611" s="2" t="str">
        <f>"3173076206060006"</f>
        <v>3173076206060006</v>
      </c>
      <c r="C611" s="2" t="s">
        <v>930</v>
      </c>
      <c r="D611" s="2" t="s">
        <v>17</v>
      </c>
      <c r="E611" s="2" t="s">
        <v>11</v>
      </c>
      <c r="F611" s="2" t="s">
        <v>18</v>
      </c>
      <c r="G611" s="2" t="s">
        <v>19</v>
      </c>
      <c r="H611" s="2" t="s">
        <v>906</v>
      </c>
      <c r="I611" s="2" t="s">
        <v>929</v>
      </c>
    </row>
    <row r="612" spans="1:9" ht="14.5" x14ac:dyDescent="0.35">
      <c r="A612" s="2">
        <v>1436281</v>
      </c>
      <c r="B612" s="2" t="str">
        <f>"3174092405770009"</f>
        <v>3174092405770009</v>
      </c>
      <c r="C612" s="2" t="s">
        <v>931</v>
      </c>
      <c r="D612" s="2" t="s">
        <v>10</v>
      </c>
      <c r="E612" s="2" t="s">
        <v>11</v>
      </c>
      <c r="F612" s="2" t="s">
        <v>50</v>
      </c>
      <c r="G612" s="2" t="s">
        <v>72</v>
      </c>
      <c r="H612" s="2" t="s">
        <v>738</v>
      </c>
      <c r="I612" s="2" t="s">
        <v>738</v>
      </c>
    </row>
    <row r="613" spans="1:9" ht="14.5" x14ac:dyDescent="0.35">
      <c r="A613" s="2">
        <v>2528093</v>
      </c>
      <c r="B613" s="2" t="str">
        <f>"3174092405770009"</f>
        <v>3174092405770009</v>
      </c>
      <c r="C613" s="2" t="s">
        <v>932</v>
      </c>
      <c r="D613" s="2" t="s">
        <v>17</v>
      </c>
      <c r="E613" s="2" t="s">
        <v>11</v>
      </c>
      <c r="F613" s="2" t="s">
        <v>18</v>
      </c>
      <c r="G613" s="2" t="s">
        <v>19</v>
      </c>
      <c r="H613" s="2" t="s">
        <v>906</v>
      </c>
      <c r="I613" s="2" t="s">
        <v>933</v>
      </c>
    </row>
    <row r="614" spans="1:9" ht="14.5" x14ac:dyDescent="0.35">
      <c r="A614" s="2">
        <v>917684</v>
      </c>
      <c r="B614" s="2" t="str">
        <f>"3175046511750009"</f>
        <v>3175046511750009</v>
      </c>
      <c r="C614" s="2" t="s">
        <v>934</v>
      </c>
      <c r="D614" s="2" t="s">
        <v>10</v>
      </c>
      <c r="E614" s="2" t="s">
        <v>11</v>
      </c>
      <c r="F614" s="2" t="s">
        <v>50</v>
      </c>
      <c r="G614" s="2" t="s">
        <v>58</v>
      </c>
      <c r="H614" s="2" t="s">
        <v>97</v>
      </c>
      <c r="I614" s="2" t="s">
        <v>935</v>
      </c>
    </row>
    <row r="615" spans="1:9" ht="14.5" x14ac:dyDescent="0.35">
      <c r="A615" s="2">
        <v>2529816</v>
      </c>
      <c r="B615" s="2" t="str">
        <f>"3175046511750009"</f>
        <v>3175046511750009</v>
      </c>
      <c r="C615" s="2" t="s">
        <v>936</v>
      </c>
      <c r="D615" s="2" t="s">
        <v>17</v>
      </c>
      <c r="E615" s="2" t="s">
        <v>11</v>
      </c>
      <c r="F615" s="2" t="s">
        <v>18</v>
      </c>
      <c r="G615" s="2" t="s">
        <v>19</v>
      </c>
      <c r="H615" s="2" t="s">
        <v>906</v>
      </c>
      <c r="I615" s="2" t="s">
        <v>907</v>
      </c>
    </row>
    <row r="616" spans="1:9" ht="14.5" x14ac:dyDescent="0.35">
      <c r="A616" s="2">
        <v>178540</v>
      </c>
      <c r="B616" s="2" t="str">
        <f>"3201145806930005"</f>
        <v>3201145806930005</v>
      </c>
      <c r="C616" s="2" t="s">
        <v>937</v>
      </c>
      <c r="D616" s="2" t="s">
        <v>10</v>
      </c>
      <c r="E616" s="2" t="s">
        <v>11</v>
      </c>
      <c r="F616" s="2" t="s">
        <v>91</v>
      </c>
      <c r="G616" s="2" t="s">
        <v>903</v>
      </c>
      <c r="H616" s="2" t="s">
        <v>938</v>
      </c>
      <c r="I616" s="2" t="s">
        <v>938</v>
      </c>
    </row>
    <row r="617" spans="1:9" ht="14.5" x14ac:dyDescent="0.35">
      <c r="A617" s="2">
        <v>2527248</v>
      </c>
      <c r="B617" s="2" t="str">
        <f>"3201145806930005"</f>
        <v>3201145806930005</v>
      </c>
      <c r="C617" s="2" t="s">
        <v>937</v>
      </c>
      <c r="D617" s="2" t="s">
        <v>17</v>
      </c>
      <c r="E617" s="2" t="s">
        <v>11</v>
      </c>
      <c r="F617" s="2" t="s">
        <v>18</v>
      </c>
      <c r="G617" s="2" t="s">
        <v>19</v>
      </c>
      <c r="H617" s="2" t="s">
        <v>906</v>
      </c>
      <c r="I617" s="2" t="s">
        <v>939</v>
      </c>
    </row>
    <row r="618" spans="1:9" ht="14.5" x14ac:dyDescent="0.35">
      <c r="A618" s="2">
        <v>930826</v>
      </c>
      <c r="B618" s="2" t="str">
        <f>"3212035206950001"</f>
        <v>3212035206950001</v>
      </c>
      <c r="C618" s="2" t="s">
        <v>940</v>
      </c>
      <c r="D618" s="2" t="s">
        <v>10</v>
      </c>
      <c r="E618" s="2" t="s">
        <v>11</v>
      </c>
      <c r="F618" s="2" t="s">
        <v>91</v>
      </c>
      <c r="G618" s="2" t="s">
        <v>114</v>
      </c>
      <c r="H618" s="2" t="s">
        <v>941</v>
      </c>
      <c r="I618" s="2" t="s">
        <v>941</v>
      </c>
    </row>
    <row r="619" spans="1:9" ht="14.5" x14ac:dyDescent="0.35">
      <c r="A619" s="2">
        <v>2528459</v>
      </c>
      <c r="B619" s="2" t="str">
        <f>"3212035206950001"</f>
        <v>3212035206950001</v>
      </c>
      <c r="C619" s="2" t="s">
        <v>940</v>
      </c>
      <c r="D619" s="2" t="s">
        <v>17</v>
      </c>
      <c r="E619" s="2" t="s">
        <v>11</v>
      </c>
      <c r="F619" s="2" t="s">
        <v>18</v>
      </c>
      <c r="G619" s="2" t="s">
        <v>19</v>
      </c>
      <c r="H619" s="2" t="s">
        <v>906</v>
      </c>
      <c r="I619" s="2" t="s">
        <v>942</v>
      </c>
    </row>
    <row r="620" spans="1:9" ht="14.5" x14ac:dyDescent="0.35">
      <c r="A620" s="2">
        <v>207628</v>
      </c>
      <c r="B620" s="2" t="str">
        <f>"3212081409870004"</f>
        <v>3212081409870004</v>
      </c>
      <c r="C620" s="2" t="s">
        <v>943</v>
      </c>
      <c r="D620" s="2" t="s">
        <v>10</v>
      </c>
      <c r="E620" s="2" t="s">
        <v>11</v>
      </c>
      <c r="F620" s="2" t="s">
        <v>91</v>
      </c>
      <c r="G620" s="2" t="s">
        <v>114</v>
      </c>
      <c r="H620" s="2" t="s">
        <v>944</v>
      </c>
      <c r="I620" s="2" t="s">
        <v>945</v>
      </c>
    </row>
    <row r="621" spans="1:9" ht="14.5" x14ac:dyDescent="0.35">
      <c r="A621" s="2">
        <v>2527234</v>
      </c>
      <c r="B621" s="2" t="str">
        <f>"3212081409870004"</f>
        <v>3212081409870004</v>
      </c>
      <c r="C621" s="2" t="s">
        <v>943</v>
      </c>
      <c r="D621" s="2" t="s">
        <v>17</v>
      </c>
      <c r="E621" s="2" t="s">
        <v>11</v>
      </c>
      <c r="F621" s="2" t="s">
        <v>18</v>
      </c>
      <c r="G621" s="2" t="s">
        <v>19</v>
      </c>
      <c r="H621" s="2" t="s">
        <v>906</v>
      </c>
      <c r="I621" s="2" t="s">
        <v>939</v>
      </c>
    </row>
    <row r="622" spans="1:9" ht="14.5" x14ac:dyDescent="0.35">
      <c r="A622" s="2">
        <v>1589651</v>
      </c>
      <c r="B622" s="2" t="str">
        <f>"3216082004890006"</f>
        <v>3216082004890006</v>
      </c>
      <c r="C622" s="2" t="s">
        <v>946</v>
      </c>
      <c r="D622" s="2" t="s">
        <v>10</v>
      </c>
      <c r="E622" s="2" t="s">
        <v>11</v>
      </c>
      <c r="F622" s="2" t="s">
        <v>18</v>
      </c>
      <c r="G622" s="2" t="s">
        <v>19</v>
      </c>
      <c r="H622" s="2" t="s">
        <v>906</v>
      </c>
      <c r="I622" s="2" t="s">
        <v>929</v>
      </c>
    </row>
    <row r="623" spans="1:9" ht="14.5" x14ac:dyDescent="0.35">
      <c r="A623" s="2">
        <v>2573618</v>
      </c>
      <c r="B623" s="2" t="str">
        <f>"3216082004890006"</f>
        <v>3216082004890006</v>
      </c>
      <c r="C623" s="2" t="s">
        <v>946</v>
      </c>
      <c r="D623" s="2" t="s">
        <v>17</v>
      </c>
      <c r="E623" s="2" t="s">
        <v>11</v>
      </c>
      <c r="F623" s="2" t="s">
        <v>18</v>
      </c>
      <c r="G623" s="2" t="s">
        <v>19</v>
      </c>
      <c r="H623" s="2" t="s">
        <v>745</v>
      </c>
      <c r="I623" s="2" t="s">
        <v>746</v>
      </c>
    </row>
    <row r="624" spans="1:9" ht="14.5" x14ac:dyDescent="0.35">
      <c r="A624" s="2">
        <v>551440</v>
      </c>
      <c r="B624" s="2" t="str">
        <f>"3275045106010009"</f>
        <v>3275045106010009</v>
      </c>
      <c r="C624" s="2" t="s">
        <v>947</v>
      </c>
      <c r="D624" s="2" t="s">
        <v>10</v>
      </c>
      <c r="E624" s="2" t="s">
        <v>11</v>
      </c>
      <c r="F624" s="2" t="s">
        <v>91</v>
      </c>
      <c r="G624" s="2" t="s">
        <v>320</v>
      </c>
      <c r="H624" s="2" t="s">
        <v>948</v>
      </c>
      <c r="I624" s="2" t="s">
        <v>949</v>
      </c>
    </row>
    <row r="625" spans="1:9" ht="14.5" x14ac:dyDescent="0.35">
      <c r="A625" s="2">
        <v>2528273</v>
      </c>
      <c r="B625" s="2" t="str">
        <f>"3275045106010009"</f>
        <v>3275045106010009</v>
      </c>
      <c r="C625" s="2" t="s">
        <v>947</v>
      </c>
      <c r="D625" s="2" t="s">
        <v>17</v>
      </c>
      <c r="E625" s="2" t="s">
        <v>11</v>
      </c>
      <c r="F625" s="2" t="s">
        <v>18</v>
      </c>
      <c r="G625" s="2" t="s">
        <v>19</v>
      </c>
      <c r="H625" s="2" t="s">
        <v>906</v>
      </c>
      <c r="I625" s="2" t="s">
        <v>942</v>
      </c>
    </row>
    <row r="626" spans="1:9" ht="14.5" x14ac:dyDescent="0.35">
      <c r="A626" s="2">
        <v>207250</v>
      </c>
      <c r="B626" s="2" t="str">
        <f>"3304046008970002"</f>
        <v>3304046008970002</v>
      </c>
      <c r="C626" s="2" t="s">
        <v>950</v>
      </c>
      <c r="D626" s="2" t="s">
        <v>10</v>
      </c>
      <c r="E626" s="2" t="s">
        <v>11</v>
      </c>
      <c r="F626" s="2" t="s">
        <v>18</v>
      </c>
      <c r="G626" s="2" t="s">
        <v>951</v>
      </c>
      <c r="H626" s="2" t="s">
        <v>952</v>
      </c>
      <c r="I626" s="2" t="s">
        <v>65</v>
      </c>
    </row>
    <row r="627" spans="1:9" ht="14.5" x14ac:dyDescent="0.35">
      <c r="A627" s="2">
        <v>2528460</v>
      </c>
      <c r="B627" s="2" t="str">
        <f>"3304046008970002"</f>
        <v>3304046008970002</v>
      </c>
      <c r="C627" s="2" t="s">
        <v>950</v>
      </c>
      <c r="D627" s="2" t="s">
        <v>17</v>
      </c>
      <c r="E627" s="2" t="s">
        <v>11</v>
      </c>
      <c r="F627" s="2" t="s">
        <v>18</v>
      </c>
      <c r="G627" s="2" t="s">
        <v>19</v>
      </c>
      <c r="H627" s="2" t="s">
        <v>906</v>
      </c>
      <c r="I627" s="2" t="s">
        <v>942</v>
      </c>
    </row>
    <row r="628" spans="1:9" ht="14.5" x14ac:dyDescent="0.35">
      <c r="A628" s="2">
        <v>2528360</v>
      </c>
      <c r="B628" s="2" t="str">
        <f>"3318082509820001"</f>
        <v>3318082509820001</v>
      </c>
      <c r="C628" s="2" t="s">
        <v>953</v>
      </c>
      <c r="D628" s="2" t="s">
        <v>17</v>
      </c>
      <c r="E628" s="2" t="s">
        <v>11</v>
      </c>
      <c r="F628" s="2" t="s">
        <v>18</v>
      </c>
      <c r="G628" s="2" t="s">
        <v>19</v>
      </c>
      <c r="H628" s="2" t="s">
        <v>906</v>
      </c>
      <c r="I628" s="2" t="s">
        <v>942</v>
      </c>
    </row>
    <row r="629" spans="1:9" ht="14.5" x14ac:dyDescent="0.35">
      <c r="A629" s="2">
        <v>544035</v>
      </c>
      <c r="B629" s="2" t="str">
        <f>"3318082509820001"</f>
        <v>3318082509820001</v>
      </c>
      <c r="C629" s="2" t="s">
        <v>953</v>
      </c>
      <c r="D629" s="2" t="s">
        <v>17</v>
      </c>
      <c r="E629" s="2" t="s">
        <v>11</v>
      </c>
      <c r="F629" s="2" t="s">
        <v>954</v>
      </c>
      <c r="G629" s="2" t="s">
        <v>955</v>
      </c>
      <c r="H629" s="2" t="s">
        <v>956</v>
      </c>
      <c r="I629" s="2" t="s">
        <v>957</v>
      </c>
    </row>
    <row r="630" spans="1:9" ht="14.5" x14ac:dyDescent="0.35">
      <c r="A630" s="2">
        <v>1565480</v>
      </c>
      <c r="B630" s="2" t="str">
        <f>"3321011410920002"</f>
        <v>3321011410920002</v>
      </c>
      <c r="C630" s="2" t="s">
        <v>958</v>
      </c>
      <c r="D630" s="2" t="s">
        <v>10</v>
      </c>
      <c r="E630" s="2" t="s">
        <v>11</v>
      </c>
      <c r="F630" s="2" t="s">
        <v>18</v>
      </c>
      <c r="G630" s="2" t="s">
        <v>19</v>
      </c>
      <c r="H630" s="2" t="s">
        <v>906</v>
      </c>
      <c r="I630" s="2" t="s">
        <v>959</v>
      </c>
    </row>
    <row r="631" spans="1:9" ht="14.5" x14ac:dyDescent="0.35">
      <c r="A631" s="2">
        <v>2662276</v>
      </c>
      <c r="B631" s="2" t="str">
        <f>"3321011410920002"</f>
        <v>3321011410920002</v>
      </c>
      <c r="C631" s="2" t="s">
        <v>960</v>
      </c>
      <c r="D631" s="2" t="s">
        <v>10</v>
      </c>
      <c r="E631" s="2" t="s">
        <v>57</v>
      </c>
      <c r="F631" s="2" t="s">
        <v>18</v>
      </c>
      <c r="G631" s="2" t="s">
        <v>199</v>
      </c>
      <c r="H631" s="2" t="s">
        <v>199</v>
      </c>
      <c r="I631" s="2" t="s">
        <v>839</v>
      </c>
    </row>
    <row r="632" spans="1:9" ht="14.5" x14ac:dyDescent="0.35">
      <c r="A632" s="2">
        <v>1520017</v>
      </c>
      <c r="B632" s="2" t="str">
        <f>"3323036203820001"</f>
        <v>3323036203820001</v>
      </c>
      <c r="C632" s="2" t="s">
        <v>961</v>
      </c>
      <c r="D632" s="2" t="s">
        <v>10</v>
      </c>
      <c r="E632" s="2" t="s">
        <v>11</v>
      </c>
      <c r="F632" s="2" t="s">
        <v>18</v>
      </c>
      <c r="G632" s="2" t="s">
        <v>962</v>
      </c>
      <c r="H632" s="2" t="s">
        <v>963</v>
      </c>
      <c r="I632" s="2" t="s">
        <v>964</v>
      </c>
    </row>
    <row r="633" spans="1:9" ht="14.5" x14ac:dyDescent="0.35">
      <c r="A633" s="2">
        <v>2529523</v>
      </c>
      <c r="B633" s="2" t="str">
        <f>"3323036203820001"</f>
        <v>3323036203820001</v>
      </c>
      <c r="C633" s="2" t="s">
        <v>965</v>
      </c>
      <c r="D633" s="2" t="s">
        <v>17</v>
      </c>
      <c r="E633" s="2" t="s">
        <v>11</v>
      </c>
      <c r="F633" s="2" t="s">
        <v>18</v>
      </c>
      <c r="G633" s="2" t="s">
        <v>19</v>
      </c>
      <c r="H633" s="2" t="s">
        <v>906</v>
      </c>
      <c r="I633" s="2" t="s">
        <v>966</v>
      </c>
    </row>
    <row r="634" spans="1:9" ht="14.5" x14ac:dyDescent="0.35">
      <c r="A634" s="2">
        <v>1935947</v>
      </c>
      <c r="B634" s="2" t="str">
        <f>"3325090609860003"</f>
        <v>3325090609860003</v>
      </c>
      <c r="C634" s="2" t="s">
        <v>967</v>
      </c>
      <c r="D634" s="2" t="s">
        <v>10</v>
      </c>
      <c r="E634" s="2" t="s">
        <v>11</v>
      </c>
      <c r="F634" s="2" t="s">
        <v>18</v>
      </c>
      <c r="G634" s="2" t="s">
        <v>19</v>
      </c>
      <c r="H634" s="2" t="s">
        <v>906</v>
      </c>
      <c r="I634" s="2" t="s">
        <v>913</v>
      </c>
    </row>
    <row r="635" spans="1:9" ht="14.5" x14ac:dyDescent="0.35">
      <c r="A635" s="2">
        <v>677327</v>
      </c>
      <c r="B635" s="2" t="str">
        <f>"3325090609860003"</f>
        <v>3325090609860003</v>
      </c>
      <c r="C635" s="2" t="s">
        <v>967</v>
      </c>
      <c r="D635" s="2" t="s">
        <v>17</v>
      </c>
      <c r="E635" s="2" t="s">
        <v>11</v>
      </c>
      <c r="F635" s="2" t="s">
        <v>18</v>
      </c>
      <c r="G635" s="2" t="s">
        <v>190</v>
      </c>
      <c r="H635" s="2" t="s">
        <v>191</v>
      </c>
      <c r="I635" s="2" t="s">
        <v>968</v>
      </c>
    </row>
    <row r="636" spans="1:9" ht="14.5" x14ac:dyDescent="0.35">
      <c r="A636" s="2">
        <v>1833901</v>
      </c>
      <c r="B636" s="2" t="str">
        <f>"3327034508700005"</f>
        <v>3327034508700005</v>
      </c>
      <c r="C636" s="2" t="s">
        <v>969</v>
      </c>
      <c r="D636" s="2" t="s">
        <v>10</v>
      </c>
      <c r="E636" s="2" t="s">
        <v>11</v>
      </c>
      <c r="F636" s="2" t="s">
        <v>18</v>
      </c>
      <c r="G636" s="2" t="s">
        <v>199</v>
      </c>
      <c r="H636" s="2" t="s">
        <v>599</v>
      </c>
      <c r="I636" s="2" t="s">
        <v>970</v>
      </c>
    </row>
    <row r="637" spans="1:9" ht="14.5" x14ac:dyDescent="0.35">
      <c r="A637" s="2">
        <v>2529251</v>
      </c>
      <c r="B637" s="2" t="str">
        <f>"3327034508700005"</f>
        <v>3327034508700005</v>
      </c>
      <c r="C637" s="2" t="s">
        <v>971</v>
      </c>
      <c r="D637" s="2" t="s">
        <v>17</v>
      </c>
      <c r="E637" s="2" t="s">
        <v>11</v>
      </c>
      <c r="F637" s="2" t="s">
        <v>18</v>
      </c>
      <c r="G637" s="2" t="s">
        <v>19</v>
      </c>
      <c r="H637" s="2" t="s">
        <v>906</v>
      </c>
      <c r="I637" s="2" t="s">
        <v>972</v>
      </c>
    </row>
    <row r="638" spans="1:9" ht="14.5" x14ac:dyDescent="0.35">
      <c r="A638" s="2">
        <v>2200329</v>
      </c>
      <c r="B638" s="2" t="str">
        <f>"3327065210950004"</f>
        <v>3327065210950004</v>
      </c>
      <c r="C638" s="2" t="s">
        <v>973</v>
      </c>
      <c r="D638" s="2" t="s">
        <v>10</v>
      </c>
      <c r="E638" s="2" t="s">
        <v>11</v>
      </c>
      <c r="F638" s="2" t="s">
        <v>18</v>
      </c>
      <c r="G638" s="2" t="s">
        <v>199</v>
      </c>
      <c r="H638" s="2" t="s">
        <v>974</v>
      </c>
      <c r="I638" s="2" t="s">
        <v>975</v>
      </c>
    </row>
    <row r="639" spans="1:9" ht="14.5" x14ac:dyDescent="0.35">
      <c r="A639" s="2">
        <v>2529915</v>
      </c>
      <c r="B639" s="2" t="str">
        <f>"3327065210950004"</f>
        <v>3327065210950004</v>
      </c>
      <c r="C639" s="2" t="s">
        <v>973</v>
      </c>
      <c r="D639" s="2" t="s">
        <v>17</v>
      </c>
      <c r="E639" s="2" t="s">
        <v>11</v>
      </c>
      <c r="F639" s="2" t="s">
        <v>18</v>
      </c>
      <c r="G639" s="2" t="s">
        <v>19</v>
      </c>
      <c r="H639" s="2" t="s">
        <v>906</v>
      </c>
      <c r="I639" s="2" t="s">
        <v>907</v>
      </c>
    </row>
    <row r="640" spans="1:9" ht="14.5" x14ac:dyDescent="0.35">
      <c r="A640" s="2">
        <v>1414194</v>
      </c>
      <c r="B640" s="2" t="str">
        <f>"3328012904870003"</f>
        <v>3328012904870003</v>
      </c>
      <c r="C640" s="2" t="s">
        <v>976</v>
      </c>
      <c r="D640" s="2" t="s">
        <v>10</v>
      </c>
      <c r="E640" s="2" t="s">
        <v>11</v>
      </c>
      <c r="F640" s="2" t="s">
        <v>50</v>
      </c>
      <c r="G640" s="2" t="s">
        <v>86</v>
      </c>
      <c r="H640" s="2" t="s">
        <v>313</v>
      </c>
      <c r="I640" s="2" t="s">
        <v>977</v>
      </c>
    </row>
    <row r="641" spans="1:9" ht="14.5" x14ac:dyDescent="0.35">
      <c r="A641" s="2">
        <v>2529119</v>
      </c>
      <c r="B641" s="2" t="str">
        <f>"3328012904870003"</f>
        <v>3328012904870003</v>
      </c>
      <c r="C641" s="2" t="s">
        <v>976</v>
      </c>
      <c r="D641" s="2" t="s">
        <v>17</v>
      </c>
      <c r="E641" s="2" t="s">
        <v>11</v>
      </c>
      <c r="F641" s="2" t="s">
        <v>18</v>
      </c>
      <c r="G641" s="2" t="s">
        <v>19</v>
      </c>
      <c r="H641" s="2" t="s">
        <v>906</v>
      </c>
      <c r="I641" s="2" t="s">
        <v>978</v>
      </c>
    </row>
    <row r="642" spans="1:9" ht="14.5" x14ac:dyDescent="0.35">
      <c r="A642" s="2">
        <v>1492706</v>
      </c>
      <c r="B642" s="2" t="str">
        <f>"3328030101820001"</f>
        <v>3328030101820001</v>
      </c>
      <c r="C642" s="2" t="s">
        <v>979</v>
      </c>
      <c r="D642" s="2" t="s">
        <v>10</v>
      </c>
      <c r="E642" s="2" t="s">
        <v>11</v>
      </c>
      <c r="F642" s="2" t="s">
        <v>91</v>
      </c>
      <c r="G642" s="2" t="s">
        <v>159</v>
      </c>
      <c r="H642" s="2" t="s">
        <v>160</v>
      </c>
      <c r="I642" s="2" t="s">
        <v>980</v>
      </c>
    </row>
    <row r="643" spans="1:9" ht="14.5" x14ac:dyDescent="0.35">
      <c r="A643" s="2">
        <v>2529282</v>
      </c>
      <c r="B643" s="2" t="str">
        <f>"3328030101820001"</f>
        <v>3328030101820001</v>
      </c>
      <c r="C643" s="2" t="s">
        <v>979</v>
      </c>
      <c r="D643" s="2" t="s">
        <v>17</v>
      </c>
      <c r="E643" s="2" t="s">
        <v>11</v>
      </c>
      <c r="F643" s="2" t="s">
        <v>18</v>
      </c>
      <c r="G643" s="2" t="s">
        <v>19</v>
      </c>
      <c r="H643" s="2" t="s">
        <v>906</v>
      </c>
      <c r="I643" s="2" t="s">
        <v>927</v>
      </c>
    </row>
    <row r="644" spans="1:9" ht="14.5" x14ac:dyDescent="0.35">
      <c r="A644" s="2">
        <v>1236803</v>
      </c>
      <c r="B644" s="2" t="str">
        <f>"3328030101940001"</f>
        <v>3328030101940001</v>
      </c>
      <c r="C644" s="2" t="s">
        <v>981</v>
      </c>
      <c r="D644" s="2" t="s">
        <v>10</v>
      </c>
      <c r="E644" s="2" t="s">
        <v>11</v>
      </c>
      <c r="F644" s="2" t="s">
        <v>18</v>
      </c>
      <c r="G644" s="2" t="s">
        <v>264</v>
      </c>
      <c r="H644" s="2" t="s">
        <v>265</v>
      </c>
      <c r="I644" s="2" t="s">
        <v>982</v>
      </c>
    </row>
    <row r="645" spans="1:9" ht="14.5" x14ac:dyDescent="0.35">
      <c r="A645" s="2">
        <v>2529739</v>
      </c>
      <c r="B645" s="2" t="str">
        <f>"3328030101940001"</f>
        <v>3328030101940001</v>
      </c>
      <c r="C645" s="2" t="s">
        <v>983</v>
      </c>
      <c r="D645" s="2" t="s">
        <v>17</v>
      </c>
      <c r="E645" s="2" t="s">
        <v>11</v>
      </c>
      <c r="F645" s="2" t="s">
        <v>18</v>
      </c>
      <c r="G645" s="2" t="s">
        <v>19</v>
      </c>
      <c r="H645" s="2" t="s">
        <v>906</v>
      </c>
      <c r="I645" s="2" t="s">
        <v>913</v>
      </c>
    </row>
    <row r="646" spans="1:9" ht="14.5" x14ac:dyDescent="0.35">
      <c r="A646" s="2">
        <v>880829</v>
      </c>
      <c r="B646" s="2" t="str">
        <f>"3328030107050012"</f>
        <v>3328030107050012</v>
      </c>
      <c r="C646" s="2" t="s">
        <v>984</v>
      </c>
      <c r="D646" s="2" t="s">
        <v>10</v>
      </c>
      <c r="E646" s="2" t="s">
        <v>11</v>
      </c>
      <c r="F646" s="2" t="s">
        <v>91</v>
      </c>
      <c r="G646" s="2" t="s">
        <v>985</v>
      </c>
      <c r="H646" s="2" t="s">
        <v>986</v>
      </c>
      <c r="I646" s="2" t="s">
        <v>987</v>
      </c>
    </row>
    <row r="647" spans="1:9" ht="14.5" x14ac:dyDescent="0.35">
      <c r="A647" s="2">
        <v>2530102</v>
      </c>
      <c r="B647" s="2" t="str">
        <f>"3328030107050012"</f>
        <v>3328030107050012</v>
      </c>
      <c r="C647" s="2" t="s">
        <v>988</v>
      </c>
      <c r="D647" s="2" t="s">
        <v>17</v>
      </c>
      <c r="E647" s="2" t="s">
        <v>11</v>
      </c>
      <c r="F647" s="2" t="s">
        <v>18</v>
      </c>
      <c r="G647" s="2" t="s">
        <v>19</v>
      </c>
      <c r="H647" s="2" t="s">
        <v>906</v>
      </c>
      <c r="I647" s="2" t="s">
        <v>989</v>
      </c>
    </row>
    <row r="648" spans="1:9" ht="14.5" x14ac:dyDescent="0.35">
      <c r="A648" s="2">
        <v>167007</v>
      </c>
      <c r="B648" s="2" t="str">
        <f>"3328030107700021"</f>
        <v>3328030107700021</v>
      </c>
      <c r="C648" s="2" t="s">
        <v>990</v>
      </c>
      <c r="D648" s="2" t="s">
        <v>10</v>
      </c>
      <c r="E648" s="2" t="s">
        <v>11</v>
      </c>
      <c r="F648" s="2" t="s">
        <v>50</v>
      </c>
      <c r="G648" s="2" t="s">
        <v>86</v>
      </c>
      <c r="H648" s="2" t="s">
        <v>925</v>
      </c>
      <c r="I648" s="2" t="s">
        <v>926</v>
      </c>
    </row>
    <row r="649" spans="1:9" ht="14.5" x14ac:dyDescent="0.35">
      <c r="A649" s="2">
        <v>2529107</v>
      </c>
      <c r="B649" s="2" t="str">
        <f>"3328030107700021"</f>
        <v>3328030107700021</v>
      </c>
      <c r="C649" s="2" t="s">
        <v>990</v>
      </c>
      <c r="D649" s="2" t="s">
        <v>17</v>
      </c>
      <c r="E649" s="2" t="s">
        <v>11</v>
      </c>
      <c r="F649" s="2" t="s">
        <v>18</v>
      </c>
      <c r="G649" s="2" t="s">
        <v>19</v>
      </c>
      <c r="H649" s="2" t="s">
        <v>906</v>
      </c>
      <c r="I649" s="2" t="s">
        <v>978</v>
      </c>
    </row>
    <row r="650" spans="1:9" ht="14.5" x14ac:dyDescent="0.35">
      <c r="A650" s="2">
        <v>1593158</v>
      </c>
      <c r="B650" s="2" t="str">
        <f>"3328030211990008"</f>
        <v>3328030211990008</v>
      </c>
      <c r="C650" s="2" t="s">
        <v>991</v>
      </c>
      <c r="D650" s="2" t="s">
        <v>10</v>
      </c>
      <c r="E650" s="2" t="s">
        <v>11</v>
      </c>
      <c r="F650" s="2" t="s">
        <v>18</v>
      </c>
      <c r="G650" s="2" t="s">
        <v>19</v>
      </c>
      <c r="H650" s="2" t="s">
        <v>906</v>
      </c>
      <c r="I650" s="2" t="s">
        <v>992</v>
      </c>
    </row>
    <row r="651" spans="1:9" ht="14.5" x14ac:dyDescent="0.35">
      <c r="A651" s="2">
        <v>1351155</v>
      </c>
      <c r="B651" s="2" t="str">
        <f>"3328030211990008"</f>
        <v>3328030211990008</v>
      </c>
      <c r="C651" s="2" t="s">
        <v>993</v>
      </c>
      <c r="D651" s="2" t="s">
        <v>10</v>
      </c>
      <c r="E651" s="2" t="s">
        <v>57</v>
      </c>
      <c r="F651" s="2" t="s">
        <v>303</v>
      </c>
      <c r="G651" s="2" t="s">
        <v>608</v>
      </c>
      <c r="H651" s="2" t="s">
        <v>609</v>
      </c>
      <c r="I651" s="2" t="s">
        <v>610</v>
      </c>
    </row>
    <row r="652" spans="1:9" ht="14.5" x14ac:dyDescent="0.35">
      <c r="A652" s="2">
        <v>1589129</v>
      </c>
      <c r="B652" s="2" t="str">
        <f>"3328030305020002"</f>
        <v>3328030305020002</v>
      </c>
      <c r="C652" s="2" t="s">
        <v>994</v>
      </c>
      <c r="D652" s="2" t="s">
        <v>10</v>
      </c>
      <c r="E652" s="2" t="s">
        <v>11</v>
      </c>
      <c r="F652" s="2" t="s">
        <v>18</v>
      </c>
      <c r="G652" s="2" t="s">
        <v>19</v>
      </c>
      <c r="H652" s="2" t="s">
        <v>906</v>
      </c>
      <c r="I652" s="2" t="s">
        <v>929</v>
      </c>
    </row>
    <row r="653" spans="1:9" ht="14.5" x14ac:dyDescent="0.35">
      <c r="A653" s="2">
        <v>1351150</v>
      </c>
      <c r="B653" s="2" t="str">
        <f>"3328030305020002"</f>
        <v>3328030305020002</v>
      </c>
      <c r="C653" s="2" t="s">
        <v>994</v>
      </c>
      <c r="D653" s="2" t="s">
        <v>10</v>
      </c>
      <c r="E653" s="2" t="s">
        <v>57</v>
      </c>
      <c r="F653" s="2" t="s">
        <v>303</v>
      </c>
      <c r="G653" s="2" t="s">
        <v>608</v>
      </c>
      <c r="H653" s="2" t="s">
        <v>609</v>
      </c>
      <c r="I653" s="2" t="s">
        <v>610</v>
      </c>
    </row>
    <row r="654" spans="1:9" ht="14.5" x14ac:dyDescent="0.35">
      <c r="A654" s="2">
        <v>422460</v>
      </c>
      <c r="B654" s="2" t="str">
        <f>"3328030306950010"</f>
        <v>3328030306950010</v>
      </c>
      <c r="C654" s="2" t="s">
        <v>995</v>
      </c>
      <c r="D654" s="2" t="s">
        <v>17</v>
      </c>
      <c r="E654" s="2" t="s">
        <v>11</v>
      </c>
      <c r="F654" s="2" t="s">
        <v>18</v>
      </c>
      <c r="G654" s="2" t="s">
        <v>268</v>
      </c>
      <c r="H654" s="2" t="s">
        <v>269</v>
      </c>
      <c r="I654" s="2" t="s">
        <v>996</v>
      </c>
    </row>
    <row r="655" spans="1:9" ht="14.5" x14ac:dyDescent="0.35">
      <c r="A655" s="2">
        <v>1603043</v>
      </c>
      <c r="B655" s="2" t="str">
        <f>"3328030306950010"</f>
        <v>3328030306950010</v>
      </c>
      <c r="C655" s="2" t="s">
        <v>997</v>
      </c>
      <c r="D655" s="2" t="s">
        <v>189</v>
      </c>
      <c r="E655" s="2" t="s">
        <v>11</v>
      </c>
      <c r="F655" s="2" t="s">
        <v>18</v>
      </c>
      <c r="G655" s="2" t="s">
        <v>19</v>
      </c>
      <c r="H655" s="2" t="s">
        <v>906</v>
      </c>
      <c r="I655" s="2" t="s">
        <v>907</v>
      </c>
    </row>
    <row r="656" spans="1:9" ht="14.5" x14ac:dyDescent="0.35">
      <c r="A656" s="2">
        <v>2527881</v>
      </c>
      <c r="B656" s="2" t="str">
        <f>"3328030501010004"</f>
        <v>3328030501010004</v>
      </c>
      <c r="C656" s="2" t="s">
        <v>998</v>
      </c>
      <c r="D656" s="2" t="s">
        <v>17</v>
      </c>
      <c r="E656" s="2" t="s">
        <v>11</v>
      </c>
      <c r="F656" s="2" t="s">
        <v>18</v>
      </c>
      <c r="G656" s="2" t="s">
        <v>19</v>
      </c>
      <c r="H656" s="2" t="s">
        <v>906</v>
      </c>
      <c r="I656" s="2" t="s">
        <v>999</v>
      </c>
    </row>
    <row r="657" spans="1:9" ht="14.5" x14ac:dyDescent="0.35">
      <c r="A657" s="2">
        <v>1351165</v>
      </c>
      <c r="B657" s="2" t="str">
        <f>"3328030501010004"</f>
        <v>3328030501010004</v>
      </c>
      <c r="C657" s="2" t="s">
        <v>1000</v>
      </c>
      <c r="D657" s="2" t="s">
        <v>10</v>
      </c>
      <c r="E657" s="2" t="s">
        <v>57</v>
      </c>
      <c r="F657" s="2" t="s">
        <v>303</v>
      </c>
      <c r="G657" s="2" t="s">
        <v>608</v>
      </c>
      <c r="H657" s="2" t="s">
        <v>609</v>
      </c>
      <c r="I657" s="2" t="s">
        <v>610</v>
      </c>
    </row>
    <row r="658" spans="1:9" ht="14.5" x14ac:dyDescent="0.35">
      <c r="A658" s="2">
        <v>1583654</v>
      </c>
      <c r="B658" s="2" t="str">
        <f>"3328030502020005"</f>
        <v>3328030502020005</v>
      </c>
      <c r="C658" s="2" t="s">
        <v>1001</v>
      </c>
      <c r="D658" s="2" t="s">
        <v>10</v>
      </c>
      <c r="E658" s="2" t="s">
        <v>11</v>
      </c>
      <c r="F658" s="2" t="s">
        <v>18</v>
      </c>
      <c r="G658" s="2" t="s">
        <v>19</v>
      </c>
      <c r="H658" s="2" t="s">
        <v>906</v>
      </c>
      <c r="I658" s="2" t="s">
        <v>906</v>
      </c>
    </row>
    <row r="659" spans="1:9" ht="14.5" x14ac:dyDescent="0.35">
      <c r="A659" s="2">
        <v>1351130</v>
      </c>
      <c r="B659" s="2" t="str">
        <f>"3328030502020005"</f>
        <v>3328030502020005</v>
      </c>
      <c r="C659" s="2" t="s">
        <v>1002</v>
      </c>
      <c r="D659" s="2" t="s">
        <v>10</v>
      </c>
      <c r="E659" s="2" t="s">
        <v>57</v>
      </c>
      <c r="F659" s="2" t="s">
        <v>303</v>
      </c>
      <c r="G659" s="2" t="s">
        <v>608</v>
      </c>
      <c r="H659" s="2" t="s">
        <v>609</v>
      </c>
      <c r="I659" s="2" t="s">
        <v>610</v>
      </c>
    </row>
    <row r="660" spans="1:9" ht="14.5" x14ac:dyDescent="0.35">
      <c r="A660" s="2">
        <v>1573256</v>
      </c>
      <c r="B660" s="2" t="str">
        <f>"3328030504000003"</f>
        <v>3328030504000003</v>
      </c>
      <c r="C660" s="2" t="s">
        <v>1003</v>
      </c>
      <c r="D660" s="2" t="s">
        <v>10</v>
      </c>
      <c r="E660" s="2" t="s">
        <v>11</v>
      </c>
      <c r="F660" s="2" t="s">
        <v>18</v>
      </c>
      <c r="G660" s="2" t="s">
        <v>19</v>
      </c>
      <c r="H660" s="2" t="s">
        <v>906</v>
      </c>
      <c r="I660" s="2" t="s">
        <v>942</v>
      </c>
    </row>
    <row r="661" spans="1:9" ht="14.5" x14ac:dyDescent="0.35">
      <c r="A661" s="2">
        <v>1351166</v>
      </c>
      <c r="B661" s="2" t="str">
        <f>"3328030504000003"</f>
        <v>3328030504000003</v>
      </c>
      <c r="C661" s="2" t="s">
        <v>1004</v>
      </c>
      <c r="D661" s="2" t="s">
        <v>10</v>
      </c>
      <c r="E661" s="2" t="s">
        <v>57</v>
      </c>
      <c r="F661" s="2" t="s">
        <v>303</v>
      </c>
      <c r="G661" s="2" t="s">
        <v>608</v>
      </c>
      <c r="H661" s="2" t="s">
        <v>609</v>
      </c>
      <c r="I661" s="2" t="s">
        <v>610</v>
      </c>
    </row>
    <row r="662" spans="1:9" ht="14.5" x14ac:dyDescent="0.35">
      <c r="A662" s="2">
        <v>1586889</v>
      </c>
      <c r="B662" s="2" t="str">
        <f>"3328030504020001"</f>
        <v>3328030504020001</v>
      </c>
      <c r="C662" s="2" t="s">
        <v>1005</v>
      </c>
      <c r="D662" s="2" t="s">
        <v>10</v>
      </c>
      <c r="E662" s="2" t="s">
        <v>11</v>
      </c>
      <c r="F662" s="2" t="s">
        <v>18</v>
      </c>
      <c r="G662" s="2" t="s">
        <v>19</v>
      </c>
      <c r="H662" s="2" t="s">
        <v>906</v>
      </c>
      <c r="I662" s="2" t="s">
        <v>906</v>
      </c>
    </row>
    <row r="663" spans="1:9" ht="14.5" x14ac:dyDescent="0.35">
      <c r="A663" s="2">
        <v>1351136</v>
      </c>
      <c r="B663" s="2" t="str">
        <f>"3328030504020001"</f>
        <v>3328030504020001</v>
      </c>
      <c r="C663" s="2" t="s">
        <v>1005</v>
      </c>
      <c r="D663" s="2" t="s">
        <v>10</v>
      </c>
      <c r="E663" s="2" t="s">
        <v>57</v>
      </c>
      <c r="F663" s="2" t="s">
        <v>303</v>
      </c>
      <c r="G663" s="2" t="s">
        <v>608</v>
      </c>
      <c r="H663" s="2" t="s">
        <v>609</v>
      </c>
      <c r="I663" s="2" t="s">
        <v>610</v>
      </c>
    </row>
    <row r="664" spans="1:9" ht="14.5" x14ac:dyDescent="0.35">
      <c r="A664" s="2">
        <v>1601309</v>
      </c>
      <c r="B664" s="2" t="str">
        <f>"3328030504850007"</f>
        <v>3328030504850007</v>
      </c>
      <c r="C664" s="2" t="s">
        <v>1006</v>
      </c>
      <c r="D664" s="2" t="s">
        <v>189</v>
      </c>
      <c r="E664" s="2" t="s">
        <v>11</v>
      </c>
      <c r="F664" s="2" t="s">
        <v>18</v>
      </c>
      <c r="G664" s="2" t="s">
        <v>19</v>
      </c>
      <c r="H664" s="2" t="s">
        <v>906</v>
      </c>
      <c r="I664" s="2" t="s">
        <v>920</v>
      </c>
    </row>
    <row r="665" spans="1:9" ht="14.5" x14ac:dyDescent="0.35">
      <c r="A665" s="2">
        <v>1641230</v>
      </c>
      <c r="B665" s="2" t="str">
        <f>"3328030504850007"</f>
        <v>3328030504850007</v>
      </c>
      <c r="C665" s="2" t="s">
        <v>1007</v>
      </c>
      <c r="D665" s="2" t="s">
        <v>17</v>
      </c>
      <c r="E665" s="2" t="s">
        <v>11</v>
      </c>
      <c r="F665" s="2" t="s">
        <v>18</v>
      </c>
      <c r="G665" s="2" t="s">
        <v>264</v>
      </c>
      <c r="H665" s="2" t="s">
        <v>344</v>
      </c>
      <c r="I665" s="2" t="s">
        <v>1008</v>
      </c>
    </row>
    <row r="666" spans="1:9" ht="14.5" x14ac:dyDescent="0.35">
      <c r="A666" s="2">
        <v>1578999</v>
      </c>
      <c r="B666" s="2" t="str">
        <f>"3328030505020002"</f>
        <v>3328030505020002</v>
      </c>
      <c r="C666" s="2" t="s">
        <v>1009</v>
      </c>
      <c r="D666" s="2" t="s">
        <v>10</v>
      </c>
      <c r="E666" s="2" t="s">
        <v>11</v>
      </c>
      <c r="F666" s="2" t="s">
        <v>18</v>
      </c>
      <c r="G666" s="2" t="s">
        <v>19</v>
      </c>
      <c r="H666" s="2" t="s">
        <v>906</v>
      </c>
      <c r="I666" s="2" t="s">
        <v>942</v>
      </c>
    </row>
    <row r="667" spans="1:9" ht="14.5" x14ac:dyDescent="0.35">
      <c r="A667" s="2">
        <v>1351168</v>
      </c>
      <c r="B667" s="2" t="str">
        <f>"3328030505020002"</f>
        <v>3328030505020002</v>
      </c>
      <c r="C667" s="2" t="s">
        <v>1009</v>
      </c>
      <c r="D667" s="2" t="s">
        <v>10</v>
      </c>
      <c r="E667" s="2" t="s">
        <v>57</v>
      </c>
      <c r="F667" s="2" t="s">
        <v>303</v>
      </c>
      <c r="G667" s="2" t="s">
        <v>608</v>
      </c>
      <c r="H667" s="2" t="s">
        <v>609</v>
      </c>
      <c r="I667" s="2" t="s">
        <v>610</v>
      </c>
    </row>
    <row r="668" spans="1:9" ht="14.5" x14ac:dyDescent="0.35">
      <c r="A668" s="2">
        <v>1558832</v>
      </c>
      <c r="B668" s="2" t="str">
        <f>"3328030604990013"</f>
        <v>3328030604990013</v>
      </c>
      <c r="C668" s="2" t="s">
        <v>1010</v>
      </c>
      <c r="D668" s="2" t="s">
        <v>10</v>
      </c>
      <c r="E668" s="2" t="s">
        <v>11</v>
      </c>
      <c r="F668" s="2" t="s">
        <v>18</v>
      </c>
      <c r="G668" s="2" t="s">
        <v>19</v>
      </c>
      <c r="H668" s="2" t="s">
        <v>906</v>
      </c>
      <c r="I668" s="2" t="s">
        <v>1011</v>
      </c>
    </row>
    <row r="669" spans="1:9" ht="14.5" x14ac:dyDescent="0.35">
      <c r="A669" s="2">
        <v>1351163</v>
      </c>
      <c r="B669" s="2" t="str">
        <f>"3328030604990013"</f>
        <v>3328030604990013</v>
      </c>
      <c r="C669" s="2" t="s">
        <v>1012</v>
      </c>
      <c r="D669" s="2" t="s">
        <v>10</v>
      </c>
      <c r="E669" s="2" t="s">
        <v>57</v>
      </c>
      <c r="F669" s="2" t="s">
        <v>303</v>
      </c>
      <c r="G669" s="2" t="s">
        <v>608</v>
      </c>
      <c r="H669" s="2" t="s">
        <v>609</v>
      </c>
      <c r="I669" s="2" t="s">
        <v>610</v>
      </c>
    </row>
    <row r="670" spans="1:9" ht="14.5" x14ac:dyDescent="0.35">
      <c r="A670" s="2">
        <v>1573047</v>
      </c>
      <c r="B670" s="2" t="str">
        <f>"3328030606060004"</f>
        <v>3328030606060004</v>
      </c>
      <c r="C670" s="2" t="s">
        <v>1013</v>
      </c>
      <c r="D670" s="2" t="s">
        <v>10</v>
      </c>
      <c r="E670" s="2" t="s">
        <v>11</v>
      </c>
      <c r="F670" s="2" t="s">
        <v>18</v>
      </c>
      <c r="G670" s="2" t="s">
        <v>19</v>
      </c>
      <c r="H670" s="2" t="s">
        <v>906</v>
      </c>
      <c r="I670" s="2" t="s">
        <v>942</v>
      </c>
    </row>
    <row r="671" spans="1:9" ht="14.5" x14ac:dyDescent="0.35">
      <c r="A671" s="2">
        <v>1351173</v>
      </c>
      <c r="B671" s="2" t="str">
        <f>"3328030606060004"</f>
        <v>3328030606060004</v>
      </c>
      <c r="C671" s="2" t="s">
        <v>1014</v>
      </c>
      <c r="D671" s="2" t="s">
        <v>10</v>
      </c>
      <c r="E671" s="2" t="s">
        <v>57</v>
      </c>
      <c r="F671" s="2" t="s">
        <v>303</v>
      </c>
      <c r="G671" s="2" t="s">
        <v>608</v>
      </c>
      <c r="H671" s="2" t="s">
        <v>609</v>
      </c>
      <c r="I671" s="2" t="s">
        <v>610</v>
      </c>
    </row>
    <row r="672" spans="1:9" ht="14.5" x14ac:dyDescent="0.35">
      <c r="A672" s="2">
        <v>1587059</v>
      </c>
      <c r="B672" s="2" t="str">
        <f>"3328030611050004"</f>
        <v>3328030611050004</v>
      </c>
      <c r="C672" s="2" t="s">
        <v>1015</v>
      </c>
      <c r="D672" s="2" t="s">
        <v>189</v>
      </c>
      <c r="E672" s="2" t="s">
        <v>11</v>
      </c>
      <c r="F672" s="2" t="s">
        <v>18</v>
      </c>
      <c r="G672" s="2" t="s">
        <v>19</v>
      </c>
      <c r="H672" s="2" t="s">
        <v>906</v>
      </c>
      <c r="I672" s="2" t="s">
        <v>906</v>
      </c>
    </row>
    <row r="673" spans="1:9" ht="14.5" x14ac:dyDescent="0.35">
      <c r="A673" s="2">
        <v>1350579</v>
      </c>
      <c r="B673" s="2" t="str">
        <f>"3328030611050004"</f>
        <v>3328030611050004</v>
      </c>
      <c r="C673" s="2" t="s">
        <v>1016</v>
      </c>
      <c r="D673" s="2" t="s">
        <v>10</v>
      </c>
      <c r="E673" s="2" t="s">
        <v>57</v>
      </c>
      <c r="F673" s="2" t="s">
        <v>303</v>
      </c>
      <c r="G673" s="2" t="s">
        <v>608</v>
      </c>
      <c r="H673" s="2" t="s">
        <v>609</v>
      </c>
      <c r="I673" s="2" t="s">
        <v>610</v>
      </c>
    </row>
    <row r="674" spans="1:9" ht="14.5" x14ac:dyDescent="0.35">
      <c r="A674" s="2">
        <v>524084</v>
      </c>
      <c r="B674" s="2" t="str">
        <f>"3328030612740001"</f>
        <v>3328030612740001</v>
      </c>
      <c r="C674" s="2" t="s">
        <v>508</v>
      </c>
      <c r="D674" s="2" t="s">
        <v>10</v>
      </c>
      <c r="E674" s="2" t="s">
        <v>11</v>
      </c>
      <c r="F674" s="2" t="s">
        <v>954</v>
      </c>
      <c r="G674" s="2" t="s">
        <v>1017</v>
      </c>
      <c r="H674" s="2" t="s">
        <v>1018</v>
      </c>
      <c r="I674" s="2" t="s">
        <v>1019</v>
      </c>
    </row>
    <row r="675" spans="1:9" ht="14.5" x14ac:dyDescent="0.35">
      <c r="A675" s="2">
        <v>2527219</v>
      </c>
      <c r="B675" s="2" t="str">
        <f>"3328030612740001"</f>
        <v>3328030612740001</v>
      </c>
      <c r="C675" s="2" t="s">
        <v>508</v>
      </c>
      <c r="D675" s="2" t="s">
        <v>17</v>
      </c>
      <c r="E675" s="2" t="s">
        <v>11</v>
      </c>
      <c r="F675" s="2" t="s">
        <v>18</v>
      </c>
      <c r="G675" s="2" t="s">
        <v>19</v>
      </c>
      <c r="H675" s="2" t="s">
        <v>906</v>
      </c>
      <c r="I675" s="2" t="s">
        <v>1011</v>
      </c>
    </row>
    <row r="676" spans="1:9" ht="14.5" x14ac:dyDescent="0.35">
      <c r="A676" s="2">
        <v>1558843</v>
      </c>
      <c r="B676" s="2" t="str">
        <f>"3328030701980004"</f>
        <v>3328030701980004</v>
      </c>
      <c r="C676" s="2" t="s">
        <v>1020</v>
      </c>
      <c r="D676" s="2" t="s">
        <v>10</v>
      </c>
      <c r="E676" s="2" t="s">
        <v>11</v>
      </c>
      <c r="F676" s="2" t="s">
        <v>18</v>
      </c>
      <c r="G676" s="2" t="s">
        <v>19</v>
      </c>
      <c r="H676" s="2" t="s">
        <v>906</v>
      </c>
      <c r="I676" s="2" t="s">
        <v>1011</v>
      </c>
    </row>
    <row r="677" spans="1:9" ht="14.5" x14ac:dyDescent="0.35">
      <c r="A677" s="2">
        <v>1351164</v>
      </c>
      <c r="B677" s="2" t="str">
        <f>"3328030701980004"</f>
        <v>3328030701980004</v>
      </c>
      <c r="C677" s="2" t="s">
        <v>1020</v>
      </c>
      <c r="D677" s="2" t="s">
        <v>10</v>
      </c>
      <c r="E677" s="2" t="s">
        <v>57</v>
      </c>
      <c r="F677" s="2" t="s">
        <v>303</v>
      </c>
      <c r="G677" s="2" t="s">
        <v>608</v>
      </c>
      <c r="H677" s="2" t="s">
        <v>609</v>
      </c>
      <c r="I677" s="2" t="s">
        <v>610</v>
      </c>
    </row>
    <row r="678" spans="1:9" ht="14.5" x14ac:dyDescent="0.35">
      <c r="A678" s="2">
        <v>1589023</v>
      </c>
      <c r="B678" s="2" t="str">
        <f>"3328030808720003"</f>
        <v>3328030808720003</v>
      </c>
      <c r="C678" s="2" t="s">
        <v>1021</v>
      </c>
      <c r="D678" s="2" t="s">
        <v>10</v>
      </c>
      <c r="E678" s="2" t="s">
        <v>11</v>
      </c>
      <c r="F678" s="2" t="s">
        <v>18</v>
      </c>
      <c r="G678" s="2" t="s">
        <v>19</v>
      </c>
      <c r="H678" s="2" t="s">
        <v>906</v>
      </c>
      <c r="I678" s="2" t="s">
        <v>929</v>
      </c>
    </row>
    <row r="679" spans="1:9" ht="14.5" x14ac:dyDescent="0.35">
      <c r="A679" s="2">
        <v>1352880</v>
      </c>
      <c r="B679" s="2" t="str">
        <f>"3328030808720003"</f>
        <v>3328030808720003</v>
      </c>
      <c r="C679" s="2" t="s">
        <v>1022</v>
      </c>
      <c r="D679" s="2" t="s">
        <v>10</v>
      </c>
      <c r="E679" s="2" t="s">
        <v>57</v>
      </c>
      <c r="F679" s="2" t="s">
        <v>303</v>
      </c>
      <c r="G679" s="2" t="s">
        <v>608</v>
      </c>
      <c r="H679" s="2" t="s">
        <v>609</v>
      </c>
      <c r="I679" s="2" t="s">
        <v>610</v>
      </c>
    </row>
    <row r="680" spans="1:9" ht="14.5" x14ac:dyDescent="0.35">
      <c r="A680" s="2">
        <v>978834</v>
      </c>
      <c r="B680" s="2" t="str">
        <f>"3328030906000002"</f>
        <v>3328030906000002</v>
      </c>
      <c r="C680" s="2" t="s">
        <v>1023</v>
      </c>
      <c r="D680" s="2" t="s">
        <v>10</v>
      </c>
      <c r="E680" s="2" t="s">
        <v>11</v>
      </c>
      <c r="F680" s="2" t="s">
        <v>954</v>
      </c>
      <c r="G680" s="2" t="s">
        <v>1024</v>
      </c>
      <c r="H680" s="2" t="s">
        <v>1025</v>
      </c>
      <c r="I680" s="2" t="s">
        <v>1025</v>
      </c>
    </row>
    <row r="681" spans="1:9" ht="14.5" x14ac:dyDescent="0.35">
      <c r="A681" s="2">
        <v>2527032</v>
      </c>
      <c r="B681" s="2" t="str">
        <f>"3328030906000002"</f>
        <v>3328030906000002</v>
      </c>
      <c r="C681" s="2" t="s">
        <v>1023</v>
      </c>
      <c r="D681" s="2" t="s">
        <v>17</v>
      </c>
      <c r="E681" s="2" t="s">
        <v>11</v>
      </c>
      <c r="F681" s="2" t="s">
        <v>18</v>
      </c>
      <c r="G681" s="2" t="s">
        <v>19</v>
      </c>
      <c r="H681" s="2" t="s">
        <v>906</v>
      </c>
      <c r="I681" s="2" t="s">
        <v>1011</v>
      </c>
    </row>
    <row r="682" spans="1:9" ht="14.5" x14ac:dyDescent="0.35">
      <c r="A682" s="2">
        <v>1592189</v>
      </c>
      <c r="B682" s="2" t="str">
        <f>"3328030909020006"</f>
        <v>3328030909020006</v>
      </c>
      <c r="C682" s="2" t="s">
        <v>1026</v>
      </c>
      <c r="D682" s="2" t="s">
        <v>10</v>
      </c>
      <c r="E682" s="2" t="s">
        <v>11</v>
      </c>
      <c r="F682" s="2" t="s">
        <v>18</v>
      </c>
      <c r="G682" s="2" t="s">
        <v>19</v>
      </c>
      <c r="H682" s="2" t="s">
        <v>906</v>
      </c>
      <c r="I682" s="2" t="s">
        <v>992</v>
      </c>
    </row>
    <row r="683" spans="1:9" ht="14.5" x14ac:dyDescent="0.35">
      <c r="A683" s="2">
        <v>1351156</v>
      </c>
      <c r="B683" s="2" t="str">
        <f>"3328030909020006"</f>
        <v>3328030909020006</v>
      </c>
      <c r="C683" s="2" t="s">
        <v>1027</v>
      </c>
      <c r="D683" s="2" t="s">
        <v>10</v>
      </c>
      <c r="E683" s="2" t="s">
        <v>57</v>
      </c>
      <c r="F683" s="2" t="s">
        <v>303</v>
      </c>
      <c r="G683" s="2" t="s">
        <v>608</v>
      </c>
      <c r="H683" s="2" t="s">
        <v>609</v>
      </c>
      <c r="I683" s="2" t="s">
        <v>610</v>
      </c>
    </row>
    <row r="684" spans="1:9" ht="14.5" x14ac:dyDescent="0.35">
      <c r="A684" s="2">
        <v>2528428</v>
      </c>
      <c r="B684" s="2" t="str">
        <f>"3328030910040001"</f>
        <v>3328030910040001</v>
      </c>
      <c r="C684" s="2" t="s">
        <v>1028</v>
      </c>
      <c r="D684" s="2" t="s">
        <v>17</v>
      </c>
      <c r="E684" s="2" t="s">
        <v>11</v>
      </c>
      <c r="F684" s="2" t="s">
        <v>18</v>
      </c>
      <c r="G684" s="2" t="s">
        <v>19</v>
      </c>
      <c r="H684" s="2" t="s">
        <v>906</v>
      </c>
      <c r="I684" s="2" t="s">
        <v>942</v>
      </c>
    </row>
    <row r="685" spans="1:9" ht="14.5" x14ac:dyDescent="0.35">
      <c r="A685" s="2">
        <v>1351131</v>
      </c>
      <c r="B685" s="2" t="str">
        <f>"3328030910040001"</f>
        <v>3328030910040001</v>
      </c>
      <c r="C685" s="2" t="s">
        <v>1028</v>
      </c>
      <c r="D685" s="2" t="s">
        <v>10</v>
      </c>
      <c r="E685" s="2" t="s">
        <v>57</v>
      </c>
      <c r="F685" s="2" t="s">
        <v>303</v>
      </c>
      <c r="G685" s="2" t="s">
        <v>608</v>
      </c>
      <c r="H685" s="2" t="s">
        <v>609</v>
      </c>
      <c r="I685" s="2" t="s">
        <v>610</v>
      </c>
    </row>
    <row r="686" spans="1:9" ht="14.5" x14ac:dyDescent="0.35">
      <c r="A686" s="2">
        <v>1589179</v>
      </c>
      <c r="B686" s="2" t="str">
        <f>"3328031005990008"</f>
        <v>3328031005990008</v>
      </c>
      <c r="C686" s="2" t="s">
        <v>1029</v>
      </c>
      <c r="D686" s="2" t="s">
        <v>10</v>
      </c>
      <c r="E686" s="2" t="s">
        <v>11</v>
      </c>
      <c r="F686" s="2" t="s">
        <v>18</v>
      </c>
      <c r="G686" s="2" t="s">
        <v>19</v>
      </c>
      <c r="H686" s="2" t="s">
        <v>906</v>
      </c>
      <c r="I686" s="2" t="s">
        <v>929</v>
      </c>
    </row>
    <row r="687" spans="1:9" ht="14.5" x14ac:dyDescent="0.35">
      <c r="A687" s="2">
        <v>2573107</v>
      </c>
      <c r="B687" s="2" t="str">
        <f>"3328031005990008"</f>
        <v>3328031005990008</v>
      </c>
      <c r="C687" s="2" t="s">
        <v>1029</v>
      </c>
      <c r="D687" s="2" t="s">
        <v>17</v>
      </c>
      <c r="E687" s="2" t="s">
        <v>11</v>
      </c>
      <c r="F687" s="2" t="s">
        <v>18</v>
      </c>
      <c r="G687" s="2" t="s">
        <v>19</v>
      </c>
      <c r="H687" s="2" t="s">
        <v>745</v>
      </c>
      <c r="I687" s="2" t="s">
        <v>746</v>
      </c>
    </row>
    <row r="688" spans="1:9" ht="14.5" x14ac:dyDescent="0.35">
      <c r="A688" s="2">
        <v>1570890</v>
      </c>
      <c r="B688" s="2" t="str">
        <f>"3328031207020010"</f>
        <v>3328031207020010</v>
      </c>
      <c r="C688" s="2" t="s">
        <v>1030</v>
      </c>
      <c r="D688" s="2" t="s">
        <v>10</v>
      </c>
      <c r="E688" s="2" t="s">
        <v>11</v>
      </c>
      <c r="F688" s="2" t="s">
        <v>18</v>
      </c>
      <c r="G688" s="2" t="s">
        <v>19</v>
      </c>
      <c r="H688" s="2" t="s">
        <v>906</v>
      </c>
      <c r="I688" s="2" t="s">
        <v>933</v>
      </c>
    </row>
    <row r="689" spans="1:9" ht="14.5" x14ac:dyDescent="0.35">
      <c r="A689" s="2">
        <v>1351153</v>
      </c>
      <c r="B689" s="2" t="str">
        <f>"3328031207020010"</f>
        <v>3328031207020010</v>
      </c>
      <c r="C689" s="2" t="s">
        <v>1030</v>
      </c>
      <c r="D689" s="2" t="s">
        <v>10</v>
      </c>
      <c r="E689" s="2" t="s">
        <v>57</v>
      </c>
      <c r="F689" s="2" t="s">
        <v>303</v>
      </c>
      <c r="G689" s="2" t="s">
        <v>608</v>
      </c>
      <c r="H689" s="2" t="s">
        <v>609</v>
      </c>
      <c r="I689" s="2" t="s">
        <v>610</v>
      </c>
    </row>
    <row r="690" spans="1:9" ht="14.5" x14ac:dyDescent="0.35">
      <c r="A690" s="2">
        <v>1592084</v>
      </c>
      <c r="B690" s="2" t="str">
        <f>"3328031308010005"</f>
        <v>3328031308010005</v>
      </c>
      <c r="C690" s="2" t="s">
        <v>1031</v>
      </c>
      <c r="D690" s="2" t="s">
        <v>10</v>
      </c>
      <c r="E690" s="2" t="s">
        <v>11</v>
      </c>
      <c r="F690" s="2" t="s">
        <v>18</v>
      </c>
      <c r="G690" s="2" t="s">
        <v>19</v>
      </c>
      <c r="H690" s="2" t="s">
        <v>906</v>
      </c>
      <c r="I690" s="2" t="s">
        <v>992</v>
      </c>
    </row>
    <row r="691" spans="1:9" ht="14.5" x14ac:dyDescent="0.35">
      <c r="A691" s="2">
        <v>1351157</v>
      </c>
      <c r="B691" s="2" t="str">
        <f>"3328031308010005"</f>
        <v>3328031308010005</v>
      </c>
      <c r="C691" s="2" t="s">
        <v>1031</v>
      </c>
      <c r="D691" s="2" t="s">
        <v>10</v>
      </c>
      <c r="E691" s="2" t="s">
        <v>57</v>
      </c>
      <c r="F691" s="2" t="s">
        <v>303</v>
      </c>
      <c r="G691" s="2" t="s">
        <v>608</v>
      </c>
      <c r="H691" s="2" t="s">
        <v>609</v>
      </c>
      <c r="I691" s="2" t="s">
        <v>610</v>
      </c>
    </row>
    <row r="692" spans="1:9" ht="14.5" x14ac:dyDescent="0.35">
      <c r="A692" s="2">
        <v>1585805</v>
      </c>
      <c r="B692" s="2" t="str">
        <f>"3328031503040005"</f>
        <v>3328031503040005</v>
      </c>
      <c r="C692" s="2" t="s">
        <v>1032</v>
      </c>
      <c r="D692" s="2" t="s">
        <v>10</v>
      </c>
      <c r="E692" s="2" t="s">
        <v>11</v>
      </c>
      <c r="F692" s="2" t="s">
        <v>18</v>
      </c>
      <c r="G692" s="2" t="s">
        <v>19</v>
      </c>
      <c r="H692" s="2" t="s">
        <v>906</v>
      </c>
      <c r="I692" s="2" t="s">
        <v>906</v>
      </c>
    </row>
    <row r="693" spans="1:9" ht="14.5" x14ac:dyDescent="0.35">
      <c r="A693" s="2">
        <v>1351135</v>
      </c>
      <c r="B693" s="2" t="str">
        <f>"3328031503040005"</f>
        <v>3328031503040005</v>
      </c>
      <c r="C693" s="2" t="s">
        <v>1033</v>
      </c>
      <c r="D693" s="2" t="s">
        <v>10</v>
      </c>
      <c r="E693" s="2" t="s">
        <v>57</v>
      </c>
      <c r="F693" s="2" t="s">
        <v>303</v>
      </c>
      <c r="G693" s="2" t="s">
        <v>608</v>
      </c>
      <c r="H693" s="2" t="s">
        <v>609</v>
      </c>
      <c r="I693" s="2" t="s">
        <v>610</v>
      </c>
    </row>
    <row r="694" spans="1:9" ht="14.5" x14ac:dyDescent="0.35">
      <c r="A694" s="2">
        <v>1575478</v>
      </c>
      <c r="B694" s="2" t="str">
        <f>"3328031505000002"</f>
        <v>3328031505000002</v>
      </c>
      <c r="C694" s="2" t="s">
        <v>1034</v>
      </c>
      <c r="D694" s="2" t="s">
        <v>10</v>
      </c>
      <c r="E694" s="2" t="s">
        <v>11</v>
      </c>
      <c r="F694" s="2" t="s">
        <v>18</v>
      </c>
      <c r="G694" s="2" t="s">
        <v>19</v>
      </c>
      <c r="H694" s="2" t="s">
        <v>906</v>
      </c>
      <c r="I694" s="2" t="s">
        <v>942</v>
      </c>
    </row>
    <row r="695" spans="1:9" ht="14.5" x14ac:dyDescent="0.35">
      <c r="A695" s="2">
        <v>423773</v>
      </c>
      <c r="B695" s="2" t="str">
        <f>"3328031505000002"</f>
        <v>3328031505000002</v>
      </c>
      <c r="C695" s="2" t="s">
        <v>1035</v>
      </c>
      <c r="D695" s="2" t="s">
        <v>10</v>
      </c>
      <c r="E695" s="2" t="s">
        <v>57</v>
      </c>
      <c r="F695" s="2" t="s">
        <v>18</v>
      </c>
      <c r="G695" s="2" t="s">
        <v>268</v>
      </c>
      <c r="H695" s="2" t="s">
        <v>277</v>
      </c>
      <c r="I695" s="2" t="s">
        <v>278</v>
      </c>
    </row>
    <row r="696" spans="1:9" ht="14.5" x14ac:dyDescent="0.35">
      <c r="A696" s="2">
        <v>1590551</v>
      </c>
      <c r="B696" s="2" t="str">
        <f>"3328031505970010"</f>
        <v>3328031505970010</v>
      </c>
      <c r="C696" s="2" t="s">
        <v>1036</v>
      </c>
      <c r="D696" s="2" t="s">
        <v>10</v>
      </c>
      <c r="E696" s="2" t="s">
        <v>11</v>
      </c>
      <c r="F696" s="2" t="s">
        <v>18</v>
      </c>
      <c r="G696" s="2" t="s">
        <v>19</v>
      </c>
      <c r="H696" s="2" t="s">
        <v>906</v>
      </c>
      <c r="I696" s="2" t="s">
        <v>992</v>
      </c>
    </row>
    <row r="697" spans="1:9" ht="14.5" x14ac:dyDescent="0.35">
      <c r="A697" s="2">
        <v>1351158</v>
      </c>
      <c r="B697" s="2" t="str">
        <f>"3328031505970010"</f>
        <v>3328031505970010</v>
      </c>
      <c r="C697" s="2" t="s">
        <v>1037</v>
      </c>
      <c r="D697" s="2" t="s">
        <v>10</v>
      </c>
      <c r="E697" s="2" t="s">
        <v>57</v>
      </c>
      <c r="F697" s="2" t="s">
        <v>303</v>
      </c>
      <c r="G697" s="2" t="s">
        <v>608</v>
      </c>
      <c r="H697" s="2" t="s">
        <v>609</v>
      </c>
      <c r="I697" s="2" t="s">
        <v>610</v>
      </c>
    </row>
    <row r="698" spans="1:9" ht="14.5" x14ac:dyDescent="0.35">
      <c r="A698" s="2">
        <v>1563742</v>
      </c>
      <c r="B698" s="2" t="str">
        <f>"3328031506980002"</f>
        <v>3328031506980002</v>
      </c>
      <c r="C698" s="2" t="s">
        <v>1038</v>
      </c>
      <c r="D698" s="2" t="s">
        <v>189</v>
      </c>
      <c r="E698" s="2" t="s">
        <v>11</v>
      </c>
      <c r="F698" s="2" t="s">
        <v>18</v>
      </c>
      <c r="G698" s="2" t="s">
        <v>19</v>
      </c>
      <c r="H698" s="2" t="s">
        <v>906</v>
      </c>
      <c r="I698" s="2" t="s">
        <v>939</v>
      </c>
    </row>
    <row r="699" spans="1:9" ht="14.5" x14ac:dyDescent="0.35">
      <c r="A699" s="2">
        <v>3125175</v>
      </c>
      <c r="B699" s="2" t="str">
        <f>"3328031506980002"</f>
        <v>3328031506980002</v>
      </c>
      <c r="C699" s="2" t="s">
        <v>1038</v>
      </c>
      <c r="D699" s="2" t="s">
        <v>17</v>
      </c>
      <c r="E699" s="2" t="s">
        <v>57</v>
      </c>
      <c r="F699" s="2" t="s">
        <v>18</v>
      </c>
      <c r="G699" s="2" t="s">
        <v>163</v>
      </c>
      <c r="H699" s="2" t="s">
        <v>723</v>
      </c>
      <c r="I699" s="2" t="s">
        <v>724</v>
      </c>
    </row>
    <row r="700" spans="1:9" ht="14.5" x14ac:dyDescent="0.35">
      <c r="A700" s="2">
        <v>27881</v>
      </c>
      <c r="B700" s="2" t="str">
        <f>"3328031507800004"</f>
        <v>3328031507800004</v>
      </c>
      <c r="C700" s="2" t="s">
        <v>1039</v>
      </c>
      <c r="D700" s="2" t="s">
        <v>10</v>
      </c>
      <c r="E700" s="2" t="s">
        <v>11</v>
      </c>
      <c r="F700" s="2" t="s">
        <v>44</v>
      </c>
      <c r="G700" s="2" t="s">
        <v>1040</v>
      </c>
      <c r="H700" s="2" t="s">
        <v>1041</v>
      </c>
      <c r="I700" s="2" t="s">
        <v>1042</v>
      </c>
    </row>
    <row r="701" spans="1:9" ht="14.5" x14ac:dyDescent="0.35">
      <c r="A701" s="2">
        <v>2529121</v>
      </c>
      <c r="B701" s="2" t="str">
        <f>"3328031507800004"</f>
        <v>3328031507800004</v>
      </c>
      <c r="C701" s="2" t="s">
        <v>1043</v>
      </c>
      <c r="D701" s="2" t="s">
        <v>17</v>
      </c>
      <c r="E701" s="2" t="s">
        <v>11</v>
      </c>
      <c r="F701" s="2" t="s">
        <v>18</v>
      </c>
      <c r="G701" s="2" t="s">
        <v>19</v>
      </c>
      <c r="H701" s="2" t="s">
        <v>906</v>
      </c>
      <c r="I701" s="2" t="s">
        <v>978</v>
      </c>
    </row>
    <row r="702" spans="1:9" ht="14.5" x14ac:dyDescent="0.35">
      <c r="A702" s="2">
        <v>2528960</v>
      </c>
      <c r="B702" s="2" t="str">
        <f>"3328031509030004"</f>
        <v>3328031509030004</v>
      </c>
      <c r="C702" s="2" t="s">
        <v>1044</v>
      </c>
      <c r="D702" s="2" t="s">
        <v>17</v>
      </c>
      <c r="E702" s="2" t="s">
        <v>11</v>
      </c>
      <c r="F702" s="2" t="s">
        <v>18</v>
      </c>
      <c r="G702" s="2" t="s">
        <v>19</v>
      </c>
      <c r="H702" s="2" t="s">
        <v>906</v>
      </c>
      <c r="I702" s="2" t="s">
        <v>929</v>
      </c>
    </row>
    <row r="703" spans="1:9" ht="14.5" x14ac:dyDescent="0.35">
      <c r="A703" s="2">
        <v>2084837</v>
      </c>
      <c r="B703" s="2" t="str">
        <f>"3328031509030004"</f>
        <v>3328031509030004</v>
      </c>
      <c r="C703" s="2" t="s">
        <v>1045</v>
      </c>
      <c r="D703" s="2" t="s">
        <v>17</v>
      </c>
      <c r="E703" s="2" t="s">
        <v>57</v>
      </c>
      <c r="F703" s="2" t="s">
        <v>18</v>
      </c>
      <c r="G703" s="2" t="s">
        <v>962</v>
      </c>
      <c r="H703" s="2" t="s">
        <v>1046</v>
      </c>
      <c r="I703" s="2" t="s">
        <v>1046</v>
      </c>
    </row>
    <row r="704" spans="1:9" ht="14.5" x14ac:dyDescent="0.35">
      <c r="A704" s="2">
        <v>2528935</v>
      </c>
      <c r="B704" s="2" t="str">
        <f>"3328031510030004"</f>
        <v>3328031510030004</v>
      </c>
      <c r="C704" s="2" t="s">
        <v>1047</v>
      </c>
      <c r="D704" s="2" t="s">
        <v>17</v>
      </c>
      <c r="E704" s="2" t="s">
        <v>11</v>
      </c>
      <c r="F704" s="2" t="s">
        <v>18</v>
      </c>
      <c r="G704" s="2" t="s">
        <v>19</v>
      </c>
      <c r="H704" s="2" t="s">
        <v>906</v>
      </c>
      <c r="I704" s="2" t="s">
        <v>929</v>
      </c>
    </row>
    <row r="705" spans="1:9" ht="14.5" x14ac:dyDescent="0.35">
      <c r="A705" s="2">
        <v>1351151</v>
      </c>
      <c r="B705" s="2" t="str">
        <f>"3328031510030004"</f>
        <v>3328031510030004</v>
      </c>
      <c r="C705" s="2" t="s">
        <v>1048</v>
      </c>
      <c r="D705" s="2" t="s">
        <v>10</v>
      </c>
      <c r="E705" s="2" t="s">
        <v>57</v>
      </c>
      <c r="F705" s="2" t="s">
        <v>303</v>
      </c>
      <c r="G705" s="2" t="s">
        <v>608</v>
      </c>
      <c r="H705" s="2" t="s">
        <v>609</v>
      </c>
      <c r="I705" s="2" t="s">
        <v>610</v>
      </c>
    </row>
    <row r="706" spans="1:9" ht="14.5" x14ac:dyDescent="0.35">
      <c r="A706" s="2">
        <v>3224496</v>
      </c>
      <c r="B706" s="2" t="str">
        <f>"3328031601020005"</f>
        <v>3328031601020005</v>
      </c>
      <c r="C706" s="2" t="s">
        <v>1049</v>
      </c>
      <c r="D706" s="2" t="s">
        <v>10</v>
      </c>
      <c r="E706" s="2" t="s">
        <v>11</v>
      </c>
      <c r="F706" s="2" t="s">
        <v>91</v>
      </c>
      <c r="G706" s="2" t="s">
        <v>650</v>
      </c>
      <c r="H706" s="2" t="s">
        <v>1050</v>
      </c>
      <c r="I706" s="2" t="s">
        <v>1051</v>
      </c>
    </row>
    <row r="707" spans="1:9" ht="14.5" x14ac:dyDescent="0.35">
      <c r="A707" s="2">
        <v>2528946</v>
      </c>
      <c r="B707" s="2" t="str">
        <f>"3328031601020005"</f>
        <v>3328031601020005</v>
      </c>
      <c r="C707" s="2" t="s">
        <v>1049</v>
      </c>
      <c r="D707" s="2" t="s">
        <v>17</v>
      </c>
      <c r="E707" s="2" t="s">
        <v>11</v>
      </c>
      <c r="F707" s="2" t="s">
        <v>18</v>
      </c>
      <c r="G707" s="2" t="s">
        <v>19</v>
      </c>
      <c r="H707" s="2" t="s">
        <v>906</v>
      </c>
      <c r="I707" s="2" t="s">
        <v>929</v>
      </c>
    </row>
    <row r="708" spans="1:9" ht="14.5" x14ac:dyDescent="0.35">
      <c r="A708" s="2">
        <v>277238</v>
      </c>
      <c r="B708" s="2" t="str">
        <f>"3328031605740001"</f>
        <v>3328031605740001</v>
      </c>
      <c r="C708" s="2" t="s">
        <v>1052</v>
      </c>
      <c r="D708" s="2" t="s">
        <v>10</v>
      </c>
      <c r="E708" s="2" t="s">
        <v>11</v>
      </c>
      <c r="F708" s="2" t="s">
        <v>412</v>
      </c>
      <c r="G708" s="2" t="s">
        <v>1053</v>
      </c>
      <c r="H708" s="2" t="s">
        <v>1054</v>
      </c>
      <c r="I708" s="2" t="s">
        <v>1055</v>
      </c>
    </row>
    <row r="709" spans="1:9" ht="14.5" x14ac:dyDescent="0.35">
      <c r="A709" s="2">
        <v>2529665</v>
      </c>
      <c r="B709" s="2" t="str">
        <f>"3328031605740001"</f>
        <v>3328031605740001</v>
      </c>
      <c r="C709" s="2" t="s">
        <v>1052</v>
      </c>
      <c r="D709" s="2" t="s">
        <v>17</v>
      </c>
      <c r="E709" s="2" t="s">
        <v>11</v>
      </c>
      <c r="F709" s="2" t="s">
        <v>18</v>
      </c>
      <c r="G709" s="2" t="s">
        <v>19</v>
      </c>
      <c r="H709" s="2" t="s">
        <v>906</v>
      </c>
      <c r="I709" s="2" t="s">
        <v>920</v>
      </c>
    </row>
    <row r="710" spans="1:9" ht="14.5" x14ac:dyDescent="0.35">
      <c r="A710" s="2">
        <v>1594184</v>
      </c>
      <c r="B710" s="2" t="str">
        <f>"3328031606950003"</f>
        <v>3328031606950003</v>
      </c>
      <c r="C710" s="2" t="s">
        <v>1056</v>
      </c>
      <c r="D710" s="2" t="s">
        <v>10</v>
      </c>
      <c r="E710" s="2" t="s">
        <v>11</v>
      </c>
      <c r="F710" s="2" t="s">
        <v>18</v>
      </c>
      <c r="G710" s="2" t="s">
        <v>19</v>
      </c>
      <c r="H710" s="2" t="s">
        <v>906</v>
      </c>
      <c r="I710" s="2" t="s">
        <v>978</v>
      </c>
    </row>
    <row r="711" spans="1:9" ht="14.5" x14ac:dyDescent="0.35">
      <c r="A711" s="2">
        <v>1433623</v>
      </c>
      <c r="B711" s="2" t="str">
        <f>"3328031606950003"</f>
        <v>3328031606950003</v>
      </c>
      <c r="C711" s="2" t="s">
        <v>1056</v>
      </c>
      <c r="D711" s="2" t="s">
        <v>10</v>
      </c>
      <c r="E711" s="2" t="s">
        <v>11</v>
      </c>
      <c r="F711" s="2" t="s">
        <v>91</v>
      </c>
      <c r="G711" s="2" t="s">
        <v>903</v>
      </c>
      <c r="H711" s="2" t="s">
        <v>1057</v>
      </c>
      <c r="I711" s="2" t="s">
        <v>1058</v>
      </c>
    </row>
    <row r="712" spans="1:9" ht="14.5" x14ac:dyDescent="0.35">
      <c r="A712" s="2">
        <v>1573407</v>
      </c>
      <c r="B712" s="2" t="str">
        <f>"3328031608050001"</f>
        <v>3328031608050001</v>
      </c>
      <c r="C712" s="2" t="s">
        <v>1059</v>
      </c>
      <c r="D712" s="2" t="s">
        <v>10</v>
      </c>
      <c r="E712" s="2" t="s">
        <v>11</v>
      </c>
      <c r="F712" s="2" t="s">
        <v>18</v>
      </c>
      <c r="G712" s="2" t="s">
        <v>19</v>
      </c>
      <c r="H712" s="2" t="s">
        <v>906</v>
      </c>
      <c r="I712" s="2" t="s">
        <v>942</v>
      </c>
    </row>
    <row r="713" spans="1:9" ht="14.5" x14ac:dyDescent="0.35">
      <c r="A713" s="2">
        <v>1351137</v>
      </c>
      <c r="B713" s="2" t="str">
        <f>"3328031608050001"</f>
        <v>3328031608050001</v>
      </c>
      <c r="C713" s="2" t="s">
        <v>1060</v>
      </c>
      <c r="D713" s="2" t="s">
        <v>10</v>
      </c>
      <c r="E713" s="2" t="s">
        <v>57</v>
      </c>
      <c r="F713" s="2" t="s">
        <v>303</v>
      </c>
      <c r="G713" s="2" t="s">
        <v>608</v>
      </c>
      <c r="H713" s="2" t="s">
        <v>609</v>
      </c>
      <c r="I713" s="2" t="s">
        <v>610</v>
      </c>
    </row>
    <row r="714" spans="1:9" ht="14.5" x14ac:dyDescent="0.35">
      <c r="A714" s="2">
        <v>914672</v>
      </c>
      <c r="B714" s="2" t="str">
        <f>"3328031811650001"</f>
        <v>3328031811650001</v>
      </c>
      <c r="C714" s="2" t="s">
        <v>508</v>
      </c>
      <c r="D714" s="2" t="s">
        <v>10</v>
      </c>
      <c r="E714" s="2" t="s">
        <v>11</v>
      </c>
      <c r="F714" s="2" t="s">
        <v>50</v>
      </c>
      <c r="G714" s="2" t="s">
        <v>72</v>
      </c>
      <c r="H714" s="2" t="s">
        <v>703</v>
      </c>
      <c r="I714" s="2" t="s">
        <v>1061</v>
      </c>
    </row>
    <row r="715" spans="1:9" ht="14.5" x14ac:dyDescent="0.35">
      <c r="A715" s="2">
        <v>2527041</v>
      </c>
      <c r="B715" s="2" t="str">
        <f>"3328031811650001"</f>
        <v>3328031811650001</v>
      </c>
      <c r="C715" s="2" t="s">
        <v>508</v>
      </c>
      <c r="D715" s="2" t="s">
        <v>17</v>
      </c>
      <c r="E715" s="2" t="s">
        <v>11</v>
      </c>
      <c r="F715" s="2" t="s">
        <v>18</v>
      </c>
      <c r="G715" s="2" t="s">
        <v>19</v>
      </c>
      <c r="H715" s="2" t="s">
        <v>906</v>
      </c>
      <c r="I715" s="2" t="s">
        <v>1011</v>
      </c>
    </row>
    <row r="716" spans="1:9" ht="14.5" x14ac:dyDescent="0.35">
      <c r="A716" s="2">
        <v>1579718</v>
      </c>
      <c r="B716" s="2" t="str">
        <f>"3328031812060007"</f>
        <v>3328031812060007</v>
      </c>
      <c r="C716" s="2" t="s">
        <v>1062</v>
      </c>
      <c r="D716" s="2" t="s">
        <v>10</v>
      </c>
      <c r="E716" s="2" t="s">
        <v>11</v>
      </c>
      <c r="F716" s="2" t="s">
        <v>18</v>
      </c>
      <c r="G716" s="2" t="s">
        <v>19</v>
      </c>
      <c r="H716" s="2" t="s">
        <v>906</v>
      </c>
      <c r="I716" s="2" t="s">
        <v>942</v>
      </c>
    </row>
    <row r="717" spans="1:9" ht="14.5" x14ac:dyDescent="0.35">
      <c r="A717" s="2">
        <v>1351140</v>
      </c>
      <c r="B717" s="2" t="str">
        <f>"3328031812060007"</f>
        <v>3328031812060007</v>
      </c>
      <c r="C717" s="2" t="s">
        <v>1062</v>
      </c>
      <c r="D717" s="2" t="s">
        <v>10</v>
      </c>
      <c r="E717" s="2" t="s">
        <v>57</v>
      </c>
      <c r="F717" s="2" t="s">
        <v>303</v>
      </c>
      <c r="G717" s="2" t="s">
        <v>608</v>
      </c>
      <c r="H717" s="2" t="s">
        <v>609</v>
      </c>
      <c r="I717" s="2" t="s">
        <v>610</v>
      </c>
    </row>
    <row r="718" spans="1:9" ht="14.5" x14ac:dyDescent="0.35">
      <c r="A718" s="2">
        <v>1578952</v>
      </c>
      <c r="B718" s="2" t="str">
        <f>"3328031912020002"</f>
        <v>3328031912020002</v>
      </c>
      <c r="C718" s="2" t="s">
        <v>1063</v>
      </c>
      <c r="D718" s="2" t="s">
        <v>10</v>
      </c>
      <c r="E718" s="2" t="s">
        <v>11</v>
      </c>
      <c r="F718" s="2" t="s">
        <v>18</v>
      </c>
      <c r="G718" s="2" t="s">
        <v>19</v>
      </c>
      <c r="H718" s="2" t="s">
        <v>906</v>
      </c>
      <c r="I718" s="2" t="s">
        <v>942</v>
      </c>
    </row>
    <row r="719" spans="1:9" ht="14.5" x14ac:dyDescent="0.35">
      <c r="A719" s="2">
        <v>1351169</v>
      </c>
      <c r="B719" s="2" t="str">
        <f>"3328031912020002"</f>
        <v>3328031912020002</v>
      </c>
      <c r="C719" s="2" t="s">
        <v>1063</v>
      </c>
      <c r="D719" s="2" t="s">
        <v>10</v>
      </c>
      <c r="E719" s="2" t="s">
        <v>57</v>
      </c>
      <c r="F719" s="2" t="s">
        <v>303</v>
      </c>
      <c r="G719" s="2" t="s">
        <v>608</v>
      </c>
      <c r="H719" s="2" t="s">
        <v>609</v>
      </c>
      <c r="I719" s="2" t="s">
        <v>610</v>
      </c>
    </row>
    <row r="720" spans="1:9" ht="14.5" x14ac:dyDescent="0.35">
      <c r="A720" s="2">
        <v>1565675</v>
      </c>
      <c r="B720" s="2" t="str">
        <f>"3328032004850005"</f>
        <v>3328032004850005</v>
      </c>
      <c r="C720" s="2" t="s">
        <v>1064</v>
      </c>
      <c r="D720" s="2" t="s">
        <v>10</v>
      </c>
      <c r="E720" s="2" t="s">
        <v>11</v>
      </c>
      <c r="F720" s="2" t="s">
        <v>18</v>
      </c>
      <c r="G720" s="2" t="s">
        <v>19</v>
      </c>
      <c r="H720" s="2" t="s">
        <v>906</v>
      </c>
      <c r="I720" s="2" t="s">
        <v>959</v>
      </c>
    </row>
    <row r="721" spans="1:9" ht="14.5" x14ac:dyDescent="0.35">
      <c r="A721" s="2">
        <v>421741</v>
      </c>
      <c r="B721" s="2" t="str">
        <f>"3328032004850005"</f>
        <v>3328032004850005</v>
      </c>
      <c r="C721" s="2" t="s">
        <v>1065</v>
      </c>
      <c r="D721" s="2" t="s">
        <v>17</v>
      </c>
      <c r="E721" s="2" t="s">
        <v>11</v>
      </c>
      <c r="F721" s="2" t="s">
        <v>18</v>
      </c>
      <c r="G721" s="2" t="s">
        <v>268</v>
      </c>
      <c r="H721" s="2" t="s">
        <v>371</v>
      </c>
      <c r="I721" s="2" t="s">
        <v>372</v>
      </c>
    </row>
    <row r="722" spans="1:9" ht="14.5" x14ac:dyDescent="0.35">
      <c r="A722" s="2">
        <v>1581726</v>
      </c>
      <c r="B722" s="2" t="str">
        <f>"3328032005890006"</f>
        <v>3328032005890006</v>
      </c>
      <c r="C722" s="2" t="s">
        <v>967</v>
      </c>
      <c r="D722" s="2" t="s">
        <v>10</v>
      </c>
      <c r="E722" s="2" t="s">
        <v>11</v>
      </c>
      <c r="F722" s="2" t="s">
        <v>18</v>
      </c>
      <c r="G722" s="2" t="s">
        <v>19</v>
      </c>
      <c r="H722" s="2" t="s">
        <v>906</v>
      </c>
      <c r="I722" s="2" t="s">
        <v>906</v>
      </c>
    </row>
    <row r="723" spans="1:9" ht="14.5" x14ac:dyDescent="0.35">
      <c r="A723" s="2">
        <v>2573110</v>
      </c>
      <c r="B723" s="2" t="str">
        <f>"3328032005890006"</f>
        <v>3328032005890006</v>
      </c>
      <c r="C723" s="2" t="s">
        <v>967</v>
      </c>
      <c r="D723" s="2" t="s">
        <v>17</v>
      </c>
      <c r="E723" s="2" t="s">
        <v>11</v>
      </c>
      <c r="F723" s="2" t="s">
        <v>18</v>
      </c>
      <c r="G723" s="2" t="s">
        <v>19</v>
      </c>
      <c r="H723" s="2" t="s">
        <v>745</v>
      </c>
      <c r="I723" s="2" t="s">
        <v>746</v>
      </c>
    </row>
    <row r="724" spans="1:9" ht="14.5" x14ac:dyDescent="0.35">
      <c r="A724" s="2">
        <v>1591901</v>
      </c>
      <c r="B724" s="2" t="str">
        <f>"3328032006020010"</f>
        <v>3328032006020010</v>
      </c>
      <c r="C724" s="2" t="s">
        <v>1066</v>
      </c>
      <c r="D724" s="2" t="s">
        <v>10</v>
      </c>
      <c r="E724" s="2" t="s">
        <v>11</v>
      </c>
      <c r="F724" s="2" t="s">
        <v>18</v>
      </c>
      <c r="G724" s="2" t="s">
        <v>19</v>
      </c>
      <c r="H724" s="2" t="s">
        <v>906</v>
      </c>
      <c r="I724" s="2" t="s">
        <v>992</v>
      </c>
    </row>
    <row r="725" spans="1:9" ht="14.5" x14ac:dyDescent="0.35">
      <c r="A725" s="2">
        <v>1351160</v>
      </c>
      <c r="B725" s="2" t="str">
        <f>"3328032006020010"</f>
        <v>3328032006020010</v>
      </c>
      <c r="C725" s="2" t="s">
        <v>1067</v>
      </c>
      <c r="D725" s="2" t="s">
        <v>10</v>
      </c>
      <c r="E725" s="2" t="s">
        <v>57</v>
      </c>
      <c r="F725" s="2" t="s">
        <v>303</v>
      </c>
      <c r="G725" s="2" t="s">
        <v>608</v>
      </c>
      <c r="H725" s="2" t="s">
        <v>609</v>
      </c>
      <c r="I725" s="2" t="s">
        <v>610</v>
      </c>
    </row>
    <row r="726" spans="1:9" ht="14.5" x14ac:dyDescent="0.35">
      <c r="A726" s="2">
        <v>1599669</v>
      </c>
      <c r="B726" s="2" t="str">
        <f>"3328032006950013"</f>
        <v>3328032006950013</v>
      </c>
      <c r="C726" s="2" t="s">
        <v>1068</v>
      </c>
      <c r="D726" s="2" t="s">
        <v>10</v>
      </c>
      <c r="E726" s="2" t="s">
        <v>11</v>
      </c>
      <c r="F726" s="2" t="s">
        <v>18</v>
      </c>
      <c r="G726" s="2" t="s">
        <v>19</v>
      </c>
      <c r="H726" s="2" t="s">
        <v>906</v>
      </c>
      <c r="I726" s="2" t="s">
        <v>920</v>
      </c>
    </row>
    <row r="727" spans="1:9" ht="14.5" x14ac:dyDescent="0.35">
      <c r="A727" s="2">
        <v>2423491</v>
      </c>
      <c r="B727" s="2" t="str">
        <f>"3328032006950013"</f>
        <v>3328032006950013</v>
      </c>
      <c r="C727" s="2" t="s">
        <v>1068</v>
      </c>
      <c r="D727" s="2" t="s">
        <v>17</v>
      </c>
      <c r="E727" s="2" t="s">
        <v>11</v>
      </c>
      <c r="F727" s="2" t="s">
        <v>50</v>
      </c>
      <c r="G727" s="2" t="s">
        <v>58</v>
      </c>
      <c r="H727" s="2" t="s">
        <v>59</v>
      </c>
      <c r="I727" s="2" t="s">
        <v>1069</v>
      </c>
    </row>
    <row r="728" spans="1:9" ht="14.5" x14ac:dyDescent="0.35">
      <c r="A728" s="2">
        <v>1592676</v>
      </c>
      <c r="B728" s="2" t="str">
        <f>"3328032106020006"</f>
        <v>3328032106020006</v>
      </c>
      <c r="C728" s="2" t="s">
        <v>1070</v>
      </c>
      <c r="D728" s="2" t="s">
        <v>10</v>
      </c>
      <c r="E728" s="2" t="s">
        <v>11</v>
      </c>
      <c r="F728" s="2" t="s">
        <v>18</v>
      </c>
      <c r="G728" s="2" t="s">
        <v>19</v>
      </c>
      <c r="H728" s="2" t="s">
        <v>906</v>
      </c>
      <c r="I728" s="2" t="s">
        <v>992</v>
      </c>
    </row>
    <row r="729" spans="1:9" ht="14.5" x14ac:dyDescent="0.35">
      <c r="A729" s="2">
        <v>1351161</v>
      </c>
      <c r="B729" s="2" t="str">
        <f>"3328032106020006"</f>
        <v>3328032106020006</v>
      </c>
      <c r="C729" s="2" t="s">
        <v>1070</v>
      </c>
      <c r="D729" s="2" t="s">
        <v>10</v>
      </c>
      <c r="E729" s="2" t="s">
        <v>57</v>
      </c>
      <c r="F729" s="2" t="s">
        <v>303</v>
      </c>
      <c r="G729" s="2" t="s">
        <v>608</v>
      </c>
      <c r="H729" s="2" t="s">
        <v>609</v>
      </c>
      <c r="I729" s="2" t="s">
        <v>610</v>
      </c>
    </row>
    <row r="730" spans="1:9" ht="14.5" x14ac:dyDescent="0.35">
      <c r="A730" s="2">
        <v>2528242</v>
      </c>
      <c r="B730" s="2" t="str">
        <f>"3328032206030006"</f>
        <v>3328032206030006</v>
      </c>
      <c r="C730" s="2" t="s">
        <v>1071</v>
      </c>
      <c r="D730" s="2" t="s">
        <v>17</v>
      </c>
      <c r="E730" s="2" t="s">
        <v>11</v>
      </c>
      <c r="F730" s="2" t="s">
        <v>18</v>
      </c>
      <c r="G730" s="2" t="s">
        <v>19</v>
      </c>
      <c r="H730" s="2" t="s">
        <v>906</v>
      </c>
      <c r="I730" s="2" t="s">
        <v>942</v>
      </c>
    </row>
    <row r="731" spans="1:9" ht="14.5" x14ac:dyDescent="0.35">
      <c r="A731" s="2">
        <v>1351142</v>
      </c>
      <c r="B731" s="2" t="str">
        <f>"3328032206030006"</f>
        <v>3328032206030006</v>
      </c>
      <c r="C731" s="2" t="s">
        <v>1072</v>
      </c>
      <c r="D731" s="2" t="s">
        <v>10</v>
      </c>
      <c r="E731" s="2" t="s">
        <v>57</v>
      </c>
      <c r="F731" s="2" t="s">
        <v>303</v>
      </c>
      <c r="G731" s="2" t="s">
        <v>608</v>
      </c>
      <c r="H731" s="2" t="s">
        <v>609</v>
      </c>
      <c r="I731" s="2" t="s">
        <v>610</v>
      </c>
    </row>
    <row r="732" spans="1:9" ht="14.5" x14ac:dyDescent="0.35">
      <c r="A732" s="2">
        <v>2528763</v>
      </c>
      <c r="B732" s="2" t="str">
        <f>"3328032209030003"</f>
        <v>3328032209030003</v>
      </c>
      <c r="C732" s="2" t="s">
        <v>1073</v>
      </c>
      <c r="D732" s="2" t="s">
        <v>17</v>
      </c>
      <c r="E732" s="2" t="s">
        <v>11</v>
      </c>
      <c r="F732" s="2" t="s">
        <v>18</v>
      </c>
      <c r="G732" s="2" t="s">
        <v>19</v>
      </c>
      <c r="H732" s="2" t="s">
        <v>906</v>
      </c>
      <c r="I732" s="2" t="s">
        <v>906</v>
      </c>
    </row>
    <row r="733" spans="1:9" ht="14.5" x14ac:dyDescent="0.35">
      <c r="A733" s="2">
        <v>2084841</v>
      </c>
      <c r="B733" s="2" t="str">
        <f>"3328032209030003"</f>
        <v>3328032209030003</v>
      </c>
      <c r="C733" s="2" t="s">
        <v>1074</v>
      </c>
      <c r="D733" s="2" t="s">
        <v>17</v>
      </c>
      <c r="E733" s="2" t="s">
        <v>57</v>
      </c>
      <c r="F733" s="2" t="s">
        <v>18</v>
      </c>
      <c r="G733" s="2" t="s">
        <v>962</v>
      </c>
      <c r="H733" s="2" t="s">
        <v>1046</v>
      </c>
      <c r="I733" s="2" t="s">
        <v>1046</v>
      </c>
    </row>
    <row r="734" spans="1:9" ht="14.5" x14ac:dyDescent="0.35">
      <c r="A734" s="2">
        <v>1561121</v>
      </c>
      <c r="B734" s="2" t="str">
        <f>"3328032301030005"</f>
        <v>3328032301030005</v>
      </c>
      <c r="C734" s="2" t="s">
        <v>1075</v>
      </c>
      <c r="D734" s="2" t="s">
        <v>10</v>
      </c>
      <c r="E734" s="2" t="s">
        <v>11</v>
      </c>
      <c r="F734" s="2" t="s">
        <v>18</v>
      </c>
      <c r="G734" s="2" t="s">
        <v>19</v>
      </c>
      <c r="H734" s="2" t="s">
        <v>906</v>
      </c>
      <c r="I734" s="2" t="s">
        <v>1011</v>
      </c>
    </row>
    <row r="735" spans="1:9" ht="14.5" x14ac:dyDescent="0.35">
      <c r="A735" s="2">
        <v>1351143</v>
      </c>
      <c r="B735" s="2" t="str">
        <f>"3328032301030005"</f>
        <v>3328032301030005</v>
      </c>
      <c r="C735" s="2" t="s">
        <v>1076</v>
      </c>
      <c r="D735" s="2" t="s">
        <v>10</v>
      </c>
      <c r="E735" s="2" t="s">
        <v>57</v>
      </c>
      <c r="F735" s="2" t="s">
        <v>303</v>
      </c>
      <c r="G735" s="2" t="s">
        <v>608</v>
      </c>
      <c r="H735" s="2" t="s">
        <v>609</v>
      </c>
      <c r="I735" s="2" t="s">
        <v>610</v>
      </c>
    </row>
    <row r="736" spans="1:9" ht="14.5" x14ac:dyDescent="0.35">
      <c r="A736" s="2">
        <v>1573651</v>
      </c>
      <c r="B736" s="2" t="str">
        <f>"3328032303010004"</f>
        <v>3328032303010004</v>
      </c>
      <c r="C736" s="2" t="s">
        <v>1077</v>
      </c>
      <c r="D736" s="2" t="s">
        <v>10</v>
      </c>
      <c r="E736" s="2" t="s">
        <v>11</v>
      </c>
      <c r="F736" s="2" t="s">
        <v>18</v>
      </c>
      <c r="G736" s="2" t="s">
        <v>19</v>
      </c>
      <c r="H736" s="2" t="s">
        <v>906</v>
      </c>
      <c r="I736" s="2" t="s">
        <v>942</v>
      </c>
    </row>
    <row r="737" spans="1:9" ht="14.5" x14ac:dyDescent="0.35">
      <c r="A737" s="2">
        <v>1351178</v>
      </c>
      <c r="B737" s="2" t="str">
        <f>"3328032303010004"</f>
        <v>3328032303010004</v>
      </c>
      <c r="C737" s="2" t="s">
        <v>1077</v>
      </c>
      <c r="D737" s="2" t="s">
        <v>10</v>
      </c>
      <c r="E737" s="2" t="s">
        <v>57</v>
      </c>
      <c r="F737" s="2" t="s">
        <v>303</v>
      </c>
      <c r="G737" s="2" t="s">
        <v>608</v>
      </c>
      <c r="H737" s="2" t="s">
        <v>609</v>
      </c>
      <c r="I737" s="2" t="s">
        <v>610</v>
      </c>
    </row>
    <row r="738" spans="1:9" ht="14.5" x14ac:dyDescent="0.35">
      <c r="A738" s="2">
        <v>1578748</v>
      </c>
      <c r="B738" s="2" t="str">
        <f>"3328032308980003"</f>
        <v>3328032308980003</v>
      </c>
      <c r="C738" s="2" t="s">
        <v>1078</v>
      </c>
      <c r="D738" s="2" t="s">
        <v>10</v>
      </c>
      <c r="E738" s="2" t="s">
        <v>11</v>
      </c>
      <c r="F738" s="2" t="s">
        <v>18</v>
      </c>
      <c r="G738" s="2" t="s">
        <v>19</v>
      </c>
      <c r="H738" s="2" t="s">
        <v>906</v>
      </c>
      <c r="I738" s="2" t="s">
        <v>942</v>
      </c>
    </row>
    <row r="739" spans="1:9" ht="14.5" x14ac:dyDescent="0.35">
      <c r="A739" s="2">
        <v>1351180</v>
      </c>
      <c r="B739" s="2" t="str">
        <f>"3328032308980003"</f>
        <v>3328032308980003</v>
      </c>
      <c r="C739" s="2" t="s">
        <v>1079</v>
      </c>
      <c r="D739" s="2" t="s">
        <v>10</v>
      </c>
      <c r="E739" s="2" t="s">
        <v>57</v>
      </c>
      <c r="F739" s="2" t="s">
        <v>303</v>
      </c>
      <c r="G739" s="2" t="s">
        <v>608</v>
      </c>
      <c r="H739" s="2" t="s">
        <v>609</v>
      </c>
      <c r="I739" s="2" t="s">
        <v>610</v>
      </c>
    </row>
    <row r="740" spans="1:9" ht="14.5" x14ac:dyDescent="0.35">
      <c r="A740" s="2">
        <v>1572800</v>
      </c>
      <c r="B740" s="2" t="str">
        <f>"3328032403020002"</f>
        <v>3328032403020002</v>
      </c>
      <c r="C740" s="2" t="s">
        <v>1080</v>
      </c>
      <c r="D740" s="2" t="s">
        <v>10</v>
      </c>
      <c r="E740" s="2" t="s">
        <v>11</v>
      </c>
      <c r="F740" s="2" t="s">
        <v>18</v>
      </c>
      <c r="G740" s="2" t="s">
        <v>19</v>
      </c>
      <c r="H740" s="2" t="s">
        <v>906</v>
      </c>
      <c r="I740" s="2" t="s">
        <v>933</v>
      </c>
    </row>
    <row r="741" spans="1:9" ht="14.5" x14ac:dyDescent="0.35">
      <c r="A741" s="2">
        <v>1351154</v>
      </c>
      <c r="B741" s="2" t="str">
        <f>"3328032403020002"</f>
        <v>3328032403020002</v>
      </c>
      <c r="C741" s="2" t="s">
        <v>1081</v>
      </c>
      <c r="D741" s="2" t="s">
        <v>10</v>
      </c>
      <c r="E741" s="2" t="s">
        <v>57</v>
      </c>
      <c r="F741" s="2" t="s">
        <v>303</v>
      </c>
      <c r="G741" s="2" t="s">
        <v>608</v>
      </c>
      <c r="H741" s="2" t="s">
        <v>609</v>
      </c>
      <c r="I741" s="2" t="s">
        <v>610</v>
      </c>
    </row>
    <row r="742" spans="1:9" ht="14.5" x14ac:dyDescent="0.35">
      <c r="A742" s="2">
        <v>1053173</v>
      </c>
      <c r="B742" s="2" t="str">
        <f>"3328032403830004"</f>
        <v>3328032403830004</v>
      </c>
      <c r="C742" s="2" t="s">
        <v>1082</v>
      </c>
      <c r="D742" s="2" t="s">
        <v>10</v>
      </c>
      <c r="E742" s="2" t="s">
        <v>11</v>
      </c>
      <c r="F742" s="2" t="s">
        <v>67</v>
      </c>
      <c r="G742" s="2" t="s">
        <v>68</v>
      </c>
      <c r="H742" s="2" t="s">
        <v>69</v>
      </c>
      <c r="I742" s="2" t="s">
        <v>1083</v>
      </c>
    </row>
    <row r="743" spans="1:9" ht="14.5" x14ac:dyDescent="0.35">
      <c r="A743" s="2">
        <v>2527089</v>
      </c>
      <c r="B743" s="2" t="str">
        <f>"3328032403830004"</f>
        <v>3328032403830004</v>
      </c>
      <c r="C743" s="2" t="s">
        <v>1082</v>
      </c>
      <c r="D743" s="2" t="s">
        <v>17</v>
      </c>
      <c r="E743" s="2" t="s">
        <v>11</v>
      </c>
      <c r="F743" s="2" t="s">
        <v>18</v>
      </c>
      <c r="G743" s="2" t="s">
        <v>19</v>
      </c>
      <c r="H743" s="2" t="s">
        <v>906</v>
      </c>
      <c r="I743" s="2" t="s">
        <v>1011</v>
      </c>
    </row>
    <row r="744" spans="1:9" ht="14.5" x14ac:dyDescent="0.35">
      <c r="A744" s="2">
        <v>1576849</v>
      </c>
      <c r="B744" s="2" t="str">
        <f>"3328032507030004"</f>
        <v>3328032507030004</v>
      </c>
      <c r="C744" s="2" t="s">
        <v>1084</v>
      </c>
      <c r="D744" s="2" t="s">
        <v>10</v>
      </c>
      <c r="E744" s="2" t="s">
        <v>11</v>
      </c>
      <c r="F744" s="2" t="s">
        <v>18</v>
      </c>
      <c r="G744" s="2" t="s">
        <v>19</v>
      </c>
      <c r="H744" s="2" t="s">
        <v>906</v>
      </c>
      <c r="I744" s="2" t="s">
        <v>942</v>
      </c>
    </row>
    <row r="745" spans="1:9" ht="14.5" x14ac:dyDescent="0.35">
      <c r="A745" s="2">
        <v>1684307</v>
      </c>
      <c r="B745" s="2" t="str">
        <f>"3328032507030004"</f>
        <v>3328032507030004</v>
      </c>
      <c r="C745" s="2" t="s">
        <v>1084</v>
      </c>
      <c r="D745" s="2" t="s">
        <v>10</v>
      </c>
      <c r="E745" s="2" t="s">
        <v>57</v>
      </c>
      <c r="F745" s="2" t="s">
        <v>18</v>
      </c>
      <c r="G745" s="2" t="s">
        <v>184</v>
      </c>
      <c r="H745" s="2" t="s">
        <v>1085</v>
      </c>
      <c r="I745" s="2" t="s">
        <v>1086</v>
      </c>
    </row>
    <row r="746" spans="1:9" ht="14.5" x14ac:dyDescent="0.35">
      <c r="A746" s="2">
        <v>1934925</v>
      </c>
      <c r="B746" s="2" t="str">
        <f>"3328032603030008"</f>
        <v>3328032603030008</v>
      </c>
      <c r="C746" s="2" t="s">
        <v>1087</v>
      </c>
      <c r="D746" s="2" t="s">
        <v>10</v>
      </c>
      <c r="E746" s="2" t="s">
        <v>11</v>
      </c>
      <c r="F746" s="2" t="s">
        <v>18</v>
      </c>
      <c r="G746" s="2" t="s">
        <v>19</v>
      </c>
      <c r="H746" s="2" t="s">
        <v>906</v>
      </c>
      <c r="I746" s="2" t="s">
        <v>913</v>
      </c>
    </row>
    <row r="747" spans="1:9" ht="14.5" x14ac:dyDescent="0.35">
      <c r="A747" s="2">
        <v>1392523</v>
      </c>
      <c r="B747" s="2" t="str">
        <f>"3328032603030008"</f>
        <v>3328032603030008</v>
      </c>
      <c r="C747" s="2" t="s">
        <v>1088</v>
      </c>
      <c r="D747" s="2" t="s">
        <v>10</v>
      </c>
      <c r="E747" s="2" t="s">
        <v>57</v>
      </c>
      <c r="F747" s="2" t="s">
        <v>303</v>
      </c>
      <c r="G747" s="2" t="s">
        <v>608</v>
      </c>
      <c r="H747" s="2" t="s">
        <v>1089</v>
      </c>
      <c r="I747" s="2" t="s">
        <v>1090</v>
      </c>
    </row>
    <row r="748" spans="1:9" ht="14.5" x14ac:dyDescent="0.35">
      <c r="A748" s="2">
        <v>1579239</v>
      </c>
      <c r="B748" s="2" t="str">
        <f>"3328032603040001"</f>
        <v>3328032603040001</v>
      </c>
      <c r="C748" s="2" t="s">
        <v>1091</v>
      </c>
      <c r="D748" s="2" t="s">
        <v>10</v>
      </c>
      <c r="E748" s="2" t="s">
        <v>11</v>
      </c>
      <c r="F748" s="2" t="s">
        <v>18</v>
      </c>
      <c r="G748" s="2" t="s">
        <v>19</v>
      </c>
      <c r="H748" s="2" t="s">
        <v>906</v>
      </c>
      <c r="I748" s="2" t="s">
        <v>942</v>
      </c>
    </row>
    <row r="749" spans="1:9" ht="14.5" x14ac:dyDescent="0.35">
      <c r="A749" s="2">
        <v>1351145</v>
      </c>
      <c r="B749" s="2" t="str">
        <f>"3328032603040001"</f>
        <v>3328032603040001</v>
      </c>
      <c r="C749" s="2" t="s">
        <v>1091</v>
      </c>
      <c r="D749" s="2" t="s">
        <v>10</v>
      </c>
      <c r="E749" s="2" t="s">
        <v>57</v>
      </c>
      <c r="F749" s="2" t="s">
        <v>303</v>
      </c>
      <c r="G749" s="2" t="s">
        <v>608</v>
      </c>
      <c r="H749" s="2" t="s">
        <v>609</v>
      </c>
      <c r="I749" s="2" t="s">
        <v>610</v>
      </c>
    </row>
    <row r="750" spans="1:9" ht="14.5" x14ac:dyDescent="0.35">
      <c r="A750" s="2">
        <v>404920</v>
      </c>
      <c r="B750" s="2" t="str">
        <f>"3328032603980002"</f>
        <v>3328032603980002</v>
      </c>
      <c r="C750" s="2" t="s">
        <v>1092</v>
      </c>
      <c r="D750" s="2" t="s">
        <v>10</v>
      </c>
      <c r="E750" s="2" t="s">
        <v>11</v>
      </c>
      <c r="F750" s="2" t="s">
        <v>50</v>
      </c>
      <c r="G750" s="2" t="s">
        <v>72</v>
      </c>
      <c r="H750" s="2" t="s">
        <v>1093</v>
      </c>
      <c r="I750" s="2" t="s">
        <v>1094</v>
      </c>
    </row>
    <row r="751" spans="1:9" ht="14.5" x14ac:dyDescent="0.35">
      <c r="A751" s="2">
        <v>2529379</v>
      </c>
      <c r="B751" s="2" t="str">
        <f>"3328032603980002"</f>
        <v>3328032603980002</v>
      </c>
      <c r="C751" s="2" t="s">
        <v>1092</v>
      </c>
      <c r="D751" s="2" t="s">
        <v>17</v>
      </c>
      <c r="E751" s="2" t="s">
        <v>11</v>
      </c>
      <c r="F751" s="2" t="s">
        <v>18</v>
      </c>
      <c r="G751" s="2" t="s">
        <v>19</v>
      </c>
      <c r="H751" s="2" t="s">
        <v>906</v>
      </c>
      <c r="I751" s="2" t="s">
        <v>927</v>
      </c>
    </row>
    <row r="752" spans="1:9" ht="14.5" x14ac:dyDescent="0.35">
      <c r="A752" s="2">
        <v>1394574</v>
      </c>
      <c r="B752" s="2" t="str">
        <f>"3328032611000001"</f>
        <v>3328032611000001</v>
      </c>
      <c r="C752" s="2" t="s">
        <v>1095</v>
      </c>
      <c r="D752" s="2" t="s">
        <v>10</v>
      </c>
      <c r="E752" s="2" t="s">
        <v>11</v>
      </c>
      <c r="F752" s="2" t="s">
        <v>50</v>
      </c>
      <c r="G752" s="2" t="s">
        <v>72</v>
      </c>
      <c r="H752" s="2" t="s">
        <v>738</v>
      </c>
      <c r="I752" s="2" t="s">
        <v>1096</v>
      </c>
    </row>
    <row r="753" spans="1:9" ht="14.5" x14ac:dyDescent="0.35">
      <c r="A753" s="2">
        <v>2529850</v>
      </c>
      <c r="B753" s="2" t="str">
        <f>"3328032611000001"</f>
        <v>3328032611000001</v>
      </c>
      <c r="C753" s="2" t="s">
        <v>1097</v>
      </c>
      <c r="D753" s="2" t="s">
        <v>17</v>
      </c>
      <c r="E753" s="2" t="s">
        <v>11</v>
      </c>
      <c r="F753" s="2" t="s">
        <v>18</v>
      </c>
      <c r="G753" s="2" t="s">
        <v>19</v>
      </c>
      <c r="H753" s="2" t="s">
        <v>906</v>
      </c>
      <c r="I753" s="2" t="s">
        <v>907</v>
      </c>
    </row>
    <row r="754" spans="1:9" ht="14.5" x14ac:dyDescent="0.35">
      <c r="A754" s="2">
        <v>2529042</v>
      </c>
      <c r="B754" s="2" t="str">
        <f>"3328032707030004"</f>
        <v>3328032707030004</v>
      </c>
      <c r="C754" s="2" t="s">
        <v>1098</v>
      </c>
      <c r="D754" s="2" t="s">
        <v>17</v>
      </c>
      <c r="E754" s="2" t="s">
        <v>11</v>
      </c>
      <c r="F754" s="2" t="s">
        <v>18</v>
      </c>
      <c r="G754" s="2" t="s">
        <v>19</v>
      </c>
      <c r="H754" s="2" t="s">
        <v>906</v>
      </c>
      <c r="I754" s="2" t="s">
        <v>992</v>
      </c>
    </row>
    <row r="755" spans="1:9" ht="14.5" x14ac:dyDescent="0.35">
      <c r="A755" s="2">
        <v>1351162</v>
      </c>
      <c r="B755" s="2" t="str">
        <f>"3328032707030004"</f>
        <v>3328032707030004</v>
      </c>
      <c r="C755" s="2" t="s">
        <v>1099</v>
      </c>
      <c r="D755" s="2" t="s">
        <v>10</v>
      </c>
      <c r="E755" s="2" t="s">
        <v>57</v>
      </c>
      <c r="F755" s="2" t="s">
        <v>303</v>
      </c>
      <c r="G755" s="2" t="s">
        <v>608</v>
      </c>
      <c r="H755" s="2" t="s">
        <v>609</v>
      </c>
      <c r="I755" s="2" t="s">
        <v>610</v>
      </c>
    </row>
    <row r="756" spans="1:9" ht="14.5" x14ac:dyDescent="0.35">
      <c r="A756" s="2">
        <v>1580093</v>
      </c>
      <c r="B756" s="2" t="str">
        <f>"3328032708030001"</f>
        <v>3328032708030001</v>
      </c>
      <c r="C756" s="2" t="s">
        <v>1100</v>
      </c>
      <c r="D756" s="2" t="s">
        <v>10</v>
      </c>
      <c r="E756" s="2" t="s">
        <v>11</v>
      </c>
      <c r="F756" s="2" t="s">
        <v>18</v>
      </c>
      <c r="G756" s="2" t="s">
        <v>19</v>
      </c>
      <c r="H756" s="2" t="s">
        <v>906</v>
      </c>
      <c r="I756" s="2" t="s">
        <v>942</v>
      </c>
    </row>
    <row r="757" spans="1:9" ht="14.5" x14ac:dyDescent="0.35">
      <c r="A757" s="2">
        <v>1351146</v>
      </c>
      <c r="B757" s="2" t="str">
        <f>"3328032708030001"</f>
        <v>3328032708030001</v>
      </c>
      <c r="C757" s="2" t="s">
        <v>1101</v>
      </c>
      <c r="D757" s="2" t="s">
        <v>10</v>
      </c>
      <c r="E757" s="2" t="s">
        <v>57</v>
      </c>
      <c r="F757" s="2" t="s">
        <v>303</v>
      </c>
      <c r="G757" s="2" t="s">
        <v>608</v>
      </c>
      <c r="H757" s="2" t="s">
        <v>609</v>
      </c>
      <c r="I757" s="2" t="s">
        <v>610</v>
      </c>
    </row>
    <row r="758" spans="1:9" ht="14.5" x14ac:dyDescent="0.35">
      <c r="A758" s="2">
        <v>1572956</v>
      </c>
      <c r="B758" s="2" t="str">
        <f>"3328032912030001"</f>
        <v>3328032912030001</v>
      </c>
      <c r="C758" s="2" t="s">
        <v>1102</v>
      </c>
      <c r="D758" s="2" t="s">
        <v>10</v>
      </c>
      <c r="E758" s="2" t="s">
        <v>11</v>
      </c>
      <c r="F758" s="2" t="s">
        <v>18</v>
      </c>
      <c r="G758" s="2" t="s">
        <v>19</v>
      </c>
      <c r="H758" s="2" t="s">
        <v>906</v>
      </c>
      <c r="I758" s="2" t="s">
        <v>942</v>
      </c>
    </row>
    <row r="759" spans="1:9" ht="14.5" x14ac:dyDescent="0.35">
      <c r="A759" s="2">
        <v>1351182</v>
      </c>
      <c r="B759" s="2" t="str">
        <f>"3328032912030001"</f>
        <v>3328032912030001</v>
      </c>
      <c r="C759" s="2" t="s">
        <v>1102</v>
      </c>
      <c r="D759" s="2" t="s">
        <v>10</v>
      </c>
      <c r="E759" s="2" t="s">
        <v>57</v>
      </c>
      <c r="F759" s="2" t="s">
        <v>303</v>
      </c>
      <c r="G759" s="2" t="s">
        <v>608</v>
      </c>
      <c r="H759" s="2" t="s">
        <v>609</v>
      </c>
      <c r="I759" s="2" t="s">
        <v>610</v>
      </c>
    </row>
    <row r="760" spans="1:9" ht="14.5" x14ac:dyDescent="0.35">
      <c r="A760" s="2">
        <v>2528439</v>
      </c>
      <c r="B760" s="2" t="str">
        <f>"3328033008020001"</f>
        <v>3328033008020001</v>
      </c>
      <c r="C760" s="2" t="s">
        <v>1103</v>
      </c>
      <c r="D760" s="2" t="s">
        <v>17</v>
      </c>
      <c r="E760" s="2" t="s">
        <v>11</v>
      </c>
      <c r="F760" s="2" t="s">
        <v>18</v>
      </c>
      <c r="G760" s="2" t="s">
        <v>19</v>
      </c>
      <c r="H760" s="2" t="s">
        <v>906</v>
      </c>
      <c r="I760" s="2" t="s">
        <v>942</v>
      </c>
    </row>
    <row r="761" spans="1:9" ht="14.5" x14ac:dyDescent="0.35">
      <c r="A761" s="2">
        <v>1351183</v>
      </c>
      <c r="B761" s="2" t="str">
        <f>"3328033008020001"</f>
        <v>3328033008020001</v>
      </c>
      <c r="C761" s="2" t="s">
        <v>1103</v>
      </c>
      <c r="D761" s="2" t="s">
        <v>10</v>
      </c>
      <c r="E761" s="2" t="s">
        <v>57</v>
      </c>
      <c r="F761" s="2" t="s">
        <v>303</v>
      </c>
      <c r="G761" s="2" t="s">
        <v>608</v>
      </c>
      <c r="H761" s="2" t="s">
        <v>609</v>
      </c>
      <c r="I761" s="2" t="s">
        <v>610</v>
      </c>
    </row>
    <row r="762" spans="1:9" ht="14.5" x14ac:dyDescent="0.35">
      <c r="A762" s="2">
        <v>1573882</v>
      </c>
      <c r="B762" s="2" t="str">
        <f>"3328033103060001"</f>
        <v>3328033103060001</v>
      </c>
      <c r="C762" s="2" t="s">
        <v>1104</v>
      </c>
      <c r="D762" s="2" t="s">
        <v>10</v>
      </c>
      <c r="E762" s="2" t="s">
        <v>11</v>
      </c>
      <c r="F762" s="2" t="s">
        <v>18</v>
      </c>
      <c r="G762" s="2" t="s">
        <v>19</v>
      </c>
      <c r="H762" s="2" t="s">
        <v>906</v>
      </c>
      <c r="I762" s="2" t="s">
        <v>942</v>
      </c>
    </row>
    <row r="763" spans="1:9" ht="14.5" x14ac:dyDescent="0.35">
      <c r="A763" s="2">
        <v>1351148</v>
      </c>
      <c r="B763" s="2" t="str">
        <f>"3328033103060001"</f>
        <v>3328033103060001</v>
      </c>
      <c r="C763" s="2" t="s">
        <v>1104</v>
      </c>
      <c r="D763" s="2" t="s">
        <v>10</v>
      </c>
      <c r="E763" s="2" t="s">
        <v>57</v>
      </c>
      <c r="F763" s="2" t="s">
        <v>303</v>
      </c>
      <c r="G763" s="2" t="s">
        <v>608</v>
      </c>
      <c r="H763" s="2" t="s">
        <v>609</v>
      </c>
      <c r="I763" s="2" t="s">
        <v>610</v>
      </c>
    </row>
    <row r="764" spans="1:9" ht="14.5" x14ac:dyDescent="0.35">
      <c r="A764" s="2">
        <v>1621923</v>
      </c>
      <c r="B764" s="2" t="str">
        <f>"3328033112620077"</f>
        <v>3328033112620077</v>
      </c>
      <c r="C764" s="2" t="s">
        <v>1105</v>
      </c>
      <c r="D764" s="2" t="s">
        <v>10</v>
      </c>
      <c r="E764" s="2" t="s">
        <v>11</v>
      </c>
      <c r="F764" s="2" t="s">
        <v>91</v>
      </c>
      <c r="G764" s="2" t="s">
        <v>101</v>
      </c>
      <c r="H764" s="2" t="s">
        <v>1106</v>
      </c>
      <c r="I764" s="2" t="s">
        <v>1106</v>
      </c>
    </row>
    <row r="765" spans="1:9" ht="14.5" x14ac:dyDescent="0.35">
      <c r="A765" s="2">
        <v>2528861</v>
      </c>
      <c r="B765" s="2" t="str">
        <f>"3328033112620077"</f>
        <v>3328033112620077</v>
      </c>
      <c r="C765" s="2" t="s">
        <v>1105</v>
      </c>
      <c r="D765" s="2" t="s">
        <v>17</v>
      </c>
      <c r="E765" s="2" t="s">
        <v>11</v>
      </c>
      <c r="F765" s="2" t="s">
        <v>18</v>
      </c>
      <c r="G765" s="2" t="s">
        <v>19</v>
      </c>
      <c r="H765" s="2" t="s">
        <v>906</v>
      </c>
      <c r="I765" s="2" t="s">
        <v>906</v>
      </c>
    </row>
    <row r="766" spans="1:9" ht="14.5" x14ac:dyDescent="0.35">
      <c r="A766" s="2">
        <v>1575110</v>
      </c>
      <c r="B766" s="2" t="str">
        <f>"3328034107020143"</f>
        <v>3328034107020143</v>
      </c>
      <c r="C766" s="2" t="s">
        <v>1107</v>
      </c>
      <c r="D766" s="2" t="s">
        <v>10</v>
      </c>
      <c r="E766" s="2" t="s">
        <v>11</v>
      </c>
      <c r="F766" s="2" t="s">
        <v>67</v>
      </c>
      <c r="G766" s="2" t="s">
        <v>791</v>
      </c>
      <c r="H766" s="2" t="s">
        <v>1108</v>
      </c>
      <c r="I766" s="2" t="s">
        <v>1109</v>
      </c>
    </row>
    <row r="767" spans="1:9" ht="14.5" x14ac:dyDescent="0.35">
      <c r="A767" s="2">
        <v>2529736</v>
      </c>
      <c r="B767" s="2" t="str">
        <f>"3328034107020143"</f>
        <v>3328034107020143</v>
      </c>
      <c r="C767" s="2" t="s">
        <v>1110</v>
      </c>
      <c r="D767" s="2" t="s">
        <v>17</v>
      </c>
      <c r="E767" s="2" t="s">
        <v>11</v>
      </c>
      <c r="F767" s="2" t="s">
        <v>18</v>
      </c>
      <c r="G767" s="2" t="s">
        <v>19</v>
      </c>
      <c r="H767" s="2" t="s">
        <v>906</v>
      </c>
      <c r="I767" s="2" t="s">
        <v>913</v>
      </c>
    </row>
    <row r="768" spans="1:9" ht="14.5" x14ac:dyDescent="0.35">
      <c r="A768" s="2">
        <v>542909</v>
      </c>
      <c r="B768" s="2" t="str">
        <f>"3328034111880002"</f>
        <v>3328034111880002</v>
      </c>
      <c r="C768" s="2" t="s">
        <v>1111</v>
      </c>
      <c r="D768" s="2" t="s">
        <v>10</v>
      </c>
      <c r="E768" s="2" t="s">
        <v>11</v>
      </c>
      <c r="F768" s="2" t="s">
        <v>783</v>
      </c>
      <c r="G768" s="2" t="s">
        <v>1112</v>
      </c>
      <c r="H768" s="2" t="s">
        <v>1113</v>
      </c>
      <c r="I768" s="2" t="s">
        <v>1114</v>
      </c>
    </row>
    <row r="769" spans="1:9" ht="14.5" x14ac:dyDescent="0.35">
      <c r="A769" s="2">
        <v>2529288</v>
      </c>
      <c r="B769" s="2" t="str">
        <f>"3328034111880002"</f>
        <v>3328034111880002</v>
      </c>
      <c r="C769" s="2" t="s">
        <v>1111</v>
      </c>
      <c r="D769" s="2" t="s">
        <v>17</v>
      </c>
      <c r="E769" s="2" t="s">
        <v>11</v>
      </c>
      <c r="F769" s="2" t="s">
        <v>18</v>
      </c>
      <c r="G769" s="2" t="s">
        <v>19</v>
      </c>
      <c r="H769" s="2" t="s">
        <v>906</v>
      </c>
      <c r="I769" s="2" t="s">
        <v>927</v>
      </c>
    </row>
    <row r="770" spans="1:9" ht="14.5" x14ac:dyDescent="0.35">
      <c r="A770" s="2">
        <v>1583518</v>
      </c>
      <c r="B770" s="2" t="str">
        <f>"3328034202050004"</f>
        <v>3328034202050004</v>
      </c>
      <c r="C770" s="2" t="s">
        <v>1115</v>
      </c>
      <c r="D770" s="2" t="s">
        <v>10</v>
      </c>
      <c r="E770" s="2" t="s">
        <v>11</v>
      </c>
      <c r="F770" s="2" t="s">
        <v>18</v>
      </c>
      <c r="G770" s="2" t="s">
        <v>19</v>
      </c>
      <c r="H770" s="2" t="s">
        <v>906</v>
      </c>
      <c r="I770" s="2" t="s">
        <v>906</v>
      </c>
    </row>
    <row r="771" spans="1:9" ht="14.5" x14ac:dyDescent="0.35">
      <c r="A771" s="2">
        <v>762806</v>
      </c>
      <c r="B771" s="2" t="str">
        <f>"3328034202050004"</f>
        <v>3328034202050004</v>
      </c>
      <c r="C771" s="2" t="s">
        <v>1116</v>
      </c>
      <c r="D771" s="2" t="s">
        <v>10</v>
      </c>
      <c r="E771" s="2" t="s">
        <v>57</v>
      </c>
      <c r="F771" s="2" t="s">
        <v>379</v>
      </c>
      <c r="G771" s="2" t="s">
        <v>711</v>
      </c>
      <c r="H771" s="2" t="s">
        <v>718</v>
      </c>
      <c r="I771" s="2" t="s">
        <v>719</v>
      </c>
    </row>
    <row r="772" spans="1:9" ht="14.5" x14ac:dyDescent="0.35">
      <c r="A772" s="2">
        <v>1414197</v>
      </c>
      <c r="B772" s="2" t="str">
        <f>"3328034205950004"</f>
        <v>3328034205950004</v>
      </c>
      <c r="C772" s="2" t="s">
        <v>1117</v>
      </c>
      <c r="D772" s="2" t="s">
        <v>10</v>
      </c>
      <c r="E772" s="2" t="s">
        <v>11</v>
      </c>
      <c r="F772" s="2" t="s">
        <v>50</v>
      </c>
      <c r="G772" s="2" t="s">
        <v>86</v>
      </c>
      <c r="H772" s="2" t="s">
        <v>313</v>
      </c>
      <c r="I772" s="2" t="s">
        <v>977</v>
      </c>
    </row>
    <row r="773" spans="1:9" ht="14.5" x14ac:dyDescent="0.35">
      <c r="A773" s="2">
        <v>2529124</v>
      </c>
      <c r="B773" s="2" t="str">
        <f>"3328034205950004"</f>
        <v>3328034205950004</v>
      </c>
      <c r="C773" s="2" t="s">
        <v>1118</v>
      </c>
      <c r="D773" s="2" t="s">
        <v>17</v>
      </c>
      <c r="E773" s="2" t="s">
        <v>11</v>
      </c>
      <c r="F773" s="2" t="s">
        <v>18</v>
      </c>
      <c r="G773" s="2" t="s">
        <v>19</v>
      </c>
      <c r="H773" s="2" t="s">
        <v>906</v>
      </c>
      <c r="I773" s="2" t="s">
        <v>978</v>
      </c>
    </row>
    <row r="774" spans="1:9" ht="14.5" x14ac:dyDescent="0.35">
      <c r="A774" s="2">
        <v>1053172</v>
      </c>
      <c r="B774" s="2" t="str">
        <f>"3328034302860003"</f>
        <v>3328034302860003</v>
      </c>
      <c r="C774" s="2" t="s">
        <v>1119</v>
      </c>
      <c r="D774" s="2" t="s">
        <v>10</v>
      </c>
      <c r="E774" s="2" t="s">
        <v>11</v>
      </c>
      <c r="F774" s="2" t="s">
        <v>67</v>
      </c>
      <c r="G774" s="2" t="s">
        <v>68</v>
      </c>
      <c r="H774" s="2" t="s">
        <v>69</v>
      </c>
      <c r="I774" s="2" t="s">
        <v>1083</v>
      </c>
    </row>
    <row r="775" spans="1:9" ht="14.5" x14ac:dyDescent="0.35">
      <c r="A775" s="2">
        <v>2527090</v>
      </c>
      <c r="B775" s="2" t="str">
        <f>"3328034302860003"</f>
        <v>3328034302860003</v>
      </c>
      <c r="C775" s="2" t="s">
        <v>1119</v>
      </c>
      <c r="D775" s="2" t="s">
        <v>17</v>
      </c>
      <c r="E775" s="2" t="s">
        <v>11</v>
      </c>
      <c r="F775" s="2" t="s">
        <v>18</v>
      </c>
      <c r="G775" s="2" t="s">
        <v>19</v>
      </c>
      <c r="H775" s="2" t="s">
        <v>906</v>
      </c>
      <c r="I775" s="2" t="s">
        <v>1011</v>
      </c>
    </row>
    <row r="776" spans="1:9" ht="14.5" x14ac:dyDescent="0.35">
      <c r="A776" s="2">
        <v>544038</v>
      </c>
      <c r="B776" s="2" t="str">
        <f>"3328034303870007"</f>
        <v>3328034303870007</v>
      </c>
      <c r="C776" s="2" t="s">
        <v>1120</v>
      </c>
      <c r="D776" s="2" t="s">
        <v>10</v>
      </c>
      <c r="E776" s="2" t="s">
        <v>11</v>
      </c>
      <c r="F776" s="2" t="s">
        <v>50</v>
      </c>
      <c r="G776" s="2" t="s">
        <v>280</v>
      </c>
      <c r="H776" s="2" t="s">
        <v>1121</v>
      </c>
      <c r="I776" s="2" t="s">
        <v>1122</v>
      </c>
    </row>
    <row r="777" spans="1:9" ht="14.5" x14ac:dyDescent="0.35">
      <c r="A777" s="2">
        <v>2528365</v>
      </c>
      <c r="B777" s="2" t="str">
        <f>"3328034303870007"</f>
        <v>3328034303870007</v>
      </c>
      <c r="C777" s="2" t="s">
        <v>1123</v>
      </c>
      <c r="D777" s="2" t="s">
        <v>17</v>
      </c>
      <c r="E777" s="2" t="s">
        <v>11</v>
      </c>
      <c r="F777" s="2" t="s">
        <v>18</v>
      </c>
      <c r="G777" s="2" t="s">
        <v>19</v>
      </c>
      <c r="H777" s="2" t="s">
        <v>906</v>
      </c>
      <c r="I777" s="2" t="s">
        <v>942</v>
      </c>
    </row>
    <row r="778" spans="1:9" ht="14.5" x14ac:dyDescent="0.35">
      <c r="A778" s="2">
        <v>1579413</v>
      </c>
      <c r="B778" s="2" t="str">
        <f>"3328034304840002"</f>
        <v>3328034304840002</v>
      </c>
      <c r="C778" s="2" t="s">
        <v>1124</v>
      </c>
      <c r="D778" s="2" t="s">
        <v>10</v>
      </c>
      <c r="E778" s="2" t="s">
        <v>11</v>
      </c>
      <c r="F778" s="2" t="s">
        <v>18</v>
      </c>
      <c r="G778" s="2" t="s">
        <v>19</v>
      </c>
      <c r="H778" s="2" t="s">
        <v>906</v>
      </c>
      <c r="I778" s="2" t="s">
        <v>942</v>
      </c>
    </row>
    <row r="779" spans="1:9" ht="14.5" x14ac:dyDescent="0.35">
      <c r="A779" s="2">
        <v>1352172</v>
      </c>
      <c r="B779" s="2" t="str">
        <f>"3328034304840002"</f>
        <v>3328034304840002</v>
      </c>
      <c r="C779" s="2" t="s">
        <v>1125</v>
      </c>
      <c r="D779" s="2" t="s">
        <v>10</v>
      </c>
      <c r="E779" s="2" t="s">
        <v>57</v>
      </c>
      <c r="F779" s="2" t="s">
        <v>303</v>
      </c>
      <c r="G779" s="2" t="s">
        <v>608</v>
      </c>
      <c r="H779" s="2" t="s">
        <v>609</v>
      </c>
      <c r="I779" s="2" t="s">
        <v>610</v>
      </c>
    </row>
    <row r="780" spans="1:9" ht="14.5" x14ac:dyDescent="0.35">
      <c r="A780" s="2">
        <v>1555328</v>
      </c>
      <c r="B780" s="2" t="str">
        <f>"3328034308040003"</f>
        <v>3328034308040003</v>
      </c>
      <c r="C780" s="2" t="s">
        <v>1126</v>
      </c>
      <c r="D780" s="2" t="s">
        <v>10</v>
      </c>
      <c r="E780" s="2" t="s">
        <v>11</v>
      </c>
      <c r="F780" s="2" t="s">
        <v>18</v>
      </c>
      <c r="G780" s="2" t="s">
        <v>19</v>
      </c>
      <c r="H780" s="2" t="s">
        <v>906</v>
      </c>
      <c r="I780" s="2" t="s">
        <v>1011</v>
      </c>
    </row>
    <row r="781" spans="1:9" ht="14.5" x14ac:dyDescent="0.35">
      <c r="A781" s="2">
        <v>1862956</v>
      </c>
      <c r="B781" s="2" t="str">
        <f>"3328034308040003"</f>
        <v>3328034308040003</v>
      </c>
      <c r="C781" s="2" t="s">
        <v>1126</v>
      </c>
      <c r="D781" s="2" t="s">
        <v>10</v>
      </c>
      <c r="E781" s="2" t="s">
        <v>57</v>
      </c>
      <c r="F781" s="2" t="s">
        <v>18</v>
      </c>
      <c r="G781" s="2" t="s">
        <v>733</v>
      </c>
      <c r="H781" s="2" t="s">
        <v>1127</v>
      </c>
      <c r="I781" s="2" t="s">
        <v>1127</v>
      </c>
    </row>
    <row r="782" spans="1:9" ht="14.5" x14ac:dyDescent="0.35">
      <c r="A782" s="2">
        <v>1591855</v>
      </c>
      <c r="B782" s="2" t="str">
        <f>"3328034404020001"</f>
        <v>3328034404020001</v>
      </c>
      <c r="C782" s="2" t="s">
        <v>1128</v>
      </c>
      <c r="D782" s="2" t="s">
        <v>10</v>
      </c>
      <c r="E782" s="2" t="s">
        <v>11</v>
      </c>
      <c r="F782" s="2" t="s">
        <v>18</v>
      </c>
      <c r="G782" s="2" t="s">
        <v>19</v>
      </c>
      <c r="H782" s="2" t="s">
        <v>906</v>
      </c>
      <c r="I782" s="2" t="s">
        <v>992</v>
      </c>
    </row>
    <row r="783" spans="1:9" ht="14.5" x14ac:dyDescent="0.35">
      <c r="A783" s="2">
        <v>1545850</v>
      </c>
      <c r="B783" s="2" t="str">
        <f>"3328034404020001"</f>
        <v>3328034404020001</v>
      </c>
      <c r="C783" s="2" t="s">
        <v>1128</v>
      </c>
      <c r="D783" s="2" t="s">
        <v>17</v>
      </c>
      <c r="E783" s="2" t="s">
        <v>11</v>
      </c>
      <c r="F783" s="2" t="s">
        <v>18</v>
      </c>
      <c r="G783" s="2" t="s">
        <v>195</v>
      </c>
      <c r="H783" s="2" t="s">
        <v>586</v>
      </c>
      <c r="I783" s="2" t="s">
        <v>1129</v>
      </c>
    </row>
    <row r="784" spans="1:9" ht="14.5" x14ac:dyDescent="0.35">
      <c r="A784" s="2">
        <v>1565717</v>
      </c>
      <c r="B784" s="2" t="str">
        <f>"3328034406580002"</f>
        <v>3328034406580002</v>
      </c>
      <c r="C784" s="2" t="s">
        <v>1130</v>
      </c>
      <c r="D784" s="2" t="s">
        <v>10</v>
      </c>
      <c r="E784" s="2" t="s">
        <v>11</v>
      </c>
      <c r="F784" s="2" t="s">
        <v>18</v>
      </c>
      <c r="G784" s="2" t="s">
        <v>19</v>
      </c>
      <c r="H784" s="2" t="s">
        <v>906</v>
      </c>
      <c r="I784" s="2" t="s">
        <v>959</v>
      </c>
    </row>
    <row r="785" spans="1:9" ht="14.5" x14ac:dyDescent="0.35">
      <c r="A785" s="2">
        <v>2429686</v>
      </c>
      <c r="B785" s="2" t="str">
        <f>"3328034406580002"</f>
        <v>3328034406580002</v>
      </c>
      <c r="C785" s="2" t="s">
        <v>1130</v>
      </c>
      <c r="D785" s="2" t="s">
        <v>17</v>
      </c>
      <c r="E785" s="2" t="s">
        <v>11</v>
      </c>
      <c r="F785" s="2" t="s">
        <v>50</v>
      </c>
      <c r="G785" s="2" t="s">
        <v>58</v>
      </c>
      <c r="H785" s="2" t="s">
        <v>417</v>
      </c>
      <c r="I785" s="2" t="s">
        <v>1131</v>
      </c>
    </row>
    <row r="786" spans="1:9" ht="14.5" x14ac:dyDescent="0.35">
      <c r="A786" s="2">
        <v>1172163</v>
      </c>
      <c r="B786" s="2" t="str">
        <f>"3328034607920001"</f>
        <v>3328034607920001</v>
      </c>
      <c r="C786" s="2" t="s">
        <v>1132</v>
      </c>
      <c r="D786" s="2" t="s">
        <v>10</v>
      </c>
      <c r="E786" s="2" t="s">
        <v>11</v>
      </c>
      <c r="F786" s="2" t="s">
        <v>91</v>
      </c>
      <c r="G786" s="2" t="s">
        <v>903</v>
      </c>
      <c r="H786" s="2" t="s">
        <v>1133</v>
      </c>
      <c r="I786" s="2" t="s">
        <v>1134</v>
      </c>
    </row>
    <row r="787" spans="1:9" ht="14.5" x14ac:dyDescent="0.35">
      <c r="A787" s="2">
        <v>2529923</v>
      </c>
      <c r="B787" s="2" t="str">
        <f>"3328034607920001"</f>
        <v>3328034607920001</v>
      </c>
      <c r="C787" s="2" t="s">
        <v>1132</v>
      </c>
      <c r="D787" s="2" t="s">
        <v>17</v>
      </c>
      <c r="E787" s="2" t="s">
        <v>11</v>
      </c>
      <c r="F787" s="2" t="s">
        <v>18</v>
      </c>
      <c r="G787" s="2" t="s">
        <v>19</v>
      </c>
      <c r="H787" s="2" t="s">
        <v>906</v>
      </c>
      <c r="I787" s="2" t="s">
        <v>907</v>
      </c>
    </row>
    <row r="788" spans="1:9" ht="14.5" x14ac:dyDescent="0.35">
      <c r="A788" s="2">
        <v>1575020</v>
      </c>
      <c r="B788" s="2" t="str">
        <f>"3328034704020001"</f>
        <v>3328034704020001</v>
      </c>
      <c r="C788" s="2" t="s">
        <v>1135</v>
      </c>
      <c r="D788" s="2" t="s">
        <v>10</v>
      </c>
      <c r="E788" s="2" t="s">
        <v>11</v>
      </c>
      <c r="F788" s="2" t="s">
        <v>18</v>
      </c>
      <c r="G788" s="2" t="s">
        <v>19</v>
      </c>
      <c r="H788" s="2" t="s">
        <v>906</v>
      </c>
      <c r="I788" s="2" t="s">
        <v>942</v>
      </c>
    </row>
    <row r="789" spans="1:9" ht="14.5" x14ac:dyDescent="0.35">
      <c r="A789" s="2">
        <v>1352884</v>
      </c>
      <c r="B789" s="2" t="str">
        <f>"3328034704020001"</f>
        <v>3328034704020001</v>
      </c>
      <c r="C789" s="2" t="s">
        <v>1136</v>
      </c>
      <c r="D789" s="2" t="s">
        <v>10</v>
      </c>
      <c r="E789" s="2" t="s">
        <v>57</v>
      </c>
      <c r="F789" s="2" t="s">
        <v>303</v>
      </c>
      <c r="G789" s="2" t="s">
        <v>608</v>
      </c>
      <c r="H789" s="2" t="s">
        <v>609</v>
      </c>
      <c r="I789" s="2" t="s">
        <v>610</v>
      </c>
    </row>
    <row r="790" spans="1:9" ht="14.5" x14ac:dyDescent="0.35">
      <c r="A790" s="2">
        <v>2528481</v>
      </c>
      <c r="B790" s="2" t="str">
        <f>"3328035003050002"</f>
        <v>3328035003050002</v>
      </c>
      <c r="C790" s="2" t="s">
        <v>1137</v>
      </c>
      <c r="D790" s="2" t="s">
        <v>17</v>
      </c>
      <c r="E790" s="2" t="s">
        <v>11</v>
      </c>
      <c r="F790" s="2" t="s">
        <v>18</v>
      </c>
      <c r="G790" s="2" t="s">
        <v>19</v>
      </c>
      <c r="H790" s="2" t="s">
        <v>906</v>
      </c>
      <c r="I790" s="2" t="s">
        <v>942</v>
      </c>
    </row>
    <row r="791" spans="1:9" ht="14.5" x14ac:dyDescent="0.35">
      <c r="A791" s="2">
        <v>1352887</v>
      </c>
      <c r="B791" s="2" t="str">
        <f>"3328035003050002"</f>
        <v>3328035003050002</v>
      </c>
      <c r="C791" s="2" t="s">
        <v>1138</v>
      </c>
      <c r="D791" s="2" t="s">
        <v>10</v>
      </c>
      <c r="E791" s="2" t="s">
        <v>57</v>
      </c>
      <c r="F791" s="2" t="s">
        <v>303</v>
      </c>
      <c r="G791" s="2" t="s">
        <v>608</v>
      </c>
      <c r="H791" s="2" t="s">
        <v>609</v>
      </c>
      <c r="I791" s="2" t="s">
        <v>610</v>
      </c>
    </row>
    <row r="792" spans="1:9" ht="14.5" x14ac:dyDescent="0.35">
      <c r="A792" s="2">
        <v>1577165</v>
      </c>
      <c r="B792" s="2" t="str">
        <f>"3328035009010003"</f>
        <v>3328035009010003</v>
      </c>
      <c r="C792" s="2" t="s">
        <v>1139</v>
      </c>
      <c r="D792" s="2" t="s">
        <v>10</v>
      </c>
      <c r="E792" s="2" t="s">
        <v>11</v>
      </c>
      <c r="F792" s="2" t="s">
        <v>18</v>
      </c>
      <c r="G792" s="2" t="s">
        <v>19</v>
      </c>
      <c r="H792" s="2" t="s">
        <v>906</v>
      </c>
      <c r="I792" s="2" t="s">
        <v>942</v>
      </c>
    </row>
    <row r="793" spans="1:9" ht="14.5" x14ac:dyDescent="0.35">
      <c r="A793" s="2">
        <v>1352888</v>
      </c>
      <c r="B793" s="2" t="str">
        <f>"3328035009010003"</f>
        <v>3328035009010003</v>
      </c>
      <c r="C793" s="2" t="s">
        <v>1139</v>
      </c>
      <c r="D793" s="2" t="s">
        <v>10</v>
      </c>
      <c r="E793" s="2" t="s">
        <v>57</v>
      </c>
      <c r="F793" s="2" t="s">
        <v>303</v>
      </c>
      <c r="G793" s="2" t="s">
        <v>608</v>
      </c>
      <c r="H793" s="2" t="s">
        <v>609</v>
      </c>
      <c r="I793" s="2" t="s">
        <v>610</v>
      </c>
    </row>
    <row r="794" spans="1:9" ht="14.5" x14ac:dyDescent="0.35">
      <c r="A794" s="2">
        <v>2530053</v>
      </c>
      <c r="B794" s="2" t="str">
        <f>"3328035107010007"</f>
        <v>3328035107010007</v>
      </c>
      <c r="C794" s="2" t="s">
        <v>1140</v>
      </c>
      <c r="D794" s="2" t="s">
        <v>17</v>
      </c>
      <c r="E794" s="2" t="s">
        <v>11</v>
      </c>
      <c r="F794" s="2" t="s">
        <v>18</v>
      </c>
      <c r="G794" s="2" t="s">
        <v>19</v>
      </c>
      <c r="H794" s="2" t="s">
        <v>906</v>
      </c>
      <c r="I794" s="2" t="s">
        <v>989</v>
      </c>
    </row>
    <row r="795" spans="1:9" ht="14.5" x14ac:dyDescent="0.35">
      <c r="A795" s="2">
        <v>1630484</v>
      </c>
      <c r="B795" s="2" t="str">
        <f>"3328035107010007"</f>
        <v>3328035107010007</v>
      </c>
      <c r="C795" s="2" t="s">
        <v>1141</v>
      </c>
      <c r="D795" s="2" t="s">
        <v>17</v>
      </c>
      <c r="E795" s="2" t="s">
        <v>11</v>
      </c>
      <c r="F795" s="2" t="s">
        <v>18</v>
      </c>
      <c r="G795" s="2" t="s">
        <v>264</v>
      </c>
      <c r="H795" s="2" t="s">
        <v>248</v>
      </c>
      <c r="I795" s="2" t="s">
        <v>1142</v>
      </c>
    </row>
    <row r="796" spans="1:9" ht="14.5" x14ac:dyDescent="0.35">
      <c r="A796" s="2">
        <v>1563366</v>
      </c>
      <c r="B796" s="2" t="str">
        <f>"3328035211850001"</f>
        <v>3328035211850001</v>
      </c>
      <c r="C796" s="2" t="s">
        <v>1143</v>
      </c>
      <c r="D796" s="2" t="s">
        <v>10</v>
      </c>
      <c r="E796" s="2" t="s">
        <v>11</v>
      </c>
      <c r="F796" s="2" t="s">
        <v>18</v>
      </c>
      <c r="G796" s="2" t="s">
        <v>19</v>
      </c>
      <c r="H796" s="2" t="s">
        <v>906</v>
      </c>
      <c r="I796" s="2" t="s">
        <v>939</v>
      </c>
    </row>
    <row r="797" spans="1:9" ht="14.5" x14ac:dyDescent="0.35">
      <c r="A797" s="2">
        <v>1352170</v>
      </c>
      <c r="B797" s="2" t="str">
        <f>"3328035211850001"</f>
        <v>3328035211850001</v>
      </c>
      <c r="C797" s="2" t="s">
        <v>1144</v>
      </c>
      <c r="D797" s="2" t="s">
        <v>10</v>
      </c>
      <c r="E797" s="2" t="s">
        <v>57</v>
      </c>
      <c r="F797" s="2" t="s">
        <v>303</v>
      </c>
      <c r="G797" s="2" t="s">
        <v>608</v>
      </c>
      <c r="H797" s="2" t="s">
        <v>609</v>
      </c>
      <c r="I797" s="2" t="s">
        <v>610</v>
      </c>
    </row>
    <row r="798" spans="1:9" ht="14.5" x14ac:dyDescent="0.35">
      <c r="A798" s="2">
        <v>1579357</v>
      </c>
      <c r="B798" s="2" t="str">
        <f>"3328035304060001"</f>
        <v>3328035304060001</v>
      </c>
      <c r="C798" s="2" t="s">
        <v>1145</v>
      </c>
      <c r="D798" s="2" t="s">
        <v>189</v>
      </c>
      <c r="E798" s="2" t="s">
        <v>11</v>
      </c>
      <c r="F798" s="2" t="s">
        <v>18</v>
      </c>
      <c r="G798" s="2" t="s">
        <v>19</v>
      </c>
      <c r="H798" s="2" t="s">
        <v>906</v>
      </c>
      <c r="I798" s="2" t="s">
        <v>942</v>
      </c>
    </row>
    <row r="799" spans="1:9" ht="14.5" x14ac:dyDescent="0.35">
      <c r="A799" s="2">
        <v>2084634</v>
      </c>
      <c r="B799" s="2" t="str">
        <f>"3328035304060001"</f>
        <v>3328035304060001</v>
      </c>
      <c r="C799" s="2" t="s">
        <v>1145</v>
      </c>
      <c r="D799" s="2" t="s">
        <v>17</v>
      </c>
      <c r="E799" s="2" t="s">
        <v>57</v>
      </c>
      <c r="F799" s="2" t="s">
        <v>18</v>
      </c>
      <c r="G799" s="2" t="s">
        <v>962</v>
      </c>
      <c r="H799" s="2" t="s">
        <v>1046</v>
      </c>
      <c r="I799" s="2" t="s">
        <v>1146</v>
      </c>
    </row>
    <row r="800" spans="1:9" ht="14.5" x14ac:dyDescent="0.35">
      <c r="A800" s="2">
        <v>1584310</v>
      </c>
      <c r="B800" s="2" t="str">
        <f>"3328035408720003"</f>
        <v>3328035408720003</v>
      </c>
      <c r="C800" s="2" t="s">
        <v>1147</v>
      </c>
      <c r="D800" s="2" t="s">
        <v>10</v>
      </c>
      <c r="E800" s="2" t="s">
        <v>11</v>
      </c>
      <c r="F800" s="2" t="s">
        <v>18</v>
      </c>
      <c r="G800" s="2" t="s">
        <v>19</v>
      </c>
      <c r="H800" s="2" t="s">
        <v>906</v>
      </c>
      <c r="I800" s="2" t="s">
        <v>906</v>
      </c>
    </row>
    <row r="801" spans="1:9" ht="14.5" x14ac:dyDescent="0.35">
      <c r="A801" s="2">
        <v>1349030</v>
      </c>
      <c r="B801" s="2" t="str">
        <f>"3328035408720003"</f>
        <v>3328035408720003</v>
      </c>
      <c r="C801" s="2" t="s">
        <v>1148</v>
      </c>
      <c r="D801" s="2" t="s">
        <v>10</v>
      </c>
      <c r="E801" s="2" t="s">
        <v>57</v>
      </c>
      <c r="F801" s="2" t="s">
        <v>303</v>
      </c>
      <c r="G801" s="2" t="s">
        <v>608</v>
      </c>
      <c r="H801" s="2" t="s">
        <v>609</v>
      </c>
      <c r="I801" s="2" t="s">
        <v>610</v>
      </c>
    </row>
    <row r="802" spans="1:9" ht="14.5" x14ac:dyDescent="0.35">
      <c r="A802" s="2">
        <v>1557347</v>
      </c>
      <c r="B802" s="2" t="str">
        <f>"3328035607940002"</f>
        <v>3328035607940002</v>
      </c>
      <c r="C802" s="2" t="s">
        <v>1149</v>
      </c>
      <c r="D802" s="2" t="s">
        <v>189</v>
      </c>
      <c r="E802" s="2" t="s">
        <v>11</v>
      </c>
      <c r="F802" s="2" t="s">
        <v>18</v>
      </c>
      <c r="G802" s="2" t="s">
        <v>19</v>
      </c>
      <c r="H802" s="2" t="s">
        <v>906</v>
      </c>
      <c r="I802" s="2" t="s">
        <v>1011</v>
      </c>
    </row>
    <row r="803" spans="1:9" ht="14.5" x14ac:dyDescent="0.35">
      <c r="A803" s="2">
        <v>1124759</v>
      </c>
      <c r="B803" s="2" t="str">
        <f>"3328035607940002"</f>
        <v>3328035607940002</v>
      </c>
      <c r="C803" s="2" t="s">
        <v>1150</v>
      </c>
      <c r="D803" s="2" t="s">
        <v>189</v>
      </c>
      <c r="E803" s="2" t="s">
        <v>11</v>
      </c>
      <c r="F803" s="2" t="s">
        <v>18</v>
      </c>
      <c r="G803" s="2" t="s">
        <v>264</v>
      </c>
      <c r="H803" s="2" t="s">
        <v>330</v>
      </c>
      <c r="I803" s="2" t="s">
        <v>489</v>
      </c>
    </row>
    <row r="804" spans="1:9" ht="14.5" x14ac:dyDescent="0.35">
      <c r="A804" s="2">
        <v>1590149</v>
      </c>
      <c r="B804" s="2" t="str">
        <f>"3328035608740001"</f>
        <v>3328035608740001</v>
      </c>
      <c r="C804" s="2" t="s">
        <v>1151</v>
      </c>
      <c r="D804" s="2" t="s">
        <v>10</v>
      </c>
      <c r="E804" s="2" t="s">
        <v>11</v>
      </c>
      <c r="F804" s="2" t="s">
        <v>18</v>
      </c>
      <c r="G804" s="2" t="s">
        <v>19</v>
      </c>
      <c r="H804" s="2" t="s">
        <v>906</v>
      </c>
      <c r="I804" s="2" t="s">
        <v>929</v>
      </c>
    </row>
    <row r="805" spans="1:9" ht="14.5" x14ac:dyDescent="0.35">
      <c r="A805" s="2">
        <v>1349031</v>
      </c>
      <c r="B805" s="2" t="str">
        <f>"3328035608740001"</f>
        <v>3328035608740001</v>
      </c>
      <c r="C805" s="2" t="s">
        <v>1152</v>
      </c>
      <c r="D805" s="2" t="s">
        <v>10</v>
      </c>
      <c r="E805" s="2" t="s">
        <v>57</v>
      </c>
      <c r="F805" s="2" t="s">
        <v>303</v>
      </c>
      <c r="G805" s="2" t="s">
        <v>608</v>
      </c>
      <c r="H805" s="2" t="s">
        <v>609</v>
      </c>
      <c r="I805" s="2" t="s">
        <v>610</v>
      </c>
    </row>
    <row r="806" spans="1:9" ht="14.5" x14ac:dyDescent="0.35">
      <c r="A806" s="2">
        <v>1576679</v>
      </c>
      <c r="B806" s="2" t="str">
        <f>"3328035911020003"</f>
        <v>3328035911020003</v>
      </c>
      <c r="C806" s="2" t="s">
        <v>1153</v>
      </c>
      <c r="D806" s="2" t="s">
        <v>10</v>
      </c>
      <c r="E806" s="2" t="s">
        <v>11</v>
      </c>
      <c r="F806" s="2" t="s">
        <v>18</v>
      </c>
      <c r="G806" s="2" t="s">
        <v>19</v>
      </c>
      <c r="H806" s="2" t="s">
        <v>906</v>
      </c>
      <c r="I806" s="2" t="s">
        <v>942</v>
      </c>
    </row>
    <row r="807" spans="1:9" ht="14.5" x14ac:dyDescent="0.35">
      <c r="A807" s="2">
        <v>1352889</v>
      </c>
      <c r="B807" s="2" t="str">
        <f>"3328035911020003"</f>
        <v>3328035911020003</v>
      </c>
      <c r="C807" s="2" t="s">
        <v>1154</v>
      </c>
      <c r="D807" s="2" t="s">
        <v>10</v>
      </c>
      <c r="E807" s="2" t="s">
        <v>57</v>
      </c>
      <c r="F807" s="2" t="s">
        <v>303</v>
      </c>
      <c r="G807" s="2" t="s">
        <v>608</v>
      </c>
      <c r="H807" s="2" t="s">
        <v>609</v>
      </c>
      <c r="I807" s="2" t="s">
        <v>610</v>
      </c>
    </row>
    <row r="808" spans="1:9" ht="14.5" x14ac:dyDescent="0.35">
      <c r="A808" s="2">
        <v>971171</v>
      </c>
      <c r="B808" s="2" t="str">
        <f>"3328036012030002"</f>
        <v>3328036012030002</v>
      </c>
      <c r="C808" s="2" t="s">
        <v>1155</v>
      </c>
      <c r="D808" s="2" t="s">
        <v>10</v>
      </c>
      <c r="E808" s="2" t="s">
        <v>11</v>
      </c>
      <c r="F808" s="2" t="s">
        <v>91</v>
      </c>
      <c r="G808" s="2" t="s">
        <v>985</v>
      </c>
      <c r="H808" s="2" t="s">
        <v>1156</v>
      </c>
      <c r="I808" s="2" t="s">
        <v>1157</v>
      </c>
    </row>
    <row r="809" spans="1:9" ht="14.5" x14ac:dyDescent="0.35">
      <c r="A809" s="2">
        <v>2527157</v>
      </c>
      <c r="B809" s="2" t="str">
        <f>"3328036012030002"</f>
        <v>3328036012030002</v>
      </c>
      <c r="C809" s="2" t="s">
        <v>1155</v>
      </c>
      <c r="D809" s="2" t="s">
        <v>17</v>
      </c>
      <c r="E809" s="2" t="s">
        <v>11</v>
      </c>
      <c r="F809" s="2" t="s">
        <v>18</v>
      </c>
      <c r="G809" s="2" t="s">
        <v>19</v>
      </c>
      <c r="H809" s="2" t="s">
        <v>906</v>
      </c>
      <c r="I809" s="2" t="s">
        <v>1011</v>
      </c>
    </row>
    <row r="810" spans="1:9" ht="14.5" x14ac:dyDescent="0.35">
      <c r="A810" s="2">
        <v>2528602</v>
      </c>
      <c r="B810" s="2" t="str">
        <f>"3328036103040006"</f>
        <v>3328036103040006</v>
      </c>
      <c r="C810" s="2" t="s">
        <v>1158</v>
      </c>
      <c r="D810" s="2" t="s">
        <v>17</v>
      </c>
      <c r="E810" s="2" t="s">
        <v>11</v>
      </c>
      <c r="F810" s="2" t="s">
        <v>18</v>
      </c>
      <c r="G810" s="2" t="s">
        <v>19</v>
      </c>
      <c r="H810" s="2" t="s">
        <v>906</v>
      </c>
      <c r="I810" s="2" t="s">
        <v>906</v>
      </c>
    </row>
    <row r="811" spans="1:9" ht="14.5" x14ac:dyDescent="0.35">
      <c r="A811" s="2">
        <v>1352879</v>
      </c>
      <c r="B811" s="2" t="str">
        <f>"3328036103040006"</f>
        <v>3328036103040006</v>
      </c>
      <c r="C811" s="2" t="s">
        <v>1158</v>
      </c>
      <c r="D811" s="2" t="s">
        <v>10</v>
      </c>
      <c r="E811" s="2" t="s">
        <v>57</v>
      </c>
      <c r="F811" s="2" t="s">
        <v>303</v>
      </c>
      <c r="G811" s="2" t="s">
        <v>608</v>
      </c>
      <c r="H811" s="2" t="s">
        <v>609</v>
      </c>
      <c r="I811" s="2" t="s">
        <v>610</v>
      </c>
    </row>
    <row r="812" spans="1:9" ht="14.5" x14ac:dyDescent="0.35">
      <c r="A812" s="2">
        <v>1573398</v>
      </c>
      <c r="B812" s="2" t="str">
        <f>"3328036304030001"</f>
        <v>3328036304030001</v>
      </c>
      <c r="C812" s="2" t="s">
        <v>1159</v>
      </c>
      <c r="D812" s="2" t="s">
        <v>10</v>
      </c>
      <c r="E812" s="2" t="s">
        <v>11</v>
      </c>
      <c r="F812" s="2" t="s">
        <v>18</v>
      </c>
      <c r="G812" s="2" t="s">
        <v>19</v>
      </c>
      <c r="H812" s="2" t="s">
        <v>906</v>
      </c>
      <c r="I812" s="2" t="s">
        <v>942</v>
      </c>
    </row>
    <row r="813" spans="1:9" ht="14.5" x14ac:dyDescent="0.35">
      <c r="A813" s="2">
        <v>1351179</v>
      </c>
      <c r="B813" s="2" t="str">
        <f>"3328036304030001"</f>
        <v>3328036304030001</v>
      </c>
      <c r="C813" s="2" t="s">
        <v>1159</v>
      </c>
      <c r="D813" s="2" t="s">
        <v>10</v>
      </c>
      <c r="E813" s="2" t="s">
        <v>57</v>
      </c>
      <c r="F813" s="2" t="s">
        <v>303</v>
      </c>
      <c r="G813" s="2" t="s">
        <v>608</v>
      </c>
      <c r="H813" s="2" t="s">
        <v>609</v>
      </c>
      <c r="I813" s="2" t="s">
        <v>610</v>
      </c>
    </row>
    <row r="814" spans="1:9" ht="14.5" x14ac:dyDescent="0.35">
      <c r="A814" s="2">
        <v>1288963</v>
      </c>
      <c r="B814" s="2" t="str">
        <f>"3328036501960003"</f>
        <v>3328036501960003</v>
      </c>
      <c r="C814" s="2" t="s">
        <v>1160</v>
      </c>
      <c r="D814" s="2" t="s">
        <v>10</v>
      </c>
      <c r="E814" s="2" t="s">
        <v>11</v>
      </c>
      <c r="F814" s="2" t="s">
        <v>91</v>
      </c>
      <c r="G814" s="2" t="s">
        <v>903</v>
      </c>
      <c r="H814" s="2" t="s">
        <v>904</v>
      </c>
      <c r="I814" s="2" t="s">
        <v>905</v>
      </c>
    </row>
    <row r="815" spans="1:9" ht="14.5" x14ac:dyDescent="0.35">
      <c r="A815" s="2">
        <v>2529856</v>
      </c>
      <c r="B815" s="2" t="str">
        <f>"3328036501960003"</f>
        <v>3328036501960003</v>
      </c>
      <c r="C815" s="2" t="s">
        <v>1160</v>
      </c>
      <c r="D815" s="2" t="s">
        <v>17</v>
      </c>
      <c r="E815" s="2" t="s">
        <v>11</v>
      </c>
      <c r="F815" s="2" t="s">
        <v>18</v>
      </c>
      <c r="G815" s="2" t="s">
        <v>19</v>
      </c>
      <c r="H815" s="2" t="s">
        <v>906</v>
      </c>
      <c r="I815" s="2" t="s">
        <v>907</v>
      </c>
    </row>
    <row r="816" spans="1:9" ht="14.5" x14ac:dyDescent="0.35">
      <c r="A816" s="2">
        <v>1555644</v>
      </c>
      <c r="B816" s="2" t="str">
        <f>"3328036511060002"</f>
        <v>3328036511060002</v>
      </c>
      <c r="C816" s="2" t="s">
        <v>1161</v>
      </c>
      <c r="D816" s="2" t="s">
        <v>10</v>
      </c>
      <c r="E816" s="2" t="s">
        <v>11</v>
      </c>
      <c r="F816" s="2" t="s">
        <v>18</v>
      </c>
      <c r="G816" s="2" t="s">
        <v>19</v>
      </c>
      <c r="H816" s="2" t="s">
        <v>906</v>
      </c>
      <c r="I816" s="2" t="s">
        <v>1011</v>
      </c>
    </row>
    <row r="817" spans="1:9" ht="14.5" x14ac:dyDescent="0.35">
      <c r="A817" s="2">
        <v>1352882</v>
      </c>
      <c r="B817" s="2" t="str">
        <f>"3328036511060002"</f>
        <v>3328036511060002</v>
      </c>
      <c r="C817" s="2" t="s">
        <v>1162</v>
      </c>
      <c r="D817" s="2" t="s">
        <v>10</v>
      </c>
      <c r="E817" s="2" t="s">
        <v>57</v>
      </c>
      <c r="F817" s="2" t="s">
        <v>303</v>
      </c>
      <c r="G817" s="2" t="s">
        <v>608</v>
      </c>
      <c r="H817" s="2" t="s">
        <v>609</v>
      </c>
      <c r="I817" s="2" t="s">
        <v>610</v>
      </c>
    </row>
    <row r="818" spans="1:9" ht="14.5" x14ac:dyDescent="0.35">
      <c r="A818" s="2">
        <v>277237</v>
      </c>
      <c r="B818" s="2" t="str">
        <f>"3328036601860004"</f>
        <v>3328036601860004</v>
      </c>
      <c r="C818" s="2" t="s">
        <v>1163</v>
      </c>
      <c r="D818" s="2" t="s">
        <v>10</v>
      </c>
      <c r="E818" s="2" t="s">
        <v>11</v>
      </c>
      <c r="F818" s="2" t="s">
        <v>412</v>
      </c>
      <c r="G818" s="2" t="s">
        <v>1053</v>
      </c>
      <c r="H818" s="2" t="s">
        <v>1054</v>
      </c>
      <c r="I818" s="2" t="s">
        <v>1055</v>
      </c>
    </row>
    <row r="819" spans="1:9" ht="14.5" x14ac:dyDescent="0.35">
      <c r="A819" s="2">
        <v>2529666</v>
      </c>
      <c r="B819" s="2" t="str">
        <f>"3328036601860004"</f>
        <v>3328036601860004</v>
      </c>
      <c r="C819" s="2" t="s">
        <v>1163</v>
      </c>
      <c r="D819" s="2" t="s">
        <v>17</v>
      </c>
      <c r="E819" s="2" t="s">
        <v>11</v>
      </c>
      <c r="F819" s="2" t="s">
        <v>18</v>
      </c>
      <c r="G819" s="2" t="s">
        <v>19</v>
      </c>
      <c r="H819" s="2" t="s">
        <v>906</v>
      </c>
      <c r="I819" s="2" t="s">
        <v>920</v>
      </c>
    </row>
    <row r="820" spans="1:9" ht="14.5" x14ac:dyDescent="0.35">
      <c r="A820" s="2">
        <v>1604749</v>
      </c>
      <c r="B820" s="2" t="str">
        <f>"3328036703780001"</f>
        <v>3328036703780001</v>
      </c>
      <c r="C820" s="2" t="s">
        <v>1164</v>
      </c>
      <c r="D820" s="2" t="s">
        <v>10</v>
      </c>
      <c r="E820" s="2" t="s">
        <v>11</v>
      </c>
      <c r="F820" s="2" t="s">
        <v>18</v>
      </c>
      <c r="G820" s="2" t="s">
        <v>19</v>
      </c>
      <c r="H820" s="2" t="s">
        <v>906</v>
      </c>
      <c r="I820" s="2" t="s">
        <v>907</v>
      </c>
    </row>
    <row r="821" spans="1:9" ht="14.5" x14ac:dyDescent="0.35">
      <c r="A821" s="2">
        <v>866448</v>
      </c>
      <c r="B821" s="2" t="str">
        <f>"3328036703780001"</f>
        <v>3328036703780001</v>
      </c>
      <c r="C821" s="2" t="s">
        <v>1164</v>
      </c>
      <c r="D821" s="2" t="s">
        <v>17</v>
      </c>
      <c r="E821" s="2" t="s">
        <v>11</v>
      </c>
      <c r="F821" s="2" t="s">
        <v>18</v>
      </c>
      <c r="G821" s="2" t="s">
        <v>951</v>
      </c>
      <c r="H821" s="2" t="s">
        <v>1165</v>
      </c>
      <c r="I821" s="2" t="s">
        <v>1166</v>
      </c>
    </row>
    <row r="822" spans="1:9" ht="14.5" x14ac:dyDescent="0.35">
      <c r="A822" s="2">
        <v>978838</v>
      </c>
      <c r="B822" s="2" t="str">
        <f>"3328036704820001"</f>
        <v>3328036704820001</v>
      </c>
      <c r="C822" s="2" t="s">
        <v>1167</v>
      </c>
      <c r="D822" s="2" t="s">
        <v>10</v>
      </c>
      <c r="E822" s="2" t="s">
        <v>11</v>
      </c>
      <c r="F822" s="2" t="s">
        <v>954</v>
      </c>
      <c r="G822" s="2" t="s">
        <v>1024</v>
      </c>
      <c r="H822" s="2" t="s">
        <v>1025</v>
      </c>
      <c r="I822" s="2" t="s">
        <v>1025</v>
      </c>
    </row>
    <row r="823" spans="1:9" ht="14.5" x14ac:dyDescent="0.35">
      <c r="A823" s="2">
        <v>2527034</v>
      </c>
      <c r="B823" s="2" t="str">
        <f>"3328036704820001"</f>
        <v>3328036704820001</v>
      </c>
      <c r="C823" s="2" t="s">
        <v>1167</v>
      </c>
      <c r="D823" s="2" t="s">
        <v>17</v>
      </c>
      <c r="E823" s="2" t="s">
        <v>11</v>
      </c>
      <c r="F823" s="2" t="s">
        <v>18</v>
      </c>
      <c r="G823" s="2" t="s">
        <v>19</v>
      </c>
      <c r="H823" s="2" t="s">
        <v>906</v>
      </c>
      <c r="I823" s="2" t="s">
        <v>1011</v>
      </c>
    </row>
    <row r="824" spans="1:9" ht="14.5" x14ac:dyDescent="0.35">
      <c r="A824" s="2">
        <v>2528577</v>
      </c>
      <c r="B824" s="2" t="str">
        <f>"3328036905040005"</f>
        <v>3328036905040005</v>
      </c>
      <c r="C824" s="2" t="s">
        <v>1168</v>
      </c>
      <c r="D824" s="2" t="s">
        <v>17</v>
      </c>
      <c r="E824" s="2" t="s">
        <v>11</v>
      </c>
      <c r="F824" s="2" t="s">
        <v>18</v>
      </c>
      <c r="G824" s="2" t="s">
        <v>19</v>
      </c>
      <c r="H824" s="2" t="s">
        <v>906</v>
      </c>
      <c r="I824" s="2" t="s">
        <v>906</v>
      </c>
    </row>
    <row r="825" spans="1:9" ht="14.5" x14ac:dyDescent="0.35">
      <c r="A825" s="2">
        <v>1352876</v>
      </c>
      <c r="B825" s="2" t="str">
        <f>"3328036905040005"</f>
        <v>3328036905040005</v>
      </c>
      <c r="C825" s="2" t="s">
        <v>1168</v>
      </c>
      <c r="D825" s="2" t="s">
        <v>10</v>
      </c>
      <c r="E825" s="2" t="s">
        <v>57</v>
      </c>
      <c r="F825" s="2" t="s">
        <v>303</v>
      </c>
      <c r="G825" s="2" t="s">
        <v>608</v>
      </c>
      <c r="H825" s="2" t="s">
        <v>609</v>
      </c>
      <c r="I825" s="2" t="s">
        <v>610</v>
      </c>
    </row>
    <row r="826" spans="1:9" ht="14.5" x14ac:dyDescent="0.35">
      <c r="A826" s="2">
        <v>83213</v>
      </c>
      <c r="B826" s="2" t="str">
        <f>"3328037006940002"</f>
        <v>3328037006940002</v>
      </c>
      <c r="C826" s="2" t="s">
        <v>1169</v>
      </c>
      <c r="D826" s="2" t="s">
        <v>10</v>
      </c>
      <c r="E826" s="2" t="s">
        <v>11</v>
      </c>
      <c r="F826" s="2" t="s">
        <v>91</v>
      </c>
      <c r="G826" s="2" t="s">
        <v>159</v>
      </c>
      <c r="H826" s="2" t="s">
        <v>1170</v>
      </c>
      <c r="I826" s="2" t="s">
        <v>1170</v>
      </c>
    </row>
    <row r="827" spans="1:9" ht="14.5" x14ac:dyDescent="0.35">
      <c r="A827" s="2">
        <v>2529577</v>
      </c>
      <c r="B827" s="2" t="str">
        <f>"3328037006940002"</f>
        <v>3328037006940002</v>
      </c>
      <c r="C827" s="2" t="s">
        <v>1169</v>
      </c>
      <c r="D827" s="2" t="s">
        <v>17</v>
      </c>
      <c r="E827" s="2" t="s">
        <v>11</v>
      </c>
      <c r="F827" s="2" t="s">
        <v>18</v>
      </c>
      <c r="G827" s="2" t="s">
        <v>19</v>
      </c>
      <c r="H827" s="2" t="s">
        <v>906</v>
      </c>
      <c r="I827" s="2" t="s">
        <v>920</v>
      </c>
    </row>
    <row r="828" spans="1:9" ht="14.5" x14ac:dyDescent="0.35">
      <c r="A828" s="2">
        <v>1629627</v>
      </c>
      <c r="B828" s="2" t="str">
        <f>"3328037010990003"</f>
        <v>3328037010990003</v>
      </c>
      <c r="C828" s="2" t="s">
        <v>1171</v>
      </c>
      <c r="D828" s="2" t="s">
        <v>10</v>
      </c>
      <c r="E828" s="2" t="s">
        <v>11</v>
      </c>
      <c r="F828" s="2" t="s">
        <v>50</v>
      </c>
      <c r="G828" s="2" t="s">
        <v>72</v>
      </c>
      <c r="H828" s="2" t="s">
        <v>1172</v>
      </c>
      <c r="I828" s="2" t="s">
        <v>1173</v>
      </c>
    </row>
    <row r="829" spans="1:9" ht="14.5" x14ac:dyDescent="0.35">
      <c r="A829" s="2">
        <v>2529814</v>
      </c>
      <c r="B829" s="2" t="str">
        <f>"3328037010990003"</f>
        <v>3328037010990003</v>
      </c>
      <c r="C829" s="2" t="s">
        <v>1171</v>
      </c>
      <c r="D829" s="2" t="s">
        <v>17</v>
      </c>
      <c r="E829" s="2" t="s">
        <v>11</v>
      </c>
      <c r="F829" s="2" t="s">
        <v>18</v>
      </c>
      <c r="G829" s="2" t="s">
        <v>19</v>
      </c>
      <c r="H829" s="2" t="s">
        <v>906</v>
      </c>
      <c r="I829" s="2" t="s">
        <v>907</v>
      </c>
    </row>
    <row r="830" spans="1:9" ht="14.5" x14ac:dyDescent="0.35">
      <c r="A830" s="2">
        <v>2528608</v>
      </c>
      <c r="B830" s="2" t="str">
        <f>"3328041405900004"</f>
        <v>3328041405900004</v>
      </c>
      <c r="C830" s="2" t="s">
        <v>1174</v>
      </c>
      <c r="D830" s="2" t="s">
        <v>17</v>
      </c>
      <c r="E830" s="2" t="s">
        <v>11</v>
      </c>
      <c r="F830" s="2" t="s">
        <v>18</v>
      </c>
      <c r="G830" s="2" t="s">
        <v>19</v>
      </c>
      <c r="H830" s="2" t="s">
        <v>906</v>
      </c>
      <c r="I830" s="2" t="s">
        <v>906</v>
      </c>
    </row>
    <row r="831" spans="1:9" ht="14.5" x14ac:dyDescent="0.35">
      <c r="A831" s="2">
        <v>2573101</v>
      </c>
      <c r="B831" s="2" t="str">
        <f>"3328041405900004"</f>
        <v>3328041405900004</v>
      </c>
      <c r="C831" s="2" t="s">
        <v>1174</v>
      </c>
      <c r="D831" s="2" t="s">
        <v>17</v>
      </c>
      <c r="E831" s="2" t="s">
        <v>11</v>
      </c>
      <c r="F831" s="2" t="s">
        <v>18</v>
      </c>
      <c r="G831" s="2" t="s">
        <v>19</v>
      </c>
      <c r="H831" s="2" t="s">
        <v>745</v>
      </c>
      <c r="I831" s="2" t="s">
        <v>746</v>
      </c>
    </row>
    <row r="832" spans="1:9" ht="14.5" x14ac:dyDescent="0.35">
      <c r="A832" s="2">
        <v>1588556</v>
      </c>
      <c r="B832" s="2" t="str">
        <f>"3328042702840001"</f>
        <v>3328042702840001</v>
      </c>
      <c r="C832" s="2" t="s">
        <v>1175</v>
      </c>
      <c r="D832" s="2" t="s">
        <v>10</v>
      </c>
      <c r="E832" s="2" t="s">
        <v>11</v>
      </c>
      <c r="F832" s="2" t="s">
        <v>18</v>
      </c>
      <c r="G832" s="2" t="s">
        <v>19</v>
      </c>
      <c r="H832" s="2" t="s">
        <v>906</v>
      </c>
      <c r="I832" s="2" t="s">
        <v>929</v>
      </c>
    </row>
    <row r="833" spans="1:9" ht="14.5" x14ac:dyDescent="0.35">
      <c r="A833" s="2">
        <v>2573937</v>
      </c>
      <c r="B833" s="2" t="str">
        <f>"3328042702840001"</f>
        <v>3328042702840001</v>
      </c>
      <c r="C833" s="2" t="s">
        <v>1175</v>
      </c>
      <c r="D833" s="2" t="s">
        <v>17</v>
      </c>
      <c r="E833" s="2" t="s">
        <v>11</v>
      </c>
      <c r="F833" s="2" t="s">
        <v>18</v>
      </c>
      <c r="G833" s="2" t="s">
        <v>19</v>
      </c>
      <c r="H833" s="2" t="s">
        <v>745</v>
      </c>
      <c r="I833" s="2" t="s">
        <v>746</v>
      </c>
    </row>
    <row r="834" spans="1:9" ht="14.5" x14ac:dyDescent="0.35">
      <c r="A834" s="2">
        <v>323169</v>
      </c>
      <c r="B834" s="2" t="str">
        <f>"3328160105830001"</f>
        <v>3328160105830001</v>
      </c>
      <c r="C834" s="2" t="s">
        <v>1176</v>
      </c>
      <c r="D834" s="2" t="s">
        <v>10</v>
      </c>
      <c r="E834" s="2" t="s">
        <v>11</v>
      </c>
      <c r="F834" s="2" t="s">
        <v>18</v>
      </c>
      <c r="G834" s="2" t="s">
        <v>268</v>
      </c>
      <c r="H834" s="2" t="s">
        <v>277</v>
      </c>
      <c r="I834" s="2" t="s">
        <v>278</v>
      </c>
    </row>
    <row r="835" spans="1:9" ht="14.5" x14ac:dyDescent="0.35">
      <c r="A835" s="2">
        <v>2527438</v>
      </c>
      <c r="B835" s="2" t="str">
        <f>"3328160105830001"</f>
        <v>3328160105830001</v>
      </c>
      <c r="C835" s="2" t="s">
        <v>1176</v>
      </c>
      <c r="D835" s="2" t="s">
        <v>17</v>
      </c>
      <c r="E835" s="2" t="s">
        <v>11</v>
      </c>
      <c r="F835" s="2" t="s">
        <v>18</v>
      </c>
      <c r="G835" s="2" t="s">
        <v>19</v>
      </c>
      <c r="H835" s="2" t="s">
        <v>906</v>
      </c>
      <c r="I835" s="2" t="s">
        <v>959</v>
      </c>
    </row>
    <row r="836" spans="1:9" ht="14.5" x14ac:dyDescent="0.35">
      <c r="A836" s="2">
        <v>323167</v>
      </c>
      <c r="B836" s="2" t="str">
        <f>"3328160812060002"</f>
        <v>3328160812060002</v>
      </c>
      <c r="C836" s="2" t="s">
        <v>1177</v>
      </c>
      <c r="D836" s="2" t="s">
        <v>10</v>
      </c>
      <c r="E836" s="2" t="s">
        <v>11</v>
      </c>
      <c r="F836" s="2" t="s">
        <v>18</v>
      </c>
      <c r="G836" s="2" t="s">
        <v>268</v>
      </c>
      <c r="H836" s="2" t="s">
        <v>277</v>
      </c>
      <c r="I836" s="2" t="s">
        <v>278</v>
      </c>
    </row>
    <row r="837" spans="1:9" ht="14.5" x14ac:dyDescent="0.35">
      <c r="A837" s="2">
        <v>2527439</v>
      </c>
      <c r="B837" s="2" t="str">
        <f>"3328160812060002"</f>
        <v>3328160812060002</v>
      </c>
      <c r="C837" s="2" t="s">
        <v>1177</v>
      </c>
      <c r="D837" s="2" t="s">
        <v>17</v>
      </c>
      <c r="E837" s="2" t="s">
        <v>11</v>
      </c>
      <c r="F837" s="2" t="s">
        <v>18</v>
      </c>
      <c r="G837" s="2" t="s">
        <v>19</v>
      </c>
      <c r="H837" s="2" t="s">
        <v>906</v>
      </c>
      <c r="I837" s="2" t="s">
        <v>959</v>
      </c>
    </row>
    <row r="838" spans="1:9" ht="14.5" x14ac:dyDescent="0.35">
      <c r="A838" s="2">
        <v>323168</v>
      </c>
      <c r="B838" s="2" t="str">
        <f>"3328164406860002"</f>
        <v>3328164406860002</v>
      </c>
      <c r="C838" s="2" t="s">
        <v>1178</v>
      </c>
      <c r="D838" s="2" t="s">
        <v>10</v>
      </c>
      <c r="E838" s="2" t="s">
        <v>11</v>
      </c>
      <c r="F838" s="2" t="s">
        <v>18</v>
      </c>
      <c r="G838" s="2" t="s">
        <v>268</v>
      </c>
      <c r="H838" s="2" t="s">
        <v>277</v>
      </c>
      <c r="I838" s="2" t="s">
        <v>278</v>
      </c>
    </row>
    <row r="839" spans="1:9" ht="14.5" x14ac:dyDescent="0.35">
      <c r="A839" s="2">
        <v>2527440</v>
      </c>
      <c r="B839" s="2" t="str">
        <f>"3328164406860002"</f>
        <v>3328164406860002</v>
      </c>
      <c r="C839" s="2" t="s">
        <v>1178</v>
      </c>
      <c r="D839" s="2" t="s">
        <v>17</v>
      </c>
      <c r="E839" s="2" t="s">
        <v>11</v>
      </c>
      <c r="F839" s="2" t="s">
        <v>18</v>
      </c>
      <c r="G839" s="2" t="s">
        <v>19</v>
      </c>
      <c r="H839" s="2" t="s">
        <v>906</v>
      </c>
      <c r="I839" s="2" t="s">
        <v>959</v>
      </c>
    </row>
    <row r="840" spans="1:9" ht="14.5" x14ac:dyDescent="0.35">
      <c r="A840" s="2">
        <v>1599065</v>
      </c>
      <c r="B840" s="2" t="str">
        <f>"3329030508910006"</f>
        <v>3329030508910006</v>
      </c>
      <c r="C840" s="2" t="s">
        <v>1179</v>
      </c>
      <c r="D840" s="2" t="s">
        <v>10</v>
      </c>
      <c r="E840" s="2" t="s">
        <v>11</v>
      </c>
      <c r="F840" s="2" t="s">
        <v>18</v>
      </c>
      <c r="G840" s="2" t="s">
        <v>19</v>
      </c>
      <c r="H840" s="2" t="s">
        <v>906</v>
      </c>
      <c r="I840" s="2" t="s">
        <v>920</v>
      </c>
    </row>
    <row r="841" spans="1:9" ht="14.5" x14ac:dyDescent="0.35">
      <c r="A841" s="2">
        <v>1696341</v>
      </c>
      <c r="B841" s="2" t="str">
        <f>"3329030508910006"</f>
        <v>3329030508910006</v>
      </c>
      <c r="C841" s="2" t="s">
        <v>1180</v>
      </c>
      <c r="D841" s="2" t="s">
        <v>17</v>
      </c>
      <c r="E841" s="2" t="s">
        <v>11</v>
      </c>
      <c r="F841" s="2" t="s">
        <v>18</v>
      </c>
      <c r="G841" s="2" t="s">
        <v>264</v>
      </c>
      <c r="H841" s="2" t="s">
        <v>461</v>
      </c>
      <c r="I841" s="2" t="s">
        <v>1181</v>
      </c>
    </row>
    <row r="842" spans="1:9" ht="14.5" x14ac:dyDescent="0.35">
      <c r="A842" s="2">
        <v>1364891</v>
      </c>
      <c r="B842" s="2" t="str">
        <f>"3329045007980001"</f>
        <v>3329045007980001</v>
      </c>
      <c r="C842" s="2" t="s">
        <v>1182</v>
      </c>
      <c r="D842" s="2" t="s">
        <v>10</v>
      </c>
      <c r="E842" s="2" t="s">
        <v>11</v>
      </c>
      <c r="F842" s="2" t="s">
        <v>18</v>
      </c>
      <c r="G842" s="2" t="s">
        <v>264</v>
      </c>
      <c r="H842" s="2" t="s">
        <v>461</v>
      </c>
      <c r="I842" s="2" t="s">
        <v>461</v>
      </c>
    </row>
    <row r="843" spans="1:9" ht="14.5" x14ac:dyDescent="0.35">
      <c r="A843" s="2">
        <v>2528959</v>
      </c>
      <c r="B843" s="2" t="str">
        <f>"3329045007980001"</f>
        <v>3329045007980001</v>
      </c>
      <c r="C843" s="2" t="s">
        <v>1182</v>
      </c>
      <c r="D843" s="2" t="s">
        <v>17</v>
      </c>
      <c r="E843" s="2" t="s">
        <v>11</v>
      </c>
      <c r="F843" s="2" t="s">
        <v>18</v>
      </c>
      <c r="G843" s="2" t="s">
        <v>19</v>
      </c>
      <c r="H843" s="2" t="s">
        <v>906</v>
      </c>
      <c r="I843" s="2" t="s">
        <v>929</v>
      </c>
    </row>
    <row r="844" spans="1:9" ht="14.5" x14ac:dyDescent="0.35">
      <c r="A844" s="2">
        <v>1565923</v>
      </c>
      <c r="B844" s="2" t="str">
        <f>"3329050604740001"</f>
        <v>3329050604740001</v>
      </c>
      <c r="C844" s="2" t="s">
        <v>1183</v>
      </c>
      <c r="D844" s="2" t="s">
        <v>10</v>
      </c>
      <c r="E844" s="2" t="s">
        <v>11</v>
      </c>
      <c r="F844" s="2" t="s">
        <v>18</v>
      </c>
      <c r="G844" s="2" t="s">
        <v>19</v>
      </c>
      <c r="H844" s="2" t="s">
        <v>906</v>
      </c>
      <c r="I844" s="2" t="s">
        <v>959</v>
      </c>
    </row>
    <row r="845" spans="1:9" ht="14.5" x14ac:dyDescent="0.35">
      <c r="A845" s="2">
        <v>1656962</v>
      </c>
      <c r="B845" s="2" t="str">
        <f>"3329050604740001"</f>
        <v>3329050604740001</v>
      </c>
      <c r="C845" s="2" t="s">
        <v>1184</v>
      </c>
      <c r="D845" s="2" t="s">
        <v>17</v>
      </c>
      <c r="E845" s="2" t="s">
        <v>11</v>
      </c>
      <c r="F845" s="2" t="s">
        <v>18</v>
      </c>
      <c r="G845" s="2" t="s">
        <v>264</v>
      </c>
      <c r="H845" s="2" t="s">
        <v>289</v>
      </c>
      <c r="I845" s="2" t="s">
        <v>613</v>
      </c>
    </row>
    <row r="846" spans="1:9" ht="14.5" x14ac:dyDescent="0.35">
      <c r="A846" s="2">
        <v>1565922</v>
      </c>
      <c r="B846" s="2" t="str">
        <f>"3329056807750001"</f>
        <v>3329056807750001</v>
      </c>
      <c r="C846" s="2" t="s">
        <v>1185</v>
      </c>
      <c r="D846" s="2" t="s">
        <v>10</v>
      </c>
      <c r="E846" s="2" t="s">
        <v>11</v>
      </c>
      <c r="F846" s="2" t="s">
        <v>18</v>
      </c>
      <c r="G846" s="2" t="s">
        <v>19</v>
      </c>
      <c r="H846" s="2" t="s">
        <v>906</v>
      </c>
      <c r="I846" s="2" t="s">
        <v>959</v>
      </c>
    </row>
    <row r="847" spans="1:9" ht="14.5" x14ac:dyDescent="0.35">
      <c r="A847" s="2">
        <v>1656952</v>
      </c>
      <c r="B847" s="2" t="str">
        <f>"3329056807750001"</f>
        <v>3329056807750001</v>
      </c>
      <c r="C847" s="2" t="s">
        <v>1186</v>
      </c>
      <c r="D847" s="2" t="s">
        <v>17</v>
      </c>
      <c r="E847" s="2" t="s">
        <v>11</v>
      </c>
      <c r="F847" s="2" t="s">
        <v>18</v>
      </c>
      <c r="G847" s="2" t="s">
        <v>264</v>
      </c>
      <c r="H847" s="2" t="s">
        <v>289</v>
      </c>
      <c r="I847" s="2" t="s">
        <v>613</v>
      </c>
    </row>
    <row r="848" spans="1:9" ht="14.5" x14ac:dyDescent="0.35">
      <c r="A848" s="2">
        <v>251907</v>
      </c>
      <c r="B848" s="2" t="str">
        <f>"3329066110950002"</f>
        <v>3329066110950002</v>
      </c>
      <c r="C848" s="2" t="s">
        <v>1187</v>
      </c>
      <c r="D848" s="2" t="s">
        <v>10</v>
      </c>
      <c r="E848" s="2" t="s">
        <v>11</v>
      </c>
      <c r="F848" s="2" t="s">
        <v>18</v>
      </c>
      <c r="G848" s="2" t="s">
        <v>264</v>
      </c>
      <c r="H848" s="2" t="s">
        <v>468</v>
      </c>
      <c r="I848" s="2" t="s">
        <v>1188</v>
      </c>
    </row>
    <row r="849" spans="1:9" ht="14.5" x14ac:dyDescent="0.35">
      <c r="A849" s="2">
        <v>2529118</v>
      </c>
      <c r="B849" s="2" t="str">
        <f>"3329066110950002"</f>
        <v>3329066110950002</v>
      </c>
      <c r="C849" s="2" t="s">
        <v>1187</v>
      </c>
      <c r="D849" s="2" t="s">
        <v>17</v>
      </c>
      <c r="E849" s="2" t="s">
        <v>11</v>
      </c>
      <c r="F849" s="2" t="s">
        <v>18</v>
      </c>
      <c r="G849" s="2" t="s">
        <v>19</v>
      </c>
      <c r="H849" s="2" t="s">
        <v>906</v>
      </c>
      <c r="I849" s="2" t="s">
        <v>978</v>
      </c>
    </row>
    <row r="850" spans="1:9" ht="14.5" x14ac:dyDescent="0.35">
      <c r="A850" s="2">
        <v>1509952</v>
      </c>
      <c r="B850" s="2" t="str">
        <f>"3329104709830006"</f>
        <v>3329104709830006</v>
      </c>
      <c r="C850" s="2" t="s">
        <v>1189</v>
      </c>
      <c r="D850" s="2" t="s">
        <v>10</v>
      </c>
      <c r="E850" s="2" t="s">
        <v>11</v>
      </c>
      <c r="F850" s="2" t="s">
        <v>18</v>
      </c>
      <c r="G850" s="2" t="s">
        <v>264</v>
      </c>
      <c r="H850" s="2" t="s">
        <v>273</v>
      </c>
      <c r="I850" s="2" t="s">
        <v>274</v>
      </c>
    </row>
    <row r="851" spans="1:9" ht="14.5" x14ac:dyDescent="0.35">
      <c r="A851" s="2">
        <v>2529931</v>
      </c>
      <c r="B851" s="2" t="str">
        <f>"3329104709830006"</f>
        <v>3329104709830006</v>
      </c>
      <c r="C851" s="2" t="s">
        <v>1189</v>
      </c>
      <c r="D851" s="2" t="s">
        <v>17</v>
      </c>
      <c r="E851" s="2" t="s">
        <v>11</v>
      </c>
      <c r="F851" s="2" t="s">
        <v>18</v>
      </c>
      <c r="G851" s="2" t="s">
        <v>19</v>
      </c>
      <c r="H851" s="2" t="s">
        <v>906</v>
      </c>
      <c r="I851" s="2" t="s">
        <v>907</v>
      </c>
    </row>
    <row r="852" spans="1:9" ht="14.5" x14ac:dyDescent="0.35">
      <c r="A852" s="2">
        <v>489259</v>
      </c>
      <c r="B852" s="2" t="str">
        <f>"3329120708950007"</f>
        <v>3329120708950007</v>
      </c>
      <c r="C852" s="2" t="s">
        <v>1190</v>
      </c>
      <c r="D852" s="2" t="s">
        <v>10</v>
      </c>
      <c r="E852" s="2" t="s">
        <v>11</v>
      </c>
      <c r="F852" s="2" t="s">
        <v>18</v>
      </c>
      <c r="G852" s="2" t="s">
        <v>264</v>
      </c>
      <c r="H852" s="2" t="s">
        <v>877</v>
      </c>
      <c r="I852" s="2" t="s">
        <v>1191</v>
      </c>
    </row>
    <row r="853" spans="1:9" ht="14.5" x14ac:dyDescent="0.35">
      <c r="A853" s="2">
        <v>2528994</v>
      </c>
      <c r="B853" s="2" t="str">
        <f>"3329120708950007"</f>
        <v>3329120708950007</v>
      </c>
      <c r="C853" s="2" t="s">
        <v>1190</v>
      </c>
      <c r="D853" s="2" t="s">
        <v>17</v>
      </c>
      <c r="E853" s="2" t="s">
        <v>11</v>
      </c>
      <c r="F853" s="2" t="s">
        <v>18</v>
      </c>
      <c r="G853" s="2" t="s">
        <v>19</v>
      </c>
      <c r="H853" s="2" t="s">
        <v>906</v>
      </c>
      <c r="I853" s="2" t="s">
        <v>992</v>
      </c>
    </row>
    <row r="854" spans="1:9" ht="14.5" x14ac:dyDescent="0.35">
      <c r="A854" s="2">
        <v>94942</v>
      </c>
      <c r="B854" s="2" t="str">
        <f>"3329140706740005"</f>
        <v>3329140706740005</v>
      </c>
      <c r="C854" s="2" t="s">
        <v>1192</v>
      </c>
      <c r="D854" s="2" t="s">
        <v>10</v>
      </c>
      <c r="E854" s="2" t="s">
        <v>11</v>
      </c>
      <c r="F854" s="2" t="s">
        <v>18</v>
      </c>
      <c r="G854" s="2" t="s">
        <v>264</v>
      </c>
      <c r="H854" s="2" t="s">
        <v>477</v>
      </c>
      <c r="I854" s="2" t="s">
        <v>480</v>
      </c>
    </row>
    <row r="855" spans="1:9" ht="14.5" x14ac:dyDescent="0.35">
      <c r="A855" s="2">
        <v>2528256</v>
      </c>
      <c r="B855" s="2" t="str">
        <f>"3329140706740005"</f>
        <v>3329140706740005</v>
      </c>
      <c r="C855" s="2" t="s">
        <v>1193</v>
      </c>
      <c r="D855" s="2" t="s">
        <v>17</v>
      </c>
      <c r="E855" s="2" t="s">
        <v>11</v>
      </c>
      <c r="F855" s="2" t="s">
        <v>18</v>
      </c>
      <c r="G855" s="2" t="s">
        <v>19</v>
      </c>
      <c r="H855" s="2" t="s">
        <v>906</v>
      </c>
      <c r="I855" s="2" t="s">
        <v>942</v>
      </c>
    </row>
    <row r="856" spans="1:9" ht="14.5" x14ac:dyDescent="0.35">
      <c r="A856" s="2">
        <v>1553434</v>
      </c>
      <c r="B856" s="2" t="str">
        <f>"3329154106960008"</f>
        <v>3329154106960008</v>
      </c>
      <c r="C856" s="2" t="s">
        <v>1194</v>
      </c>
      <c r="D856" s="2" t="s">
        <v>10</v>
      </c>
      <c r="E856" s="2" t="s">
        <v>11</v>
      </c>
      <c r="F856" s="2" t="s">
        <v>18</v>
      </c>
      <c r="G856" s="2" t="s">
        <v>264</v>
      </c>
      <c r="H856" s="2" t="s">
        <v>330</v>
      </c>
      <c r="I856" s="2" t="s">
        <v>331</v>
      </c>
    </row>
    <row r="857" spans="1:9" ht="14.5" x14ac:dyDescent="0.35">
      <c r="A857" s="2">
        <v>2529396</v>
      </c>
      <c r="B857" s="2" t="str">
        <f>"3329154106960008"</f>
        <v>3329154106960008</v>
      </c>
      <c r="C857" s="2" t="s">
        <v>1194</v>
      </c>
      <c r="D857" s="2" t="s">
        <v>17</v>
      </c>
      <c r="E857" s="2" t="s">
        <v>11</v>
      </c>
      <c r="F857" s="2" t="s">
        <v>18</v>
      </c>
      <c r="G857" s="2" t="s">
        <v>19</v>
      </c>
      <c r="H857" s="2" t="s">
        <v>906</v>
      </c>
      <c r="I857" s="2" t="s">
        <v>966</v>
      </c>
    </row>
    <row r="858" spans="1:9" ht="14.5" x14ac:dyDescent="0.35">
      <c r="A858" s="2">
        <v>853642</v>
      </c>
      <c r="B858" s="2" t="str">
        <f>"3329165011940006"</f>
        <v>3329165011940006</v>
      </c>
      <c r="C858" s="2" t="s">
        <v>1195</v>
      </c>
      <c r="D858" s="2" t="s">
        <v>10</v>
      </c>
      <c r="E858" s="2" t="s">
        <v>11</v>
      </c>
      <c r="F858" s="2" t="s">
        <v>18</v>
      </c>
      <c r="G858" s="2" t="s">
        <v>264</v>
      </c>
      <c r="H858" s="2" t="s">
        <v>344</v>
      </c>
      <c r="I858" s="2" t="s">
        <v>492</v>
      </c>
    </row>
    <row r="859" spans="1:9" ht="14.5" x14ac:dyDescent="0.35">
      <c r="A859" s="2">
        <v>2530145</v>
      </c>
      <c r="B859" s="2" t="str">
        <f>"3329165011940006"</f>
        <v>3329165011940006</v>
      </c>
      <c r="C859" s="2" t="s">
        <v>1196</v>
      </c>
      <c r="D859" s="2" t="s">
        <v>17</v>
      </c>
      <c r="E859" s="2" t="s">
        <v>11</v>
      </c>
      <c r="F859" s="2" t="s">
        <v>18</v>
      </c>
      <c r="G859" s="2" t="s">
        <v>19</v>
      </c>
      <c r="H859" s="2" t="s">
        <v>906</v>
      </c>
      <c r="I859" s="2" t="s">
        <v>989</v>
      </c>
    </row>
    <row r="860" spans="1:9" ht="14.5" x14ac:dyDescent="0.35">
      <c r="A860" s="2">
        <v>128574</v>
      </c>
      <c r="B860" s="2" t="str">
        <f>"3376020804950002"</f>
        <v>3376020804950002</v>
      </c>
      <c r="C860" s="2" t="s">
        <v>1197</v>
      </c>
      <c r="D860" s="2" t="s">
        <v>10</v>
      </c>
      <c r="E860" s="2" t="s">
        <v>11</v>
      </c>
      <c r="F860" s="2" t="s">
        <v>91</v>
      </c>
      <c r="G860" s="2" t="s">
        <v>92</v>
      </c>
      <c r="H860" s="2" t="s">
        <v>673</v>
      </c>
      <c r="I860" s="2" t="s">
        <v>1198</v>
      </c>
    </row>
    <row r="861" spans="1:9" ht="14.5" x14ac:dyDescent="0.35">
      <c r="A861" s="2">
        <v>2527324</v>
      </c>
      <c r="B861" s="2" t="str">
        <f>"3376020804950002"</f>
        <v>3376020804950002</v>
      </c>
      <c r="C861" s="2" t="s">
        <v>1197</v>
      </c>
      <c r="D861" s="2" t="s">
        <v>17</v>
      </c>
      <c r="E861" s="2" t="s">
        <v>11</v>
      </c>
      <c r="F861" s="2" t="s">
        <v>18</v>
      </c>
      <c r="G861" s="2" t="s">
        <v>19</v>
      </c>
      <c r="H861" s="2" t="s">
        <v>906</v>
      </c>
      <c r="I861" s="2" t="s">
        <v>939</v>
      </c>
    </row>
    <row r="862" spans="1:9" ht="14.5" x14ac:dyDescent="0.35">
      <c r="A862" s="2">
        <v>418122</v>
      </c>
      <c r="B862" s="2" t="str">
        <f>"3376041903670001"</f>
        <v>3376041903670001</v>
      </c>
      <c r="C862" s="2" t="s">
        <v>1199</v>
      </c>
      <c r="D862" s="2" t="s">
        <v>10</v>
      </c>
      <c r="E862" s="2" t="s">
        <v>11</v>
      </c>
      <c r="F862" s="2" t="s">
        <v>18</v>
      </c>
      <c r="G862" s="2" t="s">
        <v>268</v>
      </c>
      <c r="H862" s="2" t="s">
        <v>448</v>
      </c>
      <c r="I862" s="2" t="s">
        <v>888</v>
      </c>
    </row>
    <row r="863" spans="1:9" ht="14.5" x14ac:dyDescent="0.35">
      <c r="A863" s="2">
        <v>2529609</v>
      </c>
      <c r="B863" s="2" t="str">
        <f>"3376041903670001"</f>
        <v>3376041903670001</v>
      </c>
      <c r="C863" s="2" t="s">
        <v>1200</v>
      </c>
      <c r="D863" s="2" t="s">
        <v>17</v>
      </c>
      <c r="E863" s="2" t="s">
        <v>11</v>
      </c>
      <c r="F863" s="2" t="s">
        <v>18</v>
      </c>
      <c r="G863" s="2" t="s">
        <v>19</v>
      </c>
      <c r="H863" s="2" t="s">
        <v>906</v>
      </c>
      <c r="I863" s="2" t="s">
        <v>920</v>
      </c>
    </row>
    <row r="864" spans="1:9" ht="14.5" x14ac:dyDescent="0.35">
      <c r="A864" s="2">
        <v>409242</v>
      </c>
      <c r="B864" s="2" t="str">
        <f>"3403100809760001"</f>
        <v>3403100809760001</v>
      </c>
      <c r="C864" s="2" t="s">
        <v>1201</v>
      </c>
      <c r="D864" s="2" t="s">
        <v>10</v>
      </c>
      <c r="E864" s="2" t="s">
        <v>11</v>
      </c>
      <c r="F864" s="2" t="s">
        <v>379</v>
      </c>
      <c r="G864" s="2" t="s">
        <v>1202</v>
      </c>
      <c r="H864" s="2" t="s">
        <v>1203</v>
      </c>
      <c r="I864" s="2" t="s">
        <v>1204</v>
      </c>
    </row>
    <row r="865" spans="1:9" ht="14.5" x14ac:dyDescent="0.35">
      <c r="A865" s="2">
        <v>2529415</v>
      </c>
      <c r="B865" s="2" t="str">
        <f>"3403100809760001"</f>
        <v>3403100809760001</v>
      </c>
      <c r="C865" s="2" t="s">
        <v>1201</v>
      </c>
      <c r="D865" s="2" t="s">
        <v>17</v>
      </c>
      <c r="E865" s="2" t="s">
        <v>11</v>
      </c>
      <c r="F865" s="2" t="s">
        <v>18</v>
      </c>
      <c r="G865" s="2" t="s">
        <v>19</v>
      </c>
      <c r="H865" s="2" t="s">
        <v>906</v>
      </c>
      <c r="I865" s="2" t="s">
        <v>966</v>
      </c>
    </row>
    <row r="866" spans="1:9" ht="14.5" x14ac:dyDescent="0.35">
      <c r="A866" s="2">
        <v>1594987</v>
      </c>
      <c r="B866" s="2" t="str">
        <f>"3404071111810012"</f>
        <v>3404071111810012</v>
      </c>
      <c r="C866" s="2" t="s">
        <v>1205</v>
      </c>
      <c r="D866" s="2" t="s">
        <v>10</v>
      </c>
      <c r="E866" s="2" t="s">
        <v>11</v>
      </c>
      <c r="F866" s="2" t="s">
        <v>18</v>
      </c>
      <c r="G866" s="2" t="s">
        <v>19</v>
      </c>
      <c r="H866" s="2" t="s">
        <v>906</v>
      </c>
      <c r="I866" s="2" t="s">
        <v>978</v>
      </c>
    </row>
    <row r="867" spans="1:9" ht="14.5" x14ac:dyDescent="0.35">
      <c r="A867" s="2">
        <v>865540</v>
      </c>
      <c r="B867" s="2" t="str">
        <f>"3404071111810012"</f>
        <v>3404071111810012</v>
      </c>
      <c r="C867" s="2" t="s">
        <v>1205</v>
      </c>
      <c r="D867" s="2" t="s">
        <v>17</v>
      </c>
      <c r="E867" s="2" t="s">
        <v>11</v>
      </c>
      <c r="F867" s="2" t="s">
        <v>379</v>
      </c>
      <c r="G867" s="2" t="s">
        <v>1206</v>
      </c>
      <c r="H867" s="2" t="s">
        <v>1207</v>
      </c>
      <c r="I867" s="2" t="s">
        <v>1208</v>
      </c>
    </row>
    <row r="868" spans="1:9" ht="14.5" x14ac:dyDescent="0.35">
      <c r="A868" s="2">
        <v>1590036</v>
      </c>
      <c r="B868" s="2" t="str">
        <f>"3602071604970001"</f>
        <v>3602071604970001</v>
      </c>
      <c r="C868" s="2" t="s">
        <v>1209</v>
      </c>
      <c r="D868" s="2" t="s">
        <v>10</v>
      </c>
      <c r="E868" s="2" t="s">
        <v>11</v>
      </c>
      <c r="F868" s="2" t="s">
        <v>18</v>
      </c>
      <c r="G868" s="2" t="s">
        <v>19</v>
      </c>
      <c r="H868" s="2" t="s">
        <v>906</v>
      </c>
      <c r="I868" s="2" t="s">
        <v>929</v>
      </c>
    </row>
    <row r="869" spans="1:9" ht="14.5" x14ac:dyDescent="0.35">
      <c r="A869" s="2">
        <v>2121117</v>
      </c>
      <c r="B869" s="2" t="str">
        <f>"3602071604970001"</f>
        <v>3602071604970001</v>
      </c>
      <c r="C869" s="2" t="s">
        <v>1210</v>
      </c>
      <c r="D869" s="2" t="s">
        <v>17</v>
      </c>
      <c r="E869" s="2" t="s">
        <v>11</v>
      </c>
      <c r="F869" s="2" t="s">
        <v>67</v>
      </c>
      <c r="G869" s="2" t="s">
        <v>638</v>
      </c>
      <c r="H869" s="2" t="s">
        <v>1211</v>
      </c>
      <c r="I869" s="2" t="s">
        <v>1212</v>
      </c>
    </row>
    <row r="870" spans="1:9" ht="14.5" x14ac:dyDescent="0.35">
      <c r="A870" s="2">
        <v>2785567</v>
      </c>
      <c r="B870" s="2" t="str">
        <f>"3671032707930003"</f>
        <v>3671032707930003</v>
      </c>
      <c r="C870" s="2" t="s">
        <v>1213</v>
      </c>
      <c r="D870" s="2" t="s">
        <v>10</v>
      </c>
      <c r="E870" s="2" t="s">
        <v>11</v>
      </c>
      <c r="F870" s="2" t="s">
        <v>67</v>
      </c>
      <c r="G870" s="2" t="s">
        <v>512</v>
      </c>
      <c r="H870" s="2" t="s">
        <v>1214</v>
      </c>
      <c r="I870" s="2" t="s">
        <v>1215</v>
      </c>
    </row>
    <row r="871" spans="1:9" ht="14.5" x14ac:dyDescent="0.35">
      <c r="A871" s="2">
        <v>2528582</v>
      </c>
      <c r="B871" s="2" t="str">
        <f>"3671032707930003"</f>
        <v>3671032707930003</v>
      </c>
      <c r="C871" s="2" t="s">
        <v>1216</v>
      </c>
      <c r="D871" s="2" t="s">
        <v>17</v>
      </c>
      <c r="E871" s="2" t="s">
        <v>11</v>
      </c>
      <c r="F871" s="2" t="s">
        <v>18</v>
      </c>
      <c r="G871" s="2" t="s">
        <v>19</v>
      </c>
      <c r="H871" s="2" t="s">
        <v>906</v>
      </c>
      <c r="I871" s="2" t="s">
        <v>906</v>
      </c>
    </row>
    <row r="872" spans="1:9" ht="14.5" x14ac:dyDescent="0.35">
      <c r="A872" s="2">
        <v>494527</v>
      </c>
      <c r="B872" s="2" t="str">
        <f>"7314082707890001"</f>
        <v>7314082707890001</v>
      </c>
      <c r="C872" s="2" t="s">
        <v>1217</v>
      </c>
      <c r="D872" s="2" t="s">
        <v>17</v>
      </c>
      <c r="E872" s="2" t="s">
        <v>11</v>
      </c>
      <c r="F872" s="2" t="s">
        <v>954</v>
      </c>
      <c r="G872" s="2" t="s">
        <v>955</v>
      </c>
      <c r="H872" s="2" t="s">
        <v>1218</v>
      </c>
      <c r="I872" s="2" t="s">
        <v>1219</v>
      </c>
    </row>
    <row r="873" spans="1:9" ht="14.5" x14ac:dyDescent="0.35">
      <c r="A873" s="2">
        <v>2529354</v>
      </c>
      <c r="B873" s="2" t="str">
        <f>"7314082707890001"</f>
        <v>7314082707890001</v>
      </c>
      <c r="C873" s="2" t="s">
        <v>1220</v>
      </c>
      <c r="D873" s="2" t="s">
        <v>17</v>
      </c>
      <c r="E873" s="2" t="s">
        <v>11</v>
      </c>
      <c r="F873" s="2" t="s">
        <v>18</v>
      </c>
      <c r="G873" s="2" t="s">
        <v>19</v>
      </c>
      <c r="H873" s="2" t="s">
        <v>906</v>
      </c>
      <c r="I873" s="2" t="s">
        <v>927</v>
      </c>
    </row>
    <row r="874" spans="1:9" ht="14.5" x14ac:dyDescent="0.35">
      <c r="A874" s="2">
        <v>127261</v>
      </c>
      <c r="B874" s="2" t="str">
        <f>"7372024607980005"</f>
        <v>7372024607980005</v>
      </c>
      <c r="C874" s="2" t="s">
        <v>1221</v>
      </c>
      <c r="D874" s="2" t="s">
        <v>10</v>
      </c>
      <c r="E874" s="2" t="s">
        <v>11</v>
      </c>
      <c r="F874" s="2" t="s">
        <v>954</v>
      </c>
      <c r="G874" s="2" t="s">
        <v>1222</v>
      </c>
      <c r="H874" s="2" t="s">
        <v>1223</v>
      </c>
      <c r="I874" s="2" t="s">
        <v>1224</v>
      </c>
    </row>
    <row r="875" spans="1:9" ht="14.5" x14ac:dyDescent="0.35">
      <c r="A875" s="2">
        <v>2527484</v>
      </c>
      <c r="B875" s="2" t="str">
        <f>"7372024607980005"</f>
        <v>7372024607980005</v>
      </c>
      <c r="C875" s="2" t="s">
        <v>1221</v>
      </c>
      <c r="D875" s="2" t="s">
        <v>17</v>
      </c>
      <c r="E875" s="2" t="s">
        <v>11</v>
      </c>
      <c r="F875" s="2" t="s">
        <v>18</v>
      </c>
      <c r="G875" s="2" t="s">
        <v>19</v>
      </c>
      <c r="H875" s="2" t="s">
        <v>906</v>
      </c>
      <c r="I875" s="2" t="s">
        <v>959</v>
      </c>
    </row>
    <row r="876" spans="1:9" ht="14.5" x14ac:dyDescent="0.35">
      <c r="A876" s="2">
        <v>807398</v>
      </c>
      <c r="B876" s="2" t="str">
        <f>"1205016609940001"</f>
        <v>1205016609940001</v>
      </c>
      <c r="C876" s="2" t="s">
        <v>1225</v>
      </c>
      <c r="D876" s="2" t="s">
        <v>17</v>
      </c>
      <c r="E876" s="2" t="s">
        <v>11</v>
      </c>
      <c r="F876" s="2" t="s">
        <v>667</v>
      </c>
      <c r="G876" s="2" t="s">
        <v>1226</v>
      </c>
      <c r="H876" s="2" t="s">
        <v>1227</v>
      </c>
      <c r="I876" s="2" t="s">
        <v>1228</v>
      </c>
    </row>
    <row r="877" spans="1:9" ht="14.5" x14ac:dyDescent="0.35">
      <c r="A877" s="2">
        <v>2405439</v>
      </c>
      <c r="B877" s="2" t="str">
        <f>"1205016609940001"</f>
        <v>1205016609940001</v>
      </c>
      <c r="C877" s="2" t="s">
        <v>1229</v>
      </c>
      <c r="D877" s="2" t="s">
        <v>189</v>
      </c>
      <c r="E877" s="2" t="s">
        <v>11</v>
      </c>
      <c r="F877" s="2" t="s">
        <v>18</v>
      </c>
      <c r="G877" s="2" t="s">
        <v>19</v>
      </c>
      <c r="H877" s="2" t="s">
        <v>745</v>
      </c>
      <c r="I877" s="2" t="s">
        <v>1230</v>
      </c>
    </row>
    <row r="878" spans="1:9" ht="14.5" x14ac:dyDescent="0.35">
      <c r="A878" s="2">
        <v>679977</v>
      </c>
      <c r="B878" s="2" t="str">
        <f>"1371012009780009"</f>
        <v>1371012009780009</v>
      </c>
      <c r="C878" s="2" t="s">
        <v>1231</v>
      </c>
      <c r="D878" s="2" t="s">
        <v>10</v>
      </c>
      <c r="E878" s="2" t="s">
        <v>11</v>
      </c>
      <c r="F878" s="2" t="s">
        <v>12</v>
      </c>
      <c r="G878" s="2" t="s">
        <v>1232</v>
      </c>
      <c r="H878" s="2" t="s">
        <v>1233</v>
      </c>
      <c r="I878" s="2" t="s">
        <v>1234</v>
      </c>
    </row>
    <row r="879" spans="1:9" ht="14.5" x14ac:dyDescent="0.35">
      <c r="A879" s="2">
        <v>2531641</v>
      </c>
      <c r="B879" s="2" t="str">
        <f>"1371012009780009"</f>
        <v>1371012009780009</v>
      </c>
      <c r="C879" s="2" t="s">
        <v>1231</v>
      </c>
      <c r="D879" s="2" t="s">
        <v>17</v>
      </c>
      <c r="E879" s="2" t="s">
        <v>11</v>
      </c>
      <c r="F879" s="2" t="s">
        <v>18</v>
      </c>
      <c r="G879" s="2" t="s">
        <v>19</v>
      </c>
      <c r="H879" s="2" t="s">
        <v>745</v>
      </c>
      <c r="I879" s="2" t="s">
        <v>1235</v>
      </c>
    </row>
    <row r="880" spans="1:9" ht="14.5" x14ac:dyDescent="0.35">
      <c r="A880" s="2">
        <v>679978</v>
      </c>
      <c r="B880" s="2" t="str">
        <f>"1371014505860014"</f>
        <v>1371014505860014</v>
      </c>
      <c r="C880" s="2" t="s">
        <v>1236</v>
      </c>
      <c r="D880" s="2" t="s">
        <v>10</v>
      </c>
      <c r="E880" s="2" t="s">
        <v>11</v>
      </c>
      <c r="F880" s="2" t="s">
        <v>12</v>
      </c>
      <c r="G880" s="2" t="s">
        <v>1232</v>
      </c>
      <c r="H880" s="2" t="s">
        <v>1233</v>
      </c>
      <c r="I880" s="2" t="s">
        <v>1234</v>
      </c>
    </row>
    <row r="881" spans="1:9" ht="14.5" x14ac:dyDescent="0.35">
      <c r="A881" s="2">
        <v>2531640</v>
      </c>
      <c r="B881" s="2" t="str">
        <f>"1371014505860014"</f>
        <v>1371014505860014</v>
      </c>
      <c r="C881" s="2" t="s">
        <v>1236</v>
      </c>
      <c r="D881" s="2" t="s">
        <v>17</v>
      </c>
      <c r="E881" s="2" t="s">
        <v>11</v>
      </c>
      <c r="F881" s="2" t="s">
        <v>18</v>
      </c>
      <c r="G881" s="2" t="s">
        <v>19</v>
      </c>
      <c r="H881" s="2" t="s">
        <v>745</v>
      </c>
      <c r="I881" s="2" t="s">
        <v>1235</v>
      </c>
    </row>
    <row r="882" spans="1:9" ht="14.5" x14ac:dyDescent="0.35">
      <c r="A882" s="2">
        <v>568326</v>
      </c>
      <c r="B882" s="2" t="str">
        <f>"1371061008810001"</f>
        <v>1371061008810001</v>
      </c>
      <c r="C882" s="2" t="s">
        <v>1237</v>
      </c>
      <c r="D882" s="2" t="s">
        <v>10</v>
      </c>
      <c r="E882" s="2" t="s">
        <v>11</v>
      </c>
      <c r="F882" s="2" t="s">
        <v>12</v>
      </c>
      <c r="G882" s="2" t="s">
        <v>1232</v>
      </c>
      <c r="H882" s="2" t="s">
        <v>1238</v>
      </c>
      <c r="I882" s="2" t="s">
        <v>1239</v>
      </c>
    </row>
    <row r="883" spans="1:9" ht="14.5" x14ac:dyDescent="0.35">
      <c r="A883" s="2">
        <v>2531668</v>
      </c>
      <c r="B883" s="2" t="str">
        <f>"1371061008810001"</f>
        <v>1371061008810001</v>
      </c>
      <c r="C883" s="2" t="s">
        <v>1240</v>
      </c>
      <c r="D883" s="2" t="s">
        <v>17</v>
      </c>
      <c r="E883" s="2" t="s">
        <v>11</v>
      </c>
      <c r="F883" s="2" t="s">
        <v>18</v>
      </c>
      <c r="G883" s="2" t="s">
        <v>19</v>
      </c>
      <c r="H883" s="2" t="s">
        <v>745</v>
      </c>
      <c r="I883" s="2" t="s">
        <v>1235</v>
      </c>
    </row>
    <row r="884" spans="1:9" ht="14.5" x14ac:dyDescent="0.35">
      <c r="A884" s="2">
        <v>566664</v>
      </c>
      <c r="B884" s="2" t="str">
        <f>"1371062107720007"</f>
        <v>1371062107720007</v>
      </c>
      <c r="C884" s="2" t="s">
        <v>1241</v>
      </c>
      <c r="D884" s="2" t="s">
        <v>10</v>
      </c>
      <c r="E884" s="2" t="s">
        <v>11</v>
      </c>
      <c r="F884" s="2" t="s">
        <v>12</v>
      </c>
      <c r="G884" s="2" t="s">
        <v>1232</v>
      </c>
      <c r="H884" s="2" t="s">
        <v>1238</v>
      </c>
      <c r="I884" s="2" t="s">
        <v>1239</v>
      </c>
    </row>
    <row r="885" spans="1:9" ht="14.5" x14ac:dyDescent="0.35">
      <c r="A885" s="2">
        <v>2531676</v>
      </c>
      <c r="B885" s="2" t="str">
        <f>"1371062107720007"</f>
        <v>1371062107720007</v>
      </c>
      <c r="C885" s="2" t="s">
        <v>1241</v>
      </c>
      <c r="D885" s="2" t="s">
        <v>17</v>
      </c>
      <c r="E885" s="2" t="s">
        <v>11</v>
      </c>
      <c r="F885" s="2" t="s">
        <v>18</v>
      </c>
      <c r="G885" s="2" t="s">
        <v>19</v>
      </c>
      <c r="H885" s="2" t="s">
        <v>745</v>
      </c>
      <c r="I885" s="2" t="s">
        <v>1235</v>
      </c>
    </row>
    <row r="886" spans="1:9" ht="14.5" x14ac:dyDescent="0.35">
      <c r="A886" s="2">
        <v>577697</v>
      </c>
      <c r="B886" s="2" t="str">
        <f>"1371064807000007"</f>
        <v>1371064807000007</v>
      </c>
      <c r="C886" s="2" t="s">
        <v>1242</v>
      </c>
      <c r="D886" s="2" t="s">
        <v>10</v>
      </c>
      <c r="E886" s="2" t="s">
        <v>11</v>
      </c>
      <c r="F886" s="2" t="s">
        <v>12</v>
      </c>
      <c r="G886" s="2" t="s">
        <v>1232</v>
      </c>
      <c r="H886" s="2" t="s">
        <v>1238</v>
      </c>
      <c r="I886" s="2" t="s">
        <v>1243</v>
      </c>
    </row>
    <row r="887" spans="1:9" ht="14.5" x14ac:dyDescent="0.35">
      <c r="A887" s="2">
        <v>2531664</v>
      </c>
      <c r="B887" s="2" t="str">
        <f>"1371064807000007"</f>
        <v>1371064807000007</v>
      </c>
      <c r="C887" s="2" t="s">
        <v>1244</v>
      </c>
      <c r="D887" s="2" t="s">
        <v>17</v>
      </c>
      <c r="E887" s="2" t="s">
        <v>11</v>
      </c>
      <c r="F887" s="2" t="s">
        <v>18</v>
      </c>
      <c r="G887" s="2" t="s">
        <v>19</v>
      </c>
      <c r="H887" s="2" t="s">
        <v>745</v>
      </c>
      <c r="I887" s="2" t="s">
        <v>1235</v>
      </c>
    </row>
    <row r="888" spans="1:9" ht="14.5" x14ac:dyDescent="0.35">
      <c r="A888" s="2">
        <v>568328</v>
      </c>
      <c r="B888" s="2" t="str">
        <f>"1371065310870001"</f>
        <v>1371065310870001</v>
      </c>
      <c r="C888" s="2" t="s">
        <v>1245</v>
      </c>
      <c r="D888" s="2" t="s">
        <v>10</v>
      </c>
      <c r="E888" s="2" t="s">
        <v>11</v>
      </c>
      <c r="F888" s="2" t="s">
        <v>12</v>
      </c>
      <c r="G888" s="2" t="s">
        <v>1232</v>
      </c>
      <c r="H888" s="2" t="s">
        <v>1238</v>
      </c>
      <c r="I888" s="2" t="s">
        <v>1239</v>
      </c>
    </row>
    <row r="889" spans="1:9" ht="14.5" x14ac:dyDescent="0.35">
      <c r="A889" s="2">
        <v>2531669</v>
      </c>
      <c r="B889" s="2" t="str">
        <f>"1371065310870001"</f>
        <v>1371065310870001</v>
      </c>
      <c r="C889" s="2" t="s">
        <v>1246</v>
      </c>
      <c r="D889" s="2" t="s">
        <v>17</v>
      </c>
      <c r="E889" s="2" t="s">
        <v>11</v>
      </c>
      <c r="F889" s="2" t="s">
        <v>18</v>
      </c>
      <c r="G889" s="2" t="s">
        <v>19</v>
      </c>
      <c r="H889" s="2" t="s">
        <v>745</v>
      </c>
      <c r="I889" s="2" t="s">
        <v>1235</v>
      </c>
    </row>
    <row r="890" spans="1:9" ht="14.5" x14ac:dyDescent="0.35">
      <c r="A890" s="2">
        <v>566662</v>
      </c>
      <c r="B890" s="2" t="str">
        <f>"1371065907750001"</f>
        <v>1371065907750001</v>
      </c>
      <c r="C890" s="2" t="s">
        <v>1247</v>
      </c>
      <c r="D890" s="2" t="s">
        <v>10</v>
      </c>
      <c r="E890" s="2" t="s">
        <v>11</v>
      </c>
      <c r="F890" s="2" t="s">
        <v>12</v>
      </c>
      <c r="G890" s="2" t="s">
        <v>1232</v>
      </c>
      <c r="H890" s="2" t="s">
        <v>1238</v>
      </c>
      <c r="I890" s="2" t="s">
        <v>1239</v>
      </c>
    </row>
    <row r="891" spans="1:9" ht="14.5" x14ac:dyDescent="0.35">
      <c r="A891" s="2">
        <v>2531677</v>
      </c>
      <c r="B891" s="2" t="str">
        <f>"1371065907750001"</f>
        <v>1371065907750001</v>
      </c>
      <c r="C891" s="2" t="s">
        <v>1247</v>
      </c>
      <c r="D891" s="2" t="s">
        <v>17</v>
      </c>
      <c r="E891" s="2" t="s">
        <v>11</v>
      </c>
      <c r="F891" s="2" t="s">
        <v>18</v>
      </c>
      <c r="G891" s="2" t="s">
        <v>19</v>
      </c>
      <c r="H891" s="2" t="s">
        <v>745</v>
      </c>
      <c r="I891" s="2" t="s">
        <v>1235</v>
      </c>
    </row>
    <row r="892" spans="1:9" ht="14.5" x14ac:dyDescent="0.35">
      <c r="A892" s="2">
        <v>701307</v>
      </c>
      <c r="B892" s="2" t="str">
        <f>"3171031902050003"</f>
        <v>3171031902050003</v>
      </c>
      <c r="C892" s="2" t="s">
        <v>1248</v>
      </c>
      <c r="D892" s="2" t="s">
        <v>10</v>
      </c>
      <c r="E892" s="2" t="s">
        <v>11</v>
      </c>
      <c r="F892" s="2" t="s">
        <v>50</v>
      </c>
      <c r="G892" s="2" t="s">
        <v>280</v>
      </c>
      <c r="H892" s="2" t="s">
        <v>402</v>
      </c>
      <c r="I892" s="2" t="s">
        <v>1249</v>
      </c>
    </row>
    <row r="893" spans="1:9" ht="14.5" x14ac:dyDescent="0.35">
      <c r="A893" s="2">
        <v>2534135</v>
      </c>
      <c r="B893" s="2" t="str">
        <f>"3171031902050003"</f>
        <v>3171031902050003</v>
      </c>
      <c r="C893" s="2" t="s">
        <v>1250</v>
      </c>
      <c r="D893" s="2" t="s">
        <v>17</v>
      </c>
      <c r="E893" s="2" t="s">
        <v>11</v>
      </c>
      <c r="F893" s="2" t="s">
        <v>18</v>
      </c>
      <c r="G893" s="2" t="s">
        <v>19</v>
      </c>
      <c r="H893" s="2" t="s">
        <v>745</v>
      </c>
      <c r="I893" s="2" t="s">
        <v>1230</v>
      </c>
    </row>
    <row r="894" spans="1:9" ht="14.5" x14ac:dyDescent="0.35">
      <c r="A894" s="2">
        <v>701463</v>
      </c>
      <c r="B894" s="2" t="str">
        <f>"3171032905720005"</f>
        <v>3171032905720005</v>
      </c>
      <c r="C894" s="2" t="s">
        <v>1251</v>
      </c>
      <c r="D894" s="2" t="s">
        <v>10</v>
      </c>
      <c r="E894" s="2" t="s">
        <v>11</v>
      </c>
      <c r="F894" s="2" t="s">
        <v>50</v>
      </c>
      <c r="G894" s="2" t="s">
        <v>280</v>
      </c>
      <c r="H894" s="2" t="s">
        <v>402</v>
      </c>
      <c r="I894" s="2" t="s">
        <v>1249</v>
      </c>
    </row>
    <row r="895" spans="1:9" ht="14.5" x14ac:dyDescent="0.35">
      <c r="A895" s="2">
        <v>2534138</v>
      </c>
      <c r="B895" s="2" t="str">
        <f>"3171032905720005"</f>
        <v>3171032905720005</v>
      </c>
      <c r="C895" s="2" t="s">
        <v>1252</v>
      </c>
      <c r="D895" s="2" t="s">
        <v>17</v>
      </c>
      <c r="E895" s="2" t="s">
        <v>11</v>
      </c>
      <c r="F895" s="2" t="s">
        <v>18</v>
      </c>
      <c r="G895" s="2" t="s">
        <v>19</v>
      </c>
      <c r="H895" s="2" t="s">
        <v>745</v>
      </c>
      <c r="I895" s="2" t="s">
        <v>1230</v>
      </c>
    </row>
    <row r="896" spans="1:9" ht="14.5" x14ac:dyDescent="0.35">
      <c r="A896" s="2">
        <v>701462</v>
      </c>
      <c r="B896" s="2" t="str">
        <f>"3171036911830001"</f>
        <v>3171036911830001</v>
      </c>
      <c r="C896" s="2" t="s">
        <v>1253</v>
      </c>
      <c r="D896" s="2" t="s">
        <v>10</v>
      </c>
      <c r="E896" s="2" t="s">
        <v>11</v>
      </c>
      <c r="F896" s="2" t="s">
        <v>50</v>
      </c>
      <c r="G896" s="2" t="s">
        <v>280</v>
      </c>
      <c r="H896" s="2" t="s">
        <v>402</v>
      </c>
      <c r="I896" s="2" t="s">
        <v>1249</v>
      </c>
    </row>
    <row r="897" spans="1:9" ht="14.5" x14ac:dyDescent="0.35">
      <c r="A897" s="2">
        <v>2534139</v>
      </c>
      <c r="B897" s="2" t="str">
        <f>"3171036911830001"</f>
        <v>3171036911830001</v>
      </c>
      <c r="C897" s="2" t="s">
        <v>1254</v>
      </c>
      <c r="D897" s="2" t="s">
        <v>17</v>
      </c>
      <c r="E897" s="2" t="s">
        <v>11</v>
      </c>
      <c r="F897" s="2" t="s">
        <v>18</v>
      </c>
      <c r="G897" s="2" t="s">
        <v>19</v>
      </c>
      <c r="H897" s="2" t="s">
        <v>745</v>
      </c>
      <c r="I897" s="2" t="s">
        <v>1230</v>
      </c>
    </row>
    <row r="898" spans="1:9" ht="14.5" x14ac:dyDescent="0.35">
      <c r="A898" s="2">
        <v>426541</v>
      </c>
      <c r="B898" s="2" t="str">
        <f>"3171070712860001"</f>
        <v>3171070712860001</v>
      </c>
      <c r="C898" s="2" t="s">
        <v>1255</v>
      </c>
      <c r="D898" s="2" t="s">
        <v>10</v>
      </c>
      <c r="E898" s="2" t="s">
        <v>11</v>
      </c>
      <c r="F898" s="2" t="s">
        <v>50</v>
      </c>
      <c r="G898" s="2" t="s">
        <v>280</v>
      </c>
      <c r="H898" s="2" t="s">
        <v>281</v>
      </c>
      <c r="I898" s="2" t="s">
        <v>1256</v>
      </c>
    </row>
    <row r="899" spans="1:9" ht="14.5" x14ac:dyDescent="0.35">
      <c r="A899" s="2">
        <v>2530249</v>
      </c>
      <c r="B899" s="2" t="str">
        <f>"3171070712860001"</f>
        <v>3171070712860001</v>
      </c>
      <c r="C899" s="2" t="s">
        <v>1255</v>
      </c>
      <c r="D899" s="2" t="s">
        <v>17</v>
      </c>
      <c r="E899" s="2" t="s">
        <v>11</v>
      </c>
      <c r="F899" s="2" t="s">
        <v>18</v>
      </c>
      <c r="G899" s="2" t="s">
        <v>19</v>
      </c>
      <c r="H899" s="2" t="s">
        <v>745</v>
      </c>
      <c r="I899" s="2" t="s">
        <v>1257</v>
      </c>
    </row>
    <row r="900" spans="1:9" ht="14.5" x14ac:dyDescent="0.35">
      <c r="A900" s="2">
        <v>55087</v>
      </c>
      <c r="B900" s="2" t="str">
        <f>"3171071301830001"</f>
        <v>3171071301830001</v>
      </c>
      <c r="C900" s="2" t="s">
        <v>1258</v>
      </c>
      <c r="D900" s="2" t="s">
        <v>10</v>
      </c>
      <c r="E900" s="2" t="s">
        <v>11</v>
      </c>
      <c r="F900" s="2" t="s">
        <v>50</v>
      </c>
      <c r="G900" s="2" t="s">
        <v>72</v>
      </c>
      <c r="H900" s="2" t="s">
        <v>703</v>
      </c>
      <c r="I900" s="2" t="s">
        <v>1259</v>
      </c>
    </row>
    <row r="901" spans="1:9" ht="14.5" x14ac:dyDescent="0.35">
      <c r="A901" s="2">
        <v>2530194</v>
      </c>
      <c r="B901" s="2" t="str">
        <f>"3171071301830001"</f>
        <v>3171071301830001</v>
      </c>
      <c r="C901" s="2" t="s">
        <v>1260</v>
      </c>
      <c r="D901" s="2" t="s">
        <v>17</v>
      </c>
      <c r="E901" s="2" t="s">
        <v>11</v>
      </c>
      <c r="F901" s="2" t="s">
        <v>18</v>
      </c>
      <c r="G901" s="2" t="s">
        <v>19</v>
      </c>
      <c r="H901" s="2" t="s">
        <v>745</v>
      </c>
      <c r="I901" s="2" t="s">
        <v>1257</v>
      </c>
    </row>
    <row r="902" spans="1:9" ht="14.5" x14ac:dyDescent="0.35">
      <c r="A902" s="2">
        <v>1084426</v>
      </c>
      <c r="B902" s="2" t="str">
        <f>"3172010607790001"</f>
        <v>3172010607790001</v>
      </c>
      <c r="C902" s="2" t="s">
        <v>1261</v>
      </c>
      <c r="D902" s="2" t="s">
        <v>10</v>
      </c>
      <c r="E902" s="2" t="s">
        <v>11</v>
      </c>
      <c r="F902" s="2" t="s">
        <v>50</v>
      </c>
      <c r="G902" s="2" t="s">
        <v>51</v>
      </c>
      <c r="H902" s="2" t="s">
        <v>52</v>
      </c>
      <c r="I902" s="2" t="s">
        <v>52</v>
      </c>
    </row>
    <row r="903" spans="1:9" ht="14.5" x14ac:dyDescent="0.35">
      <c r="A903" s="2">
        <v>2531779</v>
      </c>
      <c r="B903" s="2" t="str">
        <f>"3172010607790001"</f>
        <v>3172010607790001</v>
      </c>
      <c r="C903" s="2" t="s">
        <v>1261</v>
      </c>
      <c r="D903" s="2" t="s">
        <v>17</v>
      </c>
      <c r="E903" s="2" t="s">
        <v>11</v>
      </c>
      <c r="F903" s="2" t="s">
        <v>18</v>
      </c>
      <c r="G903" s="2" t="s">
        <v>19</v>
      </c>
      <c r="H903" s="2" t="s">
        <v>745</v>
      </c>
      <c r="I903" s="2" t="s">
        <v>1262</v>
      </c>
    </row>
    <row r="904" spans="1:9" ht="14.5" x14ac:dyDescent="0.35">
      <c r="A904" s="2">
        <v>1075217</v>
      </c>
      <c r="B904" s="2" t="str">
        <f>"3172012704910009"</f>
        <v>3172012704910009</v>
      </c>
      <c r="C904" s="2" t="s">
        <v>1263</v>
      </c>
      <c r="D904" s="2" t="s">
        <v>10</v>
      </c>
      <c r="E904" s="2" t="s">
        <v>11</v>
      </c>
      <c r="F904" s="2" t="s">
        <v>50</v>
      </c>
      <c r="G904" s="2" t="s">
        <v>51</v>
      </c>
      <c r="H904" s="2" t="s">
        <v>52</v>
      </c>
      <c r="I904" s="2" t="s">
        <v>52</v>
      </c>
    </row>
    <row r="905" spans="1:9" ht="14.5" x14ac:dyDescent="0.35">
      <c r="A905" s="2">
        <v>2533663</v>
      </c>
      <c r="B905" s="2" t="str">
        <f>"3172012704910009"</f>
        <v>3172012704910009</v>
      </c>
      <c r="C905" s="2" t="s">
        <v>1263</v>
      </c>
      <c r="D905" s="2" t="s">
        <v>17</v>
      </c>
      <c r="E905" s="2" t="s">
        <v>11</v>
      </c>
      <c r="F905" s="2" t="s">
        <v>18</v>
      </c>
      <c r="G905" s="2" t="s">
        <v>19</v>
      </c>
      <c r="H905" s="2" t="s">
        <v>745</v>
      </c>
      <c r="I905" s="2" t="s">
        <v>1264</v>
      </c>
    </row>
    <row r="906" spans="1:9" ht="14.5" x14ac:dyDescent="0.35">
      <c r="A906" s="2">
        <v>875062</v>
      </c>
      <c r="B906" s="2" t="str">
        <f>"3172050207900004"</f>
        <v>3172050207900004</v>
      </c>
      <c r="C906" s="2" t="s">
        <v>1265</v>
      </c>
      <c r="D906" s="2" t="s">
        <v>10</v>
      </c>
      <c r="E906" s="2" t="s">
        <v>11</v>
      </c>
      <c r="F906" s="2" t="s">
        <v>50</v>
      </c>
      <c r="G906" s="2" t="s">
        <v>51</v>
      </c>
      <c r="H906" s="2" t="s">
        <v>922</v>
      </c>
      <c r="I906" s="2" t="s">
        <v>923</v>
      </c>
    </row>
    <row r="907" spans="1:9" ht="14.5" x14ac:dyDescent="0.35">
      <c r="A907" s="2">
        <v>2532448</v>
      </c>
      <c r="B907" s="2" t="str">
        <f>"3172050207900004"</f>
        <v>3172050207900004</v>
      </c>
      <c r="C907" s="2" t="s">
        <v>1265</v>
      </c>
      <c r="D907" s="2" t="s">
        <v>17</v>
      </c>
      <c r="E907" s="2" t="s">
        <v>11</v>
      </c>
      <c r="F907" s="2" t="s">
        <v>18</v>
      </c>
      <c r="G907" s="2" t="s">
        <v>19</v>
      </c>
      <c r="H907" s="2" t="s">
        <v>745</v>
      </c>
      <c r="I907" s="2" t="s">
        <v>1266</v>
      </c>
    </row>
    <row r="908" spans="1:9" ht="14.5" x14ac:dyDescent="0.35">
      <c r="A908" s="2">
        <v>1888636</v>
      </c>
      <c r="B908" s="2" t="str">
        <f>"3173011509810015"</f>
        <v>3173011509810015</v>
      </c>
      <c r="C908" s="2" t="s">
        <v>1267</v>
      </c>
      <c r="D908" s="2" t="s">
        <v>10</v>
      </c>
      <c r="E908" s="2" t="s">
        <v>11</v>
      </c>
      <c r="F908" s="2" t="s">
        <v>50</v>
      </c>
      <c r="G908" s="2" t="s">
        <v>86</v>
      </c>
      <c r="H908" s="2" t="s">
        <v>1268</v>
      </c>
      <c r="I908" s="2" t="s">
        <v>1269</v>
      </c>
    </row>
    <row r="909" spans="1:9" ht="14.5" x14ac:dyDescent="0.35">
      <c r="A909" s="2">
        <v>2533796</v>
      </c>
      <c r="B909" s="2" t="str">
        <f>"3173011509810015"</f>
        <v>3173011509810015</v>
      </c>
      <c r="C909" s="2" t="s">
        <v>1267</v>
      </c>
      <c r="D909" s="2" t="s">
        <v>17</v>
      </c>
      <c r="E909" s="2" t="s">
        <v>11</v>
      </c>
      <c r="F909" s="2" t="s">
        <v>18</v>
      </c>
      <c r="G909" s="2" t="s">
        <v>19</v>
      </c>
      <c r="H909" s="2" t="s">
        <v>745</v>
      </c>
      <c r="I909" s="2" t="s">
        <v>1264</v>
      </c>
    </row>
    <row r="910" spans="1:9" ht="14.5" x14ac:dyDescent="0.35">
      <c r="A910" s="2">
        <v>443433</v>
      </c>
      <c r="B910" s="2" t="str">
        <f>"3173041008860008"</f>
        <v>3173041008860008</v>
      </c>
      <c r="C910" s="2" t="s">
        <v>1270</v>
      </c>
      <c r="D910" s="2" t="s">
        <v>10</v>
      </c>
      <c r="E910" s="2" t="s">
        <v>11</v>
      </c>
      <c r="F910" s="2" t="s">
        <v>18</v>
      </c>
      <c r="G910" s="2" t="s">
        <v>1271</v>
      </c>
      <c r="H910" s="2" t="s">
        <v>1272</v>
      </c>
      <c r="I910" s="2" t="s">
        <v>1273</v>
      </c>
    </row>
    <row r="911" spans="1:9" ht="14.5" x14ac:dyDescent="0.35">
      <c r="A911" s="2">
        <v>2532395</v>
      </c>
      <c r="B911" s="2" t="str">
        <f>"3173041008860008"</f>
        <v>3173041008860008</v>
      </c>
      <c r="C911" s="2" t="s">
        <v>1270</v>
      </c>
      <c r="D911" s="2" t="s">
        <v>17</v>
      </c>
      <c r="E911" s="2" t="s">
        <v>11</v>
      </c>
      <c r="F911" s="2" t="s">
        <v>18</v>
      </c>
      <c r="G911" s="2" t="s">
        <v>19</v>
      </c>
      <c r="H911" s="2" t="s">
        <v>745</v>
      </c>
      <c r="I911" s="2" t="s">
        <v>1274</v>
      </c>
    </row>
    <row r="912" spans="1:9" ht="14.5" x14ac:dyDescent="0.35">
      <c r="A912" s="2">
        <v>2533664</v>
      </c>
      <c r="B912" s="2" t="str">
        <f>"3173055311000001"</f>
        <v>3173055311000001</v>
      </c>
      <c r="C912" s="2" t="s">
        <v>1275</v>
      </c>
      <c r="D912" s="2" t="s">
        <v>17</v>
      </c>
      <c r="E912" s="2" t="s">
        <v>11</v>
      </c>
      <c r="F912" s="2" t="s">
        <v>18</v>
      </c>
      <c r="G912" s="2" t="s">
        <v>19</v>
      </c>
      <c r="H912" s="2" t="s">
        <v>745</v>
      </c>
      <c r="I912" s="2" t="s">
        <v>1264</v>
      </c>
    </row>
    <row r="913" spans="1:9" ht="14.5" x14ac:dyDescent="0.35">
      <c r="A913" s="2">
        <v>246225</v>
      </c>
      <c r="B913" s="2" t="str">
        <f>"3173055311000001"</f>
        <v>3173055311000001</v>
      </c>
      <c r="C913" s="2" t="s">
        <v>1275</v>
      </c>
      <c r="D913" s="2" t="s">
        <v>189</v>
      </c>
      <c r="E913" s="2" t="s">
        <v>11</v>
      </c>
      <c r="F913" s="2" t="s">
        <v>18</v>
      </c>
      <c r="G913" s="2" t="s">
        <v>268</v>
      </c>
      <c r="H913" s="2" t="s">
        <v>371</v>
      </c>
      <c r="I913" s="2" t="s">
        <v>497</v>
      </c>
    </row>
    <row r="914" spans="1:9" ht="14.5" x14ac:dyDescent="0.35">
      <c r="A914" s="2">
        <v>987825</v>
      </c>
      <c r="B914" s="2" t="str">
        <f>"3173064706820025"</f>
        <v>3173064706820025</v>
      </c>
      <c r="C914" s="2" t="s">
        <v>1276</v>
      </c>
      <c r="D914" s="2" t="s">
        <v>10</v>
      </c>
      <c r="E914" s="2" t="s">
        <v>11</v>
      </c>
      <c r="F914" s="2" t="s">
        <v>50</v>
      </c>
      <c r="G914" s="2" t="s">
        <v>86</v>
      </c>
      <c r="H914" s="2" t="s">
        <v>87</v>
      </c>
      <c r="I914" s="2" t="s">
        <v>88</v>
      </c>
    </row>
    <row r="915" spans="1:9" ht="14.5" x14ac:dyDescent="0.35">
      <c r="A915" s="2">
        <v>2534022</v>
      </c>
      <c r="B915" s="2" t="str">
        <f>"3173064706820025"</f>
        <v>3173064706820025</v>
      </c>
      <c r="C915" s="2" t="s">
        <v>1276</v>
      </c>
      <c r="D915" s="2" t="s">
        <v>17</v>
      </c>
      <c r="E915" s="2" t="s">
        <v>11</v>
      </c>
      <c r="F915" s="2" t="s">
        <v>18</v>
      </c>
      <c r="G915" s="2" t="s">
        <v>19</v>
      </c>
      <c r="H915" s="2" t="s">
        <v>745</v>
      </c>
      <c r="I915" s="2" t="s">
        <v>1277</v>
      </c>
    </row>
    <row r="916" spans="1:9" ht="14.5" x14ac:dyDescent="0.35">
      <c r="A916" s="2">
        <v>924666</v>
      </c>
      <c r="B916" s="2" t="str">
        <f>"3174021512011001"</f>
        <v>3174021512011001</v>
      </c>
      <c r="C916" s="2" t="s">
        <v>1278</v>
      </c>
      <c r="D916" s="2" t="s">
        <v>10</v>
      </c>
      <c r="E916" s="2" t="s">
        <v>11</v>
      </c>
      <c r="F916" s="2" t="s">
        <v>50</v>
      </c>
      <c r="G916" s="2" t="s">
        <v>72</v>
      </c>
      <c r="H916" s="2" t="s">
        <v>703</v>
      </c>
      <c r="I916" s="2" t="s">
        <v>1061</v>
      </c>
    </row>
    <row r="917" spans="1:9" ht="14.5" x14ac:dyDescent="0.35">
      <c r="A917" s="2">
        <v>2530921</v>
      </c>
      <c r="B917" s="2" t="str">
        <f>"3174021512011001"</f>
        <v>3174021512011001</v>
      </c>
      <c r="C917" s="2" t="s">
        <v>1278</v>
      </c>
      <c r="D917" s="2" t="s">
        <v>17</v>
      </c>
      <c r="E917" s="2" t="s">
        <v>11</v>
      </c>
      <c r="F917" s="2" t="s">
        <v>18</v>
      </c>
      <c r="G917" s="2" t="s">
        <v>19</v>
      </c>
      <c r="H917" s="2" t="s">
        <v>745</v>
      </c>
      <c r="I917" s="2" t="s">
        <v>352</v>
      </c>
    </row>
    <row r="918" spans="1:9" ht="14.5" x14ac:dyDescent="0.35">
      <c r="A918" s="2">
        <v>924665</v>
      </c>
      <c r="B918" s="2" t="str">
        <f>"3174024806680003"</f>
        <v>3174024806680003</v>
      </c>
      <c r="C918" s="2" t="s">
        <v>1279</v>
      </c>
      <c r="D918" s="2" t="s">
        <v>10</v>
      </c>
      <c r="E918" s="2" t="s">
        <v>11</v>
      </c>
      <c r="F918" s="2" t="s">
        <v>50</v>
      </c>
      <c r="G918" s="2" t="s">
        <v>72</v>
      </c>
      <c r="H918" s="2" t="s">
        <v>703</v>
      </c>
      <c r="I918" s="2" t="s">
        <v>1061</v>
      </c>
    </row>
    <row r="919" spans="1:9" ht="14.5" x14ac:dyDescent="0.35">
      <c r="A919" s="2">
        <v>2530924</v>
      </c>
      <c r="B919" s="2" t="str">
        <f>"3174024806680003"</f>
        <v>3174024806680003</v>
      </c>
      <c r="C919" s="2" t="s">
        <v>1279</v>
      </c>
      <c r="D919" s="2" t="s">
        <v>17</v>
      </c>
      <c r="E919" s="2" t="s">
        <v>11</v>
      </c>
      <c r="F919" s="2" t="s">
        <v>18</v>
      </c>
      <c r="G919" s="2" t="s">
        <v>19</v>
      </c>
      <c r="H919" s="2" t="s">
        <v>745</v>
      </c>
      <c r="I919" s="2" t="s">
        <v>352</v>
      </c>
    </row>
    <row r="920" spans="1:9" ht="14.5" x14ac:dyDescent="0.35">
      <c r="A920" s="2">
        <v>516298</v>
      </c>
      <c r="B920" s="2" t="str">
        <f>"3174073011410003"</f>
        <v>3174073011410003</v>
      </c>
      <c r="C920" s="2" t="s">
        <v>1280</v>
      </c>
      <c r="D920" s="2" t="s">
        <v>10</v>
      </c>
      <c r="E920" s="2" t="s">
        <v>11</v>
      </c>
      <c r="F920" s="2" t="s">
        <v>50</v>
      </c>
      <c r="G920" s="2" t="s">
        <v>72</v>
      </c>
      <c r="H920" s="2" t="s">
        <v>628</v>
      </c>
      <c r="I920" s="2" t="s">
        <v>1281</v>
      </c>
    </row>
    <row r="921" spans="1:9" ht="14.5" x14ac:dyDescent="0.35">
      <c r="A921" s="2">
        <v>2530901</v>
      </c>
      <c r="B921" s="2" t="str">
        <f>"3174073011410003"</f>
        <v>3174073011410003</v>
      </c>
      <c r="C921" s="2" t="s">
        <v>1280</v>
      </c>
      <c r="D921" s="2" t="s">
        <v>17</v>
      </c>
      <c r="E921" s="2" t="s">
        <v>11</v>
      </c>
      <c r="F921" s="2" t="s">
        <v>18</v>
      </c>
      <c r="G921" s="2" t="s">
        <v>19</v>
      </c>
      <c r="H921" s="2" t="s">
        <v>745</v>
      </c>
      <c r="I921" s="2" t="s">
        <v>352</v>
      </c>
    </row>
    <row r="922" spans="1:9" ht="14.5" x14ac:dyDescent="0.35">
      <c r="A922" s="2">
        <v>863732</v>
      </c>
      <c r="B922" s="2" t="str">
        <f>"3175011010760009"</f>
        <v>3175011010760009</v>
      </c>
      <c r="C922" s="2" t="s">
        <v>1282</v>
      </c>
      <c r="D922" s="2" t="s">
        <v>10</v>
      </c>
      <c r="E922" s="2" t="s">
        <v>11</v>
      </c>
      <c r="F922" s="2" t="s">
        <v>50</v>
      </c>
      <c r="G922" s="2" t="s">
        <v>58</v>
      </c>
      <c r="H922" s="2" t="s">
        <v>1283</v>
      </c>
      <c r="I922" s="2" t="s">
        <v>1284</v>
      </c>
    </row>
    <row r="923" spans="1:9" ht="14.5" x14ac:dyDescent="0.35">
      <c r="A923" s="2">
        <v>2533665</v>
      </c>
      <c r="B923" s="2" t="str">
        <f>"3175011010760009"</f>
        <v>3175011010760009</v>
      </c>
      <c r="C923" s="2" t="s">
        <v>1282</v>
      </c>
      <c r="D923" s="2" t="s">
        <v>17</v>
      </c>
      <c r="E923" s="2" t="s">
        <v>11</v>
      </c>
      <c r="F923" s="2" t="s">
        <v>18</v>
      </c>
      <c r="G923" s="2" t="s">
        <v>19</v>
      </c>
      <c r="H923" s="2" t="s">
        <v>745</v>
      </c>
      <c r="I923" s="2" t="s">
        <v>1264</v>
      </c>
    </row>
    <row r="924" spans="1:9" ht="14.5" x14ac:dyDescent="0.35">
      <c r="A924" s="2">
        <v>2371742</v>
      </c>
      <c r="B924" s="2" t="str">
        <f>"3175054606861002"</f>
        <v>3175054606861002</v>
      </c>
      <c r="C924" s="2" t="s">
        <v>1285</v>
      </c>
      <c r="D924" s="2" t="s">
        <v>10</v>
      </c>
      <c r="E924" s="2" t="s">
        <v>11</v>
      </c>
      <c r="F924" s="2" t="s">
        <v>18</v>
      </c>
      <c r="G924" s="2" t="s">
        <v>19</v>
      </c>
      <c r="H924" s="2" t="s">
        <v>745</v>
      </c>
      <c r="I924" s="2" t="s">
        <v>746</v>
      </c>
    </row>
    <row r="925" spans="1:9" ht="14.5" x14ac:dyDescent="0.35">
      <c r="A925" s="2">
        <v>1352168</v>
      </c>
      <c r="B925" s="2" t="str">
        <f>"3175054606861002"</f>
        <v>3175054606861002</v>
      </c>
      <c r="C925" s="2" t="s">
        <v>1286</v>
      </c>
      <c r="D925" s="2" t="s">
        <v>10</v>
      </c>
      <c r="E925" s="2" t="s">
        <v>57</v>
      </c>
      <c r="F925" s="2" t="s">
        <v>303</v>
      </c>
      <c r="G925" s="2" t="s">
        <v>608</v>
      </c>
      <c r="H925" s="2" t="s">
        <v>609</v>
      </c>
      <c r="I925" s="2" t="s">
        <v>610</v>
      </c>
    </row>
    <row r="926" spans="1:9" ht="14.5" x14ac:dyDescent="0.35">
      <c r="A926" s="2">
        <v>617234</v>
      </c>
      <c r="B926" s="2" t="str">
        <f>"3175060510760021"</f>
        <v>3175060510760021</v>
      </c>
      <c r="C926" s="2" t="s">
        <v>1287</v>
      </c>
      <c r="D926" s="2" t="s">
        <v>10</v>
      </c>
      <c r="E926" s="2" t="s">
        <v>11</v>
      </c>
      <c r="F926" s="2" t="s">
        <v>91</v>
      </c>
      <c r="G926" s="2" t="s">
        <v>159</v>
      </c>
      <c r="H926" s="2" t="s">
        <v>1288</v>
      </c>
      <c r="I926" s="2" t="s">
        <v>1289</v>
      </c>
    </row>
    <row r="927" spans="1:9" ht="14.5" x14ac:dyDescent="0.35">
      <c r="A927" s="2">
        <v>2534013</v>
      </c>
      <c r="B927" s="2" t="str">
        <f>"3175060510760021"</f>
        <v>3175060510760021</v>
      </c>
      <c r="C927" s="2" t="s">
        <v>1287</v>
      </c>
      <c r="D927" s="2" t="s">
        <v>17</v>
      </c>
      <c r="E927" s="2" t="s">
        <v>11</v>
      </c>
      <c r="F927" s="2" t="s">
        <v>18</v>
      </c>
      <c r="G927" s="2" t="s">
        <v>19</v>
      </c>
      <c r="H927" s="2" t="s">
        <v>745</v>
      </c>
      <c r="I927" s="2" t="s">
        <v>1277</v>
      </c>
    </row>
    <row r="928" spans="1:9" ht="14.5" x14ac:dyDescent="0.35">
      <c r="A928" s="2">
        <v>1613407</v>
      </c>
      <c r="B928" s="2" t="str">
        <f>"3175071708760017"</f>
        <v>3175071708760017</v>
      </c>
      <c r="C928" s="2" t="s">
        <v>1290</v>
      </c>
      <c r="D928" s="2" t="s">
        <v>10</v>
      </c>
      <c r="E928" s="2" t="s">
        <v>11</v>
      </c>
      <c r="F928" s="2" t="s">
        <v>50</v>
      </c>
      <c r="G928" s="2" t="s">
        <v>58</v>
      </c>
      <c r="H928" s="2" t="s">
        <v>1283</v>
      </c>
      <c r="I928" s="2" t="s">
        <v>1291</v>
      </c>
    </row>
    <row r="929" spans="1:9" ht="14.5" x14ac:dyDescent="0.35">
      <c r="A929" s="2">
        <v>2573426</v>
      </c>
      <c r="B929" s="2" t="str">
        <f>"3175071708760017"</f>
        <v>3175071708760017</v>
      </c>
      <c r="C929" s="2" t="s">
        <v>1292</v>
      </c>
      <c r="D929" s="2" t="s">
        <v>17</v>
      </c>
      <c r="E929" s="2" t="s">
        <v>11</v>
      </c>
      <c r="F929" s="2" t="s">
        <v>18</v>
      </c>
      <c r="G929" s="2" t="s">
        <v>19</v>
      </c>
      <c r="H929" s="2" t="s">
        <v>745</v>
      </c>
      <c r="I929" s="2" t="s">
        <v>746</v>
      </c>
    </row>
    <row r="930" spans="1:9" ht="14.5" x14ac:dyDescent="0.35">
      <c r="A930" s="2">
        <v>540259</v>
      </c>
      <c r="B930" s="2" t="str">
        <f>"3175105704850002"</f>
        <v>3175105704850002</v>
      </c>
      <c r="C930" s="2" t="s">
        <v>421</v>
      </c>
      <c r="D930" s="2" t="s">
        <v>10</v>
      </c>
      <c r="E930" s="2" t="s">
        <v>11</v>
      </c>
      <c r="F930" s="2" t="s">
        <v>50</v>
      </c>
      <c r="G930" s="2" t="s">
        <v>58</v>
      </c>
      <c r="H930" s="2" t="s">
        <v>316</v>
      </c>
      <c r="I930" s="2" t="s">
        <v>1293</v>
      </c>
    </row>
    <row r="931" spans="1:9" ht="14.5" x14ac:dyDescent="0.35">
      <c r="A931" s="2">
        <v>2530923</v>
      </c>
      <c r="B931" s="2" t="str">
        <f>"3175105704850002"</f>
        <v>3175105704850002</v>
      </c>
      <c r="C931" s="2" t="s">
        <v>421</v>
      </c>
      <c r="D931" s="2" t="s">
        <v>17</v>
      </c>
      <c r="E931" s="2" t="s">
        <v>11</v>
      </c>
      <c r="F931" s="2" t="s">
        <v>18</v>
      </c>
      <c r="G931" s="2" t="s">
        <v>19</v>
      </c>
      <c r="H931" s="2" t="s">
        <v>745</v>
      </c>
      <c r="I931" s="2" t="s">
        <v>352</v>
      </c>
    </row>
    <row r="932" spans="1:9" ht="14.5" x14ac:dyDescent="0.35">
      <c r="A932" s="2">
        <v>4467147</v>
      </c>
      <c r="B932" s="2" t="str">
        <f>"3205380404760001"</f>
        <v>3205380404760001</v>
      </c>
      <c r="C932" s="2" t="s">
        <v>1294</v>
      </c>
      <c r="D932" s="2" t="s">
        <v>10</v>
      </c>
      <c r="E932" s="2" t="s">
        <v>11</v>
      </c>
      <c r="F932" s="2" t="s">
        <v>91</v>
      </c>
      <c r="G932" s="2" t="s">
        <v>1295</v>
      </c>
      <c r="H932" s="2" t="s">
        <v>1296</v>
      </c>
      <c r="I932" s="2" t="s">
        <v>1297</v>
      </c>
    </row>
    <row r="933" spans="1:9" ht="14.5" x14ac:dyDescent="0.35">
      <c r="A933" s="2">
        <v>2530580</v>
      </c>
      <c r="B933" s="2" t="str">
        <f>"3205380404760001"</f>
        <v>3205380404760001</v>
      </c>
      <c r="C933" s="2" t="s">
        <v>1294</v>
      </c>
      <c r="D933" s="2" t="s">
        <v>17</v>
      </c>
      <c r="E933" s="2" t="s">
        <v>11</v>
      </c>
      <c r="F933" s="2" t="s">
        <v>18</v>
      </c>
      <c r="G933" s="2" t="s">
        <v>19</v>
      </c>
      <c r="H933" s="2" t="s">
        <v>745</v>
      </c>
      <c r="I933" s="2" t="s">
        <v>1298</v>
      </c>
    </row>
    <row r="934" spans="1:9" ht="14.5" x14ac:dyDescent="0.35">
      <c r="A934" s="2">
        <v>488818</v>
      </c>
      <c r="B934" s="2" t="str">
        <f>"3206230605670001"</f>
        <v>3206230605670001</v>
      </c>
      <c r="C934" s="2" t="s">
        <v>1299</v>
      </c>
      <c r="D934" s="2" t="s">
        <v>10</v>
      </c>
      <c r="E934" s="2" t="s">
        <v>11</v>
      </c>
      <c r="F934" s="2" t="s">
        <v>91</v>
      </c>
      <c r="G934" s="2" t="s">
        <v>1300</v>
      </c>
      <c r="H934" s="2" t="s">
        <v>1301</v>
      </c>
      <c r="I934" s="2" t="s">
        <v>1302</v>
      </c>
    </row>
    <row r="935" spans="1:9" ht="14.5" x14ac:dyDescent="0.35">
      <c r="A935" s="2">
        <v>2533353</v>
      </c>
      <c r="B935" s="2" t="str">
        <f>"3206230605670001"</f>
        <v>3206230605670001</v>
      </c>
      <c r="C935" s="2" t="s">
        <v>1299</v>
      </c>
      <c r="D935" s="2" t="s">
        <v>17</v>
      </c>
      <c r="E935" s="2" t="s">
        <v>11</v>
      </c>
      <c r="F935" s="2" t="s">
        <v>18</v>
      </c>
      <c r="G935" s="2" t="s">
        <v>19</v>
      </c>
      <c r="H935" s="2" t="s">
        <v>745</v>
      </c>
      <c r="I935" s="2" t="s">
        <v>1303</v>
      </c>
    </row>
    <row r="936" spans="1:9" ht="14.5" x14ac:dyDescent="0.35">
      <c r="A936" s="2">
        <v>783535</v>
      </c>
      <c r="B936" s="2" t="str">
        <f>"3209065704940005"</f>
        <v>3209065704940005</v>
      </c>
      <c r="C936" s="2" t="s">
        <v>1304</v>
      </c>
      <c r="D936" s="2" t="s">
        <v>10</v>
      </c>
      <c r="E936" s="2" t="s">
        <v>11</v>
      </c>
      <c r="F936" s="2" t="s">
        <v>91</v>
      </c>
      <c r="G936" s="2" t="s">
        <v>903</v>
      </c>
      <c r="H936" s="2" t="s">
        <v>316</v>
      </c>
      <c r="I936" s="2" t="s">
        <v>1305</v>
      </c>
    </row>
    <row r="937" spans="1:9" ht="14.5" x14ac:dyDescent="0.35">
      <c r="A937" s="2">
        <v>2531600</v>
      </c>
      <c r="B937" s="2" t="str">
        <f>"3209065704940005"</f>
        <v>3209065704940005</v>
      </c>
      <c r="C937" s="2" t="s">
        <v>1304</v>
      </c>
      <c r="D937" s="2" t="s">
        <v>17</v>
      </c>
      <c r="E937" s="2" t="s">
        <v>11</v>
      </c>
      <c r="F937" s="2" t="s">
        <v>18</v>
      </c>
      <c r="G937" s="2" t="s">
        <v>19</v>
      </c>
      <c r="H937" s="2" t="s">
        <v>745</v>
      </c>
      <c r="I937" s="2" t="s">
        <v>1306</v>
      </c>
    </row>
    <row r="938" spans="1:9" ht="14.5" x14ac:dyDescent="0.35">
      <c r="A938" s="2">
        <v>1494862</v>
      </c>
      <c r="B938" s="2" t="str">
        <f>"3209195607000009"</f>
        <v>3209195607000009</v>
      </c>
      <c r="C938" s="2" t="s">
        <v>1307</v>
      </c>
      <c r="D938" s="2" t="s">
        <v>10</v>
      </c>
      <c r="E938" s="2" t="s">
        <v>11</v>
      </c>
      <c r="F938" s="2" t="s">
        <v>91</v>
      </c>
      <c r="G938" s="2" t="s">
        <v>985</v>
      </c>
      <c r="H938" s="2" t="s">
        <v>1308</v>
      </c>
      <c r="I938" s="2" t="s">
        <v>1309</v>
      </c>
    </row>
    <row r="939" spans="1:9" ht="14.5" x14ac:dyDescent="0.35">
      <c r="A939" s="2">
        <v>2532581</v>
      </c>
      <c r="B939" s="2" t="str">
        <f>"3209195607000009"</f>
        <v>3209195607000009</v>
      </c>
      <c r="C939" s="2" t="s">
        <v>1307</v>
      </c>
      <c r="D939" s="2" t="s">
        <v>17</v>
      </c>
      <c r="E939" s="2" t="s">
        <v>11</v>
      </c>
      <c r="F939" s="2" t="s">
        <v>18</v>
      </c>
      <c r="G939" s="2" t="s">
        <v>19</v>
      </c>
      <c r="H939" s="2" t="s">
        <v>745</v>
      </c>
      <c r="I939" s="2" t="s">
        <v>1266</v>
      </c>
    </row>
    <row r="940" spans="1:9" ht="14.5" x14ac:dyDescent="0.35">
      <c r="A940" s="2">
        <v>682106</v>
      </c>
      <c r="B940" s="2" t="str">
        <f>"3214120602670001"</f>
        <v>3214120602670001</v>
      </c>
      <c r="C940" s="2" t="s">
        <v>1310</v>
      </c>
      <c r="D940" s="2" t="s">
        <v>10</v>
      </c>
      <c r="E940" s="2" t="s">
        <v>11</v>
      </c>
      <c r="F940" s="2" t="s">
        <v>91</v>
      </c>
      <c r="G940" s="2" t="s">
        <v>119</v>
      </c>
      <c r="H940" s="2" t="s">
        <v>1311</v>
      </c>
      <c r="I940" s="2" t="s">
        <v>1312</v>
      </c>
    </row>
    <row r="941" spans="1:9" ht="14.5" x14ac:dyDescent="0.35">
      <c r="A941" s="2">
        <v>2533328</v>
      </c>
      <c r="B941" s="2" t="str">
        <f>"3214120602670001"</f>
        <v>3214120602670001</v>
      </c>
      <c r="C941" s="2" t="s">
        <v>1310</v>
      </c>
      <c r="D941" s="2" t="s">
        <v>17</v>
      </c>
      <c r="E941" s="2" t="s">
        <v>11</v>
      </c>
      <c r="F941" s="2" t="s">
        <v>18</v>
      </c>
      <c r="G941" s="2" t="s">
        <v>19</v>
      </c>
      <c r="H941" s="2" t="s">
        <v>745</v>
      </c>
      <c r="I941" s="2" t="s">
        <v>1303</v>
      </c>
    </row>
    <row r="942" spans="1:9" ht="14.5" x14ac:dyDescent="0.35">
      <c r="A942" s="2">
        <v>2360492</v>
      </c>
      <c r="B942" s="2" t="str">
        <f>"3215024711010001"</f>
        <v>3215024711010001</v>
      </c>
      <c r="C942" s="2" t="s">
        <v>1313</v>
      </c>
      <c r="D942" s="2" t="s">
        <v>10</v>
      </c>
      <c r="E942" s="2" t="s">
        <v>11</v>
      </c>
      <c r="F942" s="2" t="s">
        <v>18</v>
      </c>
      <c r="G942" s="2" t="s">
        <v>19</v>
      </c>
      <c r="H942" s="2" t="s">
        <v>745</v>
      </c>
      <c r="I942" s="2" t="s">
        <v>1314</v>
      </c>
    </row>
    <row r="943" spans="1:9" ht="14.5" x14ac:dyDescent="0.35">
      <c r="A943" s="2">
        <v>1855195</v>
      </c>
      <c r="B943" s="2" t="str">
        <f>"3215024711010001"</f>
        <v>3215024711010001</v>
      </c>
      <c r="C943" s="2" t="s">
        <v>1315</v>
      </c>
      <c r="D943" s="2" t="s">
        <v>17</v>
      </c>
      <c r="E943" s="2" t="s">
        <v>11</v>
      </c>
      <c r="F943" s="2" t="s">
        <v>91</v>
      </c>
      <c r="G943" s="2" t="s">
        <v>320</v>
      </c>
      <c r="H943" s="2" t="s">
        <v>1316</v>
      </c>
      <c r="I943" s="2" t="s">
        <v>933</v>
      </c>
    </row>
    <row r="944" spans="1:9" ht="14.5" x14ac:dyDescent="0.35">
      <c r="A944" s="2">
        <v>2532051</v>
      </c>
      <c r="B944" s="2" t="str">
        <f>"3215216705000001"</f>
        <v>3215216705000001</v>
      </c>
      <c r="C944" s="2" t="s">
        <v>1317</v>
      </c>
      <c r="D944" s="2" t="s">
        <v>17</v>
      </c>
      <c r="E944" s="2" t="s">
        <v>11</v>
      </c>
      <c r="F944" s="2" t="s">
        <v>18</v>
      </c>
      <c r="G944" s="2" t="s">
        <v>19</v>
      </c>
      <c r="H944" s="2" t="s">
        <v>745</v>
      </c>
      <c r="I944" s="2" t="s">
        <v>1318</v>
      </c>
    </row>
    <row r="945" spans="1:9" ht="14.5" x14ac:dyDescent="0.35">
      <c r="A945" s="2">
        <v>919364</v>
      </c>
      <c r="B945" s="2" t="str">
        <f>"3215216705000001"</f>
        <v>3215216705000001</v>
      </c>
      <c r="C945" s="2" t="s">
        <v>1317</v>
      </c>
      <c r="D945" s="2" t="s">
        <v>189</v>
      </c>
      <c r="E945" s="2" t="s">
        <v>11</v>
      </c>
      <c r="F945" s="2" t="s">
        <v>91</v>
      </c>
      <c r="G945" s="2" t="s">
        <v>320</v>
      </c>
      <c r="H945" s="2" t="s">
        <v>1319</v>
      </c>
      <c r="I945" s="2" t="s">
        <v>1320</v>
      </c>
    </row>
    <row r="946" spans="1:9" ht="14.5" x14ac:dyDescent="0.35">
      <c r="A946" s="2">
        <v>1165245</v>
      </c>
      <c r="B946" s="2" t="str">
        <f>"3216196412890002"</f>
        <v>3216196412890002</v>
      </c>
      <c r="C946" s="2" t="s">
        <v>1321</v>
      </c>
      <c r="D946" s="2" t="s">
        <v>10</v>
      </c>
      <c r="E946" s="2" t="s">
        <v>11</v>
      </c>
      <c r="F946" s="2" t="s">
        <v>91</v>
      </c>
      <c r="G946" s="2" t="s">
        <v>92</v>
      </c>
      <c r="H946" s="2" t="s">
        <v>571</v>
      </c>
      <c r="I946" s="2" t="s">
        <v>1322</v>
      </c>
    </row>
    <row r="947" spans="1:9" ht="14.5" x14ac:dyDescent="0.35">
      <c r="A947" s="2">
        <v>2532283</v>
      </c>
      <c r="B947" s="2" t="str">
        <f>"3216196412890002"</f>
        <v>3216196412890002</v>
      </c>
      <c r="C947" s="2" t="s">
        <v>1321</v>
      </c>
      <c r="D947" s="2" t="s">
        <v>17</v>
      </c>
      <c r="E947" s="2" t="s">
        <v>11</v>
      </c>
      <c r="F947" s="2" t="s">
        <v>18</v>
      </c>
      <c r="G947" s="2" t="s">
        <v>19</v>
      </c>
      <c r="H947" s="2" t="s">
        <v>745</v>
      </c>
      <c r="I947" s="2" t="s">
        <v>1274</v>
      </c>
    </row>
    <row r="948" spans="1:9" ht="14.5" x14ac:dyDescent="0.35">
      <c r="A948" s="2">
        <v>1310416</v>
      </c>
      <c r="B948" s="2" t="str">
        <f>"3273140604650001"</f>
        <v>3273140604650001</v>
      </c>
      <c r="C948" s="2" t="s">
        <v>1323</v>
      </c>
      <c r="D948" s="2" t="s">
        <v>10</v>
      </c>
      <c r="E948" s="2" t="s">
        <v>11</v>
      </c>
      <c r="F948" s="2" t="s">
        <v>91</v>
      </c>
      <c r="G948" s="2" t="s">
        <v>149</v>
      </c>
      <c r="H948" s="2" t="s">
        <v>1324</v>
      </c>
      <c r="I948" s="2" t="s">
        <v>1325</v>
      </c>
    </row>
    <row r="949" spans="1:9" ht="14.5" x14ac:dyDescent="0.35">
      <c r="A949" s="2">
        <v>2532407</v>
      </c>
      <c r="B949" s="2" t="str">
        <f>"3273140604650001"</f>
        <v>3273140604650001</v>
      </c>
      <c r="C949" s="2" t="s">
        <v>1323</v>
      </c>
      <c r="D949" s="2" t="s">
        <v>17</v>
      </c>
      <c r="E949" s="2" t="s">
        <v>11</v>
      </c>
      <c r="F949" s="2" t="s">
        <v>18</v>
      </c>
      <c r="G949" s="2" t="s">
        <v>19</v>
      </c>
      <c r="H949" s="2" t="s">
        <v>745</v>
      </c>
      <c r="I949" s="2" t="s">
        <v>1274</v>
      </c>
    </row>
    <row r="950" spans="1:9" ht="14.5" x14ac:dyDescent="0.35">
      <c r="A950" s="2">
        <v>207654</v>
      </c>
      <c r="B950" s="2" t="str">
        <f>"3274042103800005"</f>
        <v>3274042103800005</v>
      </c>
      <c r="C950" s="2" t="s">
        <v>1326</v>
      </c>
      <c r="D950" s="2" t="s">
        <v>10</v>
      </c>
      <c r="E950" s="2" t="s">
        <v>11</v>
      </c>
      <c r="F950" s="2" t="s">
        <v>91</v>
      </c>
      <c r="G950" s="2" t="s">
        <v>155</v>
      </c>
      <c r="H950" s="2" t="s">
        <v>1327</v>
      </c>
      <c r="I950" s="2" t="s">
        <v>1327</v>
      </c>
    </row>
    <row r="951" spans="1:9" ht="14.5" x14ac:dyDescent="0.35">
      <c r="A951" s="2">
        <v>2532055</v>
      </c>
      <c r="B951" s="2" t="str">
        <f>"3274042103800005"</f>
        <v>3274042103800005</v>
      </c>
      <c r="C951" s="2" t="s">
        <v>1328</v>
      </c>
      <c r="D951" s="2" t="s">
        <v>17</v>
      </c>
      <c r="E951" s="2" t="s">
        <v>11</v>
      </c>
      <c r="F951" s="2" t="s">
        <v>18</v>
      </c>
      <c r="G951" s="2" t="s">
        <v>19</v>
      </c>
      <c r="H951" s="2" t="s">
        <v>745</v>
      </c>
      <c r="I951" s="2" t="s">
        <v>1318</v>
      </c>
    </row>
    <row r="952" spans="1:9" ht="14.5" x14ac:dyDescent="0.35">
      <c r="A952" s="2">
        <v>149342</v>
      </c>
      <c r="B952" s="2" t="str">
        <f>"3275017101840008"</f>
        <v>3275017101840008</v>
      </c>
      <c r="C952" s="2" t="s">
        <v>1329</v>
      </c>
      <c r="D952" s="2" t="s">
        <v>10</v>
      </c>
      <c r="E952" s="2" t="s">
        <v>11</v>
      </c>
      <c r="F952" s="2" t="s">
        <v>91</v>
      </c>
      <c r="G952" s="2" t="s">
        <v>159</v>
      </c>
      <c r="H952" s="2" t="s">
        <v>685</v>
      </c>
      <c r="I952" s="2" t="s">
        <v>686</v>
      </c>
    </row>
    <row r="953" spans="1:9" ht="14.5" x14ac:dyDescent="0.35">
      <c r="A953" s="2">
        <v>2534024</v>
      </c>
      <c r="B953" s="2" t="str">
        <f>"3275017101840008"</f>
        <v>3275017101840008</v>
      </c>
      <c r="C953" s="2" t="s">
        <v>1329</v>
      </c>
      <c r="D953" s="2" t="s">
        <v>17</v>
      </c>
      <c r="E953" s="2" t="s">
        <v>11</v>
      </c>
      <c r="F953" s="2" t="s">
        <v>18</v>
      </c>
      <c r="G953" s="2" t="s">
        <v>19</v>
      </c>
      <c r="H953" s="2" t="s">
        <v>745</v>
      </c>
      <c r="I953" s="2" t="s">
        <v>1277</v>
      </c>
    </row>
    <row r="954" spans="1:9" ht="14.5" x14ac:dyDescent="0.35">
      <c r="A954" s="2">
        <v>617238</v>
      </c>
      <c r="B954" s="2" t="str">
        <f>"3275022110740020"</f>
        <v>3275022110740020</v>
      </c>
      <c r="C954" s="2" t="s">
        <v>1330</v>
      </c>
      <c r="D954" s="2" t="s">
        <v>10</v>
      </c>
      <c r="E954" s="2" t="s">
        <v>11</v>
      </c>
      <c r="F954" s="2" t="s">
        <v>91</v>
      </c>
      <c r="G954" s="2" t="s">
        <v>159</v>
      </c>
      <c r="H954" s="2" t="s">
        <v>1288</v>
      </c>
      <c r="I954" s="2" t="s">
        <v>1289</v>
      </c>
    </row>
    <row r="955" spans="1:9" ht="14.5" x14ac:dyDescent="0.35">
      <c r="A955" s="2">
        <v>2534010</v>
      </c>
      <c r="B955" s="2" t="str">
        <f>"3275022110740020"</f>
        <v>3275022110740020</v>
      </c>
      <c r="C955" s="2" t="s">
        <v>1330</v>
      </c>
      <c r="D955" s="2" t="s">
        <v>17</v>
      </c>
      <c r="E955" s="2" t="s">
        <v>11</v>
      </c>
      <c r="F955" s="2" t="s">
        <v>18</v>
      </c>
      <c r="G955" s="2" t="s">
        <v>19</v>
      </c>
      <c r="H955" s="2" t="s">
        <v>745</v>
      </c>
      <c r="I955" s="2" t="s">
        <v>1277</v>
      </c>
    </row>
    <row r="956" spans="1:9" ht="14.5" x14ac:dyDescent="0.35">
      <c r="A956" s="2">
        <v>952924</v>
      </c>
      <c r="B956" s="2" t="str">
        <f>"3275045711630019"</f>
        <v>3275045711630019</v>
      </c>
      <c r="C956" s="2" t="s">
        <v>1331</v>
      </c>
      <c r="D956" s="2" t="s">
        <v>10</v>
      </c>
      <c r="E956" s="2" t="s">
        <v>11</v>
      </c>
      <c r="F956" s="2" t="s">
        <v>91</v>
      </c>
      <c r="G956" s="2" t="s">
        <v>159</v>
      </c>
      <c r="H956" s="2" t="s">
        <v>1332</v>
      </c>
      <c r="I956" s="2" t="s">
        <v>1333</v>
      </c>
    </row>
    <row r="957" spans="1:9" ht="14.5" x14ac:dyDescent="0.35">
      <c r="A957" s="2">
        <v>2530920</v>
      </c>
      <c r="B957" s="2" t="str">
        <f>"3275045711630019"</f>
        <v>3275045711630019</v>
      </c>
      <c r="C957" s="2" t="s">
        <v>1331</v>
      </c>
      <c r="D957" s="2" t="s">
        <v>17</v>
      </c>
      <c r="E957" s="2" t="s">
        <v>11</v>
      </c>
      <c r="F957" s="2" t="s">
        <v>18</v>
      </c>
      <c r="G957" s="2" t="s">
        <v>19</v>
      </c>
      <c r="H957" s="2" t="s">
        <v>745</v>
      </c>
      <c r="I957" s="2" t="s">
        <v>352</v>
      </c>
    </row>
    <row r="958" spans="1:9" ht="14.5" x14ac:dyDescent="0.35">
      <c r="A958" s="2">
        <v>1329005</v>
      </c>
      <c r="B958" s="2" t="str">
        <f>"3275054103030012"</f>
        <v>3275054103030012</v>
      </c>
      <c r="C958" s="2" t="s">
        <v>1334</v>
      </c>
      <c r="D958" s="2" t="s">
        <v>10</v>
      </c>
      <c r="E958" s="2" t="s">
        <v>11</v>
      </c>
      <c r="F958" s="2" t="s">
        <v>91</v>
      </c>
      <c r="G958" s="2" t="s">
        <v>159</v>
      </c>
      <c r="H958" s="2" t="s">
        <v>160</v>
      </c>
      <c r="I958" s="2" t="s">
        <v>161</v>
      </c>
    </row>
    <row r="959" spans="1:9" ht="14.5" x14ac:dyDescent="0.35">
      <c r="A959" s="2">
        <v>2532262</v>
      </c>
      <c r="B959" s="2" t="str">
        <f>"3275054103030012"</f>
        <v>3275054103030012</v>
      </c>
      <c r="C959" s="2" t="s">
        <v>1335</v>
      </c>
      <c r="D959" s="2" t="s">
        <v>17</v>
      </c>
      <c r="E959" s="2" t="s">
        <v>11</v>
      </c>
      <c r="F959" s="2" t="s">
        <v>18</v>
      </c>
      <c r="G959" s="2" t="s">
        <v>19</v>
      </c>
      <c r="H959" s="2" t="s">
        <v>745</v>
      </c>
      <c r="I959" s="2" t="s">
        <v>1274</v>
      </c>
    </row>
    <row r="960" spans="1:9" ht="14.5" x14ac:dyDescent="0.35">
      <c r="A960" s="2">
        <v>1035660</v>
      </c>
      <c r="B960" s="2" t="str">
        <f>"3275086303860032"</f>
        <v>3275086303860032</v>
      </c>
      <c r="C960" s="2" t="s">
        <v>1336</v>
      </c>
      <c r="D960" s="2" t="s">
        <v>10</v>
      </c>
      <c r="E960" s="2" t="s">
        <v>11</v>
      </c>
      <c r="F960" s="2" t="s">
        <v>91</v>
      </c>
      <c r="G960" s="2" t="s">
        <v>159</v>
      </c>
      <c r="H960" s="2" t="s">
        <v>1337</v>
      </c>
      <c r="I960" s="2" t="s">
        <v>1338</v>
      </c>
    </row>
    <row r="961" spans="1:9" ht="14.5" x14ac:dyDescent="0.35">
      <c r="A961" s="2">
        <v>2533610</v>
      </c>
      <c r="B961" s="2" t="str">
        <f>"3275086303860032"</f>
        <v>3275086303860032</v>
      </c>
      <c r="C961" s="2" t="s">
        <v>1336</v>
      </c>
      <c r="D961" s="2" t="s">
        <v>17</v>
      </c>
      <c r="E961" s="2" t="s">
        <v>11</v>
      </c>
      <c r="F961" s="2" t="s">
        <v>18</v>
      </c>
      <c r="G961" s="2" t="s">
        <v>19</v>
      </c>
      <c r="H961" s="2" t="s">
        <v>745</v>
      </c>
      <c r="I961" s="2" t="s">
        <v>1314</v>
      </c>
    </row>
    <row r="962" spans="1:9" ht="14.5" x14ac:dyDescent="0.35">
      <c r="A962" s="2">
        <v>2347644</v>
      </c>
      <c r="B962" s="2" t="str">
        <f>"3276040410880004"</f>
        <v>3276040410880004</v>
      </c>
      <c r="C962" s="2" t="s">
        <v>1339</v>
      </c>
      <c r="D962" s="2" t="s">
        <v>10</v>
      </c>
      <c r="E962" s="2" t="s">
        <v>11</v>
      </c>
      <c r="F962" s="2" t="s">
        <v>18</v>
      </c>
      <c r="G962" s="2" t="s">
        <v>19</v>
      </c>
      <c r="H962" s="2" t="s">
        <v>745</v>
      </c>
      <c r="I962" s="2" t="s">
        <v>1262</v>
      </c>
    </row>
    <row r="963" spans="1:9" ht="14.5" x14ac:dyDescent="0.35">
      <c r="A963" s="2">
        <v>2422580</v>
      </c>
      <c r="B963" s="2" t="str">
        <f>"3276040410880004"</f>
        <v>3276040410880004</v>
      </c>
      <c r="C963" s="2" t="s">
        <v>1340</v>
      </c>
      <c r="D963" s="2" t="s">
        <v>10</v>
      </c>
      <c r="E963" s="2" t="s">
        <v>57</v>
      </c>
      <c r="F963" s="2" t="s">
        <v>50</v>
      </c>
      <c r="G963" s="2" t="s">
        <v>58</v>
      </c>
      <c r="H963" s="2" t="s">
        <v>59</v>
      </c>
      <c r="I963" s="2" t="s">
        <v>60</v>
      </c>
    </row>
    <row r="964" spans="1:9" ht="14.5" x14ac:dyDescent="0.35">
      <c r="A964" s="2">
        <v>146807</v>
      </c>
      <c r="B964" s="2" t="str">
        <f>"3279034712360001"</f>
        <v>3279034712360001</v>
      </c>
      <c r="C964" s="2" t="s">
        <v>1341</v>
      </c>
      <c r="D964" s="2" t="s">
        <v>10</v>
      </c>
      <c r="E964" s="2" t="s">
        <v>11</v>
      </c>
      <c r="F964" s="2" t="s">
        <v>91</v>
      </c>
      <c r="G964" s="2" t="s">
        <v>1342</v>
      </c>
      <c r="H964" s="2" t="s">
        <v>1343</v>
      </c>
      <c r="I964" s="2" t="s">
        <v>1343</v>
      </c>
    </row>
    <row r="965" spans="1:9" ht="14.5" x14ac:dyDescent="0.35">
      <c r="A965" s="2">
        <v>2531761</v>
      </c>
      <c r="B965" s="2" t="str">
        <f>"3279034712360001"</f>
        <v>3279034712360001</v>
      </c>
      <c r="C965" s="2" t="s">
        <v>1341</v>
      </c>
      <c r="D965" s="2" t="s">
        <v>17</v>
      </c>
      <c r="E965" s="2" t="s">
        <v>11</v>
      </c>
      <c r="F965" s="2" t="s">
        <v>18</v>
      </c>
      <c r="G965" s="2" t="s">
        <v>19</v>
      </c>
      <c r="H965" s="2" t="s">
        <v>745</v>
      </c>
      <c r="I965" s="2" t="s">
        <v>1262</v>
      </c>
    </row>
    <row r="966" spans="1:9" ht="14.5" x14ac:dyDescent="0.35">
      <c r="A966" s="2">
        <v>2346201</v>
      </c>
      <c r="B966" s="2" t="str">
        <f>"3301051010990005"</f>
        <v>3301051010990005</v>
      </c>
      <c r="C966" s="2" t="s">
        <v>1344</v>
      </c>
      <c r="D966" s="2" t="s">
        <v>10</v>
      </c>
      <c r="E966" s="2" t="s">
        <v>11</v>
      </c>
      <c r="F966" s="2" t="s">
        <v>18</v>
      </c>
      <c r="G966" s="2" t="s">
        <v>19</v>
      </c>
      <c r="H966" s="2" t="s">
        <v>745</v>
      </c>
      <c r="I966" s="2" t="s">
        <v>1262</v>
      </c>
    </row>
    <row r="967" spans="1:9" ht="14.5" x14ac:dyDescent="0.35">
      <c r="A967" s="2">
        <v>3084953</v>
      </c>
      <c r="B967" s="2" t="str">
        <f>"3301051010990005"</f>
        <v>3301051010990005</v>
      </c>
      <c r="C967" s="2" t="s">
        <v>1344</v>
      </c>
      <c r="D967" s="2" t="s">
        <v>17</v>
      </c>
      <c r="E967" s="2" t="s">
        <v>11</v>
      </c>
      <c r="F967" s="2" t="s">
        <v>18</v>
      </c>
      <c r="G967" s="2" t="s">
        <v>163</v>
      </c>
      <c r="H967" s="2" t="s">
        <v>1345</v>
      </c>
      <c r="I967" s="2" t="s">
        <v>1346</v>
      </c>
    </row>
    <row r="968" spans="1:9" ht="14.5" x14ac:dyDescent="0.35">
      <c r="A968" s="2">
        <v>2273981</v>
      </c>
      <c r="B968" s="2" t="str">
        <f>"3303082105030003"</f>
        <v>3303082105030003</v>
      </c>
      <c r="C968" s="2" t="s">
        <v>1347</v>
      </c>
      <c r="D968" s="2" t="s">
        <v>189</v>
      </c>
      <c r="E968" s="2" t="s">
        <v>11</v>
      </c>
      <c r="F968" s="2" t="s">
        <v>18</v>
      </c>
      <c r="G968" s="2" t="s">
        <v>19</v>
      </c>
      <c r="H968" s="2" t="s">
        <v>745</v>
      </c>
      <c r="I968" s="2" t="s">
        <v>1348</v>
      </c>
    </row>
    <row r="969" spans="1:9" ht="14.5" x14ac:dyDescent="0.35">
      <c r="A969" s="2">
        <v>1585915</v>
      </c>
      <c r="B969" s="2" t="str">
        <f>"3303082105030003"</f>
        <v>3303082105030003</v>
      </c>
      <c r="C969" s="2" t="s">
        <v>1347</v>
      </c>
      <c r="D969" s="2" t="s">
        <v>17</v>
      </c>
      <c r="E969" s="2" t="s">
        <v>11</v>
      </c>
      <c r="F969" s="2" t="s">
        <v>18</v>
      </c>
      <c r="G969" s="2" t="s">
        <v>1349</v>
      </c>
      <c r="H969" s="2" t="s">
        <v>1350</v>
      </c>
      <c r="I969" s="2" t="s">
        <v>1351</v>
      </c>
    </row>
    <row r="970" spans="1:9" ht="14.5" x14ac:dyDescent="0.35">
      <c r="A970" s="2">
        <v>468337</v>
      </c>
      <c r="B970" s="2" t="str">
        <f>"3304112809870001"</f>
        <v>3304112809870001</v>
      </c>
      <c r="C970" s="2" t="s">
        <v>1352</v>
      </c>
      <c r="D970" s="2" t="s">
        <v>10</v>
      </c>
      <c r="E970" s="2" t="s">
        <v>11</v>
      </c>
      <c r="F970" s="2" t="s">
        <v>18</v>
      </c>
      <c r="G970" s="2" t="s">
        <v>951</v>
      </c>
      <c r="H970" s="2" t="s">
        <v>1353</v>
      </c>
      <c r="I970" s="2" t="s">
        <v>1353</v>
      </c>
    </row>
    <row r="971" spans="1:9" ht="14.5" x14ac:dyDescent="0.35">
      <c r="A971" s="2">
        <v>2573098</v>
      </c>
      <c r="B971" s="2" t="str">
        <f>"3304112809870001"</f>
        <v>3304112809870001</v>
      </c>
      <c r="C971" s="2" t="s">
        <v>1352</v>
      </c>
      <c r="D971" s="2" t="s">
        <v>17</v>
      </c>
      <c r="E971" s="2" t="s">
        <v>11</v>
      </c>
      <c r="F971" s="2" t="s">
        <v>18</v>
      </c>
      <c r="G971" s="2" t="s">
        <v>19</v>
      </c>
      <c r="H971" s="2" t="s">
        <v>745</v>
      </c>
      <c r="I971" s="2" t="s">
        <v>746</v>
      </c>
    </row>
    <row r="972" spans="1:9" ht="14.5" x14ac:dyDescent="0.35">
      <c r="A972" s="2">
        <v>1443843</v>
      </c>
      <c r="B972" s="2" t="str">
        <f>"3324033005910003"</f>
        <v>3324033005910003</v>
      </c>
      <c r="C972" s="2" t="s">
        <v>1354</v>
      </c>
      <c r="D972" s="2" t="s">
        <v>10</v>
      </c>
      <c r="E972" s="2" t="s">
        <v>11</v>
      </c>
      <c r="F972" s="2" t="s">
        <v>18</v>
      </c>
      <c r="G972" s="2" t="s">
        <v>184</v>
      </c>
      <c r="H972" s="2" t="s">
        <v>1355</v>
      </c>
      <c r="I972" s="2" t="s">
        <v>1356</v>
      </c>
    </row>
    <row r="973" spans="1:9" ht="14.5" x14ac:dyDescent="0.35">
      <c r="A973" s="2">
        <v>2531012</v>
      </c>
      <c r="B973" s="2" t="str">
        <f>"3324033005910003"</f>
        <v>3324033005910003</v>
      </c>
      <c r="C973" s="2" t="s">
        <v>1357</v>
      </c>
      <c r="D973" s="2" t="s">
        <v>17</v>
      </c>
      <c r="E973" s="2" t="s">
        <v>11</v>
      </c>
      <c r="F973" s="2" t="s">
        <v>18</v>
      </c>
      <c r="G973" s="2" t="s">
        <v>19</v>
      </c>
      <c r="H973" s="2" t="s">
        <v>745</v>
      </c>
      <c r="I973" s="2" t="s">
        <v>352</v>
      </c>
    </row>
    <row r="974" spans="1:9" ht="14.5" x14ac:dyDescent="0.35">
      <c r="A974" s="2">
        <v>1517752</v>
      </c>
      <c r="B974" s="2" t="str">
        <f>"3324082605920001"</f>
        <v>3324082605920001</v>
      </c>
      <c r="C974" s="2" t="s">
        <v>1358</v>
      </c>
      <c r="D974" s="2" t="s">
        <v>10</v>
      </c>
      <c r="E974" s="2" t="s">
        <v>11</v>
      </c>
      <c r="F974" s="2" t="s">
        <v>18</v>
      </c>
      <c r="G974" s="2" t="s">
        <v>184</v>
      </c>
      <c r="H974" s="2" t="s">
        <v>1266</v>
      </c>
      <c r="I974" s="2" t="s">
        <v>1359</v>
      </c>
    </row>
    <row r="975" spans="1:9" ht="14.5" x14ac:dyDescent="0.35">
      <c r="A975" s="2">
        <v>2531014</v>
      </c>
      <c r="B975" s="2" t="str">
        <f>"3324082605920001"</f>
        <v>3324082605920001</v>
      </c>
      <c r="C975" s="2" t="s">
        <v>1358</v>
      </c>
      <c r="D975" s="2" t="s">
        <v>17</v>
      </c>
      <c r="E975" s="2" t="s">
        <v>11</v>
      </c>
      <c r="F975" s="2" t="s">
        <v>18</v>
      </c>
      <c r="G975" s="2" t="s">
        <v>19</v>
      </c>
      <c r="H975" s="2" t="s">
        <v>745</v>
      </c>
      <c r="I975" s="2" t="s">
        <v>352</v>
      </c>
    </row>
    <row r="976" spans="1:9" ht="14.5" x14ac:dyDescent="0.35">
      <c r="A976" s="2">
        <v>2533720</v>
      </c>
      <c r="B976" s="2" t="str">
        <f>"3328032905050002"</f>
        <v>3328032905050002</v>
      </c>
      <c r="C976" s="2" t="s">
        <v>1360</v>
      </c>
      <c r="D976" s="2" t="s">
        <v>17</v>
      </c>
      <c r="E976" s="2" t="s">
        <v>11</v>
      </c>
      <c r="F976" s="2" t="s">
        <v>18</v>
      </c>
      <c r="G976" s="2" t="s">
        <v>19</v>
      </c>
      <c r="H976" s="2" t="s">
        <v>745</v>
      </c>
      <c r="I976" s="2" t="s">
        <v>1264</v>
      </c>
    </row>
    <row r="977" spans="1:9" ht="14.5" x14ac:dyDescent="0.35">
      <c r="A977" s="2">
        <v>1352877</v>
      </c>
      <c r="B977" s="2" t="str">
        <f>"3328032905050002"</f>
        <v>3328032905050002</v>
      </c>
      <c r="C977" s="2" t="s">
        <v>1361</v>
      </c>
      <c r="D977" s="2" t="s">
        <v>10</v>
      </c>
      <c r="E977" s="2" t="s">
        <v>57</v>
      </c>
      <c r="F977" s="2" t="s">
        <v>303</v>
      </c>
      <c r="G977" s="2" t="s">
        <v>608</v>
      </c>
      <c r="H977" s="2" t="s">
        <v>609</v>
      </c>
      <c r="I977" s="2" t="s">
        <v>610</v>
      </c>
    </row>
    <row r="978" spans="1:9" ht="14.5" x14ac:dyDescent="0.35">
      <c r="A978" s="2">
        <v>2295552</v>
      </c>
      <c r="B978" s="2" t="str">
        <f>"3328040103060003"</f>
        <v>3328040103060003</v>
      </c>
      <c r="C978" s="2" t="s">
        <v>1362</v>
      </c>
      <c r="D978" s="2" t="s">
        <v>10</v>
      </c>
      <c r="E978" s="2" t="s">
        <v>11</v>
      </c>
      <c r="F978" s="2" t="s">
        <v>18</v>
      </c>
      <c r="G978" s="2" t="s">
        <v>19</v>
      </c>
      <c r="H978" s="2" t="s">
        <v>745</v>
      </c>
      <c r="I978" s="2" t="s">
        <v>1264</v>
      </c>
    </row>
    <row r="979" spans="1:9" ht="14.5" x14ac:dyDescent="0.35">
      <c r="A979" s="2">
        <v>1351118</v>
      </c>
      <c r="B979" s="2" t="str">
        <f>"3328040103060003"</f>
        <v>3328040103060003</v>
      </c>
      <c r="C979" s="2" t="s">
        <v>1363</v>
      </c>
      <c r="D979" s="2" t="s">
        <v>10</v>
      </c>
      <c r="E979" s="2" t="s">
        <v>57</v>
      </c>
      <c r="F979" s="2" t="s">
        <v>303</v>
      </c>
      <c r="G979" s="2" t="s">
        <v>608</v>
      </c>
      <c r="H979" s="2" t="s">
        <v>609</v>
      </c>
      <c r="I979" s="2" t="s">
        <v>610</v>
      </c>
    </row>
    <row r="980" spans="1:9" ht="14.5" x14ac:dyDescent="0.35">
      <c r="A980" s="2">
        <v>343427</v>
      </c>
      <c r="B980" s="2" t="str">
        <f>"3328040107550015"</f>
        <v>3328040107550015</v>
      </c>
      <c r="C980" s="2" t="s">
        <v>1364</v>
      </c>
      <c r="D980" s="2" t="s">
        <v>10</v>
      </c>
      <c r="E980" s="2" t="s">
        <v>11</v>
      </c>
      <c r="F980" s="2" t="s">
        <v>91</v>
      </c>
      <c r="G980" s="2" t="s">
        <v>754</v>
      </c>
      <c r="H980" s="2" t="s">
        <v>1365</v>
      </c>
      <c r="I980" s="2" t="s">
        <v>1366</v>
      </c>
    </row>
    <row r="981" spans="1:9" ht="14.5" x14ac:dyDescent="0.35">
      <c r="A981" s="2">
        <v>2532362</v>
      </c>
      <c r="B981" s="2" t="str">
        <f>"3328040107550015"</f>
        <v>3328040107550015</v>
      </c>
      <c r="C981" s="2" t="s">
        <v>1364</v>
      </c>
      <c r="D981" s="2" t="s">
        <v>17</v>
      </c>
      <c r="E981" s="2" t="s">
        <v>11</v>
      </c>
      <c r="F981" s="2" t="s">
        <v>18</v>
      </c>
      <c r="G981" s="2" t="s">
        <v>19</v>
      </c>
      <c r="H981" s="2" t="s">
        <v>745</v>
      </c>
      <c r="I981" s="2" t="s">
        <v>1274</v>
      </c>
    </row>
    <row r="982" spans="1:9" ht="14.5" x14ac:dyDescent="0.35">
      <c r="A982" s="2">
        <v>196855</v>
      </c>
      <c r="B982" s="2" t="str">
        <f>"3328040107840123"</f>
        <v>3328040107840123</v>
      </c>
      <c r="C982" s="2" t="s">
        <v>1367</v>
      </c>
      <c r="D982" s="2" t="s">
        <v>10</v>
      </c>
      <c r="E982" s="2" t="s">
        <v>11</v>
      </c>
      <c r="F982" s="2" t="s">
        <v>50</v>
      </c>
      <c r="G982" s="2" t="s">
        <v>58</v>
      </c>
      <c r="H982" s="2" t="s">
        <v>59</v>
      </c>
      <c r="I982" s="2" t="s">
        <v>1368</v>
      </c>
    </row>
    <row r="983" spans="1:9" ht="14.5" x14ac:dyDescent="0.35">
      <c r="A983" s="2">
        <v>2530201</v>
      </c>
      <c r="B983" s="2" t="str">
        <f>"3328040107840123"</f>
        <v>3328040107840123</v>
      </c>
      <c r="C983" s="2" t="s">
        <v>1369</v>
      </c>
      <c r="D983" s="2" t="s">
        <v>17</v>
      </c>
      <c r="E983" s="2" t="s">
        <v>11</v>
      </c>
      <c r="F983" s="2" t="s">
        <v>18</v>
      </c>
      <c r="G983" s="2" t="s">
        <v>19</v>
      </c>
      <c r="H983" s="2" t="s">
        <v>745</v>
      </c>
      <c r="I983" s="2" t="s">
        <v>1257</v>
      </c>
    </row>
    <row r="984" spans="1:9" ht="14.5" x14ac:dyDescent="0.35">
      <c r="A984" s="2">
        <v>5249196</v>
      </c>
      <c r="B984" s="2" t="str">
        <f>"3328040107840201"</f>
        <v>3328040107840201</v>
      </c>
      <c r="C984" s="2" t="s">
        <v>1370</v>
      </c>
      <c r="D984" s="2" t="s">
        <v>10</v>
      </c>
      <c r="E984" s="2" t="s">
        <v>11</v>
      </c>
      <c r="F984" s="2" t="s">
        <v>91</v>
      </c>
      <c r="G984" s="2" t="s">
        <v>1295</v>
      </c>
      <c r="H984" s="2" t="s">
        <v>1371</v>
      </c>
      <c r="I984" s="2" t="s">
        <v>1372</v>
      </c>
    </row>
    <row r="985" spans="1:9" ht="14.5" x14ac:dyDescent="0.35">
      <c r="A985" s="2">
        <v>2530324</v>
      </c>
      <c r="B985" s="2" t="str">
        <f>"3328040107840201"</f>
        <v>3328040107840201</v>
      </c>
      <c r="C985" s="2" t="s">
        <v>1370</v>
      </c>
      <c r="D985" s="2" t="s">
        <v>17</v>
      </c>
      <c r="E985" s="2" t="s">
        <v>11</v>
      </c>
      <c r="F985" s="2" t="s">
        <v>18</v>
      </c>
      <c r="G985" s="2" t="s">
        <v>19</v>
      </c>
      <c r="H985" s="2" t="s">
        <v>745</v>
      </c>
      <c r="I985" s="2" t="s">
        <v>1257</v>
      </c>
    </row>
    <row r="986" spans="1:9" ht="14.5" x14ac:dyDescent="0.35">
      <c r="A986" s="2">
        <v>52613</v>
      </c>
      <c r="B986" s="2" t="str">
        <f>"3328040110010007"</f>
        <v>3328040110010007</v>
      </c>
      <c r="C986" s="2" t="s">
        <v>1373</v>
      </c>
      <c r="D986" s="2" t="s">
        <v>10</v>
      </c>
      <c r="E986" s="2" t="s">
        <v>11</v>
      </c>
      <c r="F986" s="2" t="s">
        <v>1374</v>
      </c>
      <c r="G986" s="2" t="s">
        <v>1375</v>
      </c>
      <c r="H986" s="2" t="s">
        <v>1376</v>
      </c>
      <c r="I986" s="2" t="s">
        <v>1377</v>
      </c>
    </row>
    <row r="987" spans="1:9" ht="14.5" x14ac:dyDescent="0.35">
      <c r="A987" s="2">
        <v>2573177</v>
      </c>
      <c r="B987" s="2" t="str">
        <f>"3328040110010007"</f>
        <v>3328040110010007</v>
      </c>
      <c r="C987" s="2" t="s">
        <v>1378</v>
      </c>
      <c r="D987" s="2" t="s">
        <v>17</v>
      </c>
      <c r="E987" s="2" t="s">
        <v>11</v>
      </c>
      <c r="F987" s="2" t="s">
        <v>18</v>
      </c>
      <c r="G987" s="2" t="s">
        <v>19</v>
      </c>
      <c r="H987" s="2" t="s">
        <v>745</v>
      </c>
      <c r="I987" s="2" t="s">
        <v>746</v>
      </c>
    </row>
    <row r="988" spans="1:9" ht="14.5" x14ac:dyDescent="0.35">
      <c r="A988" s="2">
        <v>2371761</v>
      </c>
      <c r="B988" s="2" t="str">
        <f>"3328040110900008"</f>
        <v>3328040110900008</v>
      </c>
      <c r="C988" s="2" t="s">
        <v>1379</v>
      </c>
      <c r="D988" s="2" t="s">
        <v>10</v>
      </c>
      <c r="E988" s="2" t="s">
        <v>11</v>
      </c>
      <c r="F988" s="2" t="s">
        <v>18</v>
      </c>
      <c r="G988" s="2" t="s">
        <v>19</v>
      </c>
      <c r="H988" s="2" t="s">
        <v>745</v>
      </c>
      <c r="I988" s="2" t="s">
        <v>746</v>
      </c>
    </row>
    <row r="989" spans="1:9" ht="14.5" x14ac:dyDescent="0.35">
      <c r="A989" s="2">
        <v>1462404</v>
      </c>
      <c r="B989" s="2" t="str">
        <f>"3328040110900008"</f>
        <v>3328040110900008</v>
      </c>
      <c r="C989" s="2" t="s">
        <v>1380</v>
      </c>
      <c r="D989" s="2" t="s">
        <v>17</v>
      </c>
      <c r="E989" s="2" t="s">
        <v>11</v>
      </c>
      <c r="F989" s="2" t="s">
        <v>303</v>
      </c>
      <c r="G989" s="2" t="s">
        <v>304</v>
      </c>
      <c r="H989" s="2" t="s">
        <v>1381</v>
      </c>
      <c r="I989" s="2" t="s">
        <v>1382</v>
      </c>
    </row>
    <row r="990" spans="1:9" ht="14.5" x14ac:dyDescent="0.35">
      <c r="A990" s="2">
        <v>2294008</v>
      </c>
      <c r="B990" s="2" t="str">
        <f>"3328040111020003"</f>
        <v>3328040111020003</v>
      </c>
      <c r="C990" s="2" t="s">
        <v>1383</v>
      </c>
      <c r="D990" s="2" t="s">
        <v>10</v>
      </c>
      <c r="E990" s="2" t="s">
        <v>11</v>
      </c>
      <c r="F990" s="2" t="s">
        <v>18</v>
      </c>
      <c r="G990" s="2" t="s">
        <v>19</v>
      </c>
      <c r="H990" s="2" t="s">
        <v>745</v>
      </c>
      <c r="I990" s="2" t="s">
        <v>1264</v>
      </c>
    </row>
    <row r="991" spans="1:9" ht="14.5" x14ac:dyDescent="0.35">
      <c r="A991" s="2">
        <v>1392758</v>
      </c>
      <c r="B991" s="2" t="str">
        <f>"3328040111020003"</f>
        <v>3328040111020003</v>
      </c>
      <c r="C991" s="2" t="s">
        <v>1383</v>
      </c>
      <c r="D991" s="2" t="s">
        <v>10</v>
      </c>
      <c r="E991" s="2" t="s">
        <v>57</v>
      </c>
      <c r="F991" s="2" t="s">
        <v>303</v>
      </c>
      <c r="G991" s="2" t="s">
        <v>608</v>
      </c>
      <c r="H991" s="2" t="s">
        <v>1384</v>
      </c>
      <c r="I991" s="2" t="s">
        <v>1385</v>
      </c>
    </row>
    <row r="992" spans="1:9" ht="14.5" x14ac:dyDescent="0.35">
      <c r="A992" s="2">
        <v>732298</v>
      </c>
      <c r="B992" s="2" t="str">
        <f>"3328040112860008"</f>
        <v>3328040112860008</v>
      </c>
      <c r="C992" s="2" t="s">
        <v>1386</v>
      </c>
      <c r="D992" s="2" t="s">
        <v>17</v>
      </c>
      <c r="E992" s="2" t="s">
        <v>11</v>
      </c>
      <c r="F992" s="2" t="s">
        <v>18</v>
      </c>
      <c r="G992" s="2" t="s">
        <v>392</v>
      </c>
      <c r="H992" s="2" t="s">
        <v>1387</v>
      </c>
      <c r="I992" s="2" t="s">
        <v>1388</v>
      </c>
    </row>
    <row r="993" spans="1:9" ht="14.5" x14ac:dyDescent="0.35">
      <c r="A993" s="2">
        <v>2395267</v>
      </c>
      <c r="B993" s="2" t="str">
        <f>"3328040112860008"</f>
        <v>3328040112860008</v>
      </c>
      <c r="C993" s="2" t="s">
        <v>1386</v>
      </c>
      <c r="D993" s="2" t="s">
        <v>189</v>
      </c>
      <c r="E993" s="2" t="s">
        <v>11</v>
      </c>
      <c r="F993" s="2" t="s">
        <v>18</v>
      </c>
      <c r="G993" s="2" t="s">
        <v>19</v>
      </c>
      <c r="H993" s="2" t="s">
        <v>745</v>
      </c>
      <c r="I993" s="2" t="s">
        <v>1274</v>
      </c>
    </row>
    <row r="994" spans="1:9" ht="14.5" x14ac:dyDescent="0.35">
      <c r="A994" s="2">
        <v>48796</v>
      </c>
      <c r="B994" s="2" t="str">
        <f>"3328040210820001"</f>
        <v>3328040210820001</v>
      </c>
      <c r="C994" s="2" t="s">
        <v>1389</v>
      </c>
      <c r="D994" s="2" t="s">
        <v>10</v>
      </c>
      <c r="E994" s="2" t="s">
        <v>11</v>
      </c>
      <c r="F994" s="2" t="s">
        <v>521</v>
      </c>
      <c r="G994" s="2" t="s">
        <v>657</v>
      </c>
      <c r="H994" s="2" t="s">
        <v>1390</v>
      </c>
      <c r="I994" s="2" t="s">
        <v>1391</v>
      </c>
    </row>
    <row r="995" spans="1:9" ht="14.5" x14ac:dyDescent="0.35">
      <c r="A995" s="2">
        <v>2530269</v>
      </c>
      <c r="B995" s="2" t="str">
        <f>"3328040210820001"</f>
        <v>3328040210820001</v>
      </c>
      <c r="C995" s="2" t="s">
        <v>1389</v>
      </c>
      <c r="D995" s="2" t="s">
        <v>17</v>
      </c>
      <c r="E995" s="2" t="s">
        <v>11</v>
      </c>
      <c r="F995" s="2" t="s">
        <v>18</v>
      </c>
      <c r="G995" s="2" t="s">
        <v>19</v>
      </c>
      <c r="H995" s="2" t="s">
        <v>745</v>
      </c>
      <c r="I995" s="2" t="s">
        <v>1257</v>
      </c>
    </row>
    <row r="996" spans="1:9" ht="14.5" x14ac:dyDescent="0.35">
      <c r="A996" s="2">
        <v>2286638</v>
      </c>
      <c r="B996" s="2" t="str">
        <f>"3328040210900006"</f>
        <v>3328040210900006</v>
      </c>
      <c r="C996" s="2" t="s">
        <v>1392</v>
      </c>
      <c r="D996" s="2" t="s">
        <v>10</v>
      </c>
      <c r="E996" s="2" t="s">
        <v>11</v>
      </c>
      <c r="F996" s="2" t="s">
        <v>18</v>
      </c>
      <c r="G996" s="2" t="s">
        <v>19</v>
      </c>
      <c r="H996" s="2" t="s">
        <v>745</v>
      </c>
      <c r="I996" s="2" t="s">
        <v>1264</v>
      </c>
    </row>
    <row r="997" spans="1:9" ht="14.5" x14ac:dyDescent="0.35">
      <c r="A997" s="2">
        <v>2571622</v>
      </c>
      <c r="B997" s="2" t="str">
        <f>"3328040210900006"</f>
        <v>3328040210900006</v>
      </c>
      <c r="C997" s="2" t="s">
        <v>1393</v>
      </c>
      <c r="D997" s="2" t="s">
        <v>10</v>
      </c>
      <c r="E997" s="2" t="s">
        <v>11</v>
      </c>
      <c r="F997" s="2" t="s">
        <v>18</v>
      </c>
      <c r="G997" s="2" t="s">
        <v>19</v>
      </c>
      <c r="H997" s="2" t="s">
        <v>1394</v>
      </c>
      <c r="I997" s="2" t="s">
        <v>1395</v>
      </c>
    </row>
    <row r="998" spans="1:9" ht="14.5" x14ac:dyDescent="0.35">
      <c r="A998" s="2">
        <v>2368854</v>
      </c>
      <c r="B998" s="2" t="str">
        <f>"3328040302030001"</f>
        <v>3328040302030001</v>
      </c>
      <c r="C998" s="2" t="s">
        <v>1396</v>
      </c>
      <c r="D998" s="2" t="s">
        <v>10</v>
      </c>
      <c r="E998" s="2" t="s">
        <v>11</v>
      </c>
      <c r="F998" s="2" t="s">
        <v>18</v>
      </c>
      <c r="G998" s="2" t="s">
        <v>19</v>
      </c>
      <c r="H998" s="2" t="s">
        <v>745</v>
      </c>
      <c r="I998" s="2" t="s">
        <v>746</v>
      </c>
    </row>
    <row r="999" spans="1:9" ht="14.5" x14ac:dyDescent="0.35">
      <c r="A999" s="2">
        <v>1351127</v>
      </c>
      <c r="B999" s="2" t="str">
        <f>"3328040302030001"</f>
        <v>3328040302030001</v>
      </c>
      <c r="C999" s="2" t="s">
        <v>1396</v>
      </c>
      <c r="D999" s="2" t="s">
        <v>10</v>
      </c>
      <c r="E999" s="2" t="s">
        <v>57</v>
      </c>
      <c r="F999" s="2" t="s">
        <v>303</v>
      </c>
      <c r="G999" s="2" t="s">
        <v>608</v>
      </c>
      <c r="H999" s="2" t="s">
        <v>609</v>
      </c>
      <c r="I999" s="2" t="s">
        <v>610</v>
      </c>
    </row>
    <row r="1000" spans="1:9" ht="14.5" x14ac:dyDescent="0.35">
      <c r="A1000" s="2">
        <v>1264123</v>
      </c>
      <c r="B1000" s="2" t="str">
        <f>"3328040305760006"</f>
        <v>3328040305760006</v>
      </c>
      <c r="C1000" s="2" t="s">
        <v>1397</v>
      </c>
      <c r="D1000" s="2" t="s">
        <v>10</v>
      </c>
      <c r="E1000" s="2" t="s">
        <v>11</v>
      </c>
      <c r="F1000" s="2" t="s">
        <v>91</v>
      </c>
      <c r="G1000" s="2" t="s">
        <v>1398</v>
      </c>
      <c r="H1000" s="2" t="s">
        <v>1399</v>
      </c>
      <c r="I1000" s="2" t="s">
        <v>1400</v>
      </c>
    </row>
    <row r="1001" spans="1:9" ht="14.5" x14ac:dyDescent="0.35">
      <c r="A1001" s="2">
        <v>2531975</v>
      </c>
      <c r="B1001" s="2" t="str">
        <f>"3328040305760006"</f>
        <v>3328040305760006</v>
      </c>
      <c r="C1001" s="2" t="s">
        <v>1397</v>
      </c>
      <c r="D1001" s="2" t="s">
        <v>17</v>
      </c>
      <c r="E1001" s="2" t="s">
        <v>11</v>
      </c>
      <c r="F1001" s="2" t="s">
        <v>18</v>
      </c>
      <c r="G1001" s="2" t="s">
        <v>19</v>
      </c>
      <c r="H1001" s="2" t="s">
        <v>745</v>
      </c>
      <c r="I1001" s="2" t="s">
        <v>1401</v>
      </c>
    </row>
    <row r="1002" spans="1:9" ht="14.5" x14ac:dyDescent="0.35">
      <c r="A1002" s="2">
        <v>388670</v>
      </c>
      <c r="B1002" s="2" t="str">
        <f>"3328040309030006"</f>
        <v>3328040309030006</v>
      </c>
      <c r="C1002" s="2" t="s">
        <v>1402</v>
      </c>
      <c r="D1002" s="2" t="s">
        <v>10</v>
      </c>
      <c r="E1002" s="2" t="s">
        <v>11</v>
      </c>
      <c r="F1002" s="2" t="s">
        <v>91</v>
      </c>
      <c r="G1002" s="2" t="s">
        <v>903</v>
      </c>
      <c r="H1002" s="2" t="s">
        <v>1403</v>
      </c>
      <c r="I1002" s="2" t="s">
        <v>1404</v>
      </c>
    </row>
    <row r="1003" spans="1:9" ht="14.5" x14ac:dyDescent="0.35">
      <c r="A1003" s="2">
        <v>2532917</v>
      </c>
      <c r="B1003" s="2" t="str">
        <f>"3328040309030006"</f>
        <v>3328040309030006</v>
      </c>
      <c r="C1003" s="2" t="s">
        <v>1405</v>
      </c>
      <c r="D1003" s="2" t="s">
        <v>17</v>
      </c>
      <c r="E1003" s="2" t="s">
        <v>11</v>
      </c>
      <c r="F1003" s="2" t="s">
        <v>18</v>
      </c>
      <c r="G1003" s="2" t="s">
        <v>19</v>
      </c>
      <c r="H1003" s="2" t="s">
        <v>745</v>
      </c>
      <c r="I1003" s="2" t="s">
        <v>1406</v>
      </c>
    </row>
    <row r="1004" spans="1:9" ht="14.5" x14ac:dyDescent="0.35">
      <c r="A1004" s="2">
        <v>2345946</v>
      </c>
      <c r="B1004" s="2" t="str">
        <f>"3328040310030004"</f>
        <v>3328040310030004</v>
      </c>
      <c r="C1004" s="2" t="s">
        <v>1407</v>
      </c>
      <c r="D1004" s="2" t="s">
        <v>10</v>
      </c>
      <c r="E1004" s="2" t="s">
        <v>11</v>
      </c>
      <c r="F1004" s="2" t="s">
        <v>18</v>
      </c>
      <c r="G1004" s="2" t="s">
        <v>19</v>
      </c>
      <c r="H1004" s="2" t="s">
        <v>745</v>
      </c>
      <c r="I1004" s="2" t="s">
        <v>1262</v>
      </c>
    </row>
    <row r="1005" spans="1:9" ht="14.5" x14ac:dyDescent="0.35">
      <c r="A1005" s="2">
        <v>1351121</v>
      </c>
      <c r="B1005" s="2" t="str">
        <f>"3328040310030004"</f>
        <v>3328040310030004</v>
      </c>
      <c r="C1005" s="2" t="s">
        <v>1408</v>
      </c>
      <c r="D1005" s="2" t="s">
        <v>10</v>
      </c>
      <c r="E1005" s="2" t="s">
        <v>57</v>
      </c>
      <c r="F1005" s="2" t="s">
        <v>303</v>
      </c>
      <c r="G1005" s="2" t="s">
        <v>608</v>
      </c>
      <c r="H1005" s="2" t="s">
        <v>609</v>
      </c>
      <c r="I1005" s="2" t="s">
        <v>610</v>
      </c>
    </row>
    <row r="1006" spans="1:9" ht="14.5" x14ac:dyDescent="0.35">
      <c r="A1006" s="2">
        <v>477035</v>
      </c>
      <c r="B1006" s="2" t="str">
        <f>"3328040502030002"</f>
        <v>3328040502030002</v>
      </c>
      <c r="C1006" s="2" t="s">
        <v>1409</v>
      </c>
      <c r="D1006" s="2" t="s">
        <v>10</v>
      </c>
      <c r="E1006" s="2" t="s">
        <v>11</v>
      </c>
      <c r="F1006" s="2" t="s">
        <v>91</v>
      </c>
      <c r="G1006" s="2" t="s">
        <v>903</v>
      </c>
      <c r="H1006" s="2" t="s">
        <v>1403</v>
      </c>
      <c r="I1006" s="2" t="s">
        <v>1410</v>
      </c>
    </row>
    <row r="1007" spans="1:9" ht="14.5" x14ac:dyDescent="0.35">
      <c r="A1007" s="2">
        <v>2532900</v>
      </c>
      <c r="B1007" s="2" t="str">
        <f>"3328040502030002"</f>
        <v>3328040502030002</v>
      </c>
      <c r="C1007" s="2" t="s">
        <v>1409</v>
      </c>
      <c r="D1007" s="2" t="s">
        <v>17</v>
      </c>
      <c r="E1007" s="2" t="s">
        <v>11</v>
      </c>
      <c r="F1007" s="2" t="s">
        <v>18</v>
      </c>
      <c r="G1007" s="2" t="s">
        <v>19</v>
      </c>
      <c r="H1007" s="2" t="s">
        <v>745</v>
      </c>
      <c r="I1007" s="2" t="s">
        <v>1406</v>
      </c>
    </row>
    <row r="1008" spans="1:9" ht="14.5" x14ac:dyDescent="0.35">
      <c r="A1008" s="2">
        <v>2161649</v>
      </c>
      <c r="B1008" s="2" t="str">
        <f>"3328040503000007"</f>
        <v>3328040503000007</v>
      </c>
      <c r="C1008" s="2" t="s">
        <v>1411</v>
      </c>
      <c r="D1008" s="2" t="s">
        <v>10</v>
      </c>
      <c r="E1008" s="2" t="s">
        <v>11</v>
      </c>
      <c r="F1008" s="2" t="s">
        <v>91</v>
      </c>
      <c r="G1008" s="2" t="s">
        <v>101</v>
      </c>
      <c r="H1008" s="2" t="s">
        <v>1412</v>
      </c>
      <c r="I1008" s="2" t="s">
        <v>1413</v>
      </c>
    </row>
    <row r="1009" spans="1:9" ht="14.5" x14ac:dyDescent="0.35">
      <c r="A1009" s="2">
        <v>2573693</v>
      </c>
      <c r="B1009" s="2" t="str">
        <f>"3328040503000007"</f>
        <v>3328040503000007</v>
      </c>
      <c r="C1009" s="2" t="s">
        <v>1411</v>
      </c>
      <c r="D1009" s="2" t="s">
        <v>17</v>
      </c>
      <c r="E1009" s="2" t="s">
        <v>11</v>
      </c>
      <c r="F1009" s="2" t="s">
        <v>18</v>
      </c>
      <c r="G1009" s="2" t="s">
        <v>19</v>
      </c>
      <c r="H1009" s="2" t="s">
        <v>745</v>
      </c>
      <c r="I1009" s="2" t="s">
        <v>746</v>
      </c>
    </row>
    <row r="1010" spans="1:9" ht="14.5" x14ac:dyDescent="0.35">
      <c r="A1010" s="2">
        <v>2393638</v>
      </c>
      <c r="B1010" s="2" t="str">
        <f>"3328040508600002"</f>
        <v>3328040508600002</v>
      </c>
      <c r="C1010" s="2" t="s">
        <v>1414</v>
      </c>
      <c r="D1010" s="2" t="s">
        <v>10</v>
      </c>
      <c r="E1010" s="2" t="s">
        <v>11</v>
      </c>
      <c r="F1010" s="2" t="s">
        <v>18</v>
      </c>
      <c r="G1010" s="2" t="s">
        <v>19</v>
      </c>
      <c r="H1010" s="2" t="s">
        <v>745</v>
      </c>
      <c r="I1010" s="2" t="s">
        <v>1274</v>
      </c>
    </row>
    <row r="1011" spans="1:9" ht="14.5" x14ac:dyDescent="0.35">
      <c r="A1011" s="2">
        <v>2573433</v>
      </c>
      <c r="B1011" s="2" t="str">
        <f>"3328040508600002"</f>
        <v>3328040508600002</v>
      </c>
      <c r="C1011" s="2" t="s">
        <v>1415</v>
      </c>
      <c r="D1011" s="2" t="s">
        <v>17</v>
      </c>
      <c r="E1011" s="2" t="s">
        <v>11</v>
      </c>
      <c r="F1011" s="2" t="s">
        <v>18</v>
      </c>
      <c r="G1011" s="2" t="s">
        <v>19</v>
      </c>
      <c r="H1011" s="2" t="s">
        <v>745</v>
      </c>
      <c r="I1011" s="2" t="s">
        <v>746</v>
      </c>
    </row>
    <row r="1012" spans="1:9" ht="14.5" x14ac:dyDescent="0.35">
      <c r="A1012" s="2">
        <v>487841</v>
      </c>
      <c r="B1012" s="2" t="str">
        <f>"3328040510870003"</f>
        <v>3328040510870003</v>
      </c>
      <c r="C1012" s="2" t="s">
        <v>1416</v>
      </c>
      <c r="D1012" s="2" t="s">
        <v>10</v>
      </c>
      <c r="E1012" s="2" t="s">
        <v>11</v>
      </c>
      <c r="F1012" s="2" t="s">
        <v>954</v>
      </c>
      <c r="G1012" s="2" t="s">
        <v>1417</v>
      </c>
      <c r="H1012" s="2" t="s">
        <v>1418</v>
      </c>
      <c r="I1012" s="2" t="s">
        <v>1419</v>
      </c>
    </row>
    <row r="1013" spans="1:9" ht="14.5" x14ac:dyDescent="0.35">
      <c r="A1013" s="2">
        <v>2531846</v>
      </c>
      <c r="B1013" s="2" t="str">
        <f>"3328040510870003"</f>
        <v>3328040510870003</v>
      </c>
      <c r="C1013" s="2" t="s">
        <v>1420</v>
      </c>
      <c r="D1013" s="2" t="s">
        <v>17</v>
      </c>
      <c r="E1013" s="2" t="s">
        <v>11</v>
      </c>
      <c r="F1013" s="2" t="s">
        <v>18</v>
      </c>
      <c r="G1013" s="2" t="s">
        <v>19</v>
      </c>
      <c r="H1013" s="2" t="s">
        <v>745</v>
      </c>
      <c r="I1013" s="2" t="s">
        <v>1262</v>
      </c>
    </row>
    <row r="1014" spans="1:9" ht="14.5" x14ac:dyDescent="0.35">
      <c r="A1014" s="2">
        <v>86275</v>
      </c>
      <c r="B1014" s="2" t="str">
        <f>"3328040512920004"</f>
        <v>3328040512920004</v>
      </c>
      <c r="C1014" s="2" t="s">
        <v>1421</v>
      </c>
      <c r="D1014" s="2" t="s">
        <v>10</v>
      </c>
      <c r="E1014" s="2" t="s">
        <v>11</v>
      </c>
      <c r="F1014" s="2" t="s">
        <v>225</v>
      </c>
      <c r="G1014" s="2" t="s">
        <v>1422</v>
      </c>
      <c r="H1014" s="2" t="s">
        <v>1423</v>
      </c>
      <c r="I1014" s="2" t="s">
        <v>1424</v>
      </c>
    </row>
    <row r="1015" spans="1:9" ht="14.5" x14ac:dyDescent="0.35">
      <c r="A1015" s="2">
        <v>2573288</v>
      </c>
      <c r="B1015" s="2" t="str">
        <f>"3328040512920004"</f>
        <v>3328040512920004</v>
      </c>
      <c r="C1015" s="2" t="s">
        <v>1421</v>
      </c>
      <c r="D1015" s="2" t="s">
        <v>17</v>
      </c>
      <c r="E1015" s="2" t="s">
        <v>11</v>
      </c>
      <c r="F1015" s="2" t="s">
        <v>18</v>
      </c>
      <c r="G1015" s="2" t="s">
        <v>19</v>
      </c>
      <c r="H1015" s="2" t="s">
        <v>745</v>
      </c>
      <c r="I1015" s="2" t="s">
        <v>746</v>
      </c>
    </row>
    <row r="1016" spans="1:9" ht="14.5" x14ac:dyDescent="0.35">
      <c r="A1016" s="2">
        <v>2395938</v>
      </c>
      <c r="B1016" s="2" t="str">
        <f>"3328040604590001"</f>
        <v>3328040604590001</v>
      </c>
      <c r="C1016" s="2" t="s">
        <v>1425</v>
      </c>
      <c r="D1016" s="2" t="s">
        <v>10</v>
      </c>
      <c r="E1016" s="2" t="s">
        <v>11</v>
      </c>
      <c r="F1016" s="2" t="s">
        <v>18</v>
      </c>
      <c r="G1016" s="2" t="s">
        <v>19</v>
      </c>
      <c r="H1016" s="2" t="s">
        <v>745</v>
      </c>
      <c r="I1016" s="2" t="s">
        <v>1274</v>
      </c>
    </row>
    <row r="1017" spans="1:9" ht="14.5" x14ac:dyDescent="0.35">
      <c r="A1017" s="2">
        <v>1094628</v>
      </c>
      <c r="B1017" s="2" t="str">
        <f>"3328040604590001"</f>
        <v>3328040604590001</v>
      </c>
      <c r="C1017" s="2" t="s">
        <v>1426</v>
      </c>
      <c r="D1017" s="2" t="s">
        <v>17</v>
      </c>
      <c r="E1017" s="2" t="s">
        <v>11</v>
      </c>
      <c r="F1017" s="2" t="s">
        <v>18</v>
      </c>
      <c r="G1017" s="2" t="s">
        <v>171</v>
      </c>
      <c r="H1017" s="2" t="s">
        <v>1427</v>
      </c>
      <c r="I1017" s="2" t="s">
        <v>1428</v>
      </c>
    </row>
    <row r="1018" spans="1:9" ht="14.5" x14ac:dyDescent="0.35">
      <c r="A1018" s="2">
        <v>659724</v>
      </c>
      <c r="B1018" s="2" t="str">
        <f>"3328040607980005"</f>
        <v>3328040607980005</v>
      </c>
      <c r="C1018" s="2" t="s">
        <v>1429</v>
      </c>
      <c r="D1018" s="2" t="s">
        <v>10</v>
      </c>
      <c r="E1018" s="2" t="s">
        <v>11</v>
      </c>
      <c r="F1018" s="2" t="s">
        <v>91</v>
      </c>
      <c r="G1018" s="2" t="s">
        <v>320</v>
      </c>
      <c r="H1018" s="2" t="s">
        <v>368</v>
      </c>
      <c r="I1018" s="2" t="s">
        <v>368</v>
      </c>
    </row>
    <row r="1019" spans="1:9" ht="14.5" x14ac:dyDescent="0.35">
      <c r="A1019" s="2">
        <v>2533261</v>
      </c>
      <c r="B1019" s="2" t="str">
        <f>"3328040607980005"</f>
        <v>3328040607980005</v>
      </c>
      <c r="C1019" s="2" t="s">
        <v>1429</v>
      </c>
      <c r="D1019" s="2" t="s">
        <v>17</v>
      </c>
      <c r="E1019" s="2" t="s">
        <v>11</v>
      </c>
      <c r="F1019" s="2" t="s">
        <v>18</v>
      </c>
      <c r="G1019" s="2" t="s">
        <v>19</v>
      </c>
      <c r="H1019" s="2" t="s">
        <v>745</v>
      </c>
      <c r="I1019" s="2" t="s">
        <v>1406</v>
      </c>
    </row>
    <row r="1020" spans="1:9" ht="14.5" x14ac:dyDescent="0.35">
      <c r="A1020" s="2">
        <v>1602253</v>
      </c>
      <c r="B1020" s="2" t="str">
        <f>"3328040608850004"</f>
        <v>3328040608850004</v>
      </c>
      <c r="C1020" s="2" t="s">
        <v>1430</v>
      </c>
      <c r="D1020" s="2" t="s">
        <v>17</v>
      </c>
      <c r="E1020" s="2" t="s">
        <v>11</v>
      </c>
      <c r="F1020" s="2" t="s">
        <v>18</v>
      </c>
      <c r="G1020" s="2" t="s">
        <v>1349</v>
      </c>
      <c r="H1020" s="2" t="s">
        <v>1431</v>
      </c>
      <c r="I1020" s="2" t="s">
        <v>1432</v>
      </c>
    </row>
    <row r="1021" spans="1:9" ht="14.5" x14ac:dyDescent="0.35">
      <c r="A1021" s="2">
        <v>2343065</v>
      </c>
      <c r="B1021" s="2" t="str">
        <f>"3328040608850004"</f>
        <v>3328040608850004</v>
      </c>
      <c r="C1021" s="2" t="s">
        <v>1430</v>
      </c>
      <c r="D1021" s="2" t="s">
        <v>189</v>
      </c>
      <c r="E1021" s="2" t="s">
        <v>11</v>
      </c>
      <c r="F1021" s="2" t="s">
        <v>18</v>
      </c>
      <c r="G1021" s="2" t="s">
        <v>19</v>
      </c>
      <c r="H1021" s="2" t="s">
        <v>745</v>
      </c>
      <c r="I1021" s="2" t="s">
        <v>1277</v>
      </c>
    </row>
    <row r="1022" spans="1:9" ht="14.5" x14ac:dyDescent="0.35">
      <c r="A1022" s="2">
        <v>2338873</v>
      </c>
      <c r="B1022" s="2" t="str">
        <f>"3328040608990003"</f>
        <v>3328040608990003</v>
      </c>
      <c r="C1022" s="2" t="s">
        <v>1433</v>
      </c>
      <c r="D1022" s="2" t="s">
        <v>10</v>
      </c>
      <c r="E1022" s="2" t="s">
        <v>11</v>
      </c>
      <c r="F1022" s="2" t="s">
        <v>18</v>
      </c>
      <c r="G1022" s="2" t="s">
        <v>19</v>
      </c>
      <c r="H1022" s="2" t="s">
        <v>745</v>
      </c>
      <c r="I1022" s="2" t="s">
        <v>1277</v>
      </c>
    </row>
    <row r="1023" spans="1:9" ht="14.5" x14ac:dyDescent="0.35">
      <c r="A1023" s="2">
        <v>1568912</v>
      </c>
      <c r="B1023" s="2" t="str">
        <f>"3328040608990003"</f>
        <v>3328040608990003</v>
      </c>
      <c r="C1023" s="2" t="s">
        <v>1433</v>
      </c>
      <c r="D1023" s="2" t="s">
        <v>17</v>
      </c>
      <c r="E1023" s="2" t="s">
        <v>11</v>
      </c>
      <c r="F1023" s="2" t="s">
        <v>18</v>
      </c>
      <c r="G1023" s="2" t="s">
        <v>195</v>
      </c>
      <c r="H1023" s="2" t="s">
        <v>1434</v>
      </c>
      <c r="I1023" s="2" t="s">
        <v>1435</v>
      </c>
    </row>
    <row r="1024" spans="1:9" ht="14.5" x14ac:dyDescent="0.35">
      <c r="A1024" s="2">
        <v>2373093</v>
      </c>
      <c r="B1024" s="2" t="str">
        <f>"3328040703060002"</f>
        <v>3328040703060002</v>
      </c>
      <c r="C1024" s="2" t="s">
        <v>1436</v>
      </c>
      <c r="D1024" s="2" t="s">
        <v>10</v>
      </c>
      <c r="E1024" s="2" t="s">
        <v>11</v>
      </c>
      <c r="F1024" s="2" t="s">
        <v>18</v>
      </c>
      <c r="G1024" s="2" t="s">
        <v>19</v>
      </c>
      <c r="H1024" s="2" t="s">
        <v>745</v>
      </c>
      <c r="I1024" s="2" t="s">
        <v>746</v>
      </c>
    </row>
    <row r="1025" spans="1:9" ht="14.5" x14ac:dyDescent="0.35">
      <c r="A1025" s="2">
        <v>2618072</v>
      </c>
      <c r="B1025" s="2" t="str">
        <f>"3328040703060002"</f>
        <v>3328040703060002</v>
      </c>
      <c r="C1025" s="2" t="s">
        <v>1437</v>
      </c>
      <c r="D1025" s="2" t="s">
        <v>10</v>
      </c>
      <c r="E1025" s="2" t="s">
        <v>57</v>
      </c>
      <c r="F1025" s="2" t="s">
        <v>18</v>
      </c>
      <c r="G1025" s="2" t="s">
        <v>1438</v>
      </c>
      <c r="H1025" s="2" t="s">
        <v>1439</v>
      </c>
      <c r="I1025" s="2" t="s">
        <v>1440</v>
      </c>
    </row>
    <row r="1026" spans="1:9" ht="14.5" x14ac:dyDescent="0.35">
      <c r="A1026" s="2">
        <v>1707829</v>
      </c>
      <c r="B1026" s="2" t="str">
        <f>"3328040706760003"</f>
        <v>3328040706760003</v>
      </c>
      <c r="C1026" s="2" t="s">
        <v>1441</v>
      </c>
      <c r="D1026" s="2" t="s">
        <v>10</v>
      </c>
      <c r="E1026" s="2" t="s">
        <v>11</v>
      </c>
      <c r="F1026" s="2" t="s">
        <v>50</v>
      </c>
      <c r="G1026" s="2" t="s">
        <v>72</v>
      </c>
      <c r="H1026" s="2" t="s">
        <v>1172</v>
      </c>
      <c r="I1026" s="2" t="s">
        <v>226</v>
      </c>
    </row>
    <row r="1027" spans="1:9" ht="14.5" x14ac:dyDescent="0.35">
      <c r="A1027" s="2">
        <v>2351069</v>
      </c>
      <c r="B1027" s="2" t="str">
        <f>"3328040706760003"</f>
        <v>3328040706760003</v>
      </c>
      <c r="C1027" s="2" t="s">
        <v>1442</v>
      </c>
      <c r="D1027" s="2" t="s">
        <v>189</v>
      </c>
      <c r="E1027" s="2" t="s">
        <v>11</v>
      </c>
      <c r="F1027" s="2" t="s">
        <v>18</v>
      </c>
      <c r="G1027" s="2" t="s">
        <v>19</v>
      </c>
      <c r="H1027" s="2" t="s">
        <v>745</v>
      </c>
      <c r="I1027" s="2" t="s">
        <v>1406</v>
      </c>
    </row>
    <row r="1028" spans="1:9" ht="14.5" x14ac:dyDescent="0.35">
      <c r="A1028" s="2">
        <v>2337769</v>
      </c>
      <c r="B1028" s="2" t="str">
        <f>"3328040708950001"</f>
        <v>3328040708950001</v>
      </c>
      <c r="C1028" s="2" t="s">
        <v>1443</v>
      </c>
      <c r="D1028" s="2" t="s">
        <v>10</v>
      </c>
      <c r="E1028" s="2" t="s">
        <v>11</v>
      </c>
      <c r="F1028" s="2" t="s">
        <v>18</v>
      </c>
      <c r="G1028" s="2" t="s">
        <v>19</v>
      </c>
      <c r="H1028" s="2" t="s">
        <v>745</v>
      </c>
      <c r="I1028" s="2" t="s">
        <v>1277</v>
      </c>
    </row>
    <row r="1029" spans="1:9" ht="14.5" x14ac:dyDescent="0.35">
      <c r="A1029" s="2">
        <v>422190</v>
      </c>
      <c r="B1029" s="2" t="str">
        <f>"3328040708950001"</f>
        <v>3328040708950001</v>
      </c>
      <c r="C1029" s="2" t="s">
        <v>1444</v>
      </c>
      <c r="D1029" s="2" t="s">
        <v>17</v>
      </c>
      <c r="E1029" s="2" t="s">
        <v>11</v>
      </c>
      <c r="F1029" s="2" t="s">
        <v>18</v>
      </c>
      <c r="G1029" s="2" t="s">
        <v>268</v>
      </c>
      <c r="H1029" s="2" t="s">
        <v>269</v>
      </c>
      <c r="I1029" s="2" t="s">
        <v>996</v>
      </c>
    </row>
    <row r="1030" spans="1:9" ht="14.5" x14ac:dyDescent="0.35">
      <c r="A1030" s="2">
        <v>2359082</v>
      </c>
      <c r="B1030" s="2" t="str">
        <f>"3328040804860001"</f>
        <v>3328040804860001</v>
      </c>
      <c r="C1030" s="2" t="s">
        <v>350</v>
      </c>
      <c r="D1030" s="2" t="s">
        <v>10</v>
      </c>
      <c r="E1030" s="2" t="s">
        <v>11</v>
      </c>
      <c r="F1030" s="2" t="s">
        <v>18</v>
      </c>
      <c r="G1030" s="2" t="s">
        <v>19</v>
      </c>
      <c r="H1030" s="2" t="s">
        <v>745</v>
      </c>
      <c r="I1030" s="2" t="s">
        <v>1314</v>
      </c>
    </row>
    <row r="1031" spans="1:9" ht="14.5" x14ac:dyDescent="0.35">
      <c r="A1031" s="2">
        <v>1937787</v>
      </c>
      <c r="B1031" s="2" t="str">
        <f>"3328040804860001"</f>
        <v>3328040804860001</v>
      </c>
      <c r="C1031" s="2" t="s">
        <v>350</v>
      </c>
      <c r="D1031" s="2" t="s">
        <v>17</v>
      </c>
      <c r="E1031" s="2" t="s">
        <v>11</v>
      </c>
      <c r="F1031" s="2" t="s">
        <v>50</v>
      </c>
      <c r="G1031" s="2" t="s">
        <v>86</v>
      </c>
      <c r="H1031" s="2" t="s">
        <v>530</v>
      </c>
      <c r="I1031" s="2" t="s">
        <v>534</v>
      </c>
    </row>
    <row r="1032" spans="1:9" ht="14.5" x14ac:dyDescent="0.35">
      <c r="A1032" s="2">
        <v>2272189</v>
      </c>
      <c r="B1032" s="2" t="str">
        <f>"3328040806920001"</f>
        <v>3328040806920001</v>
      </c>
      <c r="C1032" s="2" t="s">
        <v>1445</v>
      </c>
      <c r="D1032" s="2" t="s">
        <v>10</v>
      </c>
      <c r="E1032" s="2" t="s">
        <v>11</v>
      </c>
      <c r="F1032" s="2" t="s">
        <v>18</v>
      </c>
      <c r="G1032" s="2" t="s">
        <v>19</v>
      </c>
      <c r="H1032" s="2" t="s">
        <v>745</v>
      </c>
      <c r="I1032" s="2" t="s">
        <v>1348</v>
      </c>
    </row>
    <row r="1033" spans="1:9" ht="14.5" x14ac:dyDescent="0.35">
      <c r="A1033" s="2">
        <v>3124664</v>
      </c>
      <c r="B1033" s="2" t="str">
        <f>"3328040806920001"</f>
        <v>3328040806920001</v>
      </c>
      <c r="C1033" s="2" t="s">
        <v>1445</v>
      </c>
      <c r="D1033" s="2" t="s">
        <v>17</v>
      </c>
      <c r="E1033" s="2" t="s">
        <v>57</v>
      </c>
      <c r="F1033" s="2" t="s">
        <v>18</v>
      </c>
      <c r="G1033" s="2" t="s">
        <v>163</v>
      </c>
      <c r="H1033" s="2" t="s">
        <v>723</v>
      </c>
      <c r="I1033" s="2" t="s">
        <v>724</v>
      </c>
    </row>
    <row r="1034" spans="1:9" ht="14.5" x14ac:dyDescent="0.35">
      <c r="A1034" s="2">
        <v>2251326</v>
      </c>
      <c r="B1034" s="2" t="str">
        <f>"3328040808940001"</f>
        <v>3328040808940001</v>
      </c>
      <c r="C1034" s="2" t="s">
        <v>1446</v>
      </c>
      <c r="D1034" s="2" t="s">
        <v>189</v>
      </c>
      <c r="E1034" s="2" t="s">
        <v>11</v>
      </c>
      <c r="F1034" s="2" t="s">
        <v>18</v>
      </c>
      <c r="G1034" s="2" t="s">
        <v>19</v>
      </c>
      <c r="H1034" s="2" t="s">
        <v>745</v>
      </c>
      <c r="I1034" s="2" t="s">
        <v>1257</v>
      </c>
    </row>
    <row r="1035" spans="1:9" ht="14.5" x14ac:dyDescent="0.35">
      <c r="A1035" s="2">
        <v>2422773</v>
      </c>
      <c r="B1035" s="2" t="str">
        <f>"3328040808940001"</f>
        <v>3328040808940001</v>
      </c>
      <c r="C1035" s="2" t="s">
        <v>1447</v>
      </c>
      <c r="D1035" s="2" t="s">
        <v>10</v>
      </c>
      <c r="E1035" s="2" t="s">
        <v>57</v>
      </c>
      <c r="F1035" s="2" t="s">
        <v>50</v>
      </c>
      <c r="G1035" s="2" t="s">
        <v>58</v>
      </c>
      <c r="H1035" s="2" t="s">
        <v>59</v>
      </c>
      <c r="I1035" s="2" t="s">
        <v>60</v>
      </c>
    </row>
    <row r="1036" spans="1:9" ht="14.5" x14ac:dyDescent="0.35">
      <c r="A1036" s="2">
        <v>2213052</v>
      </c>
      <c r="B1036" s="2" t="str">
        <f>"3328040907010001"</f>
        <v>3328040907010001</v>
      </c>
      <c r="C1036" s="2" t="s">
        <v>1448</v>
      </c>
      <c r="D1036" s="2" t="s">
        <v>10</v>
      </c>
      <c r="E1036" s="2" t="s">
        <v>11</v>
      </c>
      <c r="F1036" s="2" t="s">
        <v>18</v>
      </c>
      <c r="G1036" s="2" t="s">
        <v>19</v>
      </c>
      <c r="H1036" s="2" t="s">
        <v>745</v>
      </c>
      <c r="I1036" s="2" t="s">
        <v>1235</v>
      </c>
    </row>
    <row r="1037" spans="1:9" ht="14.5" x14ac:dyDescent="0.35">
      <c r="A1037" s="2">
        <v>1351129</v>
      </c>
      <c r="B1037" s="2" t="str">
        <f>"3328040907010001"</f>
        <v>3328040907010001</v>
      </c>
      <c r="C1037" s="2" t="s">
        <v>1448</v>
      </c>
      <c r="D1037" s="2" t="s">
        <v>10</v>
      </c>
      <c r="E1037" s="2" t="s">
        <v>57</v>
      </c>
      <c r="F1037" s="2" t="s">
        <v>303</v>
      </c>
      <c r="G1037" s="2" t="s">
        <v>608</v>
      </c>
      <c r="H1037" s="2" t="s">
        <v>609</v>
      </c>
      <c r="I1037" s="2" t="s">
        <v>610</v>
      </c>
    </row>
    <row r="1038" spans="1:9" ht="14.5" x14ac:dyDescent="0.35">
      <c r="A1038" s="2">
        <v>205776</v>
      </c>
      <c r="B1038" s="2" t="str">
        <f>"3328040909950009"</f>
        <v>3328040909950009</v>
      </c>
      <c r="C1038" s="2" t="s">
        <v>1199</v>
      </c>
      <c r="D1038" s="2" t="s">
        <v>10</v>
      </c>
      <c r="E1038" s="2" t="s">
        <v>11</v>
      </c>
      <c r="F1038" s="2" t="s">
        <v>521</v>
      </c>
      <c r="G1038" s="2" t="s">
        <v>1449</v>
      </c>
      <c r="H1038" s="2" t="s">
        <v>1450</v>
      </c>
      <c r="I1038" s="2" t="s">
        <v>1451</v>
      </c>
    </row>
    <row r="1039" spans="1:9" ht="14.5" x14ac:dyDescent="0.35">
      <c r="A1039" s="2">
        <v>2533373</v>
      </c>
      <c r="B1039" s="2" t="str">
        <f>"3328040909950009"</f>
        <v>3328040909950009</v>
      </c>
      <c r="C1039" s="2" t="s">
        <v>1199</v>
      </c>
      <c r="D1039" s="2" t="s">
        <v>17</v>
      </c>
      <c r="E1039" s="2" t="s">
        <v>11</v>
      </c>
      <c r="F1039" s="2" t="s">
        <v>18</v>
      </c>
      <c r="G1039" s="2" t="s">
        <v>19</v>
      </c>
      <c r="H1039" s="2" t="s">
        <v>745</v>
      </c>
      <c r="I1039" s="2" t="s">
        <v>1303</v>
      </c>
    </row>
    <row r="1040" spans="1:9" ht="14.5" x14ac:dyDescent="0.35">
      <c r="A1040" s="2">
        <v>1035661</v>
      </c>
      <c r="B1040" s="2" t="str">
        <f>"3328041008900004"</f>
        <v>3328041008900004</v>
      </c>
      <c r="C1040" s="2" t="s">
        <v>1452</v>
      </c>
      <c r="D1040" s="2" t="s">
        <v>10</v>
      </c>
      <c r="E1040" s="2" t="s">
        <v>11</v>
      </c>
      <c r="F1040" s="2" t="s">
        <v>91</v>
      </c>
      <c r="G1040" s="2" t="s">
        <v>159</v>
      </c>
      <c r="H1040" s="2" t="s">
        <v>1337</v>
      </c>
      <c r="I1040" s="2" t="s">
        <v>1338</v>
      </c>
    </row>
    <row r="1041" spans="1:9" ht="14.5" x14ac:dyDescent="0.35">
      <c r="A1041" s="2">
        <v>2533611</v>
      </c>
      <c r="B1041" s="2" t="str">
        <f>"3328041008900004"</f>
        <v>3328041008900004</v>
      </c>
      <c r="C1041" s="2" t="s">
        <v>1452</v>
      </c>
      <c r="D1041" s="2" t="s">
        <v>17</v>
      </c>
      <c r="E1041" s="2" t="s">
        <v>11</v>
      </c>
      <c r="F1041" s="2" t="s">
        <v>18</v>
      </c>
      <c r="G1041" s="2" t="s">
        <v>19</v>
      </c>
      <c r="H1041" s="2" t="s">
        <v>745</v>
      </c>
      <c r="I1041" s="2" t="s">
        <v>1314</v>
      </c>
    </row>
    <row r="1042" spans="1:9" ht="14.5" x14ac:dyDescent="0.35">
      <c r="A1042" s="2">
        <v>759606</v>
      </c>
      <c r="B1042" s="2" t="str">
        <f>"3328041105660001"</f>
        <v>3328041105660001</v>
      </c>
      <c r="C1042" s="2" t="s">
        <v>1453</v>
      </c>
      <c r="D1042" s="2" t="s">
        <v>10</v>
      </c>
      <c r="E1042" s="2" t="s">
        <v>11</v>
      </c>
      <c r="F1042" s="2" t="s">
        <v>18</v>
      </c>
      <c r="G1042" s="2" t="s">
        <v>264</v>
      </c>
      <c r="H1042" s="2" t="s">
        <v>773</v>
      </c>
      <c r="I1042" s="2" t="s">
        <v>1454</v>
      </c>
    </row>
    <row r="1043" spans="1:9" ht="14.5" x14ac:dyDescent="0.35">
      <c r="A1043" s="2">
        <v>2531672</v>
      </c>
      <c r="B1043" s="2" t="str">
        <f>"3328041105660001"</f>
        <v>3328041105660001</v>
      </c>
      <c r="C1043" s="2" t="s">
        <v>1455</v>
      </c>
      <c r="D1043" s="2" t="s">
        <v>17</v>
      </c>
      <c r="E1043" s="2" t="s">
        <v>11</v>
      </c>
      <c r="F1043" s="2" t="s">
        <v>18</v>
      </c>
      <c r="G1043" s="2" t="s">
        <v>19</v>
      </c>
      <c r="H1043" s="2" t="s">
        <v>745</v>
      </c>
      <c r="I1043" s="2" t="s">
        <v>1235</v>
      </c>
    </row>
    <row r="1044" spans="1:9" ht="14.5" x14ac:dyDescent="0.35">
      <c r="A1044" s="2">
        <v>2372748</v>
      </c>
      <c r="B1044" s="2" t="str">
        <f>"3328041106020002"</f>
        <v>3328041106020002</v>
      </c>
      <c r="C1044" s="2" t="s">
        <v>1456</v>
      </c>
      <c r="D1044" s="2" t="s">
        <v>10</v>
      </c>
      <c r="E1044" s="2" t="s">
        <v>11</v>
      </c>
      <c r="F1044" s="2" t="s">
        <v>18</v>
      </c>
      <c r="G1044" s="2" t="s">
        <v>19</v>
      </c>
      <c r="H1044" s="2" t="s">
        <v>745</v>
      </c>
      <c r="I1044" s="2" t="s">
        <v>746</v>
      </c>
    </row>
    <row r="1045" spans="1:9" ht="14.5" x14ac:dyDescent="0.35">
      <c r="A1045" s="2">
        <v>1351126</v>
      </c>
      <c r="B1045" s="2" t="str">
        <f>"3328041106020002"</f>
        <v>3328041106020002</v>
      </c>
      <c r="C1045" s="2" t="s">
        <v>1456</v>
      </c>
      <c r="D1045" s="2" t="s">
        <v>10</v>
      </c>
      <c r="E1045" s="2" t="s">
        <v>57</v>
      </c>
      <c r="F1045" s="2" t="s">
        <v>303</v>
      </c>
      <c r="G1045" s="2" t="s">
        <v>608</v>
      </c>
      <c r="H1045" s="2" t="s">
        <v>609</v>
      </c>
      <c r="I1045" s="2" t="s">
        <v>610</v>
      </c>
    </row>
    <row r="1046" spans="1:9" ht="14.5" x14ac:dyDescent="0.35">
      <c r="A1046" s="2">
        <v>1610724</v>
      </c>
      <c r="B1046" s="2" t="str">
        <f>"3328041108920005"</f>
        <v>3328041108920005</v>
      </c>
      <c r="C1046" s="2" t="s">
        <v>1457</v>
      </c>
      <c r="D1046" s="2" t="s">
        <v>17</v>
      </c>
      <c r="E1046" s="2" t="s">
        <v>11</v>
      </c>
      <c r="F1046" s="2" t="s">
        <v>18</v>
      </c>
      <c r="G1046" s="2" t="s">
        <v>264</v>
      </c>
      <c r="H1046" s="2" t="s">
        <v>461</v>
      </c>
      <c r="I1046" s="2" t="s">
        <v>1458</v>
      </c>
    </row>
    <row r="1047" spans="1:9" ht="14.5" x14ac:dyDescent="0.35">
      <c r="A1047" s="2">
        <v>2533046</v>
      </c>
      <c r="B1047" s="2" t="str">
        <f>"3328041108920005"</f>
        <v>3328041108920005</v>
      </c>
      <c r="C1047" s="2" t="s">
        <v>1459</v>
      </c>
      <c r="D1047" s="2" t="s">
        <v>17</v>
      </c>
      <c r="E1047" s="2" t="s">
        <v>11</v>
      </c>
      <c r="F1047" s="2" t="s">
        <v>18</v>
      </c>
      <c r="G1047" s="2" t="s">
        <v>19</v>
      </c>
      <c r="H1047" s="2" t="s">
        <v>745</v>
      </c>
      <c r="I1047" s="2" t="s">
        <v>1406</v>
      </c>
    </row>
    <row r="1048" spans="1:9" ht="14.5" x14ac:dyDescent="0.35">
      <c r="A1048" s="2">
        <v>2292348</v>
      </c>
      <c r="B1048" s="2" t="str">
        <f>"3328041110940001"</f>
        <v>3328041110940001</v>
      </c>
      <c r="C1048" s="2" t="s">
        <v>1460</v>
      </c>
      <c r="D1048" s="2" t="s">
        <v>10</v>
      </c>
      <c r="E1048" s="2" t="s">
        <v>11</v>
      </c>
      <c r="F1048" s="2" t="s">
        <v>18</v>
      </c>
      <c r="G1048" s="2" t="s">
        <v>19</v>
      </c>
      <c r="H1048" s="2" t="s">
        <v>745</v>
      </c>
      <c r="I1048" s="2" t="s">
        <v>1264</v>
      </c>
    </row>
    <row r="1049" spans="1:9" ht="14.5" x14ac:dyDescent="0.35">
      <c r="A1049" s="2">
        <v>1351117</v>
      </c>
      <c r="B1049" s="2" t="str">
        <f>"3328041110940001"</f>
        <v>3328041110940001</v>
      </c>
      <c r="C1049" s="2" t="s">
        <v>1460</v>
      </c>
      <c r="D1049" s="2" t="s">
        <v>10</v>
      </c>
      <c r="E1049" s="2" t="s">
        <v>57</v>
      </c>
      <c r="F1049" s="2" t="s">
        <v>303</v>
      </c>
      <c r="G1049" s="2" t="s">
        <v>608</v>
      </c>
      <c r="H1049" s="2" t="s">
        <v>609</v>
      </c>
      <c r="I1049" s="2" t="s">
        <v>610</v>
      </c>
    </row>
    <row r="1050" spans="1:9" ht="14.5" x14ac:dyDescent="0.35">
      <c r="A1050" s="2">
        <v>2346919</v>
      </c>
      <c r="B1050" s="2" t="str">
        <f>"3328041208040005"</f>
        <v>3328041208040005</v>
      </c>
      <c r="C1050" s="2" t="s">
        <v>1461</v>
      </c>
      <c r="D1050" s="2" t="s">
        <v>10</v>
      </c>
      <c r="E1050" s="2" t="s">
        <v>11</v>
      </c>
      <c r="F1050" s="2" t="s">
        <v>18</v>
      </c>
      <c r="G1050" s="2" t="s">
        <v>19</v>
      </c>
      <c r="H1050" s="2" t="s">
        <v>745</v>
      </c>
      <c r="I1050" s="2" t="s">
        <v>1262</v>
      </c>
    </row>
    <row r="1051" spans="1:9" ht="14.5" x14ac:dyDescent="0.35">
      <c r="A1051" s="2">
        <v>1351123</v>
      </c>
      <c r="B1051" s="2" t="str">
        <f>"3328041208040005"</f>
        <v>3328041208040005</v>
      </c>
      <c r="C1051" s="2" t="s">
        <v>1461</v>
      </c>
      <c r="D1051" s="2" t="s">
        <v>10</v>
      </c>
      <c r="E1051" s="2" t="s">
        <v>57</v>
      </c>
      <c r="F1051" s="2" t="s">
        <v>303</v>
      </c>
      <c r="G1051" s="2" t="s">
        <v>608</v>
      </c>
      <c r="H1051" s="2" t="s">
        <v>609</v>
      </c>
      <c r="I1051" s="2" t="s">
        <v>610</v>
      </c>
    </row>
    <row r="1052" spans="1:9" ht="14.5" x14ac:dyDescent="0.35">
      <c r="A1052" s="2">
        <v>639012</v>
      </c>
      <c r="B1052" s="2" t="str">
        <f>"3328041212870003"</f>
        <v>3328041212870003</v>
      </c>
      <c r="C1052" s="2" t="s">
        <v>1462</v>
      </c>
      <c r="D1052" s="2" t="s">
        <v>10</v>
      </c>
      <c r="E1052" s="2" t="s">
        <v>11</v>
      </c>
      <c r="F1052" s="2" t="s">
        <v>50</v>
      </c>
      <c r="G1052" s="2" t="s">
        <v>86</v>
      </c>
      <c r="H1052" s="2" t="s">
        <v>1463</v>
      </c>
      <c r="I1052" s="2" t="s">
        <v>1463</v>
      </c>
    </row>
    <row r="1053" spans="1:9" ht="14.5" x14ac:dyDescent="0.35">
      <c r="A1053" s="2">
        <v>2532100</v>
      </c>
      <c r="B1053" s="2" t="str">
        <f>"3328041212870003"</f>
        <v>3328041212870003</v>
      </c>
      <c r="C1053" s="2" t="s">
        <v>1464</v>
      </c>
      <c r="D1053" s="2" t="s">
        <v>17</v>
      </c>
      <c r="E1053" s="2" t="s">
        <v>11</v>
      </c>
      <c r="F1053" s="2" t="s">
        <v>18</v>
      </c>
      <c r="G1053" s="2" t="s">
        <v>19</v>
      </c>
      <c r="H1053" s="2" t="s">
        <v>745</v>
      </c>
      <c r="I1053" s="2" t="s">
        <v>1318</v>
      </c>
    </row>
    <row r="1054" spans="1:9" ht="14.5" x14ac:dyDescent="0.35">
      <c r="A1054" s="2">
        <v>1351128</v>
      </c>
      <c r="B1054" s="2" t="str">
        <f>"3328041304060006"</f>
        <v>3328041304060006</v>
      </c>
      <c r="C1054" s="2" t="s">
        <v>1465</v>
      </c>
      <c r="D1054" s="2" t="s">
        <v>10</v>
      </c>
      <c r="E1054" s="2" t="s">
        <v>57</v>
      </c>
      <c r="F1054" s="2" t="s">
        <v>303</v>
      </c>
      <c r="G1054" s="2" t="s">
        <v>608</v>
      </c>
      <c r="H1054" s="2" t="s">
        <v>609</v>
      </c>
      <c r="I1054" s="2" t="s">
        <v>610</v>
      </c>
    </row>
    <row r="1055" spans="1:9" ht="14.5" x14ac:dyDescent="0.35">
      <c r="A1055" s="2">
        <v>2369652</v>
      </c>
      <c r="B1055" s="2" t="str">
        <f>"3328041304060006"</f>
        <v>3328041304060006</v>
      </c>
      <c r="C1055" s="2" t="s">
        <v>1466</v>
      </c>
      <c r="D1055" s="2" t="s">
        <v>189</v>
      </c>
      <c r="E1055" s="2" t="s">
        <v>11</v>
      </c>
      <c r="F1055" s="2" t="s">
        <v>18</v>
      </c>
      <c r="G1055" s="2" t="s">
        <v>19</v>
      </c>
      <c r="H1055" s="2" t="s">
        <v>745</v>
      </c>
      <c r="I1055" s="2" t="s">
        <v>746</v>
      </c>
    </row>
    <row r="1056" spans="1:9" ht="14.5" x14ac:dyDescent="0.35">
      <c r="A1056" s="2">
        <v>2383941</v>
      </c>
      <c r="B1056" s="2" t="str">
        <f>"3328041502940004"</f>
        <v>3328041502940004</v>
      </c>
      <c r="C1056" s="2" t="s">
        <v>1467</v>
      </c>
      <c r="D1056" s="2" t="s">
        <v>10</v>
      </c>
      <c r="E1056" s="2" t="s">
        <v>11</v>
      </c>
      <c r="F1056" s="2" t="s">
        <v>18</v>
      </c>
      <c r="G1056" s="2" t="s">
        <v>19</v>
      </c>
      <c r="H1056" s="2" t="s">
        <v>745</v>
      </c>
      <c r="I1056" s="2" t="s">
        <v>1306</v>
      </c>
    </row>
    <row r="1057" spans="1:9" ht="14.5" x14ac:dyDescent="0.35">
      <c r="A1057" s="2">
        <v>1953064</v>
      </c>
      <c r="B1057" s="2" t="str">
        <f>"3328041502940004"</f>
        <v>3328041502940004</v>
      </c>
      <c r="C1057" s="2" t="s">
        <v>1468</v>
      </c>
      <c r="D1057" s="2" t="s">
        <v>17</v>
      </c>
      <c r="E1057" s="2" t="s">
        <v>11</v>
      </c>
      <c r="F1057" s="2" t="s">
        <v>50</v>
      </c>
      <c r="G1057" s="2" t="s">
        <v>86</v>
      </c>
      <c r="H1057" s="2" t="s">
        <v>313</v>
      </c>
      <c r="I1057" s="2" t="s">
        <v>977</v>
      </c>
    </row>
    <row r="1058" spans="1:9" ht="14.5" x14ac:dyDescent="0.35">
      <c r="A1058" s="2">
        <v>1354527</v>
      </c>
      <c r="B1058" s="2" t="str">
        <f>"3328041507800007"</f>
        <v>3328041507800007</v>
      </c>
      <c r="C1058" s="2" t="s">
        <v>458</v>
      </c>
      <c r="D1058" s="2" t="s">
        <v>10</v>
      </c>
      <c r="E1058" s="2" t="s">
        <v>11</v>
      </c>
      <c r="F1058" s="2" t="s">
        <v>50</v>
      </c>
      <c r="G1058" s="2" t="s">
        <v>72</v>
      </c>
      <c r="H1058" s="2" t="s">
        <v>628</v>
      </c>
      <c r="I1058" s="2" t="s">
        <v>1469</v>
      </c>
    </row>
    <row r="1059" spans="1:9" ht="14.5" x14ac:dyDescent="0.35">
      <c r="A1059" s="2">
        <v>2534137</v>
      </c>
      <c r="B1059" s="2" t="str">
        <f>"3328041507800007"</f>
        <v>3328041507800007</v>
      </c>
      <c r="C1059" s="2" t="s">
        <v>1470</v>
      </c>
      <c r="D1059" s="2" t="s">
        <v>17</v>
      </c>
      <c r="E1059" s="2" t="s">
        <v>11</v>
      </c>
      <c r="F1059" s="2" t="s">
        <v>18</v>
      </c>
      <c r="G1059" s="2" t="s">
        <v>19</v>
      </c>
      <c r="H1059" s="2" t="s">
        <v>745</v>
      </c>
      <c r="I1059" s="2" t="s">
        <v>1230</v>
      </c>
    </row>
    <row r="1060" spans="1:9" ht="14.5" x14ac:dyDescent="0.35">
      <c r="A1060" s="2">
        <v>2345664</v>
      </c>
      <c r="B1060" s="2" t="str">
        <f>"3328041603000007"</f>
        <v>3328041603000007</v>
      </c>
      <c r="C1060" s="2" t="s">
        <v>1471</v>
      </c>
      <c r="D1060" s="2" t="s">
        <v>10</v>
      </c>
      <c r="E1060" s="2" t="s">
        <v>11</v>
      </c>
      <c r="F1060" s="2" t="s">
        <v>18</v>
      </c>
      <c r="G1060" s="2" t="s">
        <v>19</v>
      </c>
      <c r="H1060" s="2" t="s">
        <v>745</v>
      </c>
      <c r="I1060" s="2" t="s">
        <v>1262</v>
      </c>
    </row>
    <row r="1061" spans="1:9" ht="14.5" x14ac:dyDescent="0.35">
      <c r="A1061" s="2">
        <v>1351124</v>
      </c>
      <c r="B1061" s="2" t="str">
        <f>"3328041603000007"</f>
        <v>3328041603000007</v>
      </c>
      <c r="C1061" s="2" t="s">
        <v>1471</v>
      </c>
      <c r="D1061" s="2" t="s">
        <v>10</v>
      </c>
      <c r="E1061" s="2" t="s">
        <v>57</v>
      </c>
      <c r="F1061" s="2" t="s">
        <v>303</v>
      </c>
      <c r="G1061" s="2" t="s">
        <v>608</v>
      </c>
      <c r="H1061" s="2" t="s">
        <v>609</v>
      </c>
      <c r="I1061" s="2" t="s">
        <v>610</v>
      </c>
    </row>
    <row r="1062" spans="1:9" ht="14.5" x14ac:dyDescent="0.35">
      <c r="A1062" s="2">
        <v>2533854</v>
      </c>
      <c r="B1062" s="2" t="str">
        <f>"3328041608060006"</f>
        <v>3328041608060006</v>
      </c>
      <c r="C1062" s="2" t="s">
        <v>1472</v>
      </c>
      <c r="D1062" s="2" t="s">
        <v>17</v>
      </c>
      <c r="E1062" s="2" t="s">
        <v>11</v>
      </c>
      <c r="F1062" s="2" t="s">
        <v>18</v>
      </c>
      <c r="G1062" s="2" t="s">
        <v>19</v>
      </c>
      <c r="H1062" s="2" t="s">
        <v>745</v>
      </c>
      <c r="I1062" s="2" t="s">
        <v>1264</v>
      </c>
    </row>
    <row r="1063" spans="1:9" ht="14.5" x14ac:dyDescent="0.35">
      <c r="A1063" s="2">
        <v>1351119</v>
      </c>
      <c r="B1063" s="2" t="str">
        <f>"3328041608060006"</f>
        <v>3328041608060006</v>
      </c>
      <c r="C1063" s="2" t="s">
        <v>1473</v>
      </c>
      <c r="D1063" s="2" t="s">
        <v>10</v>
      </c>
      <c r="E1063" s="2" t="s">
        <v>57</v>
      </c>
      <c r="F1063" s="2" t="s">
        <v>303</v>
      </c>
      <c r="G1063" s="2" t="s">
        <v>608</v>
      </c>
      <c r="H1063" s="2" t="s">
        <v>609</v>
      </c>
      <c r="I1063" s="2" t="s">
        <v>610</v>
      </c>
    </row>
    <row r="1064" spans="1:9" ht="14.5" x14ac:dyDescent="0.35">
      <c r="A1064" s="2">
        <v>722407</v>
      </c>
      <c r="B1064" s="2" t="str">
        <f>"3328041706970003"</f>
        <v>3328041706970003</v>
      </c>
      <c r="C1064" s="2" t="s">
        <v>1474</v>
      </c>
      <c r="D1064" s="2" t="s">
        <v>17</v>
      </c>
      <c r="E1064" s="2" t="s">
        <v>11</v>
      </c>
      <c r="F1064" s="2" t="s">
        <v>18</v>
      </c>
      <c r="G1064" s="2" t="s">
        <v>392</v>
      </c>
      <c r="H1064" s="2" t="s">
        <v>393</v>
      </c>
      <c r="I1064" s="2" t="s">
        <v>1475</v>
      </c>
    </row>
    <row r="1065" spans="1:9" ht="14.5" x14ac:dyDescent="0.35">
      <c r="A1065" s="2">
        <v>2351750</v>
      </c>
      <c r="B1065" s="2" t="str">
        <f>"3328041706970003"</f>
        <v>3328041706970003</v>
      </c>
      <c r="C1065" s="2" t="s">
        <v>1474</v>
      </c>
      <c r="D1065" s="2" t="s">
        <v>189</v>
      </c>
      <c r="E1065" s="2" t="s">
        <v>11</v>
      </c>
      <c r="F1065" s="2" t="s">
        <v>18</v>
      </c>
      <c r="G1065" s="2" t="s">
        <v>19</v>
      </c>
      <c r="H1065" s="2" t="s">
        <v>745</v>
      </c>
      <c r="I1065" s="2" t="s">
        <v>1406</v>
      </c>
    </row>
    <row r="1066" spans="1:9" ht="14.5" x14ac:dyDescent="0.35">
      <c r="A1066" s="2">
        <v>545502</v>
      </c>
      <c r="B1066" s="2" t="str">
        <f>"3328041811970008"</f>
        <v>3328041811970008</v>
      </c>
      <c r="C1066" s="2" t="s">
        <v>1476</v>
      </c>
      <c r="D1066" s="2" t="s">
        <v>10</v>
      </c>
      <c r="E1066" s="2" t="s">
        <v>11</v>
      </c>
      <c r="F1066" s="2" t="s">
        <v>67</v>
      </c>
      <c r="G1066" s="2" t="s">
        <v>696</v>
      </c>
      <c r="H1066" s="2" t="s">
        <v>375</v>
      </c>
      <c r="I1066" s="2" t="s">
        <v>1477</v>
      </c>
    </row>
    <row r="1067" spans="1:9" ht="14.5" x14ac:dyDescent="0.35">
      <c r="A1067" s="2">
        <v>2532770</v>
      </c>
      <c r="B1067" s="2" t="str">
        <f>"3328041811970008"</f>
        <v>3328041811970008</v>
      </c>
      <c r="C1067" s="2" t="s">
        <v>1476</v>
      </c>
      <c r="D1067" s="2" t="s">
        <v>17</v>
      </c>
      <c r="E1067" s="2" t="s">
        <v>11</v>
      </c>
      <c r="F1067" s="2" t="s">
        <v>18</v>
      </c>
      <c r="G1067" s="2" t="s">
        <v>19</v>
      </c>
      <c r="H1067" s="2" t="s">
        <v>745</v>
      </c>
      <c r="I1067" s="2" t="s">
        <v>1406</v>
      </c>
    </row>
    <row r="1068" spans="1:9" ht="14.5" x14ac:dyDescent="0.35">
      <c r="A1068" s="2">
        <v>183316</v>
      </c>
      <c r="B1068" s="2" t="str">
        <f>"3328041812930004"</f>
        <v>3328041812930004</v>
      </c>
      <c r="C1068" s="2" t="s">
        <v>1478</v>
      </c>
      <c r="D1068" s="2" t="s">
        <v>10</v>
      </c>
      <c r="E1068" s="2" t="s">
        <v>11</v>
      </c>
      <c r="F1068" s="2" t="s">
        <v>91</v>
      </c>
      <c r="G1068" s="2" t="s">
        <v>985</v>
      </c>
      <c r="H1068" s="2" t="s">
        <v>1479</v>
      </c>
      <c r="I1068" s="2" t="s">
        <v>1480</v>
      </c>
    </row>
    <row r="1069" spans="1:9" ht="14.5" x14ac:dyDescent="0.35">
      <c r="A1069" s="2">
        <v>2532771</v>
      </c>
      <c r="B1069" s="2" t="str">
        <f>"3328041812930004"</f>
        <v>3328041812930004</v>
      </c>
      <c r="C1069" s="2" t="s">
        <v>1478</v>
      </c>
      <c r="D1069" s="2" t="s">
        <v>17</v>
      </c>
      <c r="E1069" s="2" t="s">
        <v>11</v>
      </c>
      <c r="F1069" s="2" t="s">
        <v>18</v>
      </c>
      <c r="G1069" s="2" t="s">
        <v>19</v>
      </c>
      <c r="H1069" s="2" t="s">
        <v>745</v>
      </c>
      <c r="I1069" s="2" t="s">
        <v>1406</v>
      </c>
    </row>
    <row r="1070" spans="1:9" ht="14.5" x14ac:dyDescent="0.35">
      <c r="A1070" s="2">
        <v>2400811</v>
      </c>
      <c r="B1070" s="2" t="str">
        <f>"3328041902970002"</f>
        <v>3328041902970002</v>
      </c>
      <c r="C1070" s="2" t="s">
        <v>1481</v>
      </c>
      <c r="D1070" s="2" t="s">
        <v>189</v>
      </c>
      <c r="E1070" s="2" t="s">
        <v>11</v>
      </c>
      <c r="F1070" s="2" t="s">
        <v>18</v>
      </c>
      <c r="G1070" s="2" t="s">
        <v>19</v>
      </c>
      <c r="H1070" s="2" t="s">
        <v>745</v>
      </c>
      <c r="I1070" s="2" t="s">
        <v>1482</v>
      </c>
    </row>
    <row r="1071" spans="1:9" ht="14.5" x14ac:dyDescent="0.35">
      <c r="A1071" s="2">
        <v>1634230</v>
      </c>
      <c r="B1071" s="2" t="str">
        <f>"3328041902970002"</f>
        <v>3328041902970002</v>
      </c>
      <c r="C1071" s="2" t="s">
        <v>1481</v>
      </c>
      <c r="D1071" s="2" t="s">
        <v>17</v>
      </c>
      <c r="E1071" s="2" t="s">
        <v>11</v>
      </c>
      <c r="F1071" s="2" t="s">
        <v>18</v>
      </c>
      <c r="G1071" s="2" t="s">
        <v>264</v>
      </c>
      <c r="H1071" s="2" t="s">
        <v>477</v>
      </c>
      <c r="I1071" s="2" t="s">
        <v>1483</v>
      </c>
    </row>
    <row r="1072" spans="1:9" ht="14.5" x14ac:dyDescent="0.35">
      <c r="A1072" s="2">
        <v>2341146</v>
      </c>
      <c r="B1072" s="2" t="str">
        <f>"3328041903860001"</f>
        <v>3328041903860001</v>
      </c>
      <c r="C1072" s="2" t="s">
        <v>1484</v>
      </c>
      <c r="D1072" s="2" t="s">
        <v>189</v>
      </c>
      <c r="E1072" s="2" t="s">
        <v>11</v>
      </c>
      <c r="F1072" s="2" t="s">
        <v>18</v>
      </c>
      <c r="G1072" s="2" t="s">
        <v>19</v>
      </c>
      <c r="H1072" s="2" t="s">
        <v>745</v>
      </c>
      <c r="I1072" s="2" t="s">
        <v>1277</v>
      </c>
    </row>
    <row r="1073" spans="1:9" ht="14.5" x14ac:dyDescent="0.35">
      <c r="A1073" s="2">
        <v>3124663</v>
      </c>
      <c r="B1073" s="2" t="str">
        <f>"3328041903860001"</f>
        <v>3328041903860001</v>
      </c>
      <c r="C1073" s="2" t="s">
        <v>1485</v>
      </c>
      <c r="D1073" s="2" t="s">
        <v>17</v>
      </c>
      <c r="E1073" s="2" t="s">
        <v>57</v>
      </c>
      <c r="F1073" s="2" t="s">
        <v>18</v>
      </c>
      <c r="G1073" s="2" t="s">
        <v>163</v>
      </c>
      <c r="H1073" s="2" t="s">
        <v>723</v>
      </c>
      <c r="I1073" s="2" t="s">
        <v>724</v>
      </c>
    </row>
    <row r="1074" spans="1:9" ht="14.5" x14ac:dyDescent="0.35">
      <c r="A1074" s="2">
        <v>2217441</v>
      </c>
      <c r="B1074" s="2" t="str">
        <f>"3328042008010008"</f>
        <v>3328042008010008</v>
      </c>
      <c r="C1074" s="2" t="s">
        <v>1486</v>
      </c>
      <c r="D1074" s="2" t="s">
        <v>189</v>
      </c>
      <c r="E1074" s="2" t="s">
        <v>11</v>
      </c>
      <c r="F1074" s="2" t="s">
        <v>18</v>
      </c>
      <c r="G1074" s="2" t="s">
        <v>19</v>
      </c>
      <c r="H1074" s="2" t="s">
        <v>745</v>
      </c>
      <c r="I1074" s="2" t="s">
        <v>1235</v>
      </c>
    </row>
    <row r="1075" spans="1:9" ht="14.5" x14ac:dyDescent="0.35">
      <c r="A1075" s="2">
        <v>104588</v>
      </c>
      <c r="B1075" s="2" t="str">
        <f>"3328042008010008"</f>
        <v>3328042008010008</v>
      </c>
      <c r="C1075" s="2" t="s">
        <v>1486</v>
      </c>
      <c r="D1075" s="2" t="s">
        <v>17</v>
      </c>
      <c r="E1075" s="2" t="s">
        <v>11</v>
      </c>
      <c r="F1075" s="2" t="s">
        <v>12</v>
      </c>
      <c r="G1075" s="2" t="s">
        <v>1487</v>
      </c>
      <c r="H1075" s="2" t="s">
        <v>1488</v>
      </c>
      <c r="I1075" s="2" t="s">
        <v>1489</v>
      </c>
    </row>
    <row r="1076" spans="1:9" ht="14.5" x14ac:dyDescent="0.35">
      <c r="A1076" s="2">
        <v>765433</v>
      </c>
      <c r="B1076" s="2" t="str">
        <f>"3328042106790003"</f>
        <v>3328042106790003</v>
      </c>
      <c r="C1076" s="2" t="s">
        <v>1490</v>
      </c>
      <c r="D1076" s="2" t="s">
        <v>10</v>
      </c>
      <c r="E1076" s="2" t="s">
        <v>11</v>
      </c>
      <c r="F1076" s="2" t="s">
        <v>18</v>
      </c>
      <c r="G1076" s="2" t="s">
        <v>264</v>
      </c>
      <c r="H1076" s="2" t="s">
        <v>773</v>
      </c>
      <c r="I1076" s="2" t="s">
        <v>1454</v>
      </c>
    </row>
    <row r="1077" spans="1:9" ht="14.5" x14ac:dyDescent="0.35">
      <c r="A1077" s="2">
        <v>2533999</v>
      </c>
      <c r="B1077" s="2" t="str">
        <f>"3328042106790003"</f>
        <v>3328042106790003</v>
      </c>
      <c r="C1077" s="2" t="s">
        <v>1491</v>
      </c>
      <c r="D1077" s="2" t="s">
        <v>17</v>
      </c>
      <c r="E1077" s="2" t="s">
        <v>11</v>
      </c>
      <c r="F1077" s="2" t="s">
        <v>18</v>
      </c>
      <c r="G1077" s="2" t="s">
        <v>19</v>
      </c>
      <c r="H1077" s="2" t="s">
        <v>745</v>
      </c>
      <c r="I1077" s="2" t="s">
        <v>1277</v>
      </c>
    </row>
    <row r="1078" spans="1:9" ht="14.5" x14ac:dyDescent="0.35">
      <c r="A1078" s="2">
        <v>2050709</v>
      </c>
      <c r="B1078" s="2" t="str">
        <f>"3328042106890012"</f>
        <v>3328042106890012</v>
      </c>
      <c r="C1078" s="2" t="s">
        <v>1492</v>
      </c>
      <c r="D1078" s="2" t="s">
        <v>10</v>
      </c>
      <c r="E1078" s="2" t="s">
        <v>11</v>
      </c>
      <c r="F1078" s="2" t="s">
        <v>91</v>
      </c>
      <c r="G1078" s="2" t="s">
        <v>101</v>
      </c>
      <c r="H1078" s="2" t="s">
        <v>1493</v>
      </c>
      <c r="I1078" s="2" t="s">
        <v>1494</v>
      </c>
    </row>
    <row r="1079" spans="1:9" ht="14.5" x14ac:dyDescent="0.35">
      <c r="A1079" s="2">
        <v>2533108</v>
      </c>
      <c r="B1079" s="2" t="str">
        <f>"3328042106890012"</f>
        <v>3328042106890012</v>
      </c>
      <c r="C1079" s="2" t="s">
        <v>1492</v>
      </c>
      <c r="D1079" s="2" t="s">
        <v>17</v>
      </c>
      <c r="E1079" s="2" t="s">
        <v>11</v>
      </c>
      <c r="F1079" s="2" t="s">
        <v>18</v>
      </c>
      <c r="G1079" s="2" t="s">
        <v>19</v>
      </c>
      <c r="H1079" s="2" t="s">
        <v>745</v>
      </c>
      <c r="I1079" s="2" t="s">
        <v>1406</v>
      </c>
    </row>
    <row r="1080" spans="1:9" ht="14.5" x14ac:dyDescent="0.35">
      <c r="A1080" s="2">
        <v>2349964</v>
      </c>
      <c r="B1080" s="2" t="str">
        <f>"3328042110060002"</f>
        <v>3328042110060002</v>
      </c>
      <c r="C1080" s="2" t="s">
        <v>1495</v>
      </c>
      <c r="D1080" s="2" t="s">
        <v>10</v>
      </c>
      <c r="E1080" s="2" t="s">
        <v>11</v>
      </c>
      <c r="F1080" s="2" t="s">
        <v>18</v>
      </c>
      <c r="G1080" s="2" t="s">
        <v>19</v>
      </c>
      <c r="H1080" s="2" t="s">
        <v>745</v>
      </c>
      <c r="I1080" s="2" t="s">
        <v>1406</v>
      </c>
    </row>
    <row r="1081" spans="1:9" ht="14.5" x14ac:dyDescent="0.35">
      <c r="A1081" s="2">
        <v>636208</v>
      </c>
      <c r="B1081" s="2" t="str">
        <f>"3328042110060002"</f>
        <v>3328042110060002</v>
      </c>
      <c r="C1081" s="2" t="s">
        <v>1496</v>
      </c>
      <c r="D1081" s="2" t="s">
        <v>17</v>
      </c>
      <c r="E1081" s="2" t="s">
        <v>11</v>
      </c>
      <c r="F1081" s="2" t="s">
        <v>18</v>
      </c>
      <c r="G1081" s="2" t="s">
        <v>190</v>
      </c>
      <c r="H1081" s="2" t="s">
        <v>1497</v>
      </c>
      <c r="I1081" s="2" t="s">
        <v>1498</v>
      </c>
    </row>
    <row r="1082" spans="1:9" ht="14.5" x14ac:dyDescent="0.35">
      <c r="A1082" s="2">
        <v>1415851</v>
      </c>
      <c r="B1082" s="2" t="str">
        <f>"3328042111960004"</f>
        <v>3328042111960004</v>
      </c>
      <c r="C1082" s="2" t="s">
        <v>1499</v>
      </c>
      <c r="D1082" s="2" t="s">
        <v>10</v>
      </c>
      <c r="E1082" s="2" t="s">
        <v>11</v>
      </c>
      <c r="F1082" s="2" t="s">
        <v>91</v>
      </c>
      <c r="G1082" s="2" t="s">
        <v>114</v>
      </c>
      <c r="H1082" s="2" t="s">
        <v>1500</v>
      </c>
      <c r="I1082" s="2" t="s">
        <v>1501</v>
      </c>
    </row>
    <row r="1083" spans="1:9" ht="14.5" x14ac:dyDescent="0.35">
      <c r="A1083" s="2">
        <v>2532791</v>
      </c>
      <c r="B1083" s="2" t="str">
        <f>"3328042111960004"</f>
        <v>3328042111960004</v>
      </c>
      <c r="C1083" s="2" t="s">
        <v>1499</v>
      </c>
      <c r="D1083" s="2" t="s">
        <v>17</v>
      </c>
      <c r="E1083" s="2" t="s">
        <v>11</v>
      </c>
      <c r="F1083" s="2" t="s">
        <v>18</v>
      </c>
      <c r="G1083" s="2" t="s">
        <v>19</v>
      </c>
      <c r="H1083" s="2" t="s">
        <v>745</v>
      </c>
      <c r="I1083" s="2" t="s">
        <v>1406</v>
      </c>
    </row>
    <row r="1084" spans="1:9" ht="14.5" x14ac:dyDescent="0.35">
      <c r="A1084" s="2">
        <v>1065012</v>
      </c>
      <c r="B1084" s="2" t="str">
        <f>"3328042302990001"</f>
        <v>3328042302990001</v>
      </c>
      <c r="C1084" s="2" t="s">
        <v>1502</v>
      </c>
      <c r="D1084" s="2" t="s">
        <v>10</v>
      </c>
      <c r="E1084" s="2" t="s">
        <v>11</v>
      </c>
      <c r="F1084" s="2" t="s">
        <v>91</v>
      </c>
      <c r="G1084" s="2" t="s">
        <v>92</v>
      </c>
      <c r="H1084" s="2" t="s">
        <v>128</v>
      </c>
      <c r="I1084" s="2" t="s">
        <v>129</v>
      </c>
    </row>
    <row r="1085" spans="1:9" ht="14.5" x14ac:dyDescent="0.35">
      <c r="A1085" s="2">
        <v>2531002</v>
      </c>
      <c r="B1085" s="2" t="str">
        <f>"3328042302990001"</f>
        <v>3328042302990001</v>
      </c>
      <c r="C1085" s="2" t="s">
        <v>1502</v>
      </c>
      <c r="D1085" s="2" t="s">
        <v>17</v>
      </c>
      <c r="E1085" s="2" t="s">
        <v>11</v>
      </c>
      <c r="F1085" s="2" t="s">
        <v>18</v>
      </c>
      <c r="G1085" s="2" t="s">
        <v>19</v>
      </c>
      <c r="H1085" s="2" t="s">
        <v>745</v>
      </c>
      <c r="I1085" s="2" t="s">
        <v>352</v>
      </c>
    </row>
    <row r="1086" spans="1:9" ht="14.5" x14ac:dyDescent="0.35">
      <c r="A1086" s="2">
        <v>2295653</v>
      </c>
      <c r="B1086" s="2" t="str">
        <f>"3328042502040002"</f>
        <v>3328042502040002</v>
      </c>
      <c r="C1086" s="2" t="s">
        <v>1503</v>
      </c>
      <c r="D1086" s="2" t="s">
        <v>10</v>
      </c>
      <c r="E1086" s="2" t="s">
        <v>11</v>
      </c>
      <c r="F1086" s="2" t="s">
        <v>18</v>
      </c>
      <c r="G1086" s="2" t="s">
        <v>19</v>
      </c>
      <c r="H1086" s="2" t="s">
        <v>745</v>
      </c>
      <c r="I1086" s="2" t="s">
        <v>1264</v>
      </c>
    </row>
    <row r="1087" spans="1:9" ht="14.5" x14ac:dyDescent="0.35">
      <c r="A1087" s="2">
        <v>1351120</v>
      </c>
      <c r="B1087" s="2" t="str">
        <f>"3328042502040002"</f>
        <v>3328042502040002</v>
      </c>
      <c r="C1087" s="2" t="s">
        <v>1504</v>
      </c>
      <c r="D1087" s="2" t="s">
        <v>10</v>
      </c>
      <c r="E1087" s="2" t="s">
        <v>57</v>
      </c>
      <c r="F1087" s="2" t="s">
        <v>303</v>
      </c>
      <c r="G1087" s="2" t="s">
        <v>608</v>
      </c>
      <c r="H1087" s="2" t="s">
        <v>609</v>
      </c>
      <c r="I1087" s="2" t="s">
        <v>610</v>
      </c>
    </row>
    <row r="1088" spans="1:9" ht="14.5" x14ac:dyDescent="0.35">
      <c r="A1088" s="2">
        <v>352179</v>
      </c>
      <c r="B1088" s="2" t="str">
        <f>"3328042502830002"</f>
        <v>3328042502830002</v>
      </c>
      <c r="C1088" s="2" t="s">
        <v>1505</v>
      </c>
      <c r="D1088" s="2" t="s">
        <v>10</v>
      </c>
      <c r="E1088" s="2" t="s">
        <v>11</v>
      </c>
      <c r="F1088" s="2" t="s">
        <v>18</v>
      </c>
      <c r="G1088" s="2" t="s">
        <v>268</v>
      </c>
      <c r="H1088" s="2" t="s">
        <v>269</v>
      </c>
      <c r="I1088" s="2" t="s">
        <v>270</v>
      </c>
    </row>
    <row r="1089" spans="1:9" ht="14.5" x14ac:dyDescent="0.35">
      <c r="A1089" s="2">
        <v>2532265</v>
      </c>
      <c r="B1089" s="2" t="str">
        <f>"3328042502830002"</f>
        <v>3328042502830002</v>
      </c>
      <c r="C1089" s="2" t="s">
        <v>1505</v>
      </c>
      <c r="D1089" s="2" t="s">
        <v>17</v>
      </c>
      <c r="E1089" s="2" t="s">
        <v>11</v>
      </c>
      <c r="F1089" s="2" t="s">
        <v>18</v>
      </c>
      <c r="G1089" s="2" t="s">
        <v>19</v>
      </c>
      <c r="H1089" s="2" t="s">
        <v>745</v>
      </c>
      <c r="I1089" s="2" t="s">
        <v>1274</v>
      </c>
    </row>
    <row r="1090" spans="1:9" ht="14.5" x14ac:dyDescent="0.35">
      <c r="A1090" s="2">
        <v>2288331</v>
      </c>
      <c r="B1090" s="2" t="str">
        <f>"3328042504030001"</f>
        <v>3328042504030001</v>
      </c>
      <c r="C1090" s="2" t="s">
        <v>1506</v>
      </c>
      <c r="D1090" s="2" t="s">
        <v>10</v>
      </c>
      <c r="E1090" s="2" t="s">
        <v>11</v>
      </c>
      <c r="F1090" s="2" t="s">
        <v>18</v>
      </c>
      <c r="G1090" s="2" t="s">
        <v>19</v>
      </c>
      <c r="H1090" s="2" t="s">
        <v>745</v>
      </c>
      <c r="I1090" s="2" t="s">
        <v>1264</v>
      </c>
    </row>
    <row r="1091" spans="1:9" ht="14.5" x14ac:dyDescent="0.35">
      <c r="A1091" s="2">
        <v>421173</v>
      </c>
      <c r="B1091" s="2" t="str">
        <f>"3328042504030001"</f>
        <v>3328042504030001</v>
      </c>
      <c r="C1091" s="2" t="s">
        <v>1507</v>
      </c>
      <c r="D1091" s="2" t="s">
        <v>17</v>
      </c>
      <c r="E1091" s="2" t="s">
        <v>11</v>
      </c>
      <c r="F1091" s="2" t="s">
        <v>18</v>
      </c>
      <c r="G1091" s="2" t="s">
        <v>268</v>
      </c>
      <c r="H1091" s="2" t="s">
        <v>448</v>
      </c>
      <c r="I1091" s="2" t="s">
        <v>1508</v>
      </c>
    </row>
    <row r="1092" spans="1:9" ht="14.5" x14ac:dyDescent="0.35">
      <c r="A1092" s="2">
        <v>278197</v>
      </c>
      <c r="B1092" s="2" t="str">
        <f>"3328042704910002"</f>
        <v>3328042704910002</v>
      </c>
      <c r="C1092" s="2" t="s">
        <v>1509</v>
      </c>
      <c r="D1092" s="2" t="s">
        <v>10</v>
      </c>
      <c r="E1092" s="2" t="s">
        <v>11</v>
      </c>
      <c r="F1092" s="2" t="s">
        <v>12</v>
      </c>
      <c r="G1092" s="2" t="s">
        <v>13</v>
      </c>
      <c r="H1092" s="2" t="s">
        <v>1510</v>
      </c>
      <c r="I1092" s="2" t="s">
        <v>1511</v>
      </c>
    </row>
    <row r="1093" spans="1:9" ht="14.5" x14ac:dyDescent="0.35">
      <c r="A1093" s="2">
        <v>2530288</v>
      </c>
      <c r="B1093" s="2" t="str">
        <f>"3328042704910002"</f>
        <v>3328042704910002</v>
      </c>
      <c r="C1093" s="2" t="s">
        <v>1509</v>
      </c>
      <c r="D1093" s="2" t="s">
        <v>17</v>
      </c>
      <c r="E1093" s="2" t="s">
        <v>11</v>
      </c>
      <c r="F1093" s="2" t="s">
        <v>18</v>
      </c>
      <c r="G1093" s="2" t="s">
        <v>19</v>
      </c>
      <c r="H1093" s="2" t="s">
        <v>745</v>
      </c>
      <c r="I1093" s="2" t="s">
        <v>1257</v>
      </c>
    </row>
    <row r="1094" spans="1:9" ht="14.5" x14ac:dyDescent="0.35">
      <c r="A1094" s="2">
        <v>2404601</v>
      </c>
      <c r="B1094" s="2" t="str">
        <f>"3328042904900005"</f>
        <v>3328042904900005</v>
      </c>
      <c r="C1094" s="2" t="s">
        <v>1512</v>
      </c>
      <c r="D1094" s="2" t="s">
        <v>10</v>
      </c>
      <c r="E1094" s="2" t="s">
        <v>11</v>
      </c>
      <c r="F1094" s="2" t="s">
        <v>18</v>
      </c>
      <c r="G1094" s="2" t="s">
        <v>19</v>
      </c>
      <c r="H1094" s="2" t="s">
        <v>745</v>
      </c>
      <c r="I1094" s="2" t="s">
        <v>1230</v>
      </c>
    </row>
    <row r="1095" spans="1:9" ht="14.5" x14ac:dyDescent="0.35">
      <c r="A1095" s="2">
        <v>1696350</v>
      </c>
      <c r="B1095" s="2" t="str">
        <f>"3328042904900005"</f>
        <v>3328042904900005</v>
      </c>
      <c r="C1095" s="2" t="s">
        <v>1513</v>
      </c>
      <c r="D1095" s="2" t="s">
        <v>10</v>
      </c>
      <c r="E1095" s="2" t="s">
        <v>57</v>
      </c>
      <c r="F1095" s="2" t="s">
        <v>18</v>
      </c>
      <c r="G1095" s="2" t="s">
        <v>1514</v>
      </c>
      <c r="H1095" s="2" t="s">
        <v>1515</v>
      </c>
      <c r="I1095" s="2" t="s">
        <v>1516</v>
      </c>
    </row>
    <row r="1096" spans="1:9" ht="14.5" x14ac:dyDescent="0.35">
      <c r="A1096" s="2">
        <v>2345574</v>
      </c>
      <c r="B1096" s="2" t="str">
        <f>"3328042906970003"</f>
        <v>3328042906970003</v>
      </c>
      <c r="C1096" s="2" t="s">
        <v>1517</v>
      </c>
      <c r="D1096" s="2" t="s">
        <v>10</v>
      </c>
      <c r="E1096" s="2" t="s">
        <v>11</v>
      </c>
      <c r="F1096" s="2" t="s">
        <v>18</v>
      </c>
      <c r="G1096" s="2" t="s">
        <v>19</v>
      </c>
      <c r="H1096" s="2" t="s">
        <v>745</v>
      </c>
      <c r="I1096" s="2" t="s">
        <v>1262</v>
      </c>
    </row>
    <row r="1097" spans="1:9" ht="14.5" x14ac:dyDescent="0.35">
      <c r="A1097" s="2">
        <v>2429259</v>
      </c>
      <c r="B1097" s="2" t="str">
        <f>"3328042906970003"</f>
        <v>3328042906970003</v>
      </c>
      <c r="C1097" s="2" t="s">
        <v>1518</v>
      </c>
      <c r="D1097" s="2" t="s">
        <v>17</v>
      </c>
      <c r="E1097" s="2" t="s">
        <v>11</v>
      </c>
      <c r="F1097" s="2" t="s">
        <v>50</v>
      </c>
      <c r="G1097" s="2" t="s">
        <v>58</v>
      </c>
      <c r="H1097" s="2" t="s">
        <v>417</v>
      </c>
      <c r="I1097" s="2" t="s">
        <v>1131</v>
      </c>
    </row>
    <row r="1098" spans="1:9" ht="14.5" x14ac:dyDescent="0.35">
      <c r="A1098" s="2">
        <v>1387501</v>
      </c>
      <c r="B1098" s="2" t="str">
        <f>"3328043009880007"</f>
        <v>3328043009880007</v>
      </c>
      <c r="C1098" s="2" t="s">
        <v>1519</v>
      </c>
      <c r="D1098" s="2" t="s">
        <v>10</v>
      </c>
      <c r="E1098" s="2" t="s">
        <v>11</v>
      </c>
      <c r="F1098" s="2" t="s">
        <v>67</v>
      </c>
      <c r="G1098" s="2" t="s">
        <v>512</v>
      </c>
      <c r="H1098" s="2" t="s">
        <v>219</v>
      </c>
      <c r="I1098" s="2" t="s">
        <v>1520</v>
      </c>
    </row>
    <row r="1099" spans="1:9" ht="14.5" x14ac:dyDescent="0.35">
      <c r="A1099" s="2">
        <v>2534088</v>
      </c>
      <c r="B1099" s="2" t="str">
        <f>"3328043009880007"</f>
        <v>3328043009880007</v>
      </c>
      <c r="C1099" s="2" t="s">
        <v>1519</v>
      </c>
      <c r="D1099" s="2" t="s">
        <v>17</v>
      </c>
      <c r="E1099" s="2" t="s">
        <v>11</v>
      </c>
      <c r="F1099" s="2" t="s">
        <v>18</v>
      </c>
      <c r="G1099" s="2" t="s">
        <v>19</v>
      </c>
      <c r="H1099" s="2" t="s">
        <v>745</v>
      </c>
      <c r="I1099" s="2" t="s">
        <v>1277</v>
      </c>
    </row>
    <row r="1100" spans="1:9" ht="14.5" x14ac:dyDescent="0.35">
      <c r="A1100" s="2">
        <v>2272592</v>
      </c>
      <c r="B1100" s="2" t="str">
        <f>"3328043012720013"</f>
        <v>3328043012720013</v>
      </c>
      <c r="C1100" s="2" t="s">
        <v>1521</v>
      </c>
      <c r="D1100" s="2" t="s">
        <v>10</v>
      </c>
      <c r="E1100" s="2" t="s">
        <v>11</v>
      </c>
      <c r="F1100" s="2" t="s">
        <v>18</v>
      </c>
      <c r="G1100" s="2" t="s">
        <v>19</v>
      </c>
      <c r="H1100" s="2" t="s">
        <v>745</v>
      </c>
      <c r="I1100" s="2" t="s">
        <v>1348</v>
      </c>
    </row>
    <row r="1101" spans="1:9" ht="14.5" x14ac:dyDescent="0.35">
      <c r="A1101" s="2">
        <v>884796</v>
      </c>
      <c r="B1101" s="2" t="str">
        <f>"3328043012720013"</f>
        <v>3328043012720013</v>
      </c>
      <c r="C1101" s="2" t="s">
        <v>1521</v>
      </c>
      <c r="D1101" s="2" t="s">
        <v>10</v>
      </c>
      <c r="E1101" s="2" t="s">
        <v>11</v>
      </c>
      <c r="F1101" s="2" t="s">
        <v>18</v>
      </c>
      <c r="G1101" s="2" t="s">
        <v>1522</v>
      </c>
      <c r="H1101" s="2" t="s">
        <v>1523</v>
      </c>
      <c r="I1101" s="2" t="s">
        <v>1524</v>
      </c>
    </row>
    <row r="1102" spans="1:9" ht="14.5" x14ac:dyDescent="0.35">
      <c r="A1102" s="2">
        <v>2351323</v>
      </c>
      <c r="B1102" s="2" t="str">
        <f>"3328043112850010"</f>
        <v>3328043112850010</v>
      </c>
      <c r="C1102" s="2" t="s">
        <v>1525</v>
      </c>
      <c r="D1102" s="2" t="s">
        <v>10</v>
      </c>
      <c r="E1102" s="2" t="s">
        <v>11</v>
      </c>
      <c r="F1102" s="2" t="s">
        <v>18</v>
      </c>
      <c r="G1102" s="2" t="s">
        <v>19</v>
      </c>
      <c r="H1102" s="2" t="s">
        <v>745</v>
      </c>
      <c r="I1102" s="2" t="s">
        <v>1406</v>
      </c>
    </row>
    <row r="1103" spans="1:9" ht="14.5" x14ac:dyDescent="0.35">
      <c r="A1103" s="2">
        <v>862644</v>
      </c>
      <c r="B1103" s="2" t="str">
        <f>"3328043112850010"</f>
        <v>3328043112850010</v>
      </c>
      <c r="C1103" s="2" t="s">
        <v>1525</v>
      </c>
      <c r="D1103" s="2" t="s">
        <v>17</v>
      </c>
      <c r="E1103" s="2" t="s">
        <v>11</v>
      </c>
      <c r="F1103" s="2" t="s">
        <v>379</v>
      </c>
      <c r="G1103" s="2" t="s">
        <v>1206</v>
      </c>
      <c r="H1103" s="2" t="s">
        <v>1526</v>
      </c>
      <c r="I1103" s="2" t="s">
        <v>1527</v>
      </c>
    </row>
    <row r="1104" spans="1:9" ht="14.5" x14ac:dyDescent="0.35">
      <c r="A1104" s="2">
        <v>2395797</v>
      </c>
      <c r="B1104" s="2" t="str">
        <f>"3328044101950007"</f>
        <v>3328044101950007</v>
      </c>
      <c r="C1104" s="2" t="s">
        <v>1528</v>
      </c>
      <c r="D1104" s="2" t="s">
        <v>10</v>
      </c>
      <c r="E1104" s="2" t="s">
        <v>11</v>
      </c>
      <c r="F1104" s="2" t="s">
        <v>18</v>
      </c>
      <c r="G1104" s="2" t="s">
        <v>19</v>
      </c>
      <c r="H1104" s="2" t="s">
        <v>745</v>
      </c>
      <c r="I1104" s="2" t="s">
        <v>1274</v>
      </c>
    </row>
    <row r="1105" spans="1:9" ht="14.5" x14ac:dyDescent="0.35">
      <c r="A1105" s="2">
        <v>1941139</v>
      </c>
      <c r="B1105" s="2" t="str">
        <f>"3328044101950007"</f>
        <v>3328044101950007</v>
      </c>
      <c r="C1105" s="2" t="s">
        <v>1528</v>
      </c>
      <c r="D1105" s="2" t="s">
        <v>17</v>
      </c>
      <c r="E1105" s="2" t="s">
        <v>11</v>
      </c>
      <c r="F1105" s="2" t="s">
        <v>50</v>
      </c>
      <c r="G1105" s="2" t="s">
        <v>86</v>
      </c>
      <c r="H1105" s="2" t="s">
        <v>87</v>
      </c>
      <c r="I1105" s="2" t="s">
        <v>88</v>
      </c>
    </row>
    <row r="1106" spans="1:9" ht="14.5" x14ac:dyDescent="0.35">
      <c r="A1106" s="2">
        <v>2250774</v>
      </c>
      <c r="B1106" s="2" t="str">
        <f>"3328044101960011"</f>
        <v>3328044101960011</v>
      </c>
      <c r="C1106" s="2" t="s">
        <v>1529</v>
      </c>
      <c r="D1106" s="2" t="s">
        <v>10</v>
      </c>
      <c r="E1106" s="2" t="s">
        <v>11</v>
      </c>
      <c r="F1106" s="2" t="s">
        <v>18</v>
      </c>
      <c r="G1106" s="2" t="s">
        <v>19</v>
      </c>
      <c r="H1106" s="2" t="s">
        <v>745</v>
      </c>
      <c r="I1106" s="2" t="s">
        <v>1257</v>
      </c>
    </row>
    <row r="1107" spans="1:9" ht="14.5" x14ac:dyDescent="0.35">
      <c r="A1107" s="2">
        <v>2607209</v>
      </c>
      <c r="B1107" s="2" t="str">
        <f>"3328044101960011"</f>
        <v>3328044101960011</v>
      </c>
      <c r="C1107" s="2" t="s">
        <v>1530</v>
      </c>
      <c r="D1107" s="2" t="s">
        <v>17</v>
      </c>
      <c r="E1107" s="2" t="s">
        <v>11</v>
      </c>
      <c r="F1107" s="2" t="s">
        <v>18</v>
      </c>
      <c r="G1107" s="2" t="s">
        <v>1438</v>
      </c>
      <c r="H1107" s="2" t="s">
        <v>1439</v>
      </c>
      <c r="I1107" s="2" t="s">
        <v>1531</v>
      </c>
    </row>
    <row r="1108" spans="1:9" ht="14.5" x14ac:dyDescent="0.35">
      <c r="A1108" s="2">
        <v>2219905</v>
      </c>
      <c r="B1108" s="2" t="str">
        <f>"3328044107950035"</f>
        <v>3328044107950035</v>
      </c>
      <c r="C1108" s="2" t="s">
        <v>1532</v>
      </c>
      <c r="D1108" s="2" t="s">
        <v>189</v>
      </c>
      <c r="E1108" s="2" t="s">
        <v>11</v>
      </c>
      <c r="F1108" s="2" t="s">
        <v>18</v>
      </c>
      <c r="G1108" s="2" t="s">
        <v>19</v>
      </c>
      <c r="H1108" s="2" t="s">
        <v>745</v>
      </c>
      <c r="I1108" s="2" t="s">
        <v>1235</v>
      </c>
    </row>
    <row r="1109" spans="1:9" ht="14.5" x14ac:dyDescent="0.35">
      <c r="A1109" s="2">
        <v>104589</v>
      </c>
      <c r="B1109" s="2" t="str">
        <f>"3328044107950035"</f>
        <v>3328044107950035</v>
      </c>
      <c r="C1109" s="2" t="s">
        <v>1532</v>
      </c>
      <c r="D1109" s="2" t="s">
        <v>17</v>
      </c>
      <c r="E1109" s="2" t="s">
        <v>11</v>
      </c>
      <c r="F1109" s="2" t="s">
        <v>12</v>
      </c>
      <c r="G1109" s="2" t="s">
        <v>1487</v>
      </c>
      <c r="H1109" s="2" t="s">
        <v>1488</v>
      </c>
      <c r="I1109" s="2" t="s">
        <v>1489</v>
      </c>
    </row>
    <row r="1110" spans="1:9" ht="14.5" x14ac:dyDescent="0.35">
      <c r="A1110" s="2">
        <v>355804</v>
      </c>
      <c r="B1110" s="2" t="str">
        <f>"3328044107950101"</f>
        <v>3328044107950101</v>
      </c>
      <c r="C1110" s="2" t="s">
        <v>1533</v>
      </c>
      <c r="D1110" s="2" t="s">
        <v>10</v>
      </c>
      <c r="E1110" s="2" t="s">
        <v>11</v>
      </c>
      <c r="F1110" s="2" t="s">
        <v>91</v>
      </c>
      <c r="G1110" s="2" t="s">
        <v>320</v>
      </c>
      <c r="H1110" s="2" t="s">
        <v>664</v>
      </c>
      <c r="I1110" s="2" t="s">
        <v>665</v>
      </c>
    </row>
    <row r="1111" spans="1:9" ht="14.5" x14ac:dyDescent="0.35">
      <c r="A1111" s="2">
        <v>2532145</v>
      </c>
      <c r="B1111" s="2" t="str">
        <f>"3328044107950101"</f>
        <v>3328044107950101</v>
      </c>
      <c r="C1111" s="2" t="s">
        <v>1533</v>
      </c>
      <c r="D1111" s="2" t="s">
        <v>17</v>
      </c>
      <c r="E1111" s="2" t="s">
        <v>11</v>
      </c>
      <c r="F1111" s="2" t="s">
        <v>18</v>
      </c>
      <c r="G1111" s="2" t="s">
        <v>19</v>
      </c>
      <c r="H1111" s="2" t="s">
        <v>745</v>
      </c>
      <c r="I1111" s="2" t="s">
        <v>1318</v>
      </c>
    </row>
    <row r="1112" spans="1:9" ht="14.5" x14ac:dyDescent="0.35">
      <c r="A1112" s="2">
        <v>40666</v>
      </c>
      <c r="B1112" s="2" t="str">
        <f>"3328044111850001"</f>
        <v>3328044111850001</v>
      </c>
      <c r="C1112" s="2" t="s">
        <v>1534</v>
      </c>
      <c r="D1112" s="2" t="s">
        <v>10</v>
      </c>
      <c r="E1112" s="2" t="s">
        <v>11</v>
      </c>
      <c r="F1112" s="2" t="s">
        <v>18</v>
      </c>
      <c r="G1112" s="2" t="s">
        <v>264</v>
      </c>
      <c r="H1112" s="2" t="s">
        <v>324</v>
      </c>
      <c r="I1112" s="2" t="s">
        <v>1535</v>
      </c>
    </row>
    <row r="1113" spans="1:9" ht="14.5" x14ac:dyDescent="0.35">
      <c r="A1113" s="2">
        <v>2573491</v>
      </c>
      <c r="B1113" s="2" t="str">
        <f>"3328044111850001"</f>
        <v>3328044111850001</v>
      </c>
      <c r="C1113" s="2" t="s">
        <v>1534</v>
      </c>
      <c r="D1113" s="2" t="s">
        <v>17</v>
      </c>
      <c r="E1113" s="2" t="s">
        <v>11</v>
      </c>
      <c r="F1113" s="2" t="s">
        <v>18</v>
      </c>
      <c r="G1113" s="2" t="s">
        <v>19</v>
      </c>
      <c r="H1113" s="2" t="s">
        <v>745</v>
      </c>
      <c r="I1113" s="2" t="s">
        <v>746</v>
      </c>
    </row>
    <row r="1114" spans="1:9" ht="14.5" x14ac:dyDescent="0.35">
      <c r="A1114" s="2">
        <v>2396086</v>
      </c>
      <c r="B1114" s="2" t="str">
        <f>"3328044202916888"</f>
        <v>3328044202916888</v>
      </c>
      <c r="C1114" s="2" t="s">
        <v>1536</v>
      </c>
      <c r="D1114" s="2" t="s">
        <v>10</v>
      </c>
      <c r="E1114" s="2" t="s">
        <v>11</v>
      </c>
      <c r="F1114" s="2" t="s">
        <v>18</v>
      </c>
      <c r="G1114" s="2" t="s">
        <v>19</v>
      </c>
      <c r="H1114" s="2" t="s">
        <v>745</v>
      </c>
      <c r="I1114" s="2" t="s">
        <v>1274</v>
      </c>
    </row>
    <row r="1115" spans="1:9" ht="14.5" x14ac:dyDescent="0.35">
      <c r="A1115" s="2">
        <v>355897</v>
      </c>
      <c r="B1115" s="2" t="str">
        <f>"3328044202916888"</f>
        <v>3328044202916888</v>
      </c>
      <c r="C1115" s="2" t="s">
        <v>1536</v>
      </c>
      <c r="D1115" s="2" t="s">
        <v>17</v>
      </c>
      <c r="E1115" s="2" t="s">
        <v>11</v>
      </c>
      <c r="F1115" s="2" t="s">
        <v>91</v>
      </c>
      <c r="G1115" s="2" t="s">
        <v>754</v>
      </c>
      <c r="H1115" s="2" t="s">
        <v>1537</v>
      </c>
      <c r="I1115" s="2" t="s">
        <v>1537</v>
      </c>
    </row>
    <row r="1116" spans="1:9" ht="14.5" x14ac:dyDescent="0.35">
      <c r="A1116" s="2">
        <v>322197</v>
      </c>
      <c r="B1116" s="2" t="str">
        <f>"3328044203030003"</f>
        <v>3328044203030003</v>
      </c>
      <c r="C1116" s="2" t="s">
        <v>1538</v>
      </c>
      <c r="D1116" s="2" t="s">
        <v>10</v>
      </c>
      <c r="E1116" s="2" t="s">
        <v>11</v>
      </c>
      <c r="F1116" s="2" t="s">
        <v>44</v>
      </c>
      <c r="G1116" s="2" t="s">
        <v>1539</v>
      </c>
      <c r="H1116" s="2" t="s">
        <v>1540</v>
      </c>
      <c r="I1116" s="2" t="s">
        <v>1541</v>
      </c>
    </row>
    <row r="1117" spans="1:9" ht="14.5" x14ac:dyDescent="0.35">
      <c r="A1117" s="2">
        <v>2532062</v>
      </c>
      <c r="B1117" s="2" t="str">
        <f>"3328044203030003"</f>
        <v>3328044203030003</v>
      </c>
      <c r="C1117" s="2" t="s">
        <v>1542</v>
      </c>
      <c r="D1117" s="2" t="s">
        <v>17</v>
      </c>
      <c r="E1117" s="2" t="s">
        <v>11</v>
      </c>
      <c r="F1117" s="2" t="s">
        <v>18</v>
      </c>
      <c r="G1117" s="2" t="s">
        <v>19</v>
      </c>
      <c r="H1117" s="2" t="s">
        <v>745</v>
      </c>
      <c r="I1117" s="2" t="s">
        <v>1318</v>
      </c>
    </row>
    <row r="1118" spans="1:9" ht="14.5" x14ac:dyDescent="0.35">
      <c r="A1118" s="2">
        <v>917702</v>
      </c>
      <c r="B1118" s="2" t="str">
        <f>"3328044207870003"</f>
        <v>3328044207870003</v>
      </c>
      <c r="C1118" s="2" t="s">
        <v>1543</v>
      </c>
      <c r="D1118" s="2" t="s">
        <v>10</v>
      </c>
      <c r="E1118" s="2" t="s">
        <v>11</v>
      </c>
      <c r="F1118" s="2" t="s">
        <v>91</v>
      </c>
      <c r="G1118" s="2" t="s">
        <v>631</v>
      </c>
      <c r="H1118" s="2" t="s">
        <v>1544</v>
      </c>
      <c r="I1118" s="2" t="s">
        <v>1545</v>
      </c>
    </row>
    <row r="1119" spans="1:9" ht="14.5" x14ac:dyDescent="0.35">
      <c r="A1119" s="2">
        <v>2532817</v>
      </c>
      <c r="B1119" s="2" t="str">
        <f>"3328044207870003"</f>
        <v>3328044207870003</v>
      </c>
      <c r="C1119" s="2" t="s">
        <v>1543</v>
      </c>
      <c r="D1119" s="2" t="s">
        <v>17</v>
      </c>
      <c r="E1119" s="2" t="s">
        <v>11</v>
      </c>
      <c r="F1119" s="2" t="s">
        <v>18</v>
      </c>
      <c r="G1119" s="2" t="s">
        <v>19</v>
      </c>
      <c r="H1119" s="2" t="s">
        <v>745</v>
      </c>
      <c r="I1119" s="2" t="s">
        <v>1406</v>
      </c>
    </row>
    <row r="1120" spans="1:9" ht="14.5" x14ac:dyDescent="0.35">
      <c r="A1120" s="2">
        <v>1084427</v>
      </c>
      <c r="B1120" s="2" t="str">
        <f>"3328044402840001"</f>
        <v>3328044402840001</v>
      </c>
      <c r="C1120" s="2" t="s">
        <v>1546</v>
      </c>
      <c r="D1120" s="2" t="s">
        <v>10</v>
      </c>
      <c r="E1120" s="2" t="s">
        <v>11</v>
      </c>
      <c r="F1120" s="2" t="s">
        <v>50</v>
      </c>
      <c r="G1120" s="2" t="s">
        <v>51</v>
      </c>
      <c r="H1120" s="2" t="s">
        <v>52</v>
      </c>
      <c r="I1120" s="2" t="s">
        <v>52</v>
      </c>
    </row>
    <row r="1121" spans="1:9" ht="14.5" x14ac:dyDescent="0.35">
      <c r="A1121" s="2">
        <v>2345212</v>
      </c>
      <c r="B1121" s="2" t="str">
        <f>"3328044402840001"</f>
        <v>3328044402840001</v>
      </c>
      <c r="C1121" s="2" t="s">
        <v>1546</v>
      </c>
      <c r="D1121" s="2" t="s">
        <v>189</v>
      </c>
      <c r="E1121" s="2" t="s">
        <v>11</v>
      </c>
      <c r="F1121" s="2" t="s">
        <v>18</v>
      </c>
      <c r="G1121" s="2" t="s">
        <v>19</v>
      </c>
      <c r="H1121" s="2" t="s">
        <v>745</v>
      </c>
      <c r="I1121" s="2" t="s">
        <v>1262</v>
      </c>
    </row>
    <row r="1122" spans="1:9" ht="14.5" x14ac:dyDescent="0.35">
      <c r="A1122" s="2">
        <v>1282635</v>
      </c>
      <c r="B1122" s="2" t="str">
        <f>"3328044403900002"</f>
        <v>3328044403900002</v>
      </c>
      <c r="C1122" s="2" t="s">
        <v>1547</v>
      </c>
      <c r="D1122" s="2" t="s">
        <v>10</v>
      </c>
      <c r="E1122" s="2" t="s">
        <v>11</v>
      </c>
      <c r="F1122" s="2" t="s">
        <v>91</v>
      </c>
      <c r="G1122" s="2" t="s">
        <v>149</v>
      </c>
      <c r="H1122" s="2" t="s">
        <v>1324</v>
      </c>
      <c r="I1122" s="2" t="s">
        <v>1372</v>
      </c>
    </row>
    <row r="1123" spans="1:9" ht="14.5" x14ac:dyDescent="0.35">
      <c r="A1123" s="2">
        <v>2530358</v>
      </c>
      <c r="B1123" s="2" t="str">
        <f>"3328044403900002"</f>
        <v>3328044403900002</v>
      </c>
      <c r="C1123" s="2" t="s">
        <v>1548</v>
      </c>
      <c r="D1123" s="2" t="s">
        <v>17</v>
      </c>
      <c r="E1123" s="2" t="s">
        <v>11</v>
      </c>
      <c r="F1123" s="2" t="s">
        <v>18</v>
      </c>
      <c r="G1123" s="2" t="s">
        <v>19</v>
      </c>
      <c r="H1123" s="2" t="s">
        <v>745</v>
      </c>
      <c r="I1123" s="2" t="s">
        <v>1257</v>
      </c>
    </row>
    <row r="1124" spans="1:9" ht="14.5" x14ac:dyDescent="0.35">
      <c r="A1124" s="2">
        <v>343425</v>
      </c>
      <c r="B1124" s="2" t="str">
        <f>"3328044507570002"</f>
        <v>3328044507570002</v>
      </c>
      <c r="C1124" s="2" t="s">
        <v>1549</v>
      </c>
      <c r="D1124" s="2" t="s">
        <v>10</v>
      </c>
      <c r="E1124" s="2" t="s">
        <v>11</v>
      </c>
      <c r="F1124" s="2" t="s">
        <v>91</v>
      </c>
      <c r="G1124" s="2" t="s">
        <v>754</v>
      </c>
      <c r="H1124" s="2" t="s">
        <v>1365</v>
      </c>
      <c r="I1124" s="2" t="s">
        <v>1366</v>
      </c>
    </row>
    <row r="1125" spans="1:9" ht="14.5" x14ac:dyDescent="0.35">
      <c r="A1125" s="2">
        <v>2532363</v>
      </c>
      <c r="B1125" s="2" t="str">
        <f>"3328044507570002"</f>
        <v>3328044507570002</v>
      </c>
      <c r="C1125" s="2" t="s">
        <v>1549</v>
      </c>
      <c r="D1125" s="2" t="s">
        <v>17</v>
      </c>
      <c r="E1125" s="2" t="s">
        <v>11</v>
      </c>
      <c r="F1125" s="2" t="s">
        <v>18</v>
      </c>
      <c r="G1125" s="2" t="s">
        <v>19</v>
      </c>
      <c r="H1125" s="2" t="s">
        <v>745</v>
      </c>
      <c r="I1125" s="2" t="s">
        <v>1274</v>
      </c>
    </row>
    <row r="1126" spans="1:9" ht="14.5" x14ac:dyDescent="0.35">
      <c r="A1126" s="2">
        <v>2349139</v>
      </c>
      <c r="B1126" s="2" t="str">
        <f>"3328044509950002"</f>
        <v>3328044509950002</v>
      </c>
      <c r="C1126" s="2" t="s">
        <v>1550</v>
      </c>
      <c r="D1126" s="2" t="s">
        <v>189</v>
      </c>
      <c r="E1126" s="2" t="s">
        <v>11</v>
      </c>
      <c r="F1126" s="2" t="s">
        <v>18</v>
      </c>
      <c r="G1126" s="2" t="s">
        <v>19</v>
      </c>
      <c r="H1126" s="2" t="s">
        <v>745</v>
      </c>
      <c r="I1126" s="2" t="s">
        <v>1406</v>
      </c>
    </row>
    <row r="1127" spans="1:9" ht="14.5" x14ac:dyDescent="0.35">
      <c r="A1127" s="2">
        <v>2432189</v>
      </c>
      <c r="B1127" s="2" t="str">
        <f>"3328044509950002"</f>
        <v>3328044509950002</v>
      </c>
      <c r="C1127" s="2" t="s">
        <v>1551</v>
      </c>
      <c r="D1127" s="2" t="s">
        <v>17</v>
      </c>
      <c r="E1127" s="2" t="s">
        <v>11</v>
      </c>
      <c r="F1127" s="2" t="s">
        <v>50</v>
      </c>
      <c r="G1127" s="2" t="s">
        <v>58</v>
      </c>
      <c r="H1127" s="2" t="s">
        <v>1283</v>
      </c>
      <c r="I1127" s="2" t="s">
        <v>1284</v>
      </c>
    </row>
    <row r="1128" spans="1:9" ht="14.5" x14ac:dyDescent="0.35">
      <c r="A1128" s="2">
        <v>2344464</v>
      </c>
      <c r="B1128" s="2" t="str">
        <f>"3328044511030001"</f>
        <v>3328044511030001</v>
      </c>
      <c r="C1128" s="2" t="s">
        <v>1552</v>
      </c>
      <c r="D1128" s="2" t="s">
        <v>10</v>
      </c>
      <c r="E1128" s="2" t="s">
        <v>11</v>
      </c>
      <c r="F1128" s="2" t="s">
        <v>18</v>
      </c>
      <c r="G1128" s="2" t="s">
        <v>19</v>
      </c>
      <c r="H1128" s="2" t="s">
        <v>745</v>
      </c>
      <c r="I1128" s="2" t="s">
        <v>1262</v>
      </c>
    </row>
    <row r="1129" spans="1:9" ht="14.5" x14ac:dyDescent="0.35">
      <c r="A1129" s="2">
        <v>1351122</v>
      </c>
      <c r="B1129" s="2" t="str">
        <f>"3328044511030001"</f>
        <v>3328044511030001</v>
      </c>
      <c r="C1129" s="2" t="s">
        <v>1553</v>
      </c>
      <c r="D1129" s="2" t="s">
        <v>10</v>
      </c>
      <c r="E1129" s="2" t="s">
        <v>57</v>
      </c>
      <c r="F1129" s="2" t="s">
        <v>303</v>
      </c>
      <c r="G1129" s="2" t="s">
        <v>608</v>
      </c>
      <c r="H1129" s="2" t="s">
        <v>609</v>
      </c>
      <c r="I1129" s="2" t="s">
        <v>610</v>
      </c>
    </row>
    <row r="1130" spans="1:9" ht="14.5" x14ac:dyDescent="0.35">
      <c r="A1130" s="2">
        <v>180317</v>
      </c>
      <c r="B1130" s="2" t="str">
        <f>"3328044602990005"</f>
        <v>3328044602990005</v>
      </c>
      <c r="C1130" s="2" t="s">
        <v>1554</v>
      </c>
      <c r="D1130" s="2" t="s">
        <v>10</v>
      </c>
      <c r="E1130" s="2" t="s">
        <v>11</v>
      </c>
      <c r="F1130" s="2" t="s">
        <v>811</v>
      </c>
      <c r="G1130" s="2" t="s">
        <v>812</v>
      </c>
      <c r="H1130" s="2" t="s">
        <v>1555</v>
      </c>
      <c r="I1130" s="2" t="s">
        <v>1556</v>
      </c>
    </row>
    <row r="1131" spans="1:9" ht="14.5" x14ac:dyDescent="0.35">
      <c r="A1131" s="2">
        <v>2533978</v>
      </c>
      <c r="B1131" s="2" t="str">
        <f>"3328044602990005"</f>
        <v>3328044602990005</v>
      </c>
      <c r="C1131" s="2" t="s">
        <v>1554</v>
      </c>
      <c r="D1131" s="2" t="s">
        <v>17</v>
      </c>
      <c r="E1131" s="2" t="s">
        <v>11</v>
      </c>
      <c r="F1131" s="2" t="s">
        <v>18</v>
      </c>
      <c r="G1131" s="2" t="s">
        <v>19</v>
      </c>
      <c r="H1131" s="2" t="s">
        <v>745</v>
      </c>
      <c r="I1131" s="2" t="s">
        <v>1277</v>
      </c>
    </row>
    <row r="1132" spans="1:9" ht="14.5" x14ac:dyDescent="0.35">
      <c r="A1132" s="2">
        <v>2617959</v>
      </c>
      <c r="B1132" s="2" t="str">
        <f>"3328044603060006"</f>
        <v>3328044603060006</v>
      </c>
      <c r="C1132" s="2" t="s">
        <v>1557</v>
      </c>
      <c r="D1132" s="2" t="s">
        <v>10</v>
      </c>
      <c r="E1132" s="2" t="s">
        <v>57</v>
      </c>
      <c r="F1132" s="2" t="s">
        <v>18</v>
      </c>
      <c r="G1132" s="2" t="s">
        <v>1438</v>
      </c>
      <c r="H1132" s="2" t="s">
        <v>1439</v>
      </c>
      <c r="I1132" s="2" t="s">
        <v>1440</v>
      </c>
    </row>
    <row r="1133" spans="1:9" ht="14.5" x14ac:dyDescent="0.35">
      <c r="A1133" s="2">
        <v>2371415</v>
      </c>
      <c r="B1133" s="2" t="str">
        <f>"3328044603060006"</f>
        <v>3328044603060006</v>
      </c>
      <c r="C1133" s="2" t="s">
        <v>1558</v>
      </c>
      <c r="D1133" s="2" t="s">
        <v>189</v>
      </c>
      <c r="E1133" s="2" t="s">
        <v>11</v>
      </c>
      <c r="F1133" s="2" t="s">
        <v>18</v>
      </c>
      <c r="G1133" s="2" t="s">
        <v>19</v>
      </c>
      <c r="H1133" s="2" t="s">
        <v>745</v>
      </c>
      <c r="I1133" s="2" t="s">
        <v>746</v>
      </c>
    </row>
    <row r="1134" spans="1:9" ht="14.5" x14ac:dyDescent="0.35">
      <c r="A1134" s="2">
        <v>2386259</v>
      </c>
      <c r="B1134" s="2" t="str">
        <f>"3328044603970004"</f>
        <v>3328044603970004</v>
      </c>
      <c r="C1134" s="2" t="s">
        <v>1559</v>
      </c>
      <c r="D1134" s="2" t="s">
        <v>10</v>
      </c>
      <c r="E1134" s="2" t="s">
        <v>11</v>
      </c>
      <c r="F1134" s="2" t="s">
        <v>18</v>
      </c>
      <c r="G1134" s="2" t="s">
        <v>19</v>
      </c>
      <c r="H1134" s="2" t="s">
        <v>745</v>
      </c>
      <c r="I1134" s="2" t="s">
        <v>352</v>
      </c>
    </row>
    <row r="1135" spans="1:9" ht="14.5" x14ac:dyDescent="0.35">
      <c r="A1135" s="2">
        <v>851561</v>
      </c>
      <c r="B1135" s="2" t="str">
        <f>"3328044603970004"</f>
        <v>3328044603970004</v>
      </c>
      <c r="C1135" s="2" t="s">
        <v>1560</v>
      </c>
      <c r="D1135" s="2" t="s">
        <v>17</v>
      </c>
      <c r="E1135" s="2" t="s">
        <v>11</v>
      </c>
      <c r="F1135" s="2" t="s">
        <v>50</v>
      </c>
      <c r="G1135" s="2" t="s">
        <v>280</v>
      </c>
      <c r="H1135" s="2" t="s">
        <v>776</v>
      </c>
      <c r="I1135" s="2" t="s">
        <v>777</v>
      </c>
    </row>
    <row r="1136" spans="1:9" ht="14.5" x14ac:dyDescent="0.35">
      <c r="A1136" s="2">
        <v>2530993</v>
      </c>
      <c r="B1136" s="2" t="str">
        <f>"3328044708670002"</f>
        <v>3328044708670002</v>
      </c>
      <c r="C1136" s="2" t="s">
        <v>1561</v>
      </c>
      <c r="D1136" s="2" t="s">
        <v>17</v>
      </c>
      <c r="E1136" s="2" t="s">
        <v>11</v>
      </c>
      <c r="F1136" s="2" t="s">
        <v>18</v>
      </c>
      <c r="G1136" s="2" t="s">
        <v>19</v>
      </c>
      <c r="H1136" s="2" t="s">
        <v>745</v>
      </c>
      <c r="I1136" s="2" t="s">
        <v>352</v>
      </c>
    </row>
    <row r="1137" spans="1:9" ht="14.5" x14ac:dyDescent="0.35">
      <c r="A1137" s="2">
        <v>1802703</v>
      </c>
      <c r="B1137" s="2" t="str">
        <f>"3328044708670002"</f>
        <v>3328044708670002</v>
      </c>
      <c r="C1137" s="2" t="s">
        <v>1562</v>
      </c>
      <c r="D1137" s="2" t="s">
        <v>10</v>
      </c>
      <c r="E1137" s="2" t="s">
        <v>11</v>
      </c>
      <c r="F1137" s="2" t="s">
        <v>50</v>
      </c>
      <c r="G1137" s="2" t="s">
        <v>58</v>
      </c>
      <c r="H1137" s="2" t="s">
        <v>97</v>
      </c>
      <c r="I1137" s="2" t="s">
        <v>97</v>
      </c>
    </row>
    <row r="1138" spans="1:9" ht="14.5" x14ac:dyDescent="0.35">
      <c r="A1138" s="2">
        <v>2344250</v>
      </c>
      <c r="B1138" s="2" t="str">
        <f>"3328044802020001"</f>
        <v>3328044802020001</v>
      </c>
      <c r="C1138" s="2" t="s">
        <v>1563</v>
      </c>
      <c r="D1138" s="2" t="s">
        <v>10</v>
      </c>
      <c r="E1138" s="2" t="s">
        <v>11</v>
      </c>
      <c r="F1138" s="2" t="s">
        <v>18</v>
      </c>
      <c r="G1138" s="2" t="s">
        <v>19</v>
      </c>
      <c r="H1138" s="2" t="s">
        <v>745</v>
      </c>
      <c r="I1138" s="2" t="s">
        <v>1262</v>
      </c>
    </row>
    <row r="1139" spans="1:9" ht="14.5" x14ac:dyDescent="0.35">
      <c r="A1139" s="2">
        <v>1862380</v>
      </c>
      <c r="B1139" s="2" t="str">
        <f>"3328044802020001"</f>
        <v>3328044802020001</v>
      </c>
      <c r="C1139" s="2" t="s">
        <v>1564</v>
      </c>
      <c r="D1139" s="2" t="s">
        <v>10</v>
      </c>
      <c r="E1139" s="2" t="s">
        <v>57</v>
      </c>
      <c r="F1139" s="2" t="s">
        <v>18</v>
      </c>
      <c r="G1139" s="2" t="s">
        <v>733</v>
      </c>
      <c r="H1139" s="2" t="s">
        <v>733</v>
      </c>
      <c r="I1139" s="2" t="s">
        <v>734</v>
      </c>
    </row>
    <row r="1140" spans="1:9" ht="14.5" x14ac:dyDescent="0.35">
      <c r="A1140" s="2">
        <v>2385028</v>
      </c>
      <c r="B1140" s="2" t="str">
        <f>"3328044902910005"</f>
        <v>3328044902910005</v>
      </c>
      <c r="C1140" s="2" t="s">
        <v>1565</v>
      </c>
      <c r="D1140" s="2" t="s">
        <v>10</v>
      </c>
      <c r="E1140" s="2" t="s">
        <v>11</v>
      </c>
      <c r="F1140" s="2" t="s">
        <v>18</v>
      </c>
      <c r="G1140" s="2" t="s">
        <v>19</v>
      </c>
      <c r="H1140" s="2" t="s">
        <v>745</v>
      </c>
      <c r="I1140" s="2" t="s">
        <v>352</v>
      </c>
    </row>
    <row r="1141" spans="1:9" ht="14.5" x14ac:dyDescent="0.35">
      <c r="A1141" s="2">
        <v>1434114</v>
      </c>
      <c r="B1141" s="2" t="str">
        <f>"3328044902910005"</f>
        <v>3328044902910005</v>
      </c>
      <c r="C1141" s="2" t="s">
        <v>1565</v>
      </c>
      <c r="D1141" s="2" t="s">
        <v>10</v>
      </c>
      <c r="E1141" s="2" t="s">
        <v>11</v>
      </c>
      <c r="F1141" s="2" t="s">
        <v>91</v>
      </c>
      <c r="G1141" s="2" t="s">
        <v>903</v>
      </c>
      <c r="H1141" s="2" t="s">
        <v>767</v>
      </c>
      <c r="I1141" s="2" t="s">
        <v>1566</v>
      </c>
    </row>
    <row r="1142" spans="1:9" ht="14.5" x14ac:dyDescent="0.35">
      <c r="A1142" s="2">
        <v>155151</v>
      </c>
      <c r="B1142" s="2" t="str">
        <f>"3328044905950002"</f>
        <v>3328044905950002</v>
      </c>
      <c r="C1142" s="2" t="s">
        <v>1567</v>
      </c>
      <c r="D1142" s="2" t="s">
        <v>10</v>
      </c>
      <c r="E1142" s="2" t="s">
        <v>11</v>
      </c>
      <c r="F1142" s="2" t="s">
        <v>50</v>
      </c>
      <c r="G1142" s="2" t="s">
        <v>280</v>
      </c>
      <c r="H1142" s="2" t="s">
        <v>776</v>
      </c>
      <c r="I1142" s="2" t="s">
        <v>1568</v>
      </c>
    </row>
    <row r="1143" spans="1:9" ht="14.5" x14ac:dyDescent="0.35">
      <c r="A1143" s="2">
        <v>2533289</v>
      </c>
      <c r="B1143" s="2" t="str">
        <f>"3328044905950002"</f>
        <v>3328044905950002</v>
      </c>
      <c r="C1143" s="2" t="s">
        <v>1569</v>
      </c>
      <c r="D1143" s="2" t="s">
        <v>17</v>
      </c>
      <c r="E1143" s="2" t="s">
        <v>11</v>
      </c>
      <c r="F1143" s="2" t="s">
        <v>18</v>
      </c>
      <c r="G1143" s="2" t="s">
        <v>19</v>
      </c>
      <c r="H1143" s="2" t="s">
        <v>745</v>
      </c>
      <c r="I1143" s="2" t="s">
        <v>1406</v>
      </c>
    </row>
    <row r="1144" spans="1:9" ht="14.5" x14ac:dyDescent="0.35">
      <c r="A1144" s="2">
        <v>343426</v>
      </c>
      <c r="B1144" s="2" t="str">
        <f>"3328045106010003"</f>
        <v>3328045106010003</v>
      </c>
      <c r="C1144" s="2" t="s">
        <v>1570</v>
      </c>
      <c r="D1144" s="2" t="s">
        <v>10</v>
      </c>
      <c r="E1144" s="2" t="s">
        <v>11</v>
      </c>
      <c r="F1144" s="2" t="s">
        <v>91</v>
      </c>
      <c r="G1144" s="2" t="s">
        <v>754</v>
      </c>
      <c r="H1144" s="2" t="s">
        <v>1365</v>
      </c>
      <c r="I1144" s="2" t="s">
        <v>1366</v>
      </c>
    </row>
    <row r="1145" spans="1:9" ht="14.5" x14ac:dyDescent="0.35">
      <c r="A1145" s="2">
        <v>2532364</v>
      </c>
      <c r="B1145" s="2" t="str">
        <f>"3328045106010003"</f>
        <v>3328045106010003</v>
      </c>
      <c r="C1145" s="2" t="s">
        <v>1570</v>
      </c>
      <c r="D1145" s="2" t="s">
        <v>17</v>
      </c>
      <c r="E1145" s="2" t="s">
        <v>11</v>
      </c>
      <c r="F1145" s="2" t="s">
        <v>18</v>
      </c>
      <c r="G1145" s="2" t="s">
        <v>19</v>
      </c>
      <c r="H1145" s="2" t="s">
        <v>745</v>
      </c>
      <c r="I1145" s="2" t="s">
        <v>1274</v>
      </c>
    </row>
    <row r="1146" spans="1:9" ht="14.5" x14ac:dyDescent="0.35">
      <c r="A1146" s="2">
        <v>1501756</v>
      </c>
      <c r="B1146" s="2" t="str">
        <f>"3328045106910003"</f>
        <v>3328045106910003</v>
      </c>
      <c r="C1146" s="2" t="s">
        <v>1571</v>
      </c>
      <c r="D1146" s="2" t="s">
        <v>10</v>
      </c>
      <c r="E1146" s="2" t="s">
        <v>11</v>
      </c>
      <c r="F1146" s="2" t="s">
        <v>91</v>
      </c>
      <c r="G1146" s="2" t="s">
        <v>149</v>
      </c>
      <c r="H1146" s="2" t="s">
        <v>1572</v>
      </c>
      <c r="I1146" s="2" t="s">
        <v>1573</v>
      </c>
    </row>
    <row r="1147" spans="1:9" ht="14.5" x14ac:dyDescent="0.35">
      <c r="A1147" s="2">
        <v>2531986</v>
      </c>
      <c r="B1147" s="2" t="str">
        <f>"3328045106910003"</f>
        <v>3328045106910003</v>
      </c>
      <c r="C1147" s="2" t="s">
        <v>1571</v>
      </c>
      <c r="D1147" s="2" t="s">
        <v>17</v>
      </c>
      <c r="E1147" s="2" t="s">
        <v>11</v>
      </c>
      <c r="F1147" s="2" t="s">
        <v>18</v>
      </c>
      <c r="G1147" s="2" t="s">
        <v>19</v>
      </c>
      <c r="H1147" s="2" t="s">
        <v>745</v>
      </c>
      <c r="I1147" s="2" t="s">
        <v>1318</v>
      </c>
    </row>
    <row r="1148" spans="1:9" ht="14.5" x14ac:dyDescent="0.35">
      <c r="A1148" s="2">
        <v>2393987</v>
      </c>
      <c r="B1148" s="2" t="str">
        <f>"3328045107850002"</f>
        <v>3328045107850002</v>
      </c>
      <c r="C1148" s="2" t="s">
        <v>1574</v>
      </c>
      <c r="D1148" s="2" t="s">
        <v>10</v>
      </c>
      <c r="E1148" s="2" t="s">
        <v>11</v>
      </c>
      <c r="F1148" s="2" t="s">
        <v>18</v>
      </c>
      <c r="G1148" s="2" t="s">
        <v>19</v>
      </c>
      <c r="H1148" s="2" t="s">
        <v>745</v>
      </c>
      <c r="I1148" s="2" t="s">
        <v>1274</v>
      </c>
    </row>
    <row r="1149" spans="1:9" ht="14.5" x14ac:dyDescent="0.35">
      <c r="A1149" s="2">
        <v>1694242</v>
      </c>
      <c r="B1149" s="2" t="str">
        <f>"3328045107850002"</f>
        <v>3328045107850002</v>
      </c>
      <c r="C1149" s="2" t="s">
        <v>1575</v>
      </c>
      <c r="D1149" s="2" t="s">
        <v>17</v>
      </c>
      <c r="E1149" s="2" t="s">
        <v>11</v>
      </c>
      <c r="F1149" s="2" t="s">
        <v>18</v>
      </c>
      <c r="G1149" s="2" t="s">
        <v>264</v>
      </c>
      <c r="H1149" s="2" t="s">
        <v>265</v>
      </c>
      <c r="I1149" s="2" t="s">
        <v>1576</v>
      </c>
    </row>
    <row r="1150" spans="1:9" ht="14.5" x14ac:dyDescent="0.35">
      <c r="A1150" s="2">
        <v>2402035</v>
      </c>
      <c r="B1150" s="2" t="str">
        <f>"3328045207670004"</f>
        <v>3328045207670004</v>
      </c>
      <c r="C1150" s="2" t="s">
        <v>1577</v>
      </c>
      <c r="D1150" s="2" t="s">
        <v>10</v>
      </c>
      <c r="E1150" s="2" t="s">
        <v>11</v>
      </c>
      <c r="F1150" s="2" t="s">
        <v>18</v>
      </c>
      <c r="G1150" s="2" t="s">
        <v>19</v>
      </c>
      <c r="H1150" s="2" t="s">
        <v>745</v>
      </c>
      <c r="I1150" s="2" t="s">
        <v>1303</v>
      </c>
    </row>
    <row r="1151" spans="1:9" ht="14.5" x14ac:dyDescent="0.35">
      <c r="A1151" s="2">
        <v>1349029</v>
      </c>
      <c r="B1151" s="2" t="str">
        <f>"3328045207670004"</f>
        <v>3328045207670004</v>
      </c>
      <c r="C1151" s="2" t="s">
        <v>1578</v>
      </c>
      <c r="D1151" s="2" t="s">
        <v>10</v>
      </c>
      <c r="E1151" s="2" t="s">
        <v>57</v>
      </c>
      <c r="F1151" s="2" t="s">
        <v>303</v>
      </c>
      <c r="G1151" s="2" t="s">
        <v>608</v>
      </c>
      <c r="H1151" s="2" t="s">
        <v>609</v>
      </c>
      <c r="I1151" s="2" t="s">
        <v>610</v>
      </c>
    </row>
    <row r="1152" spans="1:9" ht="14.5" x14ac:dyDescent="0.35">
      <c r="A1152" s="2">
        <v>2345665</v>
      </c>
      <c r="B1152" s="2" t="str">
        <f>"3328045404830003"</f>
        <v>3328045404830003</v>
      </c>
      <c r="C1152" s="2" t="s">
        <v>1579</v>
      </c>
      <c r="D1152" s="2" t="s">
        <v>10</v>
      </c>
      <c r="E1152" s="2" t="s">
        <v>11</v>
      </c>
      <c r="F1152" s="2" t="s">
        <v>18</v>
      </c>
      <c r="G1152" s="2" t="s">
        <v>19</v>
      </c>
      <c r="H1152" s="2" t="s">
        <v>745</v>
      </c>
      <c r="I1152" s="2" t="s">
        <v>1262</v>
      </c>
    </row>
    <row r="1153" spans="1:9" ht="14.5" x14ac:dyDescent="0.35">
      <c r="A1153" s="2">
        <v>2429502</v>
      </c>
      <c r="B1153" s="2" t="str">
        <f>"3328045404830003"</f>
        <v>3328045404830003</v>
      </c>
      <c r="C1153" s="2" t="s">
        <v>1579</v>
      </c>
      <c r="D1153" s="2" t="s">
        <v>17</v>
      </c>
      <c r="E1153" s="2" t="s">
        <v>11</v>
      </c>
      <c r="F1153" s="2" t="s">
        <v>50</v>
      </c>
      <c r="G1153" s="2" t="s">
        <v>58</v>
      </c>
      <c r="H1153" s="2" t="s">
        <v>417</v>
      </c>
      <c r="I1153" s="2" t="s">
        <v>1131</v>
      </c>
    </row>
    <row r="1154" spans="1:9" ht="14.5" x14ac:dyDescent="0.35">
      <c r="A1154" s="2">
        <v>2532991</v>
      </c>
      <c r="B1154" s="2" t="str">
        <f>"3328045404960009"</f>
        <v>3328045404960009</v>
      </c>
      <c r="C1154" s="2" t="s">
        <v>1580</v>
      </c>
      <c r="D1154" s="2" t="s">
        <v>17</v>
      </c>
      <c r="E1154" s="2" t="s">
        <v>11</v>
      </c>
      <c r="F1154" s="2" t="s">
        <v>18</v>
      </c>
      <c r="G1154" s="2" t="s">
        <v>19</v>
      </c>
      <c r="H1154" s="2" t="s">
        <v>745</v>
      </c>
      <c r="I1154" s="2" t="s">
        <v>1406</v>
      </c>
    </row>
    <row r="1155" spans="1:9" ht="14.5" x14ac:dyDescent="0.35">
      <c r="A1155" s="2">
        <v>1730793</v>
      </c>
      <c r="B1155" s="2" t="str">
        <f>"3328045404960009"</f>
        <v>3328045404960009</v>
      </c>
      <c r="C1155" s="2" t="s">
        <v>1581</v>
      </c>
      <c r="D1155" s="2" t="s">
        <v>189</v>
      </c>
      <c r="E1155" s="2" t="s">
        <v>11</v>
      </c>
      <c r="F1155" s="2" t="s">
        <v>50</v>
      </c>
      <c r="G1155" s="2" t="s">
        <v>72</v>
      </c>
      <c r="H1155" s="2" t="s">
        <v>1172</v>
      </c>
      <c r="I1155" s="2" t="s">
        <v>226</v>
      </c>
    </row>
    <row r="1156" spans="1:9" ht="14.5" x14ac:dyDescent="0.35">
      <c r="A1156" s="2">
        <v>2353287</v>
      </c>
      <c r="B1156" s="2" t="str">
        <f>"3328045501960005"</f>
        <v>3328045501960005</v>
      </c>
      <c r="C1156" s="2" t="s">
        <v>1582</v>
      </c>
      <c r="D1156" s="2" t="s">
        <v>10</v>
      </c>
      <c r="E1156" s="2" t="s">
        <v>11</v>
      </c>
      <c r="F1156" s="2" t="s">
        <v>18</v>
      </c>
      <c r="G1156" s="2" t="s">
        <v>19</v>
      </c>
      <c r="H1156" s="2" t="s">
        <v>745</v>
      </c>
      <c r="I1156" s="2" t="s">
        <v>1406</v>
      </c>
    </row>
    <row r="1157" spans="1:9" ht="14.5" x14ac:dyDescent="0.35">
      <c r="A1157" s="2">
        <v>1462314</v>
      </c>
      <c r="B1157" s="2" t="str">
        <f>"3328045501960005"</f>
        <v>3328045501960005</v>
      </c>
      <c r="C1157" s="2" t="s">
        <v>1583</v>
      </c>
      <c r="D1157" s="2" t="s">
        <v>17</v>
      </c>
      <c r="E1157" s="2" t="s">
        <v>11</v>
      </c>
      <c r="F1157" s="2" t="s">
        <v>303</v>
      </c>
      <c r="G1157" s="2" t="s">
        <v>304</v>
      </c>
      <c r="H1157" s="2" t="s">
        <v>1381</v>
      </c>
      <c r="I1157" s="2" t="s">
        <v>1381</v>
      </c>
    </row>
    <row r="1158" spans="1:9" ht="14.5" x14ac:dyDescent="0.35">
      <c r="A1158" s="2">
        <v>2260554</v>
      </c>
      <c r="B1158" s="2" t="str">
        <f>"3328045506870004"</f>
        <v>3328045506870004</v>
      </c>
      <c r="C1158" s="2" t="s">
        <v>1143</v>
      </c>
      <c r="D1158" s="2" t="s">
        <v>10</v>
      </c>
      <c r="E1158" s="2" t="s">
        <v>11</v>
      </c>
      <c r="F1158" s="2" t="s">
        <v>18</v>
      </c>
      <c r="G1158" s="2" t="s">
        <v>19</v>
      </c>
      <c r="H1158" s="2" t="s">
        <v>745</v>
      </c>
      <c r="I1158" s="2" t="s">
        <v>1298</v>
      </c>
    </row>
    <row r="1159" spans="1:9" ht="14.5" x14ac:dyDescent="0.35">
      <c r="A1159" s="2">
        <v>1135983</v>
      </c>
      <c r="B1159" s="2" t="str">
        <f>"3328045506870004"</f>
        <v>3328045506870004</v>
      </c>
      <c r="C1159" s="2" t="s">
        <v>1143</v>
      </c>
      <c r="D1159" s="2" t="s">
        <v>17</v>
      </c>
      <c r="E1159" s="2" t="s">
        <v>11</v>
      </c>
      <c r="F1159" s="2" t="s">
        <v>303</v>
      </c>
      <c r="G1159" s="2" t="s">
        <v>1584</v>
      </c>
      <c r="H1159" s="2" t="s">
        <v>1585</v>
      </c>
      <c r="I1159" s="2" t="s">
        <v>1586</v>
      </c>
    </row>
    <row r="1160" spans="1:9" ht="14.5" x14ac:dyDescent="0.35">
      <c r="A1160" s="2">
        <v>2344857</v>
      </c>
      <c r="B1160" s="2" t="str">
        <f>"3328045607900001"</f>
        <v>3328045607900001</v>
      </c>
      <c r="C1160" s="2" t="s">
        <v>1587</v>
      </c>
      <c r="D1160" s="2" t="s">
        <v>10</v>
      </c>
      <c r="E1160" s="2" t="s">
        <v>11</v>
      </c>
      <c r="F1160" s="2" t="s">
        <v>18</v>
      </c>
      <c r="G1160" s="2" t="s">
        <v>19</v>
      </c>
      <c r="H1160" s="2" t="s">
        <v>745</v>
      </c>
      <c r="I1160" s="2" t="s">
        <v>1262</v>
      </c>
    </row>
    <row r="1161" spans="1:9" ht="14.5" x14ac:dyDescent="0.35">
      <c r="A1161" s="2">
        <v>860671</v>
      </c>
      <c r="B1161" s="2" t="str">
        <f>"3328045607900001"</f>
        <v>3328045607900001</v>
      </c>
      <c r="C1161" s="2" t="s">
        <v>1587</v>
      </c>
      <c r="D1161" s="2" t="s">
        <v>17</v>
      </c>
      <c r="E1161" s="2" t="s">
        <v>11</v>
      </c>
      <c r="F1161" s="2" t="s">
        <v>379</v>
      </c>
      <c r="G1161" s="2" t="s">
        <v>1206</v>
      </c>
      <c r="H1161" s="2" t="s">
        <v>1588</v>
      </c>
      <c r="I1161" s="2" t="s">
        <v>1589</v>
      </c>
    </row>
    <row r="1162" spans="1:9" ht="14.5" x14ac:dyDescent="0.35">
      <c r="A1162" s="2">
        <v>540260</v>
      </c>
      <c r="B1162" s="2" t="str">
        <f>"3328045803030003"</f>
        <v>3328045803030003</v>
      </c>
      <c r="C1162" s="2" t="s">
        <v>1590</v>
      </c>
      <c r="D1162" s="2" t="s">
        <v>10</v>
      </c>
      <c r="E1162" s="2" t="s">
        <v>11</v>
      </c>
      <c r="F1162" s="2" t="s">
        <v>50</v>
      </c>
      <c r="G1162" s="2" t="s">
        <v>58</v>
      </c>
      <c r="H1162" s="2" t="s">
        <v>316</v>
      </c>
      <c r="I1162" s="2" t="s">
        <v>1293</v>
      </c>
    </row>
    <row r="1163" spans="1:9" ht="14.5" x14ac:dyDescent="0.35">
      <c r="A1163" s="2">
        <v>2530917</v>
      </c>
      <c r="B1163" s="2" t="str">
        <f>"3328045803030003"</f>
        <v>3328045803030003</v>
      </c>
      <c r="C1163" s="2" t="s">
        <v>1591</v>
      </c>
      <c r="D1163" s="2" t="s">
        <v>17</v>
      </c>
      <c r="E1163" s="2" t="s">
        <v>11</v>
      </c>
      <c r="F1163" s="2" t="s">
        <v>18</v>
      </c>
      <c r="G1163" s="2" t="s">
        <v>19</v>
      </c>
      <c r="H1163" s="2" t="s">
        <v>745</v>
      </c>
      <c r="I1163" s="2" t="s">
        <v>352</v>
      </c>
    </row>
    <row r="1164" spans="1:9" ht="14.5" x14ac:dyDescent="0.35">
      <c r="A1164" s="2">
        <v>1517753</v>
      </c>
      <c r="B1164" s="2" t="str">
        <f>"3328045804910004"</f>
        <v>3328045804910004</v>
      </c>
      <c r="C1164" s="2" t="s">
        <v>1592</v>
      </c>
      <c r="D1164" s="2" t="s">
        <v>10</v>
      </c>
      <c r="E1164" s="2" t="s">
        <v>11</v>
      </c>
      <c r="F1164" s="2" t="s">
        <v>18</v>
      </c>
      <c r="G1164" s="2" t="s">
        <v>184</v>
      </c>
      <c r="H1164" s="2" t="s">
        <v>1266</v>
      </c>
      <c r="I1164" s="2" t="s">
        <v>1359</v>
      </c>
    </row>
    <row r="1165" spans="1:9" ht="14.5" x14ac:dyDescent="0.35">
      <c r="A1165" s="2">
        <v>2531015</v>
      </c>
      <c r="B1165" s="2" t="str">
        <f>"3328045804910004"</f>
        <v>3328045804910004</v>
      </c>
      <c r="C1165" s="2" t="s">
        <v>1592</v>
      </c>
      <c r="D1165" s="2" t="s">
        <v>17</v>
      </c>
      <c r="E1165" s="2" t="s">
        <v>11</v>
      </c>
      <c r="F1165" s="2" t="s">
        <v>18</v>
      </c>
      <c r="G1165" s="2" t="s">
        <v>19</v>
      </c>
      <c r="H1165" s="2" t="s">
        <v>745</v>
      </c>
      <c r="I1165" s="2" t="s">
        <v>352</v>
      </c>
    </row>
    <row r="1166" spans="1:9" ht="14.5" x14ac:dyDescent="0.35">
      <c r="A1166" s="2">
        <v>436834</v>
      </c>
      <c r="B1166" s="2" t="str">
        <f>"3328045805900004"</f>
        <v>3328045805900004</v>
      </c>
      <c r="C1166" s="2" t="s">
        <v>1593</v>
      </c>
      <c r="D1166" s="2" t="s">
        <v>10</v>
      </c>
      <c r="E1166" s="2" t="s">
        <v>11</v>
      </c>
      <c r="F1166" s="2" t="s">
        <v>44</v>
      </c>
      <c r="G1166" s="2" t="s">
        <v>1594</v>
      </c>
      <c r="H1166" s="2" t="s">
        <v>1595</v>
      </c>
      <c r="I1166" s="2" t="s">
        <v>1596</v>
      </c>
    </row>
    <row r="1167" spans="1:9" ht="14.5" x14ac:dyDescent="0.35">
      <c r="A1167" s="2">
        <v>2532902</v>
      </c>
      <c r="B1167" s="2" t="str">
        <f>"3328045805900004"</f>
        <v>3328045805900004</v>
      </c>
      <c r="C1167" s="2" t="s">
        <v>1593</v>
      </c>
      <c r="D1167" s="2" t="s">
        <v>17</v>
      </c>
      <c r="E1167" s="2" t="s">
        <v>11</v>
      </c>
      <c r="F1167" s="2" t="s">
        <v>18</v>
      </c>
      <c r="G1167" s="2" t="s">
        <v>19</v>
      </c>
      <c r="H1167" s="2" t="s">
        <v>745</v>
      </c>
      <c r="I1167" s="2" t="s">
        <v>1406</v>
      </c>
    </row>
    <row r="1168" spans="1:9" ht="14.5" x14ac:dyDescent="0.35">
      <c r="A1168" s="2">
        <v>2292418</v>
      </c>
      <c r="B1168" s="2" t="str">
        <f>"3328045805970006"</f>
        <v>3328045805970006</v>
      </c>
      <c r="C1168" s="2" t="s">
        <v>1597</v>
      </c>
      <c r="D1168" s="2" t="s">
        <v>10</v>
      </c>
      <c r="E1168" s="2" t="s">
        <v>11</v>
      </c>
      <c r="F1168" s="2" t="s">
        <v>18</v>
      </c>
      <c r="G1168" s="2" t="s">
        <v>19</v>
      </c>
      <c r="H1168" s="2" t="s">
        <v>745</v>
      </c>
      <c r="I1168" s="2" t="s">
        <v>1264</v>
      </c>
    </row>
    <row r="1169" spans="1:9" ht="14.5" x14ac:dyDescent="0.35">
      <c r="A1169" s="2">
        <v>1694941</v>
      </c>
      <c r="B1169" s="2" t="str">
        <f>"3328045805970006"</f>
        <v>3328045805970006</v>
      </c>
      <c r="C1169" s="2" t="s">
        <v>1597</v>
      </c>
      <c r="D1169" s="2" t="s">
        <v>17</v>
      </c>
      <c r="E1169" s="2" t="s">
        <v>11</v>
      </c>
      <c r="F1169" s="2" t="s">
        <v>18</v>
      </c>
      <c r="G1169" s="2" t="s">
        <v>264</v>
      </c>
      <c r="H1169" s="2" t="s">
        <v>265</v>
      </c>
      <c r="I1169" s="2" t="s">
        <v>1598</v>
      </c>
    </row>
    <row r="1170" spans="1:9" ht="14.5" x14ac:dyDescent="0.35">
      <c r="A1170" s="2">
        <v>2345042</v>
      </c>
      <c r="B1170" s="2" t="str">
        <f>"3328046109040002"</f>
        <v>3328046109040002</v>
      </c>
      <c r="C1170" s="2" t="s">
        <v>1599</v>
      </c>
      <c r="D1170" s="2" t="s">
        <v>10</v>
      </c>
      <c r="E1170" s="2" t="s">
        <v>11</v>
      </c>
      <c r="F1170" s="2" t="s">
        <v>18</v>
      </c>
      <c r="G1170" s="2" t="s">
        <v>19</v>
      </c>
      <c r="H1170" s="2" t="s">
        <v>745</v>
      </c>
      <c r="I1170" s="2" t="s">
        <v>1262</v>
      </c>
    </row>
    <row r="1171" spans="1:9" ht="14.5" x14ac:dyDescent="0.35">
      <c r="A1171" s="2">
        <v>1384111</v>
      </c>
      <c r="B1171" s="2" t="str">
        <f>"3328046109040002"</f>
        <v>3328046109040002</v>
      </c>
      <c r="C1171" s="2" t="s">
        <v>1600</v>
      </c>
      <c r="D1171" s="2" t="s">
        <v>10</v>
      </c>
      <c r="E1171" s="2" t="s">
        <v>11</v>
      </c>
      <c r="F1171" s="2" t="s">
        <v>303</v>
      </c>
      <c r="G1171" s="2" t="s">
        <v>608</v>
      </c>
      <c r="H1171" s="2" t="s">
        <v>1601</v>
      </c>
      <c r="I1171" s="2" t="s">
        <v>1602</v>
      </c>
    </row>
    <row r="1172" spans="1:9" ht="14.5" x14ac:dyDescent="0.35">
      <c r="A1172" s="2">
        <v>1352875</v>
      </c>
      <c r="B1172" s="2" t="str">
        <f>"3328046410030003"</f>
        <v>3328046410030003</v>
      </c>
      <c r="C1172" s="2" t="s">
        <v>1603</v>
      </c>
      <c r="D1172" s="2" t="s">
        <v>10</v>
      </c>
      <c r="E1172" s="2" t="s">
        <v>57</v>
      </c>
      <c r="F1172" s="2" t="s">
        <v>303</v>
      </c>
      <c r="G1172" s="2" t="s">
        <v>608</v>
      </c>
      <c r="H1172" s="2" t="s">
        <v>609</v>
      </c>
      <c r="I1172" s="2" t="s">
        <v>610</v>
      </c>
    </row>
    <row r="1173" spans="1:9" ht="14.5" x14ac:dyDescent="0.35">
      <c r="A1173" s="2">
        <v>2573855</v>
      </c>
      <c r="B1173" s="2" t="str">
        <f>"3328046410030003"</f>
        <v>3328046410030003</v>
      </c>
      <c r="C1173" s="2" t="s">
        <v>1604</v>
      </c>
      <c r="D1173" s="2" t="s">
        <v>17</v>
      </c>
      <c r="E1173" s="2" t="s">
        <v>11</v>
      </c>
      <c r="F1173" s="2" t="s">
        <v>18</v>
      </c>
      <c r="G1173" s="2" t="s">
        <v>19</v>
      </c>
      <c r="H1173" s="2" t="s">
        <v>745</v>
      </c>
      <c r="I1173" s="2" t="s">
        <v>746</v>
      </c>
    </row>
    <row r="1174" spans="1:9" ht="14.5" x14ac:dyDescent="0.35">
      <c r="A1174" s="2">
        <v>2336269</v>
      </c>
      <c r="B1174" s="2" t="str">
        <f>"3328046506790002"</f>
        <v>3328046506790002</v>
      </c>
      <c r="C1174" s="2" t="s">
        <v>1605</v>
      </c>
      <c r="D1174" s="2" t="s">
        <v>10</v>
      </c>
      <c r="E1174" s="2" t="s">
        <v>11</v>
      </c>
      <c r="F1174" s="2" t="s">
        <v>18</v>
      </c>
      <c r="G1174" s="2" t="s">
        <v>19</v>
      </c>
      <c r="H1174" s="2" t="s">
        <v>745</v>
      </c>
      <c r="I1174" s="2" t="s">
        <v>1277</v>
      </c>
    </row>
    <row r="1175" spans="1:9" ht="14.5" x14ac:dyDescent="0.35">
      <c r="A1175" s="2">
        <v>2416153</v>
      </c>
      <c r="B1175" s="2" t="str">
        <f>"3328046506790002"</f>
        <v>3328046506790002</v>
      </c>
      <c r="C1175" s="2" t="s">
        <v>1605</v>
      </c>
      <c r="D1175" s="2" t="s">
        <v>17</v>
      </c>
      <c r="E1175" s="2" t="s">
        <v>11</v>
      </c>
      <c r="F1175" s="2" t="s">
        <v>50</v>
      </c>
      <c r="G1175" s="2" t="s">
        <v>58</v>
      </c>
      <c r="H1175" s="2" t="s">
        <v>97</v>
      </c>
      <c r="I1175" s="2" t="s">
        <v>935</v>
      </c>
    </row>
    <row r="1176" spans="1:9" ht="14.5" x14ac:dyDescent="0.35">
      <c r="A1176" s="2">
        <v>48931</v>
      </c>
      <c r="B1176" s="2" t="str">
        <f>"3328046512880006"</f>
        <v>3328046512880006</v>
      </c>
      <c r="C1176" s="2" t="s">
        <v>1606</v>
      </c>
      <c r="D1176" s="2" t="s">
        <v>10</v>
      </c>
      <c r="E1176" s="2" t="s">
        <v>11</v>
      </c>
      <c r="F1176" s="2" t="s">
        <v>521</v>
      </c>
      <c r="G1176" s="2" t="s">
        <v>657</v>
      </c>
      <c r="H1176" s="2" t="s">
        <v>1390</v>
      </c>
      <c r="I1176" s="2" t="s">
        <v>1391</v>
      </c>
    </row>
    <row r="1177" spans="1:9" ht="14.5" x14ac:dyDescent="0.35">
      <c r="A1177" s="2">
        <v>2530279</v>
      </c>
      <c r="B1177" s="2" t="str">
        <f>"3328046512880006"</f>
        <v>3328046512880006</v>
      </c>
      <c r="C1177" s="2" t="s">
        <v>1606</v>
      </c>
      <c r="D1177" s="2" t="s">
        <v>17</v>
      </c>
      <c r="E1177" s="2" t="s">
        <v>11</v>
      </c>
      <c r="F1177" s="2" t="s">
        <v>18</v>
      </c>
      <c r="G1177" s="2" t="s">
        <v>19</v>
      </c>
      <c r="H1177" s="2" t="s">
        <v>745</v>
      </c>
      <c r="I1177" s="2" t="s">
        <v>1257</v>
      </c>
    </row>
    <row r="1178" spans="1:9" ht="14.5" x14ac:dyDescent="0.35">
      <c r="A1178" s="2">
        <v>2355959</v>
      </c>
      <c r="B1178" s="2" t="str">
        <f>"3328046710880003"</f>
        <v>3328046710880003</v>
      </c>
      <c r="C1178" s="2" t="s">
        <v>1607</v>
      </c>
      <c r="D1178" s="2" t="s">
        <v>189</v>
      </c>
      <c r="E1178" s="2" t="s">
        <v>11</v>
      </c>
      <c r="F1178" s="2" t="s">
        <v>18</v>
      </c>
      <c r="G1178" s="2" t="s">
        <v>19</v>
      </c>
      <c r="H1178" s="2" t="s">
        <v>745</v>
      </c>
      <c r="I1178" s="2" t="s">
        <v>1314</v>
      </c>
    </row>
    <row r="1179" spans="1:9" ht="14.5" x14ac:dyDescent="0.35">
      <c r="A1179" s="2">
        <v>865012</v>
      </c>
      <c r="B1179" s="2" t="str">
        <f>"3328046710880003"</f>
        <v>3328046710880003</v>
      </c>
      <c r="C1179" s="2" t="s">
        <v>1607</v>
      </c>
      <c r="D1179" s="2" t="s">
        <v>17</v>
      </c>
      <c r="E1179" s="2" t="s">
        <v>11</v>
      </c>
      <c r="F1179" s="2" t="s">
        <v>379</v>
      </c>
      <c r="G1179" s="2" t="s">
        <v>1206</v>
      </c>
      <c r="H1179" s="2" t="s">
        <v>1207</v>
      </c>
      <c r="I1179" s="2" t="s">
        <v>1608</v>
      </c>
    </row>
    <row r="1180" spans="1:9" ht="14.5" x14ac:dyDescent="0.35">
      <c r="A1180" s="2">
        <v>2346738</v>
      </c>
      <c r="B1180" s="2" t="str">
        <f>"3328046909010004"</f>
        <v>3328046909010004</v>
      </c>
      <c r="C1180" s="2" t="s">
        <v>1609</v>
      </c>
      <c r="D1180" s="2" t="s">
        <v>10</v>
      </c>
      <c r="E1180" s="2" t="s">
        <v>11</v>
      </c>
      <c r="F1180" s="2" t="s">
        <v>18</v>
      </c>
      <c r="G1180" s="2" t="s">
        <v>19</v>
      </c>
      <c r="H1180" s="2" t="s">
        <v>745</v>
      </c>
      <c r="I1180" s="2" t="s">
        <v>1262</v>
      </c>
    </row>
    <row r="1181" spans="1:9" ht="14.5" x14ac:dyDescent="0.35">
      <c r="A1181" s="2">
        <v>1862976</v>
      </c>
      <c r="B1181" s="2" t="str">
        <f>"3328046909010004"</f>
        <v>3328046909010004</v>
      </c>
      <c r="C1181" s="2" t="s">
        <v>1610</v>
      </c>
      <c r="D1181" s="2" t="s">
        <v>10</v>
      </c>
      <c r="E1181" s="2" t="s">
        <v>57</v>
      </c>
      <c r="F1181" s="2" t="s">
        <v>18</v>
      </c>
      <c r="G1181" s="2" t="s">
        <v>733</v>
      </c>
      <c r="H1181" s="2" t="s">
        <v>1127</v>
      </c>
      <c r="I1181" s="2" t="s">
        <v>1127</v>
      </c>
    </row>
    <row r="1182" spans="1:9" ht="14.5" x14ac:dyDescent="0.35">
      <c r="A1182" s="2">
        <v>426694</v>
      </c>
      <c r="B1182" s="2" t="str">
        <f>"3328047005940006"</f>
        <v>3328047005940006</v>
      </c>
      <c r="C1182" s="2" t="s">
        <v>1611</v>
      </c>
      <c r="D1182" s="2" t="s">
        <v>10</v>
      </c>
      <c r="E1182" s="2" t="s">
        <v>11</v>
      </c>
      <c r="F1182" s="2" t="s">
        <v>50</v>
      </c>
      <c r="G1182" s="2" t="s">
        <v>280</v>
      </c>
      <c r="H1182" s="2" t="s">
        <v>281</v>
      </c>
      <c r="I1182" s="2" t="s">
        <v>1256</v>
      </c>
    </row>
    <row r="1183" spans="1:9" ht="14.5" x14ac:dyDescent="0.35">
      <c r="A1183" s="2">
        <v>2530248</v>
      </c>
      <c r="B1183" s="2" t="str">
        <f>"3328047005940006"</f>
        <v>3328047005940006</v>
      </c>
      <c r="C1183" s="2" t="s">
        <v>1611</v>
      </c>
      <c r="D1183" s="2" t="s">
        <v>17</v>
      </c>
      <c r="E1183" s="2" t="s">
        <v>11</v>
      </c>
      <c r="F1183" s="2" t="s">
        <v>18</v>
      </c>
      <c r="G1183" s="2" t="s">
        <v>19</v>
      </c>
      <c r="H1183" s="2" t="s">
        <v>745</v>
      </c>
      <c r="I1183" s="2" t="s">
        <v>1257</v>
      </c>
    </row>
    <row r="1184" spans="1:9" ht="14.5" x14ac:dyDescent="0.35">
      <c r="A1184" s="2">
        <v>1075216</v>
      </c>
      <c r="B1184" s="2" t="str">
        <f>"3328047101960001"</f>
        <v>3328047101960001</v>
      </c>
      <c r="C1184" s="2" t="s">
        <v>1612</v>
      </c>
      <c r="D1184" s="2" t="s">
        <v>10</v>
      </c>
      <c r="E1184" s="2" t="s">
        <v>11</v>
      </c>
      <c r="F1184" s="2" t="s">
        <v>50</v>
      </c>
      <c r="G1184" s="2" t="s">
        <v>51</v>
      </c>
      <c r="H1184" s="2" t="s">
        <v>52</v>
      </c>
      <c r="I1184" s="2" t="s">
        <v>52</v>
      </c>
    </row>
    <row r="1185" spans="1:9" ht="14.5" x14ac:dyDescent="0.35">
      <c r="A1185" s="2">
        <v>2533668</v>
      </c>
      <c r="B1185" s="2" t="str">
        <f>"3328047101960001"</f>
        <v>3328047101960001</v>
      </c>
      <c r="C1185" s="2" t="s">
        <v>1613</v>
      </c>
      <c r="D1185" s="2" t="s">
        <v>17</v>
      </c>
      <c r="E1185" s="2" t="s">
        <v>11</v>
      </c>
      <c r="F1185" s="2" t="s">
        <v>18</v>
      </c>
      <c r="G1185" s="2" t="s">
        <v>19</v>
      </c>
      <c r="H1185" s="2" t="s">
        <v>745</v>
      </c>
      <c r="I1185" s="2" t="s">
        <v>1264</v>
      </c>
    </row>
    <row r="1186" spans="1:9" ht="14.5" x14ac:dyDescent="0.35">
      <c r="A1186" s="2">
        <v>2350485</v>
      </c>
      <c r="B1186" s="2" t="str">
        <f>"3328047112590022"</f>
        <v>3328047112590022</v>
      </c>
      <c r="C1186" s="2" t="s">
        <v>1614</v>
      </c>
      <c r="D1186" s="2" t="s">
        <v>10</v>
      </c>
      <c r="E1186" s="2" t="s">
        <v>11</v>
      </c>
      <c r="F1186" s="2" t="s">
        <v>18</v>
      </c>
      <c r="G1186" s="2" t="s">
        <v>19</v>
      </c>
      <c r="H1186" s="2" t="s">
        <v>745</v>
      </c>
      <c r="I1186" s="2" t="s">
        <v>1406</v>
      </c>
    </row>
    <row r="1187" spans="1:9" ht="14.5" x14ac:dyDescent="0.35">
      <c r="A1187" s="2">
        <v>2573469</v>
      </c>
      <c r="B1187" s="2" t="str">
        <f>"3328047112590022"</f>
        <v>3328047112590022</v>
      </c>
      <c r="C1187" s="2" t="s">
        <v>1615</v>
      </c>
      <c r="D1187" s="2" t="s">
        <v>17</v>
      </c>
      <c r="E1187" s="2" t="s">
        <v>11</v>
      </c>
      <c r="F1187" s="2" t="s">
        <v>18</v>
      </c>
      <c r="G1187" s="2" t="s">
        <v>19</v>
      </c>
      <c r="H1187" s="2" t="s">
        <v>745</v>
      </c>
      <c r="I1187" s="2" t="s">
        <v>746</v>
      </c>
    </row>
    <row r="1188" spans="1:9" ht="14.5" x14ac:dyDescent="0.35">
      <c r="A1188" s="2">
        <v>765434</v>
      </c>
      <c r="B1188" s="2" t="str">
        <f>"3328047112830010"</f>
        <v>3328047112830010</v>
      </c>
      <c r="C1188" s="2" t="s">
        <v>1616</v>
      </c>
      <c r="D1188" s="2" t="s">
        <v>10</v>
      </c>
      <c r="E1188" s="2" t="s">
        <v>11</v>
      </c>
      <c r="F1188" s="2" t="s">
        <v>18</v>
      </c>
      <c r="G1188" s="2" t="s">
        <v>264</v>
      </c>
      <c r="H1188" s="2" t="s">
        <v>773</v>
      </c>
      <c r="I1188" s="2" t="s">
        <v>1454</v>
      </c>
    </row>
    <row r="1189" spans="1:9" ht="14.5" x14ac:dyDescent="0.35">
      <c r="A1189" s="2">
        <v>2534003</v>
      </c>
      <c r="B1189" s="2" t="str">
        <f>"3328047112830010"</f>
        <v>3328047112830010</v>
      </c>
      <c r="C1189" s="2" t="s">
        <v>1617</v>
      </c>
      <c r="D1189" s="2" t="s">
        <v>17</v>
      </c>
      <c r="E1189" s="2" t="s">
        <v>11</v>
      </c>
      <c r="F1189" s="2" t="s">
        <v>18</v>
      </c>
      <c r="G1189" s="2" t="s">
        <v>19</v>
      </c>
      <c r="H1189" s="2" t="s">
        <v>745</v>
      </c>
      <c r="I1189" s="2" t="s">
        <v>1277</v>
      </c>
    </row>
    <row r="1190" spans="1:9" ht="14.5" x14ac:dyDescent="0.35">
      <c r="A1190" s="2">
        <v>126057</v>
      </c>
      <c r="B1190" s="2" t="str">
        <f>"3328062003840009"</f>
        <v>3328062003840009</v>
      </c>
      <c r="C1190" s="2" t="s">
        <v>1618</v>
      </c>
      <c r="D1190" s="2" t="s">
        <v>10</v>
      </c>
      <c r="E1190" s="2" t="s">
        <v>11</v>
      </c>
      <c r="F1190" s="2" t="s">
        <v>18</v>
      </c>
      <c r="G1190" s="2" t="s">
        <v>1522</v>
      </c>
      <c r="H1190" s="2" t="s">
        <v>1619</v>
      </c>
      <c r="I1190" s="2" t="s">
        <v>1620</v>
      </c>
    </row>
    <row r="1191" spans="1:9" ht="14.5" x14ac:dyDescent="0.35">
      <c r="A1191" s="2">
        <v>2531751</v>
      </c>
      <c r="B1191" s="2" t="str">
        <f>"3328062003840009"</f>
        <v>3328062003840009</v>
      </c>
      <c r="C1191" s="2" t="s">
        <v>1621</v>
      </c>
      <c r="D1191" s="2" t="s">
        <v>17</v>
      </c>
      <c r="E1191" s="2" t="s">
        <v>11</v>
      </c>
      <c r="F1191" s="2" t="s">
        <v>18</v>
      </c>
      <c r="G1191" s="2" t="s">
        <v>19</v>
      </c>
      <c r="H1191" s="2" t="s">
        <v>745</v>
      </c>
      <c r="I1191" s="2" t="s">
        <v>1262</v>
      </c>
    </row>
    <row r="1192" spans="1:9" ht="14.5" x14ac:dyDescent="0.35">
      <c r="A1192" s="2">
        <v>18744</v>
      </c>
      <c r="B1192" s="2" t="str">
        <f>"3329041109910002"</f>
        <v>3329041109910002</v>
      </c>
      <c r="C1192" s="2" t="s">
        <v>1622</v>
      </c>
      <c r="D1192" s="2" t="s">
        <v>10</v>
      </c>
      <c r="E1192" s="2" t="s">
        <v>11</v>
      </c>
      <c r="F1192" s="2" t="s">
        <v>303</v>
      </c>
      <c r="G1192" s="2" t="s">
        <v>608</v>
      </c>
      <c r="H1192" s="2" t="s">
        <v>1623</v>
      </c>
      <c r="I1192" s="2" t="s">
        <v>1624</v>
      </c>
    </row>
    <row r="1193" spans="1:9" ht="14.5" x14ac:dyDescent="0.35">
      <c r="A1193" s="2">
        <v>2533408</v>
      </c>
      <c r="B1193" s="2" t="str">
        <f>"3329041109910002"</f>
        <v>3329041109910002</v>
      </c>
      <c r="C1193" s="2" t="s">
        <v>1622</v>
      </c>
      <c r="D1193" s="2" t="s">
        <v>17</v>
      </c>
      <c r="E1193" s="2" t="s">
        <v>11</v>
      </c>
      <c r="F1193" s="2" t="s">
        <v>18</v>
      </c>
      <c r="G1193" s="2" t="s">
        <v>19</v>
      </c>
      <c r="H1193" s="2" t="s">
        <v>745</v>
      </c>
      <c r="I1193" s="2" t="s">
        <v>1314</v>
      </c>
    </row>
    <row r="1194" spans="1:9" ht="14.5" x14ac:dyDescent="0.35">
      <c r="A1194" s="2">
        <v>1493960</v>
      </c>
      <c r="B1194" s="2" t="str">
        <f>"3329051211010001"</f>
        <v>3329051211010001</v>
      </c>
      <c r="C1194" s="2" t="s">
        <v>1625</v>
      </c>
      <c r="D1194" s="2" t="s">
        <v>10</v>
      </c>
      <c r="E1194" s="2" t="s">
        <v>11</v>
      </c>
      <c r="F1194" s="2" t="s">
        <v>18</v>
      </c>
      <c r="G1194" s="2" t="s">
        <v>264</v>
      </c>
      <c r="H1194" s="2" t="s">
        <v>289</v>
      </c>
      <c r="I1194" s="2" t="s">
        <v>853</v>
      </c>
    </row>
    <row r="1195" spans="1:9" ht="14.5" x14ac:dyDescent="0.35">
      <c r="A1195" s="2">
        <v>2532323</v>
      </c>
      <c r="B1195" s="2" t="str">
        <f>"3329051211010001"</f>
        <v>3329051211010001</v>
      </c>
      <c r="C1195" s="2" t="s">
        <v>1625</v>
      </c>
      <c r="D1195" s="2" t="s">
        <v>17</v>
      </c>
      <c r="E1195" s="2" t="s">
        <v>11</v>
      </c>
      <c r="F1195" s="2" t="s">
        <v>18</v>
      </c>
      <c r="G1195" s="2" t="s">
        <v>19</v>
      </c>
      <c r="H1195" s="2" t="s">
        <v>745</v>
      </c>
      <c r="I1195" s="2" t="s">
        <v>1274</v>
      </c>
    </row>
    <row r="1196" spans="1:9" ht="14.5" x14ac:dyDescent="0.35">
      <c r="A1196" s="2">
        <v>2402301</v>
      </c>
      <c r="B1196" s="2" t="str">
        <f>"3329060309010003"</f>
        <v>3329060309010003</v>
      </c>
      <c r="C1196" s="2" t="s">
        <v>1626</v>
      </c>
      <c r="D1196" s="2" t="s">
        <v>189</v>
      </c>
      <c r="E1196" s="2" t="s">
        <v>11</v>
      </c>
      <c r="F1196" s="2" t="s">
        <v>18</v>
      </c>
      <c r="G1196" s="2" t="s">
        <v>19</v>
      </c>
      <c r="H1196" s="2" t="s">
        <v>745</v>
      </c>
      <c r="I1196" s="2" t="s">
        <v>1303</v>
      </c>
    </row>
    <row r="1197" spans="1:9" ht="14.5" x14ac:dyDescent="0.35">
      <c r="A1197" s="2">
        <v>1352651</v>
      </c>
      <c r="B1197" s="2" t="str">
        <f>"3329060309010003"</f>
        <v>3329060309010003</v>
      </c>
      <c r="C1197" s="2" t="s">
        <v>1626</v>
      </c>
      <c r="D1197" s="2" t="s">
        <v>10</v>
      </c>
      <c r="E1197" s="2" t="s">
        <v>57</v>
      </c>
      <c r="F1197" s="2" t="s">
        <v>303</v>
      </c>
      <c r="G1197" s="2" t="s">
        <v>608</v>
      </c>
      <c r="H1197" s="2" t="s">
        <v>609</v>
      </c>
      <c r="I1197" s="2" t="s">
        <v>610</v>
      </c>
    </row>
    <row r="1198" spans="1:9" ht="14.5" x14ac:dyDescent="0.35">
      <c r="A1198" s="2">
        <v>1381977</v>
      </c>
      <c r="B1198" s="2" t="str">
        <f>"3329070403970003"</f>
        <v>3329070403970003</v>
      </c>
      <c r="C1198" s="2" t="s">
        <v>1627</v>
      </c>
      <c r="D1198" s="2" t="s">
        <v>10</v>
      </c>
      <c r="E1198" s="2" t="s">
        <v>11</v>
      </c>
      <c r="F1198" s="2" t="s">
        <v>18</v>
      </c>
      <c r="G1198" s="2" t="s">
        <v>264</v>
      </c>
      <c r="H1198" s="2" t="s">
        <v>265</v>
      </c>
      <c r="I1198" s="2" t="s">
        <v>1628</v>
      </c>
    </row>
    <row r="1199" spans="1:9" ht="14.5" x14ac:dyDescent="0.35">
      <c r="A1199" s="2">
        <v>2532766</v>
      </c>
      <c r="B1199" s="2" t="str">
        <f>"3329070403970003"</f>
        <v>3329070403970003</v>
      </c>
      <c r="C1199" s="2" t="s">
        <v>1627</v>
      </c>
      <c r="D1199" s="2" t="s">
        <v>17</v>
      </c>
      <c r="E1199" s="2" t="s">
        <v>11</v>
      </c>
      <c r="F1199" s="2" t="s">
        <v>18</v>
      </c>
      <c r="G1199" s="2" t="s">
        <v>19</v>
      </c>
      <c r="H1199" s="2" t="s">
        <v>745</v>
      </c>
      <c r="I1199" s="2" t="s">
        <v>1406</v>
      </c>
    </row>
    <row r="1200" spans="1:9" ht="14.5" x14ac:dyDescent="0.35">
      <c r="A1200" s="2">
        <v>707172</v>
      </c>
      <c r="B1200" s="2" t="str">
        <f>"3329080310850007"</f>
        <v>3329080310850007</v>
      </c>
      <c r="C1200" s="2" t="s">
        <v>1629</v>
      </c>
      <c r="D1200" s="2" t="s">
        <v>10</v>
      </c>
      <c r="E1200" s="2" t="s">
        <v>11</v>
      </c>
      <c r="F1200" s="2" t="s">
        <v>18</v>
      </c>
      <c r="G1200" s="2" t="s">
        <v>264</v>
      </c>
      <c r="H1200" s="2" t="s">
        <v>248</v>
      </c>
      <c r="I1200" s="2" t="s">
        <v>1630</v>
      </c>
    </row>
    <row r="1201" spans="1:9" ht="14.5" x14ac:dyDescent="0.35">
      <c r="A1201" s="2">
        <v>2538218</v>
      </c>
      <c r="B1201" s="2" t="str">
        <f>"3329080310850007"</f>
        <v>3329080310850007</v>
      </c>
      <c r="C1201" s="2" t="s">
        <v>1629</v>
      </c>
      <c r="D1201" s="2" t="s">
        <v>17</v>
      </c>
      <c r="E1201" s="2" t="s">
        <v>11</v>
      </c>
      <c r="F1201" s="2" t="s">
        <v>18</v>
      </c>
      <c r="G1201" s="2" t="s">
        <v>19</v>
      </c>
      <c r="H1201" s="2" t="s">
        <v>745</v>
      </c>
      <c r="I1201" s="2" t="s">
        <v>1482</v>
      </c>
    </row>
    <row r="1202" spans="1:9" ht="14.5" x14ac:dyDescent="0.35">
      <c r="A1202" s="2">
        <v>469927</v>
      </c>
      <c r="B1202" s="2" t="str">
        <f>"3329080707860016"</f>
        <v>3329080707860016</v>
      </c>
      <c r="C1202" s="2" t="s">
        <v>1631</v>
      </c>
      <c r="D1202" s="2" t="s">
        <v>10</v>
      </c>
      <c r="E1202" s="2" t="s">
        <v>11</v>
      </c>
      <c r="F1202" s="2" t="s">
        <v>91</v>
      </c>
      <c r="G1202" s="2" t="s">
        <v>159</v>
      </c>
      <c r="H1202" s="2" t="s">
        <v>685</v>
      </c>
      <c r="I1202" s="2" t="s">
        <v>1632</v>
      </c>
    </row>
    <row r="1203" spans="1:9" ht="14.5" x14ac:dyDescent="0.35">
      <c r="A1203" s="2">
        <v>2530695</v>
      </c>
      <c r="B1203" s="2" t="str">
        <f>"3329080707860016"</f>
        <v>3329080707860016</v>
      </c>
      <c r="C1203" s="2" t="s">
        <v>1633</v>
      </c>
      <c r="D1203" s="2" t="s">
        <v>17</v>
      </c>
      <c r="E1203" s="2" t="s">
        <v>11</v>
      </c>
      <c r="F1203" s="2" t="s">
        <v>18</v>
      </c>
      <c r="G1203" s="2" t="s">
        <v>19</v>
      </c>
      <c r="H1203" s="2" t="s">
        <v>745</v>
      </c>
      <c r="I1203" s="2" t="s">
        <v>1348</v>
      </c>
    </row>
    <row r="1204" spans="1:9" ht="14.5" x14ac:dyDescent="0.35">
      <c r="A1204" s="2">
        <v>665136</v>
      </c>
      <c r="B1204" s="2" t="str">
        <f>"3329081309920004"</f>
        <v>3329081309920004</v>
      </c>
      <c r="C1204" s="2" t="s">
        <v>1270</v>
      </c>
      <c r="D1204" s="2" t="s">
        <v>189</v>
      </c>
      <c r="E1204" s="2" t="s">
        <v>11</v>
      </c>
      <c r="F1204" s="2" t="s">
        <v>18</v>
      </c>
      <c r="G1204" s="2" t="s">
        <v>264</v>
      </c>
      <c r="H1204" s="2" t="s">
        <v>248</v>
      </c>
      <c r="I1204" s="2" t="s">
        <v>1634</v>
      </c>
    </row>
    <row r="1205" spans="1:9" ht="14.5" x14ac:dyDescent="0.35">
      <c r="A1205" s="2">
        <v>2532321</v>
      </c>
      <c r="B1205" s="2" t="str">
        <f>"3329081309920004"</f>
        <v>3329081309920004</v>
      </c>
      <c r="C1205" s="2" t="s">
        <v>1270</v>
      </c>
      <c r="D1205" s="2" t="s">
        <v>17</v>
      </c>
      <c r="E1205" s="2" t="s">
        <v>11</v>
      </c>
      <c r="F1205" s="2" t="s">
        <v>18</v>
      </c>
      <c r="G1205" s="2" t="s">
        <v>19</v>
      </c>
      <c r="H1205" s="2" t="s">
        <v>745</v>
      </c>
      <c r="I1205" s="2" t="s">
        <v>1274</v>
      </c>
    </row>
    <row r="1206" spans="1:9" ht="14.5" x14ac:dyDescent="0.35">
      <c r="A1206" s="2">
        <v>707173</v>
      </c>
      <c r="B1206" s="2" t="str">
        <f>"3329085208920011"</f>
        <v>3329085208920011</v>
      </c>
      <c r="C1206" s="2" t="s">
        <v>1635</v>
      </c>
      <c r="D1206" s="2" t="s">
        <v>10</v>
      </c>
      <c r="E1206" s="2" t="s">
        <v>11</v>
      </c>
      <c r="F1206" s="2" t="s">
        <v>18</v>
      </c>
      <c r="G1206" s="2" t="s">
        <v>264</v>
      </c>
      <c r="H1206" s="2" t="s">
        <v>248</v>
      </c>
      <c r="I1206" s="2" t="s">
        <v>1630</v>
      </c>
    </row>
    <row r="1207" spans="1:9" ht="14.5" x14ac:dyDescent="0.35">
      <c r="A1207" s="2">
        <v>2538219</v>
      </c>
      <c r="B1207" s="2" t="str">
        <f>"3329085208920011"</f>
        <v>3329085208920011</v>
      </c>
      <c r="C1207" s="2" t="s">
        <v>1635</v>
      </c>
      <c r="D1207" s="2" t="s">
        <v>17</v>
      </c>
      <c r="E1207" s="2" t="s">
        <v>11</v>
      </c>
      <c r="F1207" s="2" t="s">
        <v>18</v>
      </c>
      <c r="G1207" s="2" t="s">
        <v>19</v>
      </c>
      <c r="H1207" s="2" t="s">
        <v>745</v>
      </c>
      <c r="I1207" s="2" t="s">
        <v>1482</v>
      </c>
    </row>
    <row r="1208" spans="1:9" ht="14.5" x14ac:dyDescent="0.35">
      <c r="A1208" s="2">
        <v>2532878</v>
      </c>
      <c r="B1208" s="2" t="str">
        <f>"3329094210970010"</f>
        <v>3329094210970010</v>
      </c>
      <c r="C1208" s="2" t="s">
        <v>1636</v>
      </c>
      <c r="D1208" s="2" t="s">
        <v>17</v>
      </c>
      <c r="E1208" s="2" t="s">
        <v>11</v>
      </c>
      <c r="F1208" s="2" t="s">
        <v>18</v>
      </c>
      <c r="G1208" s="2" t="s">
        <v>19</v>
      </c>
      <c r="H1208" s="2" t="s">
        <v>745</v>
      </c>
      <c r="I1208" s="2" t="s">
        <v>1406</v>
      </c>
    </row>
    <row r="1209" spans="1:9" ht="14.5" x14ac:dyDescent="0.35">
      <c r="A1209" s="2">
        <v>586839</v>
      </c>
      <c r="B1209" s="2" t="str">
        <f>"3329094210970010"</f>
        <v>3329094210970010</v>
      </c>
      <c r="C1209" s="2" t="s">
        <v>1636</v>
      </c>
      <c r="D1209" s="2" t="s">
        <v>189</v>
      </c>
      <c r="E1209" s="2" t="s">
        <v>11</v>
      </c>
      <c r="F1209" s="2" t="s">
        <v>18</v>
      </c>
      <c r="G1209" s="2" t="s">
        <v>264</v>
      </c>
      <c r="H1209" s="2" t="s">
        <v>264</v>
      </c>
      <c r="I1209" s="2" t="s">
        <v>1637</v>
      </c>
    </row>
    <row r="1210" spans="1:9" ht="14.5" x14ac:dyDescent="0.35">
      <c r="A1210" s="2">
        <v>88144</v>
      </c>
      <c r="B1210" s="2" t="str">
        <f>"3329140304880018"</f>
        <v>3329140304880018</v>
      </c>
      <c r="C1210" s="2" t="s">
        <v>1638</v>
      </c>
      <c r="D1210" s="2" t="s">
        <v>10</v>
      </c>
      <c r="E1210" s="2" t="s">
        <v>11</v>
      </c>
      <c r="F1210" s="2" t="s">
        <v>18</v>
      </c>
      <c r="G1210" s="2" t="s">
        <v>264</v>
      </c>
      <c r="H1210" s="2" t="s">
        <v>477</v>
      </c>
      <c r="I1210" s="2" t="s">
        <v>1639</v>
      </c>
    </row>
    <row r="1211" spans="1:9" ht="14.5" x14ac:dyDescent="0.35">
      <c r="A1211" s="2">
        <v>2532412</v>
      </c>
      <c r="B1211" s="2" t="str">
        <f>"3329140304880018"</f>
        <v>3329140304880018</v>
      </c>
      <c r="C1211" s="2" t="s">
        <v>1640</v>
      </c>
      <c r="D1211" s="2" t="s">
        <v>17</v>
      </c>
      <c r="E1211" s="2" t="s">
        <v>11</v>
      </c>
      <c r="F1211" s="2" t="s">
        <v>18</v>
      </c>
      <c r="G1211" s="2" t="s">
        <v>19</v>
      </c>
      <c r="H1211" s="2" t="s">
        <v>745</v>
      </c>
      <c r="I1211" s="2" t="s">
        <v>1274</v>
      </c>
    </row>
    <row r="1212" spans="1:9" ht="14.5" x14ac:dyDescent="0.35">
      <c r="A1212" s="2">
        <v>93608</v>
      </c>
      <c r="B1212" s="2" t="str">
        <f>"3329140810880007"</f>
        <v>3329140810880007</v>
      </c>
      <c r="C1212" s="2" t="s">
        <v>1641</v>
      </c>
      <c r="D1212" s="2" t="s">
        <v>10</v>
      </c>
      <c r="E1212" s="2" t="s">
        <v>11</v>
      </c>
      <c r="F1212" s="2" t="s">
        <v>18</v>
      </c>
      <c r="G1212" s="2" t="s">
        <v>264</v>
      </c>
      <c r="H1212" s="2" t="s">
        <v>477</v>
      </c>
      <c r="I1212" s="2" t="s">
        <v>480</v>
      </c>
    </row>
    <row r="1213" spans="1:9" ht="14.5" x14ac:dyDescent="0.35">
      <c r="A1213" s="2">
        <v>2533477</v>
      </c>
      <c r="B1213" s="2" t="str">
        <f>"3329140810880007"</f>
        <v>3329140810880007</v>
      </c>
      <c r="C1213" s="2" t="s">
        <v>1641</v>
      </c>
      <c r="D1213" s="2" t="s">
        <v>17</v>
      </c>
      <c r="E1213" s="2" t="s">
        <v>11</v>
      </c>
      <c r="F1213" s="2" t="s">
        <v>18</v>
      </c>
      <c r="G1213" s="2" t="s">
        <v>19</v>
      </c>
      <c r="H1213" s="2" t="s">
        <v>745</v>
      </c>
      <c r="I1213" s="2" t="s">
        <v>1314</v>
      </c>
    </row>
    <row r="1214" spans="1:9" ht="14.5" x14ac:dyDescent="0.35">
      <c r="A1214" s="2">
        <v>2398332</v>
      </c>
      <c r="B1214" s="2" t="str">
        <f>"3329141902920006"</f>
        <v>3329141902920006</v>
      </c>
      <c r="C1214" s="2" t="s">
        <v>1642</v>
      </c>
      <c r="D1214" s="2" t="s">
        <v>10</v>
      </c>
      <c r="E1214" s="2" t="s">
        <v>11</v>
      </c>
      <c r="F1214" s="2" t="s">
        <v>18</v>
      </c>
      <c r="G1214" s="2" t="s">
        <v>19</v>
      </c>
      <c r="H1214" s="2" t="s">
        <v>745</v>
      </c>
      <c r="I1214" s="2" t="s">
        <v>1266</v>
      </c>
    </row>
    <row r="1215" spans="1:9" ht="14.5" x14ac:dyDescent="0.35">
      <c r="A1215" s="2">
        <v>1400441</v>
      </c>
      <c r="B1215" s="2" t="str">
        <f>"3329141902920006"</f>
        <v>3329141902920006</v>
      </c>
      <c r="C1215" s="2" t="s">
        <v>1643</v>
      </c>
      <c r="D1215" s="2" t="s">
        <v>189</v>
      </c>
      <c r="E1215" s="2" t="s">
        <v>11</v>
      </c>
      <c r="F1215" s="2" t="s">
        <v>18</v>
      </c>
      <c r="G1215" s="2" t="s">
        <v>264</v>
      </c>
      <c r="H1215" s="2" t="s">
        <v>461</v>
      </c>
      <c r="I1215" s="2" t="s">
        <v>1644</v>
      </c>
    </row>
    <row r="1216" spans="1:9" ht="14.5" x14ac:dyDescent="0.35">
      <c r="A1216" s="2">
        <v>72545</v>
      </c>
      <c r="B1216" s="2" t="str">
        <f>"3329142502760004"</f>
        <v>3329142502760004</v>
      </c>
      <c r="C1216" s="2" t="s">
        <v>1645</v>
      </c>
      <c r="D1216" s="2" t="s">
        <v>10</v>
      </c>
      <c r="E1216" s="2" t="s">
        <v>11</v>
      </c>
      <c r="F1216" s="2" t="s">
        <v>18</v>
      </c>
      <c r="G1216" s="2" t="s">
        <v>264</v>
      </c>
      <c r="H1216" s="2" t="s">
        <v>477</v>
      </c>
      <c r="I1216" s="2" t="s">
        <v>1646</v>
      </c>
    </row>
    <row r="1217" spans="1:9" ht="14.5" x14ac:dyDescent="0.35">
      <c r="A1217" s="2">
        <v>2532252</v>
      </c>
      <c r="B1217" s="2" t="str">
        <f>"3329142502760004"</f>
        <v>3329142502760004</v>
      </c>
      <c r="C1217" s="2" t="s">
        <v>1647</v>
      </c>
      <c r="D1217" s="2" t="s">
        <v>17</v>
      </c>
      <c r="E1217" s="2" t="s">
        <v>11</v>
      </c>
      <c r="F1217" s="2" t="s">
        <v>18</v>
      </c>
      <c r="G1217" s="2" t="s">
        <v>19</v>
      </c>
      <c r="H1217" s="2" t="s">
        <v>745</v>
      </c>
      <c r="I1217" s="2" t="s">
        <v>1318</v>
      </c>
    </row>
    <row r="1218" spans="1:9" ht="14.5" x14ac:dyDescent="0.35">
      <c r="A1218" s="2">
        <v>88143</v>
      </c>
      <c r="B1218" s="2" t="str">
        <f>"3329145109900014"</f>
        <v>3329145109900014</v>
      </c>
      <c r="C1218" s="2" t="s">
        <v>1648</v>
      </c>
      <c r="D1218" s="2" t="s">
        <v>10</v>
      </c>
      <c r="E1218" s="2" t="s">
        <v>11</v>
      </c>
      <c r="F1218" s="2" t="s">
        <v>18</v>
      </c>
      <c r="G1218" s="2" t="s">
        <v>264</v>
      </c>
      <c r="H1218" s="2" t="s">
        <v>477</v>
      </c>
      <c r="I1218" s="2" t="s">
        <v>1639</v>
      </c>
    </row>
    <row r="1219" spans="1:9" ht="14.5" x14ac:dyDescent="0.35">
      <c r="A1219" s="2">
        <v>2532413</v>
      </c>
      <c r="B1219" s="2" t="str">
        <f>"3329145109900014"</f>
        <v>3329145109900014</v>
      </c>
      <c r="C1219" s="2" t="s">
        <v>1649</v>
      </c>
      <c r="D1219" s="2" t="s">
        <v>17</v>
      </c>
      <c r="E1219" s="2" t="s">
        <v>11</v>
      </c>
      <c r="F1219" s="2" t="s">
        <v>18</v>
      </c>
      <c r="G1219" s="2" t="s">
        <v>19</v>
      </c>
      <c r="H1219" s="2" t="s">
        <v>745</v>
      </c>
      <c r="I1219" s="2" t="s">
        <v>1274</v>
      </c>
    </row>
    <row r="1220" spans="1:9" ht="14.5" x14ac:dyDescent="0.35">
      <c r="A1220" s="2">
        <v>1545972</v>
      </c>
      <c r="B1220" s="2" t="str">
        <f>"3329154105950005"</f>
        <v>3329154105950005</v>
      </c>
      <c r="C1220" s="2" t="s">
        <v>1650</v>
      </c>
      <c r="D1220" s="2" t="s">
        <v>10</v>
      </c>
      <c r="E1220" s="2" t="s">
        <v>11</v>
      </c>
      <c r="F1220" s="2" t="s">
        <v>18</v>
      </c>
      <c r="G1220" s="2" t="s">
        <v>264</v>
      </c>
      <c r="H1220" s="2" t="s">
        <v>330</v>
      </c>
      <c r="I1220" s="2" t="s">
        <v>331</v>
      </c>
    </row>
    <row r="1221" spans="1:9" ht="14.5" x14ac:dyDescent="0.35">
      <c r="A1221" s="2">
        <v>2532718</v>
      </c>
      <c r="B1221" s="2" t="str">
        <f>"3329154105950005"</f>
        <v>3329154105950005</v>
      </c>
      <c r="C1221" s="2" t="s">
        <v>1650</v>
      </c>
      <c r="D1221" s="2" t="s">
        <v>17</v>
      </c>
      <c r="E1221" s="2" t="s">
        <v>11</v>
      </c>
      <c r="F1221" s="2" t="s">
        <v>18</v>
      </c>
      <c r="G1221" s="2" t="s">
        <v>19</v>
      </c>
      <c r="H1221" s="2" t="s">
        <v>745</v>
      </c>
      <c r="I1221" s="2" t="s">
        <v>1406</v>
      </c>
    </row>
    <row r="1222" spans="1:9" ht="14.5" x14ac:dyDescent="0.35">
      <c r="A1222" s="2">
        <v>2347222</v>
      </c>
      <c r="B1222" s="2" t="str">
        <f>"3329160711860005"</f>
        <v>3329160711860005</v>
      </c>
      <c r="C1222" s="2" t="s">
        <v>1651</v>
      </c>
      <c r="D1222" s="2" t="s">
        <v>10</v>
      </c>
      <c r="E1222" s="2" t="s">
        <v>11</v>
      </c>
      <c r="F1222" s="2" t="s">
        <v>18</v>
      </c>
      <c r="G1222" s="2" t="s">
        <v>19</v>
      </c>
      <c r="H1222" s="2" t="s">
        <v>745</v>
      </c>
      <c r="I1222" s="2" t="s">
        <v>1262</v>
      </c>
    </row>
    <row r="1223" spans="1:9" ht="14.5" x14ac:dyDescent="0.35">
      <c r="A1223" s="2">
        <v>1651457</v>
      </c>
      <c r="B1223" s="2" t="str">
        <f>"3329160711860005"</f>
        <v>3329160711860005</v>
      </c>
      <c r="C1223" s="2" t="s">
        <v>1652</v>
      </c>
      <c r="D1223" s="2" t="s">
        <v>17</v>
      </c>
      <c r="E1223" s="2" t="s">
        <v>11</v>
      </c>
      <c r="F1223" s="2" t="s">
        <v>18</v>
      </c>
      <c r="G1223" s="2" t="s">
        <v>264</v>
      </c>
      <c r="H1223" s="2" t="s">
        <v>344</v>
      </c>
      <c r="I1223" s="2" t="s">
        <v>1653</v>
      </c>
    </row>
    <row r="1224" spans="1:9" ht="14.5" x14ac:dyDescent="0.35">
      <c r="A1224" s="2">
        <v>2342778</v>
      </c>
      <c r="B1224" s="2" t="str">
        <f>"3329174502910007"</f>
        <v>3329174502910007</v>
      </c>
      <c r="C1224" s="2" t="s">
        <v>1654</v>
      </c>
      <c r="D1224" s="2" t="s">
        <v>10</v>
      </c>
      <c r="E1224" s="2" t="s">
        <v>11</v>
      </c>
      <c r="F1224" s="2" t="s">
        <v>18</v>
      </c>
      <c r="G1224" s="2" t="s">
        <v>19</v>
      </c>
      <c r="H1224" s="2" t="s">
        <v>745</v>
      </c>
      <c r="I1224" s="2" t="s">
        <v>1277</v>
      </c>
    </row>
    <row r="1225" spans="1:9" ht="14.5" x14ac:dyDescent="0.35">
      <c r="A1225" s="2">
        <v>1588511</v>
      </c>
      <c r="B1225" s="2" t="str">
        <f>"3329174502910007"</f>
        <v>3329174502910007</v>
      </c>
      <c r="C1225" s="2" t="s">
        <v>1655</v>
      </c>
      <c r="D1225" s="2" t="s">
        <v>17</v>
      </c>
      <c r="E1225" s="2" t="s">
        <v>11</v>
      </c>
      <c r="F1225" s="2" t="s">
        <v>18</v>
      </c>
      <c r="G1225" s="2" t="s">
        <v>264</v>
      </c>
      <c r="H1225" s="2" t="s">
        <v>881</v>
      </c>
      <c r="I1225" s="2" t="s">
        <v>1656</v>
      </c>
    </row>
    <row r="1226" spans="1:9" ht="14.5" x14ac:dyDescent="0.35">
      <c r="A1226" s="2">
        <v>1088617</v>
      </c>
      <c r="B1226" s="2" t="str">
        <f>"3329174507810001"</f>
        <v>3329174507810001</v>
      </c>
      <c r="C1226" s="2" t="s">
        <v>1657</v>
      </c>
      <c r="D1226" s="2" t="s">
        <v>10</v>
      </c>
      <c r="E1226" s="2" t="s">
        <v>11</v>
      </c>
      <c r="F1226" s="2" t="s">
        <v>18</v>
      </c>
      <c r="G1226" s="2" t="s">
        <v>264</v>
      </c>
      <c r="H1226" s="2" t="s">
        <v>881</v>
      </c>
      <c r="I1226" s="2" t="s">
        <v>1656</v>
      </c>
    </row>
    <row r="1227" spans="1:9" ht="14.5" x14ac:dyDescent="0.35">
      <c r="A1227" s="2">
        <v>2530551</v>
      </c>
      <c r="B1227" s="2" t="str">
        <f>"3329174507810001"</f>
        <v>3329174507810001</v>
      </c>
      <c r="C1227" s="2" t="s">
        <v>1657</v>
      </c>
      <c r="D1227" s="2" t="s">
        <v>17</v>
      </c>
      <c r="E1227" s="2" t="s">
        <v>11</v>
      </c>
      <c r="F1227" s="2" t="s">
        <v>18</v>
      </c>
      <c r="G1227" s="2" t="s">
        <v>19</v>
      </c>
      <c r="H1227" s="2" t="s">
        <v>745</v>
      </c>
      <c r="I1227" s="2" t="s">
        <v>1298</v>
      </c>
    </row>
    <row r="1228" spans="1:9" ht="14.5" x14ac:dyDescent="0.35">
      <c r="A1228" s="2">
        <v>270170</v>
      </c>
      <c r="B1228" s="2" t="str">
        <f>"3376010307950001"</f>
        <v>3376010307950001</v>
      </c>
      <c r="C1228" s="2" t="s">
        <v>1658</v>
      </c>
      <c r="D1228" s="2" t="s">
        <v>10</v>
      </c>
      <c r="E1228" s="2" t="s">
        <v>11</v>
      </c>
      <c r="F1228" s="2" t="s">
        <v>18</v>
      </c>
      <c r="G1228" s="2" t="s">
        <v>268</v>
      </c>
      <c r="H1228" s="2" t="s">
        <v>277</v>
      </c>
      <c r="I1228" s="2" t="s">
        <v>1659</v>
      </c>
    </row>
    <row r="1229" spans="1:9" ht="14.5" x14ac:dyDescent="0.35">
      <c r="A1229" s="2">
        <v>2533657</v>
      </c>
      <c r="B1229" s="2" t="str">
        <f>"3376010307950001"</f>
        <v>3376010307950001</v>
      </c>
      <c r="C1229" s="2" t="s">
        <v>1660</v>
      </c>
      <c r="D1229" s="2" t="s">
        <v>17</v>
      </c>
      <c r="E1229" s="2" t="s">
        <v>11</v>
      </c>
      <c r="F1229" s="2" t="s">
        <v>18</v>
      </c>
      <c r="G1229" s="2" t="s">
        <v>19</v>
      </c>
      <c r="H1229" s="2" t="s">
        <v>745</v>
      </c>
      <c r="I1229" s="2" t="s">
        <v>1264</v>
      </c>
    </row>
    <row r="1230" spans="1:9" ht="14.5" x14ac:dyDescent="0.35">
      <c r="A1230" s="2">
        <v>314656</v>
      </c>
      <c r="B1230" s="2" t="str">
        <f>"3376031202820002"</f>
        <v>3376031202820002</v>
      </c>
      <c r="C1230" s="2" t="s">
        <v>1661</v>
      </c>
      <c r="D1230" s="2" t="s">
        <v>10</v>
      </c>
      <c r="E1230" s="2" t="s">
        <v>11</v>
      </c>
      <c r="F1230" s="2" t="s">
        <v>18</v>
      </c>
      <c r="G1230" s="2" t="s">
        <v>268</v>
      </c>
      <c r="H1230" s="2" t="s">
        <v>269</v>
      </c>
      <c r="I1230" s="2" t="s">
        <v>1662</v>
      </c>
    </row>
    <row r="1231" spans="1:9" ht="14.5" x14ac:dyDescent="0.35">
      <c r="A1231" s="2">
        <v>2533614</v>
      </c>
      <c r="B1231" s="2" t="str">
        <f>"3376031202820002"</f>
        <v>3376031202820002</v>
      </c>
      <c r="C1231" s="2" t="s">
        <v>1663</v>
      </c>
      <c r="D1231" s="2" t="s">
        <v>17</v>
      </c>
      <c r="E1231" s="2" t="s">
        <v>11</v>
      </c>
      <c r="F1231" s="2" t="s">
        <v>18</v>
      </c>
      <c r="G1231" s="2" t="s">
        <v>19</v>
      </c>
      <c r="H1231" s="2" t="s">
        <v>745</v>
      </c>
      <c r="I1231" s="2" t="s">
        <v>1314</v>
      </c>
    </row>
    <row r="1232" spans="1:9" ht="14.5" x14ac:dyDescent="0.35">
      <c r="A1232" s="2">
        <v>363877</v>
      </c>
      <c r="B1232" s="2" t="str">
        <f>"3376033112910002"</f>
        <v>3376033112910002</v>
      </c>
      <c r="C1232" s="2" t="s">
        <v>1664</v>
      </c>
      <c r="D1232" s="2" t="s">
        <v>10</v>
      </c>
      <c r="E1232" s="2" t="s">
        <v>11</v>
      </c>
      <c r="F1232" s="2" t="s">
        <v>18</v>
      </c>
      <c r="G1232" s="2" t="s">
        <v>268</v>
      </c>
      <c r="H1232" s="2" t="s">
        <v>269</v>
      </c>
      <c r="I1232" s="2" t="s">
        <v>996</v>
      </c>
    </row>
    <row r="1233" spans="1:9" ht="14.5" x14ac:dyDescent="0.35">
      <c r="A1233" s="2">
        <v>2532327</v>
      </c>
      <c r="B1233" s="2" t="str">
        <f>"3376033112910002"</f>
        <v>3376033112910002</v>
      </c>
      <c r="C1233" s="2" t="s">
        <v>1664</v>
      </c>
      <c r="D1233" s="2" t="s">
        <v>17</v>
      </c>
      <c r="E1233" s="2" t="s">
        <v>11</v>
      </c>
      <c r="F1233" s="2" t="s">
        <v>18</v>
      </c>
      <c r="G1233" s="2" t="s">
        <v>19</v>
      </c>
      <c r="H1233" s="2" t="s">
        <v>745</v>
      </c>
      <c r="I1233" s="2" t="s">
        <v>1274</v>
      </c>
    </row>
    <row r="1234" spans="1:9" ht="14.5" x14ac:dyDescent="0.35">
      <c r="A1234" s="2">
        <v>2532983</v>
      </c>
      <c r="B1234" s="2" t="str">
        <f>"3402170211940003"</f>
        <v>3402170211940003</v>
      </c>
      <c r="C1234" s="2" t="s">
        <v>1665</v>
      </c>
      <c r="D1234" s="2" t="s">
        <v>17</v>
      </c>
      <c r="E1234" s="2" t="s">
        <v>11</v>
      </c>
      <c r="F1234" s="2" t="s">
        <v>18</v>
      </c>
      <c r="G1234" s="2" t="s">
        <v>19</v>
      </c>
      <c r="H1234" s="2" t="s">
        <v>745</v>
      </c>
      <c r="I1234" s="2" t="s">
        <v>1406</v>
      </c>
    </row>
    <row r="1235" spans="1:9" ht="14.5" x14ac:dyDescent="0.35">
      <c r="A1235" s="2">
        <v>39143</v>
      </c>
      <c r="B1235" s="2" t="str">
        <f>"3402170211940003"</f>
        <v>3402170211940003</v>
      </c>
      <c r="C1235" s="2" t="s">
        <v>1665</v>
      </c>
      <c r="D1235" s="2" t="s">
        <v>189</v>
      </c>
      <c r="E1235" s="2" t="s">
        <v>11</v>
      </c>
      <c r="F1235" s="2" t="s">
        <v>379</v>
      </c>
      <c r="G1235" s="2" t="s">
        <v>711</v>
      </c>
      <c r="H1235" s="2" t="s">
        <v>1666</v>
      </c>
      <c r="I1235" s="2" t="s">
        <v>1667</v>
      </c>
    </row>
    <row r="1236" spans="1:9" ht="14.5" x14ac:dyDescent="0.35">
      <c r="A1236" s="2">
        <v>1087671</v>
      </c>
      <c r="B1236" s="2" t="str">
        <f>"3505012206970001"</f>
        <v>3505012206970001</v>
      </c>
      <c r="C1236" s="2" t="s">
        <v>1668</v>
      </c>
      <c r="D1236" s="2" t="s">
        <v>10</v>
      </c>
      <c r="E1236" s="2" t="s">
        <v>11</v>
      </c>
      <c r="F1236" s="2" t="s">
        <v>303</v>
      </c>
      <c r="G1236" s="2" t="s">
        <v>1669</v>
      </c>
      <c r="H1236" s="2" t="s">
        <v>1670</v>
      </c>
      <c r="I1236" s="2" t="s">
        <v>1671</v>
      </c>
    </row>
    <row r="1237" spans="1:9" ht="14.5" x14ac:dyDescent="0.35">
      <c r="A1237" s="2">
        <v>2531903</v>
      </c>
      <c r="B1237" s="2" t="str">
        <f>"3505012206970001"</f>
        <v>3505012206970001</v>
      </c>
      <c r="C1237" s="2" t="s">
        <v>1668</v>
      </c>
      <c r="D1237" s="2" t="s">
        <v>17</v>
      </c>
      <c r="E1237" s="2" t="s">
        <v>11</v>
      </c>
      <c r="F1237" s="2" t="s">
        <v>18</v>
      </c>
      <c r="G1237" s="2" t="s">
        <v>19</v>
      </c>
      <c r="H1237" s="2" t="s">
        <v>745</v>
      </c>
      <c r="I1237" s="2" t="s">
        <v>1401</v>
      </c>
    </row>
    <row r="1238" spans="1:9" ht="14.5" x14ac:dyDescent="0.35">
      <c r="A1238" s="2">
        <v>134606</v>
      </c>
      <c r="B1238" s="2" t="str">
        <f>"3506205312040003"</f>
        <v>3506205312040003</v>
      </c>
      <c r="C1238" s="2" t="s">
        <v>1672</v>
      </c>
      <c r="D1238" s="2" t="s">
        <v>10</v>
      </c>
      <c r="E1238" s="2" t="s">
        <v>11</v>
      </c>
      <c r="F1238" s="2" t="s">
        <v>303</v>
      </c>
      <c r="G1238" s="2" t="s">
        <v>608</v>
      </c>
      <c r="H1238" s="2" t="s">
        <v>1673</v>
      </c>
      <c r="I1238" s="2" t="s">
        <v>1639</v>
      </c>
    </row>
    <row r="1239" spans="1:9" ht="14.5" x14ac:dyDescent="0.35">
      <c r="A1239" s="2">
        <v>2530775</v>
      </c>
      <c r="B1239" s="2" t="str">
        <f>"3506205312040003"</f>
        <v>3506205312040003</v>
      </c>
      <c r="C1239" s="2" t="s">
        <v>1674</v>
      </c>
      <c r="D1239" s="2" t="s">
        <v>17</v>
      </c>
      <c r="E1239" s="2" t="s">
        <v>11</v>
      </c>
      <c r="F1239" s="2" t="s">
        <v>18</v>
      </c>
      <c r="G1239" s="2" t="s">
        <v>19</v>
      </c>
      <c r="H1239" s="2" t="s">
        <v>745</v>
      </c>
      <c r="I1239" s="2" t="s">
        <v>1348</v>
      </c>
    </row>
    <row r="1240" spans="1:9" ht="14.5" x14ac:dyDescent="0.35">
      <c r="A1240" s="2">
        <v>30020</v>
      </c>
      <c r="B1240" s="2" t="str">
        <f>"3526162505730001"</f>
        <v>3526162505730001</v>
      </c>
      <c r="C1240" s="2" t="s">
        <v>1675</v>
      </c>
      <c r="D1240" s="2" t="s">
        <v>10</v>
      </c>
      <c r="E1240" s="2" t="s">
        <v>11</v>
      </c>
      <c r="F1240" s="2" t="s">
        <v>303</v>
      </c>
      <c r="G1240" s="2" t="s">
        <v>1676</v>
      </c>
      <c r="H1240" s="2" t="s">
        <v>1677</v>
      </c>
      <c r="I1240" s="2" t="s">
        <v>1678</v>
      </c>
    </row>
    <row r="1241" spans="1:9" ht="14.5" x14ac:dyDescent="0.35">
      <c r="A1241" s="2">
        <v>2530919</v>
      </c>
      <c r="B1241" s="2" t="str">
        <f>"3526162505730001"</f>
        <v>3526162505730001</v>
      </c>
      <c r="C1241" s="2" t="s">
        <v>1675</v>
      </c>
      <c r="D1241" s="2" t="s">
        <v>17</v>
      </c>
      <c r="E1241" s="2" t="s">
        <v>11</v>
      </c>
      <c r="F1241" s="2" t="s">
        <v>18</v>
      </c>
      <c r="G1241" s="2" t="s">
        <v>19</v>
      </c>
      <c r="H1241" s="2" t="s">
        <v>745</v>
      </c>
      <c r="I1241" s="2" t="s">
        <v>352</v>
      </c>
    </row>
    <row r="1242" spans="1:9" ht="14.5" x14ac:dyDescent="0.35">
      <c r="A1242" s="2">
        <v>30021</v>
      </c>
      <c r="B1242" s="2" t="str">
        <f>"3526164505830003"</f>
        <v>3526164505830003</v>
      </c>
      <c r="C1242" s="2" t="s">
        <v>1679</v>
      </c>
      <c r="D1242" s="2" t="s">
        <v>10</v>
      </c>
      <c r="E1242" s="2" t="s">
        <v>11</v>
      </c>
      <c r="F1242" s="2" t="s">
        <v>303</v>
      </c>
      <c r="G1242" s="2" t="s">
        <v>1676</v>
      </c>
      <c r="H1242" s="2" t="s">
        <v>1677</v>
      </c>
      <c r="I1242" s="2" t="s">
        <v>1678</v>
      </c>
    </row>
    <row r="1243" spans="1:9" ht="14.5" x14ac:dyDescent="0.35">
      <c r="A1243" s="2">
        <v>2530909</v>
      </c>
      <c r="B1243" s="2" t="str">
        <f>"3526164505830003"</f>
        <v>3526164505830003</v>
      </c>
      <c r="C1243" s="2" t="s">
        <v>1679</v>
      </c>
      <c r="D1243" s="2" t="s">
        <v>17</v>
      </c>
      <c r="E1243" s="2" t="s">
        <v>11</v>
      </c>
      <c r="F1243" s="2" t="s">
        <v>18</v>
      </c>
      <c r="G1243" s="2" t="s">
        <v>19</v>
      </c>
      <c r="H1243" s="2" t="s">
        <v>745</v>
      </c>
      <c r="I1243" s="2" t="s">
        <v>352</v>
      </c>
    </row>
    <row r="1244" spans="1:9" ht="14.5" x14ac:dyDescent="0.35">
      <c r="A1244" s="2">
        <v>1968481</v>
      </c>
      <c r="B1244" s="2" t="str">
        <f>"3601120610900001"</f>
        <v>3601120610900001</v>
      </c>
      <c r="C1244" s="2" t="s">
        <v>1680</v>
      </c>
      <c r="D1244" s="2" t="s">
        <v>10</v>
      </c>
      <c r="E1244" s="2" t="s">
        <v>11</v>
      </c>
      <c r="F1244" s="2" t="s">
        <v>67</v>
      </c>
      <c r="G1244" s="2" t="s">
        <v>890</v>
      </c>
      <c r="H1244" s="2" t="s">
        <v>1681</v>
      </c>
      <c r="I1244" s="2" t="s">
        <v>1682</v>
      </c>
    </row>
    <row r="1245" spans="1:9" ht="14.5" x14ac:dyDescent="0.35">
      <c r="A1245" s="2">
        <v>2532350</v>
      </c>
      <c r="B1245" s="2" t="str">
        <f>"3601120610900001"</f>
        <v>3601120610900001</v>
      </c>
      <c r="C1245" s="2" t="s">
        <v>1683</v>
      </c>
      <c r="D1245" s="2" t="s">
        <v>17</v>
      </c>
      <c r="E1245" s="2" t="s">
        <v>11</v>
      </c>
      <c r="F1245" s="2" t="s">
        <v>18</v>
      </c>
      <c r="G1245" s="2" t="s">
        <v>19</v>
      </c>
      <c r="H1245" s="2" t="s">
        <v>745</v>
      </c>
      <c r="I1245" s="2" t="s">
        <v>1274</v>
      </c>
    </row>
    <row r="1246" spans="1:9" ht="14.5" x14ac:dyDescent="0.35">
      <c r="A1246" s="2">
        <v>112387</v>
      </c>
      <c r="B1246" s="2" t="str">
        <f>"3603174704000011"</f>
        <v>3603174704000011</v>
      </c>
      <c r="C1246" s="2" t="s">
        <v>1684</v>
      </c>
      <c r="D1246" s="2" t="s">
        <v>10</v>
      </c>
      <c r="E1246" s="2" t="s">
        <v>11</v>
      </c>
      <c r="F1246" s="2" t="s">
        <v>67</v>
      </c>
      <c r="G1246" s="2" t="s">
        <v>791</v>
      </c>
      <c r="H1246" s="2" t="s">
        <v>1410</v>
      </c>
      <c r="I1246" s="2" t="s">
        <v>1685</v>
      </c>
    </row>
    <row r="1247" spans="1:9" ht="14.5" x14ac:dyDescent="0.35">
      <c r="A1247" s="2">
        <v>2531712</v>
      </c>
      <c r="B1247" s="2" t="str">
        <f>"3603174704000011"</f>
        <v>3603174704000011</v>
      </c>
      <c r="C1247" s="2" t="s">
        <v>1684</v>
      </c>
      <c r="D1247" s="2" t="s">
        <v>17</v>
      </c>
      <c r="E1247" s="2" t="s">
        <v>11</v>
      </c>
      <c r="F1247" s="2" t="s">
        <v>18</v>
      </c>
      <c r="G1247" s="2" t="s">
        <v>19</v>
      </c>
      <c r="H1247" s="2" t="s">
        <v>745</v>
      </c>
      <c r="I1247" s="2" t="s">
        <v>1262</v>
      </c>
    </row>
    <row r="1248" spans="1:9" ht="14.5" x14ac:dyDescent="0.35">
      <c r="A1248" s="2">
        <v>1597646</v>
      </c>
      <c r="B1248" s="2" t="str">
        <f>"3603175212790009"</f>
        <v>3603175212790009</v>
      </c>
      <c r="C1248" s="2" t="s">
        <v>1686</v>
      </c>
      <c r="D1248" s="2" t="s">
        <v>10</v>
      </c>
      <c r="E1248" s="2" t="s">
        <v>11</v>
      </c>
      <c r="F1248" s="2" t="s">
        <v>67</v>
      </c>
      <c r="G1248" s="2" t="s">
        <v>791</v>
      </c>
      <c r="H1248" s="2" t="s">
        <v>1687</v>
      </c>
      <c r="I1248" s="2" t="s">
        <v>1688</v>
      </c>
    </row>
    <row r="1249" spans="1:9" ht="14.5" x14ac:dyDescent="0.35">
      <c r="A1249" s="2">
        <v>2531871</v>
      </c>
      <c r="B1249" s="2" t="str">
        <f>"3603175212790009"</f>
        <v>3603175212790009</v>
      </c>
      <c r="C1249" s="2" t="s">
        <v>1686</v>
      </c>
      <c r="D1249" s="2" t="s">
        <v>17</v>
      </c>
      <c r="E1249" s="2" t="s">
        <v>11</v>
      </c>
      <c r="F1249" s="2" t="s">
        <v>18</v>
      </c>
      <c r="G1249" s="2" t="s">
        <v>19</v>
      </c>
      <c r="H1249" s="2" t="s">
        <v>745</v>
      </c>
      <c r="I1249" s="2" t="s">
        <v>1262</v>
      </c>
    </row>
    <row r="1250" spans="1:9" ht="14.5" x14ac:dyDescent="0.35">
      <c r="A1250" s="2">
        <v>1715870</v>
      </c>
      <c r="B1250" s="2" t="str">
        <f>"3604272306960002"</f>
        <v>3604272306960002</v>
      </c>
      <c r="C1250" s="2" t="s">
        <v>1689</v>
      </c>
      <c r="D1250" s="2" t="s">
        <v>10</v>
      </c>
      <c r="E1250" s="2" t="s">
        <v>11</v>
      </c>
      <c r="F1250" s="2" t="s">
        <v>67</v>
      </c>
      <c r="G1250" s="2" t="s">
        <v>375</v>
      </c>
      <c r="H1250" s="2" t="s">
        <v>637</v>
      </c>
      <c r="I1250" s="2" t="s">
        <v>1690</v>
      </c>
    </row>
    <row r="1251" spans="1:9" ht="14.5" x14ac:dyDescent="0.35">
      <c r="A1251" s="2">
        <v>2532289</v>
      </c>
      <c r="B1251" s="2" t="str">
        <f>"3604272306960002"</f>
        <v>3604272306960002</v>
      </c>
      <c r="C1251" s="2" t="s">
        <v>1689</v>
      </c>
      <c r="D1251" s="2" t="s">
        <v>17</v>
      </c>
      <c r="E1251" s="2" t="s">
        <v>11</v>
      </c>
      <c r="F1251" s="2" t="s">
        <v>18</v>
      </c>
      <c r="G1251" s="2" t="s">
        <v>19</v>
      </c>
      <c r="H1251" s="2" t="s">
        <v>745</v>
      </c>
      <c r="I1251" s="2" t="s">
        <v>1274</v>
      </c>
    </row>
    <row r="1252" spans="1:9" ht="14.5" x14ac:dyDescent="0.35">
      <c r="A1252" s="2">
        <v>2371272</v>
      </c>
      <c r="B1252" s="2" t="str">
        <f>"3671061407840003"</f>
        <v>3671061407840003</v>
      </c>
      <c r="C1252" s="2" t="s">
        <v>1691</v>
      </c>
      <c r="D1252" s="2" t="s">
        <v>10</v>
      </c>
      <c r="E1252" s="2" t="s">
        <v>11</v>
      </c>
      <c r="F1252" s="2" t="s">
        <v>18</v>
      </c>
      <c r="G1252" s="2" t="s">
        <v>19</v>
      </c>
      <c r="H1252" s="2" t="s">
        <v>745</v>
      </c>
      <c r="I1252" s="2" t="s">
        <v>746</v>
      </c>
    </row>
    <row r="1253" spans="1:9" ht="14.5" x14ac:dyDescent="0.35">
      <c r="A1253" s="2">
        <v>1700463</v>
      </c>
      <c r="B1253" s="2" t="str">
        <f>"3671061407840003"</f>
        <v>3671061407840003</v>
      </c>
      <c r="C1253" s="2" t="s">
        <v>1691</v>
      </c>
      <c r="D1253" s="2" t="s">
        <v>17</v>
      </c>
      <c r="E1253" s="2" t="s">
        <v>11</v>
      </c>
      <c r="F1253" s="2" t="s">
        <v>18</v>
      </c>
      <c r="G1253" s="2" t="s">
        <v>264</v>
      </c>
      <c r="H1253" s="2" t="s">
        <v>461</v>
      </c>
      <c r="I1253" s="2" t="s">
        <v>1692</v>
      </c>
    </row>
    <row r="1254" spans="1:9" ht="14.5" x14ac:dyDescent="0.35">
      <c r="A1254" s="2">
        <v>1387502</v>
      </c>
      <c r="B1254" s="2" t="str">
        <f>"3671096406880003"</f>
        <v>3671096406880003</v>
      </c>
      <c r="C1254" s="2" t="s">
        <v>1693</v>
      </c>
      <c r="D1254" s="2" t="s">
        <v>10</v>
      </c>
      <c r="E1254" s="2" t="s">
        <v>11</v>
      </c>
      <c r="F1254" s="2" t="s">
        <v>67</v>
      </c>
      <c r="G1254" s="2" t="s">
        <v>512</v>
      </c>
      <c r="H1254" s="2" t="s">
        <v>219</v>
      </c>
      <c r="I1254" s="2" t="s">
        <v>1520</v>
      </c>
    </row>
    <row r="1255" spans="1:9" ht="14.5" x14ac:dyDescent="0.35">
      <c r="A1255" s="2">
        <v>2534089</v>
      </c>
      <c r="B1255" s="2" t="str">
        <f>"3671096406880003"</f>
        <v>3671096406880003</v>
      </c>
      <c r="C1255" s="2" t="s">
        <v>1693</v>
      </c>
      <c r="D1255" s="2" t="s">
        <v>17</v>
      </c>
      <c r="E1255" s="2" t="s">
        <v>11</v>
      </c>
      <c r="F1255" s="2" t="s">
        <v>18</v>
      </c>
      <c r="G1255" s="2" t="s">
        <v>19</v>
      </c>
      <c r="H1255" s="2" t="s">
        <v>745</v>
      </c>
      <c r="I1255" s="2" t="s">
        <v>1277</v>
      </c>
    </row>
    <row r="1256" spans="1:9" ht="14.5" x14ac:dyDescent="0.35">
      <c r="A1256" s="2">
        <v>2418123</v>
      </c>
      <c r="B1256" s="2" t="str">
        <f>"3674016711670001"</f>
        <v>3674016711670001</v>
      </c>
      <c r="C1256" s="2" t="s">
        <v>1694</v>
      </c>
      <c r="D1256" s="2" t="s">
        <v>10</v>
      </c>
      <c r="E1256" s="2" t="s">
        <v>11</v>
      </c>
      <c r="F1256" s="2" t="s">
        <v>91</v>
      </c>
      <c r="G1256" s="2" t="s">
        <v>650</v>
      </c>
      <c r="H1256" s="2" t="s">
        <v>1695</v>
      </c>
      <c r="I1256" s="2" t="s">
        <v>1410</v>
      </c>
    </row>
    <row r="1257" spans="1:9" ht="14.5" x14ac:dyDescent="0.35">
      <c r="A1257" s="2">
        <v>2534102</v>
      </c>
      <c r="B1257" s="2" t="str">
        <f>"3674016711670001"</f>
        <v>3674016711670001</v>
      </c>
      <c r="C1257" s="2" t="s">
        <v>1696</v>
      </c>
      <c r="D1257" s="2" t="s">
        <v>17</v>
      </c>
      <c r="E1257" s="2" t="s">
        <v>11</v>
      </c>
      <c r="F1257" s="2" t="s">
        <v>18</v>
      </c>
      <c r="G1257" s="2" t="s">
        <v>19</v>
      </c>
      <c r="H1257" s="2" t="s">
        <v>745</v>
      </c>
      <c r="I1257" s="2" t="s">
        <v>1230</v>
      </c>
    </row>
    <row r="1258" spans="1:9" ht="14.5" x14ac:dyDescent="0.35">
      <c r="A1258" s="2">
        <v>205492</v>
      </c>
      <c r="B1258" s="2" t="str">
        <f>"6303025008550003"</f>
        <v>6303025008550003</v>
      </c>
      <c r="C1258" s="2" t="s">
        <v>1697</v>
      </c>
      <c r="D1258" s="2" t="s">
        <v>10</v>
      </c>
      <c r="E1258" s="2" t="s">
        <v>11</v>
      </c>
      <c r="F1258" s="2" t="s">
        <v>240</v>
      </c>
      <c r="G1258" s="2" t="s">
        <v>241</v>
      </c>
      <c r="H1258" s="2" t="s">
        <v>1698</v>
      </c>
      <c r="I1258" s="2" t="s">
        <v>1699</v>
      </c>
    </row>
    <row r="1259" spans="1:9" ht="14.5" x14ac:dyDescent="0.35">
      <c r="A1259" s="2">
        <v>2533311</v>
      </c>
      <c r="B1259" s="2" t="str">
        <f>"6303025008550003"</f>
        <v>6303025008550003</v>
      </c>
      <c r="C1259" s="2" t="s">
        <v>1697</v>
      </c>
      <c r="D1259" s="2" t="s">
        <v>17</v>
      </c>
      <c r="E1259" s="2" t="s">
        <v>11</v>
      </c>
      <c r="F1259" s="2" t="s">
        <v>18</v>
      </c>
      <c r="G1259" s="2" t="s">
        <v>19</v>
      </c>
      <c r="H1259" s="2" t="s">
        <v>745</v>
      </c>
      <c r="I1259" s="2" t="s">
        <v>1303</v>
      </c>
    </row>
    <row r="1260" spans="1:9" ht="14.5" x14ac:dyDescent="0.35">
      <c r="A1260" s="2">
        <v>141486</v>
      </c>
      <c r="B1260" s="2" t="str">
        <f>"6308050407810005"</f>
        <v>6308050407810005</v>
      </c>
      <c r="C1260" s="2" t="s">
        <v>1700</v>
      </c>
      <c r="D1260" s="2" t="s">
        <v>10</v>
      </c>
      <c r="E1260" s="2" t="s">
        <v>11</v>
      </c>
      <c r="F1260" s="2" t="s">
        <v>240</v>
      </c>
      <c r="G1260" s="2" t="s">
        <v>1701</v>
      </c>
      <c r="H1260" s="2" t="s">
        <v>1702</v>
      </c>
      <c r="I1260" s="2" t="s">
        <v>1703</v>
      </c>
    </row>
    <row r="1261" spans="1:9" ht="14.5" x14ac:dyDescent="0.35">
      <c r="A1261" s="2">
        <v>2533308</v>
      </c>
      <c r="B1261" s="2" t="str">
        <f>"6308050407810005"</f>
        <v>6308050407810005</v>
      </c>
      <c r="C1261" s="2" t="s">
        <v>1704</v>
      </c>
      <c r="D1261" s="2" t="s">
        <v>17</v>
      </c>
      <c r="E1261" s="2" t="s">
        <v>11</v>
      </c>
      <c r="F1261" s="2" t="s">
        <v>18</v>
      </c>
      <c r="G1261" s="2" t="s">
        <v>19</v>
      </c>
      <c r="H1261" s="2" t="s">
        <v>745</v>
      </c>
      <c r="I1261" s="2" t="s">
        <v>1303</v>
      </c>
    </row>
    <row r="1262" spans="1:9" ht="14.5" x14ac:dyDescent="0.35">
      <c r="A1262" s="2">
        <v>141487</v>
      </c>
      <c r="B1262" s="2" t="str">
        <f>"6308051005870006"</f>
        <v>6308051005870006</v>
      </c>
      <c r="C1262" s="2" t="s">
        <v>1705</v>
      </c>
      <c r="D1262" s="2" t="s">
        <v>10</v>
      </c>
      <c r="E1262" s="2" t="s">
        <v>11</v>
      </c>
      <c r="F1262" s="2" t="s">
        <v>240</v>
      </c>
      <c r="G1262" s="2" t="s">
        <v>1701</v>
      </c>
      <c r="H1262" s="2" t="s">
        <v>1702</v>
      </c>
      <c r="I1262" s="2" t="s">
        <v>1703</v>
      </c>
    </row>
    <row r="1263" spans="1:9" ht="14.5" x14ac:dyDescent="0.35">
      <c r="A1263" s="2">
        <v>2532226</v>
      </c>
      <c r="B1263" s="2" t="str">
        <f>"6308051005870006"</f>
        <v>6308051005870006</v>
      </c>
      <c r="C1263" s="2" t="s">
        <v>1705</v>
      </c>
      <c r="D1263" s="2" t="s">
        <v>17</v>
      </c>
      <c r="E1263" s="2" t="s">
        <v>11</v>
      </c>
      <c r="F1263" s="2" t="s">
        <v>18</v>
      </c>
      <c r="G1263" s="2" t="s">
        <v>19</v>
      </c>
      <c r="H1263" s="2" t="s">
        <v>745</v>
      </c>
      <c r="I1263" s="2" t="s">
        <v>1318</v>
      </c>
    </row>
    <row r="1264" spans="1:9" ht="14.5" x14ac:dyDescent="0.35">
      <c r="A1264" s="2">
        <v>78773</v>
      </c>
      <c r="B1264" s="2" t="str">
        <f>"6371022305870002"</f>
        <v>6371022305870002</v>
      </c>
      <c r="C1264" s="2" t="s">
        <v>1706</v>
      </c>
      <c r="D1264" s="2" t="s">
        <v>10</v>
      </c>
      <c r="E1264" s="2" t="s">
        <v>11</v>
      </c>
      <c r="F1264" s="2" t="s">
        <v>240</v>
      </c>
      <c r="G1264" s="2" t="s">
        <v>1707</v>
      </c>
      <c r="H1264" s="2" t="s">
        <v>1708</v>
      </c>
      <c r="I1264" s="2" t="s">
        <v>1709</v>
      </c>
    </row>
    <row r="1265" spans="1:9" ht="14.5" x14ac:dyDescent="0.35">
      <c r="A1265" s="2">
        <v>2573922</v>
      </c>
      <c r="B1265" s="2" t="str">
        <f>"6371022305870002"</f>
        <v>6371022305870002</v>
      </c>
      <c r="C1265" s="2" t="s">
        <v>1710</v>
      </c>
      <c r="D1265" s="2" t="s">
        <v>17</v>
      </c>
      <c r="E1265" s="2" t="s">
        <v>11</v>
      </c>
      <c r="F1265" s="2" t="s">
        <v>18</v>
      </c>
      <c r="G1265" s="2" t="s">
        <v>19</v>
      </c>
      <c r="H1265" s="2" t="s">
        <v>745</v>
      </c>
      <c r="I1265" s="2" t="s">
        <v>746</v>
      </c>
    </row>
    <row r="1266" spans="1:9" ht="14.5" x14ac:dyDescent="0.35">
      <c r="A1266" s="2">
        <v>2387541</v>
      </c>
      <c r="B1266" s="2" t="str">
        <f>"9109011708880016"</f>
        <v>9109011708880016</v>
      </c>
      <c r="C1266" s="2" t="s">
        <v>1711</v>
      </c>
      <c r="D1266" s="2" t="s">
        <v>10</v>
      </c>
      <c r="E1266" s="2" t="s">
        <v>11</v>
      </c>
      <c r="F1266" s="2" t="s">
        <v>18</v>
      </c>
      <c r="G1266" s="2" t="s">
        <v>19</v>
      </c>
      <c r="H1266" s="2" t="s">
        <v>745</v>
      </c>
      <c r="I1266" s="2" t="s">
        <v>1401</v>
      </c>
    </row>
    <row r="1267" spans="1:9" ht="14.5" x14ac:dyDescent="0.35">
      <c r="A1267" s="2">
        <v>1625824</v>
      </c>
      <c r="B1267" s="2" t="str">
        <f>"9109011708880016"</f>
        <v>9109011708880016</v>
      </c>
      <c r="C1267" s="2" t="s">
        <v>1711</v>
      </c>
      <c r="D1267" s="2" t="s">
        <v>17</v>
      </c>
      <c r="E1267" s="2" t="s">
        <v>11</v>
      </c>
      <c r="F1267" s="2" t="s">
        <v>18</v>
      </c>
      <c r="G1267" s="2" t="s">
        <v>264</v>
      </c>
      <c r="H1267" s="2" t="s">
        <v>248</v>
      </c>
      <c r="I1267" s="2" t="s">
        <v>1712</v>
      </c>
    </row>
    <row r="1268" spans="1:9" ht="14.5" x14ac:dyDescent="0.35">
      <c r="A1268" s="2">
        <v>480189</v>
      </c>
      <c r="B1268" s="2" t="str">
        <f>"9171011008860012"</f>
        <v>9171011008860012</v>
      </c>
      <c r="C1268" s="2" t="s">
        <v>1713</v>
      </c>
      <c r="D1268" s="2" t="s">
        <v>10</v>
      </c>
      <c r="E1268" s="2" t="s">
        <v>11</v>
      </c>
      <c r="F1268" s="2" t="s">
        <v>783</v>
      </c>
      <c r="G1268" s="2" t="s">
        <v>1112</v>
      </c>
      <c r="H1268" s="2" t="s">
        <v>1113</v>
      </c>
      <c r="I1268" s="2" t="s">
        <v>1714</v>
      </c>
    </row>
    <row r="1269" spans="1:9" ht="14.5" x14ac:dyDescent="0.35">
      <c r="A1269" s="2">
        <v>2531742</v>
      </c>
      <c r="B1269" s="2" t="str">
        <f>"9171011008860012"</f>
        <v>9171011008860012</v>
      </c>
      <c r="C1269" s="2" t="s">
        <v>1715</v>
      </c>
      <c r="D1269" s="2" t="s">
        <v>17</v>
      </c>
      <c r="E1269" s="2" t="s">
        <v>11</v>
      </c>
      <c r="F1269" s="2" t="s">
        <v>18</v>
      </c>
      <c r="G1269" s="2" t="s">
        <v>19</v>
      </c>
      <c r="H1269" s="2" t="s">
        <v>745</v>
      </c>
      <c r="I1269" s="2" t="s">
        <v>1262</v>
      </c>
    </row>
    <row r="1270" spans="1:9" ht="14.5" x14ac:dyDescent="0.35">
      <c r="A1270" s="2">
        <v>480191</v>
      </c>
      <c r="B1270" s="2" t="str">
        <f>"9171011008860013"</f>
        <v>9171011008860013</v>
      </c>
      <c r="C1270" s="2" t="s">
        <v>1716</v>
      </c>
      <c r="D1270" s="2" t="s">
        <v>10</v>
      </c>
      <c r="E1270" s="2" t="s">
        <v>11</v>
      </c>
      <c r="F1270" s="2" t="s">
        <v>783</v>
      </c>
      <c r="G1270" s="2" t="s">
        <v>1112</v>
      </c>
      <c r="H1270" s="2" t="s">
        <v>1113</v>
      </c>
      <c r="I1270" s="2" t="s">
        <v>1714</v>
      </c>
    </row>
    <row r="1271" spans="1:9" ht="14.5" x14ac:dyDescent="0.35">
      <c r="A1271" s="2">
        <v>2531743</v>
      </c>
      <c r="B1271" s="2" t="str">
        <f>"9171011008860013"</f>
        <v>9171011008860013</v>
      </c>
      <c r="C1271" s="2" t="s">
        <v>1717</v>
      </c>
      <c r="D1271" s="2" t="s">
        <v>17</v>
      </c>
      <c r="E1271" s="2" t="s">
        <v>11</v>
      </c>
      <c r="F1271" s="2" t="s">
        <v>18</v>
      </c>
      <c r="G1271" s="2" t="s">
        <v>19</v>
      </c>
      <c r="H1271" s="2" t="s">
        <v>745</v>
      </c>
      <c r="I1271" s="2" t="s">
        <v>1262</v>
      </c>
    </row>
    <row r="1272" spans="1:9" ht="14.5" x14ac:dyDescent="0.35">
      <c r="A1272" s="2">
        <v>109926</v>
      </c>
      <c r="B1272" s="2" t="str">
        <f>"3172011502800016"</f>
        <v>3172011502800016</v>
      </c>
      <c r="C1272" s="2" t="s">
        <v>1718</v>
      </c>
      <c r="D1272" s="2" t="s">
        <v>10</v>
      </c>
      <c r="E1272" s="2" t="s">
        <v>11</v>
      </c>
      <c r="F1272" s="2" t="s">
        <v>50</v>
      </c>
      <c r="G1272" s="2" t="s">
        <v>51</v>
      </c>
      <c r="H1272" s="2" t="s">
        <v>52</v>
      </c>
      <c r="I1272" s="2" t="s">
        <v>1719</v>
      </c>
    </row>
    <row r="1273" spans="1:9" ht="14.5" x14ac:dyDescent="0.35">
      <c r="A1273" s="2">
        <v>2534943</v>
      </c>
      <c r="B1273" s="2" t="str">
        <f>"3172011502800016"</f>
        <v>3172011502800016</v>
      </c>
      <c r="C1273" s="2" t="s">
        <v>1718</v>
      </c>
      <c r="D1273" s="2" t="s">
        <v>10</v>
      </c>
      <c r="E1273" s="2" t="s">
        <v>11</v>
      </c>
      <c r="F1273" s="2" t="s">
        <v>18</v>
      </c>
      <c r="G1273" s="2" t="s">
        <v>19</v>
      </c>
      <c r="H1273" s="2" t="s">
        <v>1720</v>
      </c>
      <c r="I1273" s="2" t="s">
        <v>1721</v>
      </c>
    </row>
    <row r="1274" spans="1:9" ht="14.5" x14ac:dyDescent="0.35">
      <c r="A1274" s="2">
        <v>1089607</v>
      </c>
      <c r="B1274" s="2" t="str">
        <f>"3172014510650002"</f>
        <v>3172014510650002</v>
      </c>
      <c r="C1274" s="2" t="s">
        <v>1722</v>
      </c>
      <c r="D1274" s="2" t="s">
        <v>10</v>
      </c>
      <c r="E1274" s="2" t="s">
        <v>11</v>
      </c>
      <c r="F1274" s="2" t="s">
        <v>50</v>
      </c>
      <c r="G1274" s="2" t="s">
        <v>51</v>
      </c>
      <c r="H1274" s="2" t="s">
        <v>52</v>
      </c>
      <c r="I1274" s="2" t="s">
        <v>52</v>
      </c>
    </row>
    <row r="1275" spans="1:9" ht="14.5" x14ac:dyDescent="0.35">
      <c r="A1275" s="2">
        <v>2534579</v>
      </c>
      <c r="B1275" s="2" t="str">
        <f>"3172014510650002"</f>
        <v>3172014510650002</v>
      </c>
      <c r="C1275" s="2" t="s">
        <v>1722</v>
      </c>
      <c r="D1275" s="2" t="s">
        <v>17</v>
      </c>
      <c r="E1275" s="2" t="s">
        <v>11</v>
      </c>
      <c r="F1275" s="2" t="s">
        <v>18</v>
      </c>
      <c r="G1275" s="2" t="s">
        <v>19</v>
      </c>
      <c r="H1275" s="2" t="s">
        <v>1720</v>
      </c>
      <c r="I1275" s="2" t="s">
        <v>1723</v>
      </c>
    </row>
    <row r="1276" spans="1:9" ht="14.5" x14ac:dyDescent="0.35">
      <c r="A1276" s="2">
        <v>1101018</v>
      </c>
      <c r="B1276" s="2" t="str">
        <f>"3172015102900007"</f>
        <v>3172015102900007</v>
      </c>
      <c r="C1276" s="2" t="s">
        <v>1724</v>
      </c>
      <c r="D1276" s="2" t="s">
        <v>10</v>
      </c>
      <c r="E1276" s="2" t="s">
        <v>11</v>
      </c>
      <c r="F1276" s="2" t="s">
        <v>50</v>
      </c>
      <c r="G1276" s="2" t="s">
        <v>51</v>
      </c>
      <c r="H1276" s="2" t="s">
        <v>52</v>
      </c>
      <c r="I1276" s="2" t="s">
        <v>52</v>
      </c>
    </row>
    <row r="1277" spans="1:9" ht="14.5" x14ac:dyDescent="0.35">
      <c r="A1277" s="2">
        <v>2534602</v>
      </c>
      <c r="B1277" s="2" t="str">
        <f>"3172015102900007"</f>
        <v>3172015102900007</v>
      </c>
      <c r="C1277" s="2" t="s">
        <v>1724</v>
      </c>
      <c r="D1277" s="2" t="s">
        <v>17</v>
      </c>
      <c r="E1277" s="2" t="s">
        <v>11</v>
      </c>
      <c r="F1277" s="2" t="s">
        <v>18</v>
      </c>
      <c r="G1277" s="2" t="s">
        <v>19</v>
      </c>
      <c r="H1277" s="2" t="s">
        <v>1720</v>
      </c>
      <c r="I1277" s="2" t="s">
        <v>1723</v>
      </c>
    </row>
    <row r="1278" spans="1:9" ht="14.5" x14ac:dyDescent="0.35">
      <c r="A1278" s="2">
        <v>1219127</v>
      </c>
      <c r="B1278" s="2" t="str">
        <f>"3172046307920009"</f>
        <v>3172046307920009</v>
      </c>
      <c r="C1278" s="2" t="s">
        <v>1725</v>
      </c>
      <c r="D1278" s="2" t="s">
        <v>10</v>
      </c>
      <c r="E1278" s="2" t="s">
        <v>11</v>
      </c>
      <c r="F1278" s="2" t="s">
        <v>50</v>
      </c>
      <c r="G1278" s="2" t="s">
        <v>51</v>
      </c>
      <c r="H1278" s="2" t="s">
        <v>78</v>
      </c>
      <c r="I1278" s="2" t="s">
        <v>84</v>
      </c>
    </row>
    <row r="1279" spans="1:9" ht="14.5" x14ac:dyDescent="0.35">
      <c r="A1279" s="2">
        <v>2534524</v>
      </c>
      <c r="B1279" s="2" t="str">
        <f>"3172046307920009"</f>
        <v>3172046307920009</v>
      </c>
      <c r="C1279" s="2" t="s">
        <v>1726</v>
      </c>
      <c r="D1279" s="2" t="s">
        <v>17</v>
      </c>
      <c r="E1279" s="2" t="s">
        <v>11</v>
      </c>
      <c r="F1279" s="2" t="s">
        <v>18</v>
      </c>
      <c r="G1279" s="2" t="s">
        <v>19</v>
      </c>
      <c r="H1279" s="2" t="s">
        <v>1720</v>
      </c>
      <c r="I1279" s="2" t="s">
        <v>1727</v>
      </c>
    </row>
    <row r="1280" spans="1:9" ht="14.5" x14ac:dyDescent="0.35">
      <c r="A1280" s="2">
        <v>947635</v>
      </c>
      <c r="B1280" s="2" t="str">
        <f>"3172051404871001"</f>
        <v>3172051404871001</v>
      </c>
      <c r="C1280" s="2" t="s">
        <v>1728</v>
      </c>
      <c r="D1280" s="2" t="s">
        <v>10</v>
      </c>
      <c r="E1280" s="2" t="s">
        <v>11</v>
      </c>
      <c r="F1280" s="2" t="s">
        <v>50</v>
      </c>
      <c r="G1280" s="2" t="s">
        <v>51</v>
      </c>
      <c r="H1280" s="2" t="s">
        <v>922</v>
      </c>
      <c r="I1280" s="2" t="s">
        <v>1729</v>
      </c>
    </row>
    <row r="1281" spans="1:9" ht="14.5" x14ac:dyDescent="0.35">
      <c r="A1281" s="2">
        <v>2534428</v>
      </c>
      <c r="B1281" s="2" t="str">
        <f>"3172051404871001"</f>
        <v>3172051404871001</v>
      </c>
      <c r="C1281" s="2" t="s">
        <v>1730</v>
      </c>
      <c r="D1281" s="2" t="s">
        <v>17</v>
      </c>
      <c r="E1281" s="2" t="s">
        <v>11</v>
      </c>
      <c r="F1281" s="2" t="s">
        <v>18</v>
      </c>
      <c r="G1281" s="2" t="s">
        <v>19</v>
      </c>
      <c r="H1281" s="2" t="s">
        <v>1720</v>
      </c>
      <c r="I1281" s="2" t="s">
        <v>1731</v>
      </c>
    </row>
    <row r="1282" spans="1:9" ht="14.5" x14ac:dyDescent="0.35">
      <c r="A1282" s="2">
        <v>607326</v>
      </c>
      <c r="B1282" s="2" t="str">
        <f>"3173036412640001"</f>
        <v>3173036412640001</v>
      </c>
      <c r="C1282" s="2" t="s">
        <v>1732</v>
      </c>
      <c r="D1282" s="2" t="s">
        <v>10</v>
      </c>
      <c r="E1282" s="2" t="s">
        <v>11</v>
      </c>
      <c r="F1282" s="2" t="s">
        <v>50</v>
      </c>
      <c r="G1282" s="2" t="s">
        <v>86</v>
      </c>
      <c r="H1282" s="2" t="s">
        <v>1463</v>
      </c>
      <c r="I1282" s="2" t="s">
        <v>1733</v>
      </c>
    </row>
    <row r="1283" spans="1:9" ht="14.5" x14ac:dyDescent="0.35">
      <c r="A1283" s="2">
        <v>2535130</v>
      </c>
      <c r="B1283" s="2" t="str">
        <f>"3173036412640001"</f>
        <v>3173036412640001</v>
      </c>
      <c r="C1283" s="2" t="s">
        <v>1734</v>
      </c>
      <c r="D1283" s="2" t="s">
        <v>17</v>
      </c>
      <c r="E1283" s="2" t="s">
        <v>11</v>
      </c>
      <c r="F1283" s="2" t="s">
        <v>18</v>
      </c>
      <c r="G1283" s="2" t="s">
        <v>19</v>
      </c>
      <c r="H1283" s="2" t="s">
        <v>1720</v>
      </c>
      <c r="I1283" s="2" t="s">
        <v>1720</v>
      </c>
    </row>
    <row r="1284" spans="1:9" ht="14.5" x14ac:dyDescent="0.35">
      <c r="A1284" s="2">
        <v>1840622</v>
      </c>
      <c r="B1284" s="2" t="str">
        <f>"3173045206981002"</f>
        <v>3173045206981002</v>
      </c>
      <c r="C1284" s="2" t="s">
        <v>1735</v>
      </c>
      <c r="D1284" s="2" t="s">
        <v>10</v>
      </c>
      <c r="E1284" s="2" t="s">
        <v>11</v>
      </c>
      <c r="F1284" s="2" t="s">
        <v>50</v>
      </c>
      <c r="G1284" s="2" t="s">
        <v>86</v>
      </c>
      <c r="H1284" s="2" t="s">
        <v>445</v>
      </c>
      <c r="I1284" s="2" t="s">
        <v>1736</v>
      </c>
    </row>
    <row r="1285" spans="1:9" ht="14.5" x14ac:dyDescent="0.35">
      <c r="A1285" s="2">
        <v>2535580</v>
      </c>
      <c r="B1285" s="2" t="str">
        <f>"3173045206981002"</f>
        <v>3173045206981002</v>
      </c>
      <c r="C1285" s="2" t="s">
        <v>1735</v>
      </c>
      <c r="D1285" s="2" t="s">
        <v>17</v>
      </c>
      <c r="E1285" s="2" t="s">
        <v>11</v>
      </c>
      <c r="F1285" s="2" t="s">
        <v>18</v>
      </c>
      <c r="G1285" s="2" t="s">
        <v>19</v>
      </c>
      <c r="H1285" s="2" t="s">
        <v>1720</v>
      </c>
      <c r="I1285" s="2" t="s">
        <v>1737</v>
      </c>
    </row>
    <row r="1286" spans="1:9" ht="14.5" x14ac:dyDescent="0.35">
      <c r="A1286" s="2">
        <v>1641640</v>
      </c>
      <c r="B1286" s="2" t="str">
        <f>"3173070810970007"</f>
        <v>3173070810970007</v>
      </c>
      <c r="C1286" s="2" t="s">
        <v>1738</v>
      </c>
      <c r="D1286" s="2" t="s">
        <v>10</v>
      </c>
      <c r="E1286" s="2" t="s">
        <v>11</v>
      </c>
      <c r="F1286" s="2" t="s">
        <v>50</v>
      </c>
      <c r="G1286" s="2" t="s">
        <v>86</v>
      </c>
      <c r="H1286" s="2" t="s">
        <v>445</v>
      </c>
      <c r="I1286" s="2" t="s">
        <v>1739</v>
      </c>
    </row>
    <row r="1287" spans="1:9" ht="14.5" x14ac:dyDescent="0.35">
      <c r="A1287" s="2">
        <v>2535108</v>
      </c>
      <c r="B1287" s="2" t="str">
        <f>"3173070810970007"</f>
        <v>3173070810970007</v>
      </c>
      <c r="C1287" s="2" t="s">
        <v>1738</v>
      </c>
      <c r="D1287" s="2" t="s">
        <v>17</v>
      </c>
      <c r="E1287" s="2" t="s">
        <v>11</v>
      </c>
      <c r="F1287" s="2" t="s">
        <v>18</v>
      </c>
      <c r="G1287" s="2" t="s">
        <v>19</v>
      </c>
      <c r="H1287" s="2" t="s">
        <v>1720</v>
      </c>
      <c r="I1287" s="2" t="s">
        <v>1720</v>
      </c>
    </row>
    <row r="1288" spans="1:9" ht="14.5" x14ac:dyDescent="0.35">
      <c r="A1288" s="2">
        <v>614420</v>
      </c>
      <c r="B1288" s="2" t="str">
        <f>"3174070502820003"</f>
        <v>3174070502820003</v>
      </c>
      <c r="C1288" s="2" t="s">
        <v>1499</v>
      </c>
      <c r="D1288" s="2" t="s">
        <v>10</v>
      </c>
      <c r="E1288" s="2" t="s">
        <v>11</v>
      </c>
      <c r="F1288" s="2" t="s">
        <v>50</v>
      </c>
      <c r="G1288" s="2" t="s">
        <v>72</v>
      </c>
      <c r="H1288" s="2" t="s">
        <v>628</v>
      </c>
      <c r="I1288" s="2" t="s">
        <v>1281</v>
      </c>
    </row>
    <row r="1289" spans="1:9" ht="14.5" x14ac:dyDescent="0.35">
      <c r="A1289" s="2">
        <v>2534664</v>
      </c>
      <c r="B1289" s="2" t="str">
        <f>"3174070502820003"</f>
        <v>3174070502820003</v>
      </c>
      <c r="C1289" s="2" t="s">
        <v>1499</v>
      </c>
      <c r="D1289" s="2" t="s">
        <v>17</v>
      </c>
      <c r="E1289" s="2" t="s">
        <v>11</v>
      </c>
      <c r="F1289" s="2" t="s">
        <v>18</v>
      </c>
      <c r="G1289" s="2" t="s">
        <v>19</v>
      </c>
      <c r="H1289" s="2" t="s">
        <v>1720</v>
      </c>
      <c r="I1289" s="2" t="s">
        <v>1740</v>
      </c>
    </row>
    <row r="1290" spans="1:9" ht="14.5" x14ac:dyDescent="0.35">
      <c r="A1290" s="2">
        <v>678895</v>
      </c>
      <c r="B1290" s="2" t="str">
        <f>"3175082312520003"</f>
        <v>3175082312520003</v>
      </c>
      <c r="C1290" s="2" t="s">
        <v>1741</v>
      </c>
      <c r="D1290" s="2" t="s">
        <v>10</v>
      </c>
      <c r="E1290" s="2" t="s">
        <v>11</v>
      </c>
      <c r="F1290" s="2" t="s">
        <v>50</v>
      </c>
      <c r="G1290" s="2" t="s">
        <v>58</v>
      </c>
      <c r="H1290" s="2" t="s">
        <v>1742</v>
      </c>
      <c r="I1290" s="2" t="s">
        <v>1743</v>
      </c>
    </row>
    <row r="1291" spans="1:9" ht="14.5" x14ac:dyDescent="0.35">
      <c r="A1291" s="2">
        <v>2535181</v>
      </c>
      <c r="B1291" s="2" t="str">
        <f>"3175082312520003"</f>
        <v>3175082312520003</v>
      </c>
      <c r="C1291" s="2" t="s">
        <v>1744</v>
      </c>
      <c r="D1291" s="2" t="s">
        <v>17</v>
      </c>
      <c r="E1291" s="2" t="s">
        <v>11</v>
      </c>
      <c r="F1291" s="2" t="s">
        <v>18</v>
      </c>
      <c r="G1291" s="2" t="s">
        <v>19</v>
      </c>
      <c r="H1291" s="2" t="s">
        <v>1720</v>
      </c>
      <c r="I1291" s="2" t="s">
        <v>1720</v>
      </c>
    </row>
    <row r="1292" spans="1:9" ht="14.5" x14ac:dyDescent="0.35">
      <c r="A1292" s="2">
        <v>2535180</v>
      </c>
      <c r="B1292" s="2" t="str">
        <f>"3175084507500002"</f>
        <v>3175084507500002</v>
      </c>
      <c r="C1292" s="2" t="s">
        <v>1745</v>
      </c>
      <c r="D1292" s="2" t="s">
        <v>17</v>
      </c>
      <c r="E1292" s="2" t="s">
        <v>11</v>
      </c>
      <c r="F1292" s="2" t="s">
        <v>18</v>
      </c>
      <c r="G1292" s="2" t="s">
        <v>19</v>
      </c>
      <c r="H1292" s="2" t="s">
        <v>1720</v>
      </c>
      <c r="I1292" s="2" t="s">
        <v>1720</v>
      </c>
    </row>
    <row r="1293" spans="1:9" ht="14.5" x14ac:dyDescent="0.35">
      <c r="A1293" s="2">
        <v>678896</v>
      </c>
      <c r="B1293" s="2" t="str">
        <f>"3175084507500002"</f>
        <v>3175084507500002</v>
      </c>
      <c r="C1293" s="2" t="s">
        <v>1745</v>
      </c>
      <c r="D1293" s="2" t="s">
        <v>189</v>
      </c>
      <c r="E1293" s="2" t="s">
        <v>11</v>
      </c>
      <c r="F1293" s="2" t="s">
        <v>50</v>
      </c>
      <c r="G1293" s="2" t="s">
        <v>58</v>
      </c>
      <c r="H1293" s="2" t="s">
        <v>1742</v>
      </c>
      <c r="I1293" s="2" t="s">
        <v>1743</v>
      </c>
    </row>
    <row r="1294" spans="1:9" ht="14.5" x14ac:dyDescent="0.35">
      <c r="A1294" s="2">
        <v>1434043</v>
      </c>
      <c r="B1294" s="2" t="str">
        <f>"3175090701020005"</f>
        <v>3175090701020005</v>
      </c>
      <c r="C1294" s="2" t="s">
        <v>1746</v>
      </c>
      <c r="D1294" s="2" t="s">
        <v>10</v>
      </c>
      <c r="E1294" s="2" t="s">
        <v>11</v>
      </c>
      <c r="F1294" s="2" t="s">
        <v>50</v>
      </c>
      <c r="G1294" s="2" t="s">
        <v>58</v>
      </c>
      <c r="H1294" s="2" t="s">
        <v>1747</v>
      </c>
      <c r="I1294" s="2" t="s">
        <v>1748</v>
      </c>
    </row>
    <row r="1295" spans="1:9" ht="14.5" x14ac:dyDescent="0.35">
      <c r="A1295" s="2">
        <v>2534650</v>
      </c>
      <c r="B1295" s="2" t="str">
        <f>"3175090701020005"</f>
        <v>3175090701020005</v>
      </c>
      <c r="C1295" s="2" t="s">
        <v>1746</v>
      </c>
      <c r="D1295" s="2" t="s">
        <v>17</v>
      </c>
      <c r="E1295" s="2" t="s">
        <v>11</v>
      </c>
      <c r="F1295" s="2" t="s">
        <v>18</v>
      </c>
      <c r="G1295" s="2" t="s">
        <v>19</v>
      </c>
      <c r="H1295" s="2" t="s">
        <v>1720</v>
      </c>
      <c r="I1295" s="2" t="s">
        <v>1723</v>
      </c>
    </row>
    <row r="1296" spans="1:9" ht="14.5" x14ac:dyDescent="0.35">
      <c r="A1296" s="2">
        <v>1433937</v>
      </c>
      <c r="B1296" s="2" t="str">
        <f>"3175091511620009"</f>
        <v>3175091511620009</v>
      </c>
      <c r="C1296" s="2" t="s">
        <v>1749</v>
      </c>
      <c r="D1296" s="2" t="s">
        <v>10</v>
      </c>
      <c r="E1296" s="2" t="s">
        <v>11</v>
      </c>
      <c r="F1296" s="2" t="s">
        <v>50</v>
      </c>
      <c r="G1296" s="2" t="s">
        <v>58</v>
      </c>
      <c r="H1296" s="2" t="s">
        <v>1747</v>
      </c>
      <c r="I1296" s="2" t="s">
        <v>1748</v>
      </c>
    </row>
    <row r="1297" spans="1:9" ht="14.5" x14ac:dyDescent="0.35">
      <c r="A1297" s="2">
        <v>2534647</v>
      </c>
      <c r="B1297" s="2" t="str">
        <f>"3175091511620009"</f>
        <v>3175091511620009</v>
      </c>
      <c r="C1297" s="2" t="s">
        <v>1749</v>
      </c>
      <c r="D1297" s="2" t="s">
        <v>17</v>
      </c>
      <c r="E1297" s="2" t="s">
        <v>11</v>
      </c>
      <c r="F1297" s="2" t="s">
        <v>18</v>
      </c>
      <c r="G1297" s="2" t="s">
        <v>19</v>
      </c>
      <c r="H1297" s="2" t="s">
        <v>1720</v>
      </c>
      <c r="I1297" s="2" t="s">
        <v>1723</v>
      </c>
    </row>
    <row r="1298" spans="1:9" ht="14.5" x14ac:dyDescent="0.35">
      <c r="A1298" s="2">
        <v>1434044</v>
      </c>
      <c r="B1298" s="2" t="str">
        <f>"3175096507730003"</f>
        <v>3175096507730003</v>
      </c>
      <c r="C1298" s="2" t="s">
        <v>1750</v>
      </c>
      <c r="D1298" s="2" t="s">
        <v>10</v>
      </c>
      <c r="E1298" s="2" t="s">
        <v>11</v>
      </c>
      <c r="F1298" s="2" t="s">
        <v>50</v>
      </c>
      <c r="G1298" s="2" t="s">
        <v>58</v>
      </c>
      <c r="H1298" s="2" t="s">
        <v>1747</v>
      </c>
      <c r="I1298" s="2" t="s">
        <v>1748</v>
      </c>
    </row>
    <row r="1299" spans="1:9" ht="14.5" x14ac:dyDescent="0.35">
      <c r="A1299" s="2">
        <v>2534654</v>
      </c>
      <c r="B1299" s="2" t="str">
        <f>"3175096507730003"</f>
        <v>3175096507730003</v>
      </c>
      <c r="C1299" s="2" t="s">
        <v>1750</v>
      </c>
      <c r="D1299" s="2" t="s">
        <v>17</v>
      </c>
      <c r="E1299" s="2" t="s">
        <v>11</v>
      </c>
      <c r="F1299" s="2" t="s">
        <v>18</v>
      </c>
      <c r="G1299" s="2" t="s">
        <v>19</v>
      </c>
      <c r="H1299" s="2" t="s">
        <v>1720</v>
      </c>
      <c r="I1299" s="2" t="s">
        <v>1723</v>
      </c>
    </row>
    <row r="1300" spans="1:9" ht="14.5" x14ac:dyDescent="0.35">
      <c r="A1300" s="2">
        <v>3816319</v>
      </c>
      <c r="B1300" s="2" t="str">
        <f>"3202022407850001"</f>
        <v>3202022407850001</v>
      </c>
      <c r="C1300" s="2" t="s">
        <v>1751</v>
      </c>
      <c r="D1300" s="2" t="s">
        <v>10</v>
      </c>
      <c r="E1300" s="2" t="s">
        <v>11</v>
      </c>
      <c r="F1300" s="2" t="s">
        <v>91</v>
      </c>
      <c r="G1300" s="2" t="s">
        <v>650</v>
      </c>
      <c r="H1300" s="2" t="s">
        <v>1752</v>
      </c>
      <c r="I1300" s="2" t="s">
        <v>1753</v>
      </c>
    </row>
    <row r="1301" spans="1:9" ht="14.5" x14ac:dyDescent="0.35">
      <c r="A1301" s="2">
        <v>2534453</v>
      </c>
      <c r="B1301" s="2" t="str">
        <f>"3202022407850001"</f>
        <v>3202022407850001</v>
      </c>
      <c r="C1301" s="2" t="s">
        <v>1751</v>
      </c>
      <c r="D1301" s="2" t="s">
        <v>17</v>
      </c>
      <c r="E1301" s="2" t="s">
        <v>11</v>
      </c>
      <c r="F1301" s="2" t="s">
        <v>18</v>
      </c>
      <c r="G1301" s="2" t="s">
        <v>19</v>
      </c>
      <c r="H1301" s="2" t="s">
        <v>1720</v>
      </c>
      <c r="I1301" s="2" t="s">
        <v>1727</v>
      </c>
    </row>
    <row r="1302" spans="1:9" ht="14.5" x14ac:dyDescent="0.35">
      <c r="A1302" s="2">
        <v>1434045</v>
      </c>
      <c r="B1302" s="2" t="str">
        <f>"3208100107700409"</f>
        <v>3208100107700409</v>
      </c>
      <c r="C1302" s="2" t="s">
        <v>1754</v>
      </c>
      <c r="D1302" s="2" t="s">
        <v>10</v>
      </c>
      <c r="E1302" s="2" t="s">
        <v>11</v>
      </c>
      <c r="F1302" s="2" t="s">
        <v>50</v>
      </c>
      <c r="G1302" s="2" t="s">
        <v>58</v>
      </c>
      <c r="H1302" s="2" t="s">
        <v>1747</v>
      </c>
      <c r="I1302" s="2" t="s">
        <v>1748</v>
      </c>
    </row>
    <row r="1303" spans="1:9" ht="14.5" x14ac:dyDescent="0.35">
      <c r="A1303" s="2">
        <v>2534653</v>
      </c>
      <c r="B1303" s="2" t="str">
        <f>"3208100107700409"</f>
        <v>3208100107700409</v>
      </c>
      <c r="C1303" s="2" t="s">
        <v>1754</v>
      </c>
      <c r="D1303" s="2" t="s">
        <v>17</v>
      </c>
      <c r="E1303" s="2" t="s">
        <v>11</v>
      </c>
      <c r="F1303" s="2" t="s">
        <v>18</v>
      </c>
      <c r="G1303" s="2" t="s">
        <v>19</v>
      </c>
      <c r="H1303" s="2" t="s">
        <v>1720</v>
      </c>
      <c r="I1303" s="2" t="s">
        <v>1723</v>
      </c>
    </row>
    <row r="1304" spans="1:9" ht="14.5" x14ac:dyDescent="0.35">
      <c r="A1304" s="2">
        <v>22748</v>
      </c>
      <c r="B1304" s="2" t="str">
        <f>"3208270606920004"</f>
        <v>3208270606920004</v>
      </c>
      <c r="C1304" s="2" t="s">
        <v>1755</v>
      </c>
      <c r="D1304" s="2" t="s">
        <v>10</v>
      </c>
      <c r="E1304" s="2" t="s">
        <v>11</v>
      </c>
      <c r="F1304" s="2" t="s">
        <v>91</v>
      </c>
      <c r="G1304" s="2" t="s">
        <v>109</v>
      </c>
      <c r="H1304" s="2" t="s">
        <v>1756</v>
      </c>
      <c r="I1304" s="2" t="s">
        <v>1757</v>
      </c>
    </row>
    <row r="1305" spans="1:9" ht="14.5" x14ac:dyDescent="0.35">
      <c r="A1305" s="2">
        <v>2534466</v>
      </c>
      <c r="B1305" s="2" t="str">
        <f>"3208270606920004"</f>
        <v>3208270606920004</v>
      </c>
      <c r="C1305" s="2" t="s">
        <v>1755</v>
      </c>
      <c r="D1305" s="2" t="s">
        <v>17</v>
      </c>
      <c r="E1305" s="2" t="s">
        <v>11</v>
      </c>
      <c r="F1305" s="2" t="s">
        <v>18</v>
      </c>
      <c r="G1305" s="2" t="s">
        <v>19</v>
      </c>
      <c r="H1305" s="2" t="s">
        <v>1720</v>
      </c>
      <c r="I1305" s="2" t="s">
        <v>1727</v>
      </c>
    </row>
    <row r="1306" spans="1:9" ht="14.5" x14ac:dyDescent="0.35">
      <c r="A1306" s="2">
        <v>50870</v>
      </c>
      <c r="B1306" s="2" t="str">
        <f>"3208282903950004"</f>
        <v>3208282903950004</v>
      </c>
      <c r="C1306" s="2" t="s">
        <v>1758</v>
      </c>
      <c r="D1306" s="2" t="s">
        <v>10</v>
      </c>
      <c r="E1306" s="2" t="s">
        <v>11</v>
      </c>
      <c r="F1306" s="2" t="s">
        <v>91</v>
      </c>
      <c r="G1306" s="2" t="s">
        <v>109</v>
      </c>
      <c r="H1306" s="2" t="s">
        <v>1759</v>
      </c>
      <c r="I1306" s="2" t="s">
        <v>1760</v>
      </c>
    </row>
    <row r="1307" spans="1:9" ht="14.5" x14ac:dyDescent="0.35">
      <c r="A1307" s="2">
        <v>2535446</v>
      </c>
      <c r="B1307" s="2" t="str">
        <f>"3208282903950004"</f>
        <v>3208282903950004</v>
      </c>
      <c r="C1307" s="2" t="s">
        <v>1761</v>
      </c>
      <c r="D1307" s="2" t="s">
        <v>17</v>
      </c>
      <c r="E1307" s="2" t="s">
        <v>11</v>
      </c>
      <c r="F1307" s="2" t="s">
        <v>18</v>
      </c>
      <c r="G1307" s="2" t="s">
        <v>19</v>
      </c>
      <c r="H1307" s="2" t="s">
        <v>1720</v>
      </c>
      <c r="I1307" s="2" t="s">
        <v>1737</v>
      </c>
    </row>
    <row r="1308" spans="1:9" ht="14.5" x14ac:dyDescent="0.35">
      <c r="A1308" s="2">
        <v>1615502</v>
      </c>
      <c r="B1308" s="2" t="str">
        <f>"3211251511910009"</f>
        <v>3211251511910009</v>
      </c>
      <c r="C1308" s="2" t="s">
        <v>1762</v>
      </c>
      <c r="D1308" s="2" t="s">
        <v>10</v>
      </c>
      <c r="E1308" s="2" t="s">
        <v>11</v>
      </c>
      <c r="F1308" s="2" t="s">
        <v>18</v>
      </c>
      <c r="G1308" s="2" t="s">
        <v>19</v>
      </c>
      <c r="H1308" s="2" t="s">
        <v>1720</v>
      </c>
      <c r="I1308" s="2" t="s">
        <v>1721</v>
      </c>
    </row>
    <row r="1309" spans="1:9" ht="14.5" x14ac:dyDescent="0.35">
      <c r="A1309" s="2">
        <v>1830643</v>
      </c>
      <c r="B1309" s="2" t="str">
        <f>"3211251511910009"</f>
        <v>3211251511910009</v>
      </c>
      <c r="C1309" s="2" t="s">
        <v>1762</v>
      </c>
      <c r="D1309" s="2" t="s">
        <v>17</v>
      </c>
      <c r="E1309" s="2" t="s">
        <v>11</v>
      </c>
      <c r="F1309" s="2" t="s">
        <v>91</v>
      </c>
      <c r="G1309" s="2" t="s">
        <v>1763</v>
      </c>
      <c r="H1309" s="2" t="s">
        <v>1764</v>
      </c>
      <c r="I1309" s="2" t="s">
        <v>1764</v>
      </c>
    </row>
    <row r="1310" spans="1:9" ht="14.5" x14ac:dyDescent="0.35">
      <c r="A1310" s="2">
        <v>1409580</v>
      </c>
      <c r="B1310" s="2" t="str">
        <f>"3215257006890002"</f>
        <v>3215257006890002</v>
      </c>
      <c r="C1310" s="2" t="s">
        <v>1765</v>
      </c>
      <c r="D1310" s="2" t="s">
        <v>10</v>
      </c>
      <c r="E1310" s="2" t="s">
        <v>11</v>
      </c>
      <c r="F1310" s="2" t="s">
        <v>91</v>
      </c>
      <c r="G1310" s="2" t="s">
        <v>320</v>
      </c>
      <c r="H1310" s="2" t="s">
        <v>1289</v>
      </c>
      <c r="I1310" s="2" t="s">
        <v>1766</v>
      </c>
    </row>
    <row r="1311" spans="1:9" ht="14.5" x14ac:dyDescent="0.35">
      <c r="A1311" s="2">
        <v>2535503</v>
      </c>
      <c r="B1311" s="2" t="str">
        <f>"3215257006890002"</f>
        <v>3215257006890002</v>
      </c>
      <c r="C1311" s="2" t="s">
        <v>1767</v>
      </c>
      <c r="D1311" s="2" t="s">
        <v>17</v>
      </c>
      <c r="E1311" s="2" t="s">
        <v>11</v>
      </c>
      <c r="F1311" s="2" t="s">
        <v>18</v>
      </c>
      <c r="G1311" s="2" t="s">
        <v>19</v>
      </c>
      <c r="H1311" s="2" t="s">
        <v>1720</v>
      </c>
      <c r="I1311" s="2" t="s">
        <v>1737</v>
      </c>
    </row>
    <row r="1312" spans="1:9" ht="14.5" x14ac:dyDescent="0.35">
      <c r="A1312" s="2">
        <v>657084</v>
      </c>
      <c r="B1312" s="2" t="str">
        <f>"3216100308820010"</f>
        <v>3216100308820010</v>
      </c>
      <c r="C1312" s="2" t="s">
        <v>1768</v>
      </c>
      <c r="D1312" s="2" t="s">
        <v>10</v>
      </c>
      <c r="E1312" s="2" t="s">
        <v>11</v>
      </c>
      <c r="F1312" s="2" t="s">
        <v>91</v>
      </c>
      <c r="G1312" s="2" t="s">
        <v>92</v>
      </c>
      <c r="H1312" s="2" t="s">
        <v>1769</v>
      </c>
      <c r="I1312" s="2" t="s">
        <v>1770</v>
      </c>
    </row>
    <row r="1313" spans="1:9" ht="14.5" x14ac:dyDescent="0.35">
      <c r="A1313" s="2">
        <v>2535652</v>
      </c>
      <c r="B1313" s="2" t="str">
        <f>"3216100308820010"</f>
        <v>3216100308820010</v>
      </c>
      <c r="C1313" s="2" t="s">
        <v>1768</v>
      </c>
      <c r="D1313" s="2" t="s">
        <v>17</v>
      </c>
      <c r="E1313" s="2" t="s">
        <v>11</v>
      </c>
      <c r="F1313" s="2" t="s">
        <v>18</v>
      </c>
      <c r="G1313" s="2" t="s">
        <v>19</v>
      </c>
      <c r="H1313" s="2" t="s">
        <v>1720</v>
      </c>
      <c r="I1313" s="2" t="s">
        <v>1771</v>
      </c>
    </row>
    <row r="1314" spans="1:9" ht="14.5" x14ac:dyDescent="0.35">
      <c r="A1314" s="2">
        <v>1538091</v>
      </c>
      <c r="B1314" s="2" t="str">
        <f>"3275010910760012"</f>
        <v>3275010910760012</v>
      </c>
      <c r="C1314" s="2" t="s">
        <v>1772</v>
      </c>
      <c r="D1314" s="2" t="s">
        <v>10</v>
      </c>
      <c r="E1314" s="2" t="s">
        <v>11</v>
      </c>
      <c r="F1314" s="2" t="s">
        <v>91</v>
      </c>
      <c r="G1314" s="2" t="s">
        <v>159</v>
      </c>
      <c r="H1314" s="2" t="s">
        <v>685</v>
      </c>
      <c r="I1314" s="2" t="s">
        <v>1773</v>
      </c>
    </row>
    <row r="1315" spans="1:9" ht="14.5" x14ac:dyDescent="0.35">
      <c r="A1315" s="2">
        <v>2534282</v>
      </c>
      <c r="B1315" s="2" t="str">
        <f>"3275010910760012"</f>
        <v>3275010910760012</v>
      </c>
      <c r="C1315" s="2" t="s">
        <v>1772</v>
      </c>
      <c r="D1315" s="2" t="s">
        <v>17</v>
      </c>
      <c r="E1315" s="2" t="s">
        <v>11</v>
      </c>
      <c r="F1315" s="2" t="s">
        <v>18</v>
      </c>
      <c r="G1315" s="2" t="s">
        <v>19</v>
      </c>
      <c r="H1315" s="2" t="s">
        <v>1720</v>
      </c>
      <c r="I1315" s="2" t="s">
        <v>1774</v>
      </c>
    </row>
    <row r="1316" spans="1:9" ht="14.5" x14ac:dyDescent="0.35">
      <c r="A1316" s="2">
        <v>1538094</v>
      </c>
      <c r="B1316" s="2" t="str">
        <f>"3275016703790023"</f>
        <v>3275016703790023</v>
      </c>
      <c r="C1316" s="2" t="s">
        <v>1775</v>
      </c>
      <c r="D1316" s="2" t="s">
        <v>10</v>
      </c>
      <c r="E1316" s="2" t="s">
        <v>11</v>
      </c>
      <c r="F1316" s="2" t="s">
        <v>91</v>
      </c>
      <c r="G1316" s="2" t="s">
        <v>159</v>
      </c>
      <c r="H1316" s="2" t="s">
        <v>685</v>
      </c>
      <c r="I1316" s="2" t="s">
        <v>1773</v>
      </c>
    </row>
    <row r="1317" spans="1:9" ht="14.5" x14ac:dyDescent="0.35">
      <c r="A1317" s="2">
        <v>2534283</v>
      </c>
      <c r="B1317" s="2" t="str">
        <f>"3275016703790023"</f>
        <v>3275016703790023</v>
      </c>
      <c r="C1317" s="2" t="s">
        <v>1775</v>
      </c>
      <c r="D1317" s="2" t="s">
        <v>17</v>
      </c>
      <c r="E1317" s="2" t="s">
        <v>11</v>
      </c>
      <c r="F1317" s="2" t="s">
        <v>18</v>
      </c>
      <c r="G1317" s="2" t="s">
        <v>19</v>
      </c>
      <c r="H1317" s="2" t="s">
        <v>1720</v>
      </c>
      <c r="I1317" s="2" t="s">
        <v>1774</v>
      </c>
    </row>
    <row r="1318" spans="1:9" ht="14.5" x14ac:dyDescent="0.35">
      <c r="A1318" s="2">
        <v>1486611</v>
      </c>
      <c r="B1318" s="2" t="str">
        <f>"3275050108780018"</f>
        <v>3275050108780018</v>
      </c>
      <c r="C1318" s="2" t="s">
        <v>1776</v>
      </c>
      <c r="D1318" s="2" t="s">
        <v>10</v>
      </c>
      <c r="E1318" s="2" t="s">
        <v>11</v>
      </c>
      <c r="F1318" s="2" t="s">
        <v>91</v>
      </c>
      <c r="G1318" s="2" t="s">
        <v>159</v>
      </c>
      <c r="H1318" s="2" t="s">
        <v>160</v>
      </c>
      <c r="I1318" s="2" t="s">
        <v>980</v>
      </c>
    </row>
    <row r="1319" spans="1:9" ht="14.5" x14ac:dyDescent="0.35">
      <c r="A1319" s="2">
        <v>2535765</v>
      </c>
      <c r="B1319" s="2" t="str">
        <f>"3275050108780018"</f>
        <v>3275050108780018</v>
      </c>
      <c r="C1319" s="2" t="s">
        <v>1776</v>
      </c>
      <c r="D1319" s="2" t="s">
        <v>17</v>
      </c>
      <c r="E1319" s="2" t="s">
        <v>11</v>
      </c>
      <c r="F1319" s="2" t="s">
        <v>18</v>
      </c>
      <c r="G1319" s="2" t="s">
        <v>19</v>
      </c>
      <c r="H1319" s="2" t="s">
        <v>1720</v>
      </c>
      <c r="I1319" s="2" t="s">
        <v>1777</v>
      </c>
    </row>
    <row r="1320" spans="1:9" ht="14.5" x14ac:dyDescent="0.35">
      <c r="A1320" s="2">
        <v>1486612</v>
      </c>
      <c r="B1320" s="2" t="str">
        <f>"3275054403780039"</f>
        <v>3275054403780039</v>
      </c>
      <c r="C1320" s="2" t="s">
        <v>1778</v>
      </c>
      <c r="D1320" s="2" t="s">
        <v>10</v>
      </c>
      <c r="E1320" s="2" t="s">
        <v>11</v>
      </c>
      <c r="F1320" s="2" t="s">
        <v>91</v>
      </c>
      <c r="G1320" s="2" t="s">
        <v>159</v>
      </c>
      <c r="H1320" s="2" t="s">
        <v>160</v>
      </c>
      <c r="I1320" s="2" t="s">
        <v>980</v>
      </c>
    </row>
    <row r="1321" spans="1:9" ht="14.5" x14ac:dyDescent="0.35">
      <c r="A1321" s="2">
        <v>2535766</v>
      </c>
      <c r="B1321" s="2" t="str">
        <f>"3275054403780039"</f>
        <v>3275054403780039</v>
      </c>
      <c r="C1321" s="2" t="s">
        <v>1778</v>
      </c>
      <c r="D1321" s="2" t="s">
        <v>17</v>
      </c>
      <c r="E1321" s="2" t="s">
        <v>11</v>
      </c>
      <c r="F1321" s="2" t="s">
        <v>18</v>
      </c>
      <c r="G1321" s="2" t="s">
        <v>19</v>
      </c>
      <c r="H1321" s="2" t="s">
        <v>1720</v>
      </c>
      <c r="I1321" s="2" t="s">
        <v>1777</v>
      </c>
    </row>
    <row r="1322" spans="1:9" ht="14.5" x14ac:dyDescent="0.35">
      <c r="A1322" s="2">
        <v>1486613</v>
      </c>
      <c r="B1322" s="2" t="str">
        <f>"3275055708060009"</f>
        <v>3275055708060009</v>
      </c>
      <c r="C1322" s="2" t="s">
        <v>1779</v>
      </c>
      <c r="D1322" s="2" t="s">
        <v>10</v>
      </c>
      <c r="E1322" s="2" t="s">
        <v>11</v>
      </c>
      <c r="F1322" s="2" t="s">
        <v>91</v>
      </c>
      <c r="G1322" s="2" t="s">
        <v>159</v>
      </c>
      <c r="H1322" s="2" t="s">
        <v>160</v>
      </c>
      <c r="I1322" s="2" t="s">
        <v>980</v>
      </c>
    </row>
    <row r="1323" spans="1:9" ht="14.5" x14ac:dyDescent="0.35">
      <c r="A1323" s="2">
        <v>2535753</v>
      </c>
      <c r="B1323" s="2" t="str">
        <f>"3275055708060009"</f>
        <v>3275055708060009</v>
      </c>
      <c r="C1323" s="2" t="s">
        <v>1780</v>
      </c>
      <c r="D1323" s="2" t="s">
        <v>17</v>
      </c>
      <c r="E1323" s="2" t="s">
        <v>11</v>
      </c>
      <c r="F1323" s="2" t="s">
        <v>18</v>
      </c>
      <c r="G1323" s="2" t="s">
        <v>19</v>
      </c>
      <c r="H1323" s="2" t="s">
        <v>1720</v>
      </c>
      <c r="I1323" s="2" t="s">
        <v>1777</v>
      </c>
    </row>
    <row r="1324" spans="1:9" ht="14.5" x14ac:dyDescent="0.35">
      <c r="A1324" s="2">
        <v>1591410</v>
      </c>
      <c r="B1324" s="2" t="str">
        <f>"3276076809790001"</f>
        <v>3276076809790001</v>
      </c>
      <c r="C1324" s="2" t="s">
        <v>1781</v>
      </c>
      <c r="D1324" s="2" t="s">
        <v>10</v>
      </c>
      <c r="E1324" s="2" t="s">
        <v>11</v>
      </c>
      <c r="F1324" s="2" t="s">
        <v>91</v>
      </c>
      <c r="G1324" s="2" t="s">
        <v>159</v>
      </c>
      <c r="H1324" s="2" t="s">
        <v>685</v>
      </c>
      <c r="I1324" s="2" t="s">
        <v>1773</v>
      </c>
    </row>
    <row r="1325" spans="1:9" ht="14.5" x14ac:dyDescent="0.35">
      <c r="A1325" s="2">
        <v>2535158</v>
      </c>
      <c r="B1325" s="2" t="str">
        <f>"3276076809790001"</f>
        <v>3276076809790001</v>
      </c>
      <c r="C1325" s="2" t="s">
        <v>1781</v>
      </c>
      <c r="D1325" s="2" t="s">
        <v>17</v>
      </c>
      <c r="E1325" s="2" t="s">
        <v>11</v>
      </c>
      <c r="F1325" s="2" t="s">
        <v>18</v>
      </c>
      <c r="G1325" s="2" t="s">
        <v>19</v>
      </c>
      <c r="H1325" s="2" t="s">
        <v>1720</v>
      </c>
      <c r="I1325" s="2" t="s">
        <v>1720</v>
      </c>
    </row>
    <row r="1326" spans="1:9" ht="14.5" x14ac:dyDescent="0.35">
      <c r="A1326" s="2">
        <v>1623033</v>
      </c>
      <c r="B1326" s="2" t="str">
        <f>"3302086110900002"</f>
        <v>3302086110900002</v>
      </c>
      <c r="C1326" s="2" t="s">
        <v>1782</v>
      </c>
      <c r="D1326" s="2" t="s">
        <v>10</v>
      </c>
      <c r="E1326" s="2" t="s">
        <v>11</v>
      </c>
      <c r="F1326" s="2" t="s">
        <v>18</v>
      </c>
      <c r="G1326" s="2" t="s">
        <v>19</v>
      </c>
      <c r="H1326" s="2" t="s">
        <v>1720</v>
      </c>
      <c r="I1326" s="2" t="s">
        <v>1777</v>
      </c>
    </row>
    <row r="1327" spans="1:9" ht="14.5" x14ac:dyDescent="0.35">
      <c r="A1327" s="2">
        <v>1113666</v>
      </c>
      <c r="B1327" s="2" t="str">
        <f>"3302086110900002"</f>
        <v>3302086110900002</v>
      </c>
      <c r="C1327" s="2" t="s">
        <v>1782</v>
      </c>
      <c r="D1327" s="2" t="s">
        <v>17</v>
      </c>
      <c r="E1327" s="2" t="s">
        <v>11</v>
      </c>
      <c r="F1327" s="2" t="s">
        <v>18</v>
      </c>
      <c r="G1327" s="2" t="s">
        <v>171</v>
      </c>
      <c r="H1327" s="2" t="s">
        <v>363</v>
      </c>
      <c r="I1327" s="2" t="s">
        <v>1783</v>
      </c>
    </row>
    <row r="1328" spans="1:9" ht="14.5" x14ac:dyDescent="0.35">
      <c r="A1328" s="2">
        <v>798356</v>
      </c>
      <c r="B1328" s="2" t="str">
        <f>"3315082309850004"</f>
        <v>3315082309850004</v>
      </c>
      <c r="C1328" s="2" t="s">
        <v>1784</v>
      </c>
      <c r="D1328" s="2" t="s">
        <v>10</v>
      </c>
      <c r="E1328" s="2" t="s">
        <v>11</v>
      </c>
      <c r="F1328" s="2" t="s">
        <v>18</v>
      </c>
      <c r="G1328" s="2" t="s">
        <v>180</v>
      </c>
      <c r="H1328" s="2" t="s">
        <v>1785</v>
      </c>
      <c r="I1328" s="2" t="s">
        <v>1785</v>
      </c>
    </row>
    <row r="1329" spans="1:9" ht="14.5" x14ac:dyDescent="0.35">
      <c r="A1329" s="2">
        <v>2535224</v>
      </c>
      <c r="B1329" s="2" t="str">
        <f>"3315082309850004"</f>
        <v>3315082309850004</v>
      </c>
      <c r="C1329" s="2" t="s">
        <v>1784</v>
      </c>
      <c r="D1329" s="2" t="s">
        <v>17</v>
      </c>
      <c r="E1329" s="2" t="s">
        <v>11</v>
      </c>
      <c r="F1329" s="2" t="s">
        <v>18</v>
      </c>
      <c r="G1329" s="2" t="s">
        <v>19</v>
      </c>
      <c r="H1329" s="2" t="s">
        <v>1720</v>
      </c>
      <c r="I1329" s="2" t="s">
        <v>1381</v>
      </c>
    </row>
    <row r="1330" spans="1:9" ht="14.5" x14ac:dyDescent="0.35">
      <c r="A1330" s="2">
        <v>964556</v>
      </c>
      <c r="B1330" s="2" t="str">
        <f>"3318020804740005"</f>
        <v>3318020804740005</v>
      </c>
      <c r="C1330" s="2" t="s">
        <v>1786</v>
      </c>
      <c r="D1330" s="2" t="s">
        <v>10</v>
      </c>
      <c r="E1330" s="2" t="s">
        <v>11</v>
      </c>
      <c r="F1330" s="2" t="s">
        <v>18</v>
      </c>
      <c r="G1330" s="2" t="s">
        <v>1787</v>
      </c>
      <c r="H1330" s="2" t="s">
        <v>1788</v>
      </c>
      <c r="I1330" s="2" t="s">
        <v>1789</v>
      </c>
    </row>
    <row r="1331" spans="1:9" ht="14.5" x14ac:dyDescent="0.35">
      <c r="A1331" s="2">
        <v>2534276</v>
      </c>
      <c r="B1331" s="2" t="str">
        <f>"3318020804740005"</f>
        <v>3318020804740005</v>
      </c>
      <c r="C1331" s="2" t="s">
        <v>1786</v>
      </c>
      <c r="D1331" s="2" t="s">
        <v>17</v>
      </c>
      <c r="E1331" s="2" t="s">
        <v>11</v>
      </c>
      <c r="F1331" s="2" t="s">
        <v>18</v>
      </c>
      <c r="G1331" s="2" t="s">
        <v>19</v>
      </c>
      <c r="H1331" s="2" t="s">
        <v>1720</v>
      </c>
      <c r="I1331" s="2" t="s">
        <v>1774</v>
      </c>
    </row>
    <row r="1332" spans="1:9" ht="14.5" x14ac:dyDescent="0.35">
      <c r="A1332" s="2">
        <v>1546673</v>
      </c>
      <c r="B1332" s="2" t="str">
        <f>"3325112007670001"</f>
        <v>3325112007670001</v>
      </c>
      <c r="C1332" s="2" t="s">
        <v>1790</v>
      </c>
      <c r="D1332" s="2" t="s">
        <v>10</v>
      </c>
      <c r="E1332" s="2" t="s">
        <v>11</v>
      </c>
      <c r="F1332" s="2" t="s">
        <v>18</v>
      </c>
      <c r="G1332" s="2" t="s">
        <v>19</v>
      </c>
      <c r="H1332" s="2" t="s">
        <v>1720</v>
      </c>
      <c r="I1332" s="2" t="s">
        <v>1771</v>
      </c>
    </row>
    <row r="1333" spans="1:9" ht="14.5" x14ac:dyDescent="0.35">
      <c r="A1333" s="2">
        <v>2662325</v>
      </c>
      <c r="B1333" s="2" t="str">
        <f>"3325112007670001"</f>
        <v>3325112007670001</v>
      </c>
      <c r="C1333" s="2" t="s">
        <v>1791</v>
      </c>
      <c r="D1333" s="2" t="s">
        <v>10</v>
      </c>
      <c r="E1333" s="2" t="s">
        <v>57</v>
      </c>
      <c r="F1333" s="2" t="s">
        <v>18</v>
      </c>
      <c r="G1333" s="2" t="s">
        <v>199</v>
      </c>
      <c r="H1333" s="2" t="s">
        <v>199</v>
      </c>
      <c r="I1333" s="2" t="s">
        <v>839</v>
      </c>
    </row>
    <row r="1334" spans="1:9" ht="14.5" x14ac:dyDescent="0.35">
      <c r="A1334" s="2">
        <v>2534391</v>
      </c>
      <c r="B1334" s="2" t="str">
        <f>"3326111407930005"</f>
        <v>3326111407930005</v>
      </c>
      <c r="C1334" s="2" t="s">
        <v>1792</v>
      </c>
      <c r="D1334" s="2" t="s">
        <v>17</v>
      </c>
      <c r="E1334" s="2" t="s">
        <v>11</v>
      </c>
      <c r="F1334" s="2" t="s">
        <v>18</v>
      </c>
      <c r="G1334" s="2" t="s">
        <v>19</v>
      </c>
      <c r="H1334" s="2" t="s">
        <v>1720</v>
      </c>
      <c r="I1334" s="2" t="s">
        <v>1731</v>
      </c>
    </row>
    <row r="1335" spans="1:9" ht="14.5" x14ac:dyDescent="0.35">
      <c r="A1335" s="2">
        <v>936100</v>
      </c>
      <c r="B1335" s="2" t="str">
        <f>"3326111407930005"</f>
        <v>3326111407930005</v>
      </c>
      <c r="C1335" s="2" t="s">
        <v>1793</v>
      </c>
      <c r="D1335" s="2" t="s">
        <v>189</v>
      </c>
      <c r="E1335" s="2" t="s">
        <v>11</v>
      </c>
      <c r="F1335" s="2" t="s">
        <v>18</v>
      </c>
      <c r="G1335" s="2" t="s">
        <v>195</v>
      </c>
      <c r="H1335" s="2" t="s">
        <v>906</v>
      </c>
      <c r="I1335" s="2" t="s">
        <v>1794</v>
      </c>
    </row>
    <row r="1336" spans="1:9" ht="14.5" x14ac:dyDescent="0.35">
      <c r="A1336" s="2">
        <v>556804</v>
      </c>
      <c r="B1336" s="2" t="str">
        <f>"3328011112820005"</f>
        <v>3328011112820005</v>
      </c>
      <c r="C1336" s="2" t="s">
        <v>1795</v>
      </c>
      <c r="D1336" s="2" t="s">
        <v>10</v>
      </c>
      <c r="E1336" s="2" t="s">
        <v>11</v>
      </c>
      <c r="F1336" s="2" t="s">
        <v>67</v>
      </c>
      <c r="G1336" s="2" t="s">
        <v>791</v>
      </c>
      <c r="H1336" s="2" t="s">
        <v>1796</v>
      </c>
      <c r="I1336" s="2" t="s">
        <v>1797</v>
      </c>
    </row>
    <row r="1337" spans="1:9" ht="14.5" x14ac:dyDescent="0.35">
      <c r="A1337" s="2">
        <v>2534761</v>
      </c>
      <c r="B1337" s="2" t="str">
        <f>"3328011112820005"</f>
        <v>3328011112820005</v>
      </c>
      <c r="C1337" s="2" t="s">
        <v>1795</v>
      </c>
      <c r="D1337" s="2" t="s">
        <v>17</v>
      </c>
      <c r="E1337" s="2" t="s">
        <v>11</v>
      </c>
      <c r="F1337" s="2" t="s">
        <v>18</v>
      </c>
      <c r="G1337" s="2" t="s">
        <v>19</v>
      </c>
      <c r="H1337" s="2" t="s">
        <v>1720</v>
      </c>
      <c r="I1337" s="2" t="s">
        <v>1740</v>
      </c>
    </row>
    <row r="1338" spans="1:9" ht="14.5" x14ac:dyDescent="0.35">
      <c r="A1338" s="2">
        <v>1623059</v>
      </c>
      <c r="B1338" s="2" t="str">
        <f>"3328050107920008"</f>
        <v>3328050107920008</v>
      </c>
      <c r="C1338" s="2" t="s">
        <v>1798</v>
      </c>
      <c r="D1338" s="2" t="s">
        <v>10</v>
      </c>
      <c r="E1338" s="2" t="s">
        <v>11</v>
      </c>
      <c r="F1338" s="2" t="s">
        <v>18</v>
      </c>
      <c r="G1338" s="2" t="s">
        <v>19</v>
      </c>
      <c r="H1338" s="2" t="s">
        <v>1720</v>
      </c>
      <c r="I1338" s="2" t="s">
        <v>1777</v>
      </c>
    </row>
    <row r="1339" spans="1:9" ht="14.5" x14ac:dyDescent="0.35">
      <c r="A1339" s="2">
        <v>1688535</v>
      </c>
      <c r="B1339" s="2" t="str">
        <f>"3328050107920008"</f>
        <v>3328050107920008</v>
      </c>
      <c r="C1339" s="2" t="s">
        <v>1798</v>
      </c>
      <c r="D1339" s="2" t="s">
        <v>17</v>
      </c>
      <c r="E1339" s="2" t="s">
        <v>11</v>
      </c>
      <c r="F1339" s="2" t="s">
        <v>18</v>
      </c>
      <c r="G1339" s="2" t="s">
        <v>264</v>
      </c>
      <c r="H1339" s="2" t="s">
        <v>273</v>
      </c>
      <c r="I1339" s="2" t="s">
        <v>700</v>
      </c>
    </row>
    <row r="1340" spans="1:9" ht="14.5" x14ac:dyDescent="0.35">
      <c r="A1340" s="2">
        <v>1548470</v>
      </c>
      <c r="B1340" s="2" t="str">
        <f>"3328050107950006"</f>
        <v>3328050107950006</v>
      </c>
      <c r="C1340" s="2" t="s">
        <v>1799</v>
      </c>
      <c r="D1340" s="2" t="s">
        <v>10</v>
      </c>
      <c r="E1340" s="2" t="s">
        <v>11</v>
      </c>
      <c r="F1340" s="2" t="s">
        <v>18</v>
      </c>
      <c r="G1340" s="2" t="s">
        <v>19</v>
      </c>
      <c r="H1340" s="2" t="s">
        <v>1720</v>
      </c>
      <c r="I1340" s="2" t="s">
        <v>1771</v>
      </c>
    </row>
    <row r="1341" spans="1:9" ht="14.5" x14ac:dyDescent="0.35">
      <c r="A1341" s="2">
        <v>846297</v>
      </c>
      <c r="B1341" s="2" t="str">
        <f>"3328050107950006"</f>
        <v>3328050107950006</v>
      </c>
      <c r="C1341" s="2" t="s">
        <v>1799</v>
      </c>
      <c r="D1341" s="2" t="s">
        <v>17</v>
      </c>
      <c r="E1341" s="2" t="s">
        <v>11</v>
      </c>
      <c r="F1341" s="2" t="s">
        <v>18</v>
      </c>
      <c r="G1341" s="2" t="s">
        <v>951</v>
      </c>
      <c r="H1341" s="2" t="s">
        <v>1800</v>
      </c>
      <c r="I1341" s="2" t="s">
        <v>1801</v>
      </c>
    </row>
    <row r="1342" spans="1:9" ht="14.5" x14ac:dyDescent="0.35">
      <c r="A1342" s="2">
        <v>2534395</v>
      </c>
      <c r="B1342" s="2" t="str">
        <f>"3328050108940002"</f>
        <v>3328050108940002</v>
      </c>
      <c r="C1342" s="2" t="s">
        <v>1802</v>
      </c>
      <c r="D1342" s="2" t="s">
        <v>17</v>
      </c>
      <c r="E1342" s="2" t="s">
        <v>11</v>
      </c>
      <c r="F1342" s="2" t="s">
        <v>18</v>
      </c>
      <c r="G1342" s="2" t="s">
        <v>19</v>
      </c>
      <c r="H1342" s="2" t="s">
        <v>1720</v>
      </c>
      <c r="I1342" s="2" t="s">
        <v>1731</v>
      </c>
    </row>
    <row r="1343" spans="1:9" ht="14.5" x14ac:dyDescent="0.35">
      <c r="A1343" s="2">
        <v>1688233</v>
      </c>
      <c r="B1343" s="2" t="str">
        <f>"3328050108940002"</f>
        <v>3328050108940002</v>
      </c>
      <c r="C1343" s="2" t="s">
        <v>1803</v>
      </c>
      <c r="D1343" s="2" t="s">
        <v>17</v>
      </c>
      <c r="E1343" s="2" t="s">
        <v>11</v>
      </c>
      <c r="F1343" s="2" t="s">
        <v>18</v>
      </c>
      <c r="G1343" s="2" t="s">
        <v>264</v>
      </c>
      <c r="H1343" s="2" t="s">
        <v>273</v>
      </c>
      <c r="I1343" s="2" t="s">
        <v>1804</v>
      </c>
    </row>
    <row r="1344" spans="1:9" ht="14.5" x14ac:dyDescent="0.35">
      <c r="A1344" s="2">
        <v>1803237</v>
      </c>
      <c r="B1344" s="2" t="str">
        <f>"3328050204740002"</f>
        <v>3328050204740002</v>
      </c>
      <c r="C1344" s="2" t="s">
        <v>1805</v>
      </c>
      <c r="D1344" s="2" t="s">
        <v>10</v>
      </c>
      <c r="E1344" s="2" t="s">
        <v>11</v>
      </c>
      <c r="F1344" s="2" t="s">
        <v>50</v>
      </c>
      <c r="G1344" s="2" t="s">
        <v>58</v>
      </c>
      <c r="H1344" s="2" t="s">
        <v>97</v>
      </c>
      <c r="I1344" s="2" t="s">
        <v>97</v>
      </c>
    </row>
    <row r="1345" spans="1:9" ht="14.5" x14ac:dyDescent="0.35">
      <c r="A1345" s="2">
        <v>2535329</v>
      </c>
      <c r="B1345" s="2" t="str">
        <f>"3328050204740002"</f>
        <v>3328050204740002</v>
      </c>
      <c r="C1345" s="2" t="s">
        <v>1805</v>
      </c>
      <c r="D1345" s="2" t="s">
        <v>17</v>
      </c>
      <c r="E1345" s="2" t="s">
        <v>11</v>
      </c>
      <c r="F1345" s="2" t="s">
        <v>18</v>
      </c>
      <c r="G1345" s="2" t="s">
        <v>19</v>
      </c>
      <c r="H1345" s="2" t="s">
        <v>1720</v>
      </c>
      <c r="I1345" s="2" t="s">
        <v>1381</v>
      </c>
    </row>
    <row r="1346" spans="1:9" ht="14.5" x14ac:dyDescent="0.35">
      <c r="A1346" s="2">
        <v>1614065</v>
      </c>
      <c r="B1346" s="2" t="str">
        <f>"3328050205030002"</f>
        <v>3328050205030002</v>
      </c>
      <c r="C1346" s="2" t="s">
        <v>1806</v>
      </c>
      <c r="D1346" s="2" t="s">
        <v>10</v>
      </c>
      <c r="E1346" s="2" t="s">
        <v>11</v>
      </c>
      <c r="F1346" s="2" t="s">
        <v>18</v>
      </c>
      <c r="G1346" s="2" t="s">
        <v>19</v>
      </c>
      <c r="H1346" s="2" t="s">
        <v>1720</v>
      </c>
      <c r="I1346" s="2" t="s">
        <v>1721</v>
      </c>
    </row>
    <row r="1347" spans="1:9" ht="14.5" x14ac:dyDescent="0.35">
      <c r="A1347" s="2">
        <v>2175364</v>
      </c>
      <c r="B1347" s="2" t="str">
        <f>"3328050205030002"</f>
        <v>3328050205030002</v>
      </c>
      <c r="C1347" s="2" t="s">
        <v>1807</v>
      </c>
      <c r="D1347" s="2" t="s">
        <v>17</v>
      </c>
      <c r="E1347" s="2" t="s">
        <v>11</v>
      </c>
      <c r="F1347" s="2" t="s">
        <v>303</v>
      </c>
      <c r="G1347" s="2" t="s">
        <v>1808</v>
      </c>
      <c r="H1347" s="2" t="s">
        <v>1809</v>
      </c>
      <c r="I1347" s="2" t="s">
        <v>1810</v>
      </c>
    </row>
    <row r="1348" spans="1:9" ht="14.5" x14ac:dyDescent="0.35">
      <c r="A1348" s="2">
        <v>1922655</v>
      </c>
      <c r="B1348" s="2" t="str">
        <f>"3328050210040004"</f>
        <v>3328050210040004</v>
      </c>
      <c r="C1348" s="2" t="s">
        <v>1811</v>
      </c>
      <c r="D1348" s="2" t="s">
        <v>10</v>
      </c>
      <c r="E1348" s="2" t="s">
        <v>11</v>
      </c>
      <c r="F1348" s="2" t="s">
        <v>50</v>
      </c>
      <c r="G1348" s="2" t="s">
        <v>86</v>
      </c>
      <c r="H1348" s="2" t="s">
        <v>1268</v>
      </c>
      <c r="I1348" s="2" t="s">
        <v>1269</v>
      </c>
    </row>
    <row r="1349" spans="1:9" ht="14.5" x14ac:dyDescent="0.35">
      <c r="A1349" s="2">
        <v>2535044</v>
      </c>
      <c r="B1349" s="2" t="str">
        <f>"3328050210040004"</f>
        <v>3328050210040004</v>
      </c>
      <c r="C1349" s="2" t="s">
        <v>1812</v>
      </c>
      <c r="D1349" s="2" t="s">
        <v>17</v>
      </c>
      <c r="E1349" s="2" t="s">
        <v>11</v>
      </c>
      <c r="F1349" s="2" t="s">
        <v>18</v>
      </c>
      <c r="G1349" s="2" t="s">
        <v>19</v>
      </c>
      <c r="H1349" s="2" t="s">
        <v>1720</v>
      </c>
      <c r="I1349" s="2" t="s">
        <v>1720</v>
      </c>
    </row>
    <row r="1350" spans="1:9" ht="14.5" x14ac:dyDescent="0.35">
      <c r="A1350" s="2">
        <v>1364443</v>
      </c>
      <c r="B1350" s="2" t="str">
        <f>"3328050304920002"</f>
        <v>3328050304920002</v>
      </c>
      <c r="C1350" s="2" t="s">
        <v>1813</v>
      </c>
      <c r="D1350" s="2" t="s">
        <v>10</v>
      </c>
      <c r="E1350" s="2" t="s">
        <v>11</v>
      </c>
      <c r="F1350" s="2" t="s">
        <v>18</v>
      </c>
      <c r="G1350" s="2" t="s">
        <v>19</v>
      </c>
      <c r="H1350" s="2" t="s">
        <v>1720</v>
      </c>
      <c r="I1350" s="2" t="s">
        <v>1740</v>
      </c>
    </row>
    <row r="1351" spans="1:9" ht="14.5" x14ac:dyDescent="0.35">
      <c r="A1351" s="2">
        <v>2574191</v>
      </c>
      <c r="B1351" s="2" t="str">
        <f>"3328050304920002"</f>
        <v>3328050304920002</v>
      </c>
      <c r="C1351" s="2" t="s">
        <v>1813</v>
      </c>
      <c r="D1351" s="2" t="s">
        <v>17</v>
      </c>
      <c r="E1351" s="2" t="s">
        <v>11</v>
      </c>
      <c r="F1351" s="2" t="s">
        <v>67</v>
      </c>
      <c r="G1351" s="2" t="s">
        <v>375</v>
      </c>
      <c r="H1351" s="2" t="s">
        <v>1814</v>
      </c>
      <c r="I1351" s="2" t="s">
        <v>1815</v>
      </c>
    </row>
    <row r="1352" spans="1:9" ht="14.5" x14ac:dyDescent="0.35">
      <c r="A1352" s="2">
        <v>1554524</v>
      </c>
      <c r="B1352" s="2" t="str">
        <f>"3328050409700001"</f>
        <v>3328050409700001</v>
      </c>
      <c r="C1352" s="2" t="s">
        <v>1816</v>
      </c>
      <c r="D1352" s="2" t="s">
        <v>10</v>
      </c>
      <c r="E1352" s="2" t="s">
        <v>11</v>
      </c>
      <c r="F1352" s="2" t="s">
        <v>18</v>
      </c>
      <c r="G1352" s="2" t="s">
        <v>19</v>
      </c>
      <c r="H1352" s="2" t="s">
        <v>1720</v>
      </c>
      <c r="I1352" s="2" t="s">
        <v>1720</v>
      </c>
    </row>
    <row r="1353" spans="1:9" ht="14.5" x14ac:dyDescent="0.35">
      <c r="A1353" s="2">
        <v>1696377</v>
      </c>
      <c r="B1353" s="2" t="str">
        <f>"3328050409700001"</f>
        <v>3328050409700001</v>
      </c>
      <c r="C1353" s="2" t="s">
        <v>1817</v>
      </c>
      <c r="D1353" s="2" t="s">
        <v>17</v>
      </c>
      <c r="E1353" s="2" t="s">
        <v>11</v>
      </c>
      <c r="F1353" s="2" t="s">
        <v>18</v>
      </c>
      <c r="G1353" s="2" t="s">
        <v>264</v>
      </c>
      <c r="H1353" s="2" t="s">
        <v>461</v>
      </c>
      <c r="I1353" s="2" t="s">
        <v>1181</v>
      </c>
    </row>
    <row r="1354" spans="1:9" ht="14.5" x14ac:dyDescent="0.35">
      <c r="A1354" s="2">
        <v>1212670</v>
      </c>
      <c r="B1354" s="2" t="str">
        <f>"3328050409870003"</f>
        <v>3328050409870003</v>
      </c>
      <c r="C1354" s="2" t="s">
        <v>1818</v>
      </c>
      <c r="D1354" s="2" t="s">
        <v>10</v>
      </c>
      <c r="E1354" s="2" t="s">
        <v>11</v>
      </c>
      <c r="F1354" s="2" t="s">
        <v>50</v>
      </c>
      <c r="G1354" s="2" t="s">
        <v>51</v>
      </c>
      <c r="H1354" s="2" t="s">
        <v>78</v>
      </c>
      <c r="I1354" s="2" t="s">
        <v>84</v>
      </c>
    </row>
    <row r="1355" spans="1:9" ht="14.5" x14ac:dyDescent="0.35">
      <c r="A1355" s="2">
        <v>2535546</v>
      </c>
      <c r="B1355" s="2" t="str">
        <f>"3328050409870003"</f>
        <v>3328050409870003</v>
      </c>
      <c r="C1355" s="2" t="s">
        <v>1818</v>
      </c>
      <c r="D1355" s="2" t="s">
        <v>17</v>
      </c>
      <c r="E1355" s="2" t="s">
        <v>11</v>
      </c>
      <c r="F1355" s="2" t="s">
        <v>18</v>
      </c>
      <c r="G1355" s="2" t="s">
        <v>19</v>
      </c>
      <c r="H1355" s="2" t="s">
        <v>1720</v>
      </c>
      <c r="I1355" s="2" t="s">
        <v>1737</v>
      </c>
    </row>
    <row r="1356" spans="1:9" ht="14.5" x14ac:dyDescent="0.35">
      <c r="A1356" s="2">
        <v>1363050</v>
      </c>
      <c r="B1356" s="2" t="str">
        <f>"3328050503930001"</f>
        <v>3328050503930001</v>
      </c>
      <c r="C1356" s="2" t="s">
        <v>1819</v>
      </c>
      <c r="D1356" s="2" t="s">
        <v>10</v>
      </c>
      <c r="E1356" s="2" t="s">
        <v>11</v>
      </c>
      <c r="F1356" s="2" t="s">
        <v>18</v>
      </c>
      <c r="G1356" s="2" t="s">
        <v>19</v>
      </c>
      <c r="H1356" s="2" t="s">
        <v>1720</v>
      </c>
      <c r="I1356" s="2" t="s">
        <v>1740</v>
      </c>
    </row>
    <row r="1357" spans="1:9" ht="14.5" x14ac:dyDescent="0.35">
      <c r="A1357" s="2">
        <v>677344</v>
      </c>
      <c r="B1357" s="2" t="str">
        <f>"3328050503930001"</f>
        <v>3328050503930001</v>
      </c>
      <c r="C1357" s="2" t="s">
        <v>1820</v>
      </c>
      <c r="D1357" s="2" t="s">
        <v>17</v>
      </c>
      <c r="E1357" s="2" t="s">
        <v>11</v>
      </c>
      <c r="F1357" s="2" t="s">
        <v>18</v>
      </c>
      <c r="G1357" s="2" t="s">
        <v>190</v>
      </c>
      <c r="H1357" s="2" t="s">
        <v>191</v>
      </c>
      <c r="I1357" s="2" t="s">
        <v>968</v>
      </c>
    </row>
    <row r="1358" spans="1:9" ht="14.5" x14ac:dyDescent="0.35">
      <c r="A1358" s="2">
        <v>2138461</v>
      </c>
      <c r="B1358" s="2" t="str">
        <f>"3328050504720004"</f>
        <v>3328050504720004</v>
      </c>
      <c r="C1358" s="2" t="s">
        <v>1821</v>
      </c>
      <c r="D1358" s="2" t="s">
        <v>10</v>
      </c>
      <c r="E1358" s="2" t="s">
        <v>11</v>
      </c>
      <c r="F1358" s="2" t="s">
        <v>18</v>
      </c>
      <c r="G1358" s="2" t="s">
        <v>19</v>
      </c>
      <c r="H1358" s="2" t="s">
        <v>1720</v>
      </c>
      <c r="I1358" s="2" t="s">
        <v>1723</v>
      </c>
    </row>
    <row r="1359" spans="1:9" ht="14.5" x14ac:dyDescent="0.35">
      <c r="A1359" s="2">
        <v>3122830</v>
      </c>
      <c r="B1359" s="2" t="str">
        <f>"3328050504720004"</f>
        <v>3328050504720004</v>
      </c>
      <c r="C1359" s="2" t="s">
        <v>1821</v>
      </c>
      <c r="D1359" s="2" t="s">
        <v>17</v>
      </c>
      <c r="E1359" s="2" t="s">
        <v>57</v>
      </c>
      <c r="F1359" s="2" t="s">
        <v>18</v>
      </c>
      <c r="G1359" s="2" t="s">
        <v>163</v>
      </c>
      <c r="H1359" s="2" t="s">
        <v>723</v>
      </c>
      <c r="I1359" s="2" t="s">
        <v>724</v>
      </c>
    </row>
    <row r="1360" spans="1:9" ht="14.5" x14ac:dyDescent="0.35">
      <c r="A1360" s="2">
        <v>2128717</v>
      </c>
      <c r="B1360" s="2" t="str">
        <f>"3328050506920002"</f>
        <v>3328050506920002</v>
      </c>
      <c r="C1360" s="2" t="s">
        <v>1822</v>
      </c>
      <c r="D1360" s="2" t="s">
        <v>10</v>
      </c>
      <c r="E1360" s="2" t="s">
        <v>11</v>
      </c>
      <c r="F1360" s="2" t="s">
        <v>18</v>
      </c>
      <c r="G1360" s="2" t="s">
        <v>19</v>
      </c>
      <c r="H1360" s="2" t="s">
        <v>1720</v>
      </c>
      <c r="I1360" s="2" t="s">
        <v>1731</v>
      </c>
    </row>
    <row r="1361" spans="1:9" ht="14.5" x14ac:dyDescent="0.35">
      <c r="A1361" s="2">
        <v>255958</v>
      </c>
      <c r="B1361" s="2" t="str">
        <f>"3328050506920002"</f>
        <v>3328050506920002</v>
      </c>
      <c r="C1361" s="2" t="s">
        <v>1822</v>
      </c>
      <c r="D1361" s="2" t="s">
        <v>10</v>
      </c>
      <c r="E1361" s="2" t="s">
        <v>57</v>
      </c>
      <c r="F1361" s="2" t="s">
        <v>521</v>
      </c>
      <c r="G1361" s="2" t="s">
        <v>657</v>
      </c>
      <c r="H1361" s="2" t="s">
        <v>658</v>
      </c>
      <c r="I1361" s="2" t="s">
        <v>659</v>
      </c>
    </row>
    <row r="1362" spans="1:9" ht="14.5" x14ac:dyDescent="0.35">
      <c r="A1362" s="2">
        <v>142046</v>
      </c>
      <c r="B1362" s="2" t="str">
        <f>"3328050608990006"</f>
        <v>3328050608990006</v>
      </c>
      <c r="C1362" s="2" t="s">
        <v>1823</v>
      </c>
      <c r="D1362" s="2" t="s">
        <v>10</v>
      </c>
      <c r="E1362" s="2" t="s">
        <v>11</v>
      </c>
      <c r="F1362" s="2" t="s">
        <v>521</v>
      </c>
      <c r="G1362" s="2" t="s">
        <v>1824</v>
      </c>
      <c r="H1362" s="2" t="s">
        <v>1825</v>
      </c>
      <c r="I1362" s="2" t="s">
        <v>1826</v>
      </c>
    </row>
    <row r="1363" spans="1:9" ht="14.5" x14ac:dyDescent="0.35">
      <c r="A1363" s="2">
        <v>2534904</v>
      </c>
      <c r="B1363" s="2" t="str">
        <f>"3328050608990006"</f>
        <v>3328050608990006</v>
      </c>
      <c r="C1363" s="2" t="s">
        <v>1823</v>
      </c>
      <c r="D1363" s="2" t="s">
        <v>17</v>
      </c>
      <c r="E1363" s="2" t="s">
        <v>11</v>
      </c>
      <c r="F1363" s="2" t="s">
        <v>18</v>
      </c>
      <c r="G1363" s="2" t="s">
        <v>19</v>
      </c>
      <c r="H1363" s="2" t="s">
        <v>1720</v>
      </c>
      <c r="I1363" s="2" t="s">
        <v>1740</v>
      </c>
    </row>
    <row r="1364" spans="1:9" ht="14.5" x14ac:dyDescent="0.35">
      <c r="A1364" s="2">
        <v>841215</v>
      </c>
      <c r="B1364" s="2" t="str">
        <f>"3328050801730002"</f>
        <v>3328050801730002</v>
      </c>
      <c r="C1364" s="2" t="s">
        <v>1827</v>
      </c>
      <c r="D1364" s="2" t="s">
        <v>10</v>
      </c>
      <c r="E1364" s="2" t="s">
        <v>11</v>
      </c>
      <c r="F1364" s="2" t="s">
        <v>91</v>
      </c>
      <c r="G1364" s="2" t="s">
        <v>159</v>
      </c>
      <c r="H1364" s="2" t="s">
        <v>1828</v>
      </c>
      <c r="I1364" s="2" t="s">
        <v>1829</v>
      </c>
    </row>
    <row r="1365" spans="1:9" ht="14.5" x14ac:dyDescent="0.35">
      <c r="A1365" s="2">
        <v>2535736</v>
      </c>
      <c r="B1365" s="2" t="str">
        <f>"3328050801730002"</f>
        <v>3328050801730002</v>
      </c>
      <c r="C1365" s="2" t="s">
        <v>1827</v>
      </c>
      <c r="D1365" s="2" t="s">
        <v>17</v>
      </c>
      <c r="E1365" s="2" t="s">
        <v>11</v>
      </c>
      <c r="F1365" s="2" t="s">
        <v>18</v>
      </c>
      <c r="G1365" s="2" t="s">
        <v>19</v>
      </c>
      <c r="H1365" s="2" t="s">
        <v>1720</v>
      </c>
      <c r="I1365" s="2" t="s">
        <v>1771</v>
      </c>
    </row>
    <row r="1366" spans="1:9" ht="14.5" x14ac:dyDescent="0.35">
      <c r="A1366" s="2">
        <v>1351817</v>
      </c>
      <c r="B1366" s="2" t="str">
        <f>"3328050812950001"</f>
        <v>3328050812950001</v>
      </c>
      <c r="C1366" s="2" t="s">
        <v>1830</v>
      </c>
      <c r="D1366" s="2" t="s">
        <v>10</v>
      </c>
      <c r="E1366" s="2" t="s">
        <v>11</v>
      </c>
      <c r="F1366" s="2" t="s">
        <v>18</v>
      </c>
      <c r="G1366" s="2" t="s">
        <v>19</v>
      </c>
      <c r="H1366" s="2" t="s">
        <v>1720</v>
      </c>
      <c r="I1366" s="2" t="s">
        <v>789</v>
      </c>
    </row>
    <row r="1367" spans="1:9" ht="14.5" x14ac:dyDescent="0.35">
      <c r="A1367" s="2">
        <v>1627411</v>
      </c>
      <c r="B1367" s="2" t="str">
        <f>"3328050812950001"</f>
        <v>3328050812950001</v>
      </c>
      <c r="C1367" s="2" t="s">
        <v>1831</v>
      </c>
      <c r="D1367" s="2" t="s">
        <v>17</v>
      </c>
      <c r="E1367" s="2" t="s">
        <v>11</v>
      </c>
      <c r="F1367" s="2" t="s">
        <v>18</v>
      </c>
      <c r="G1367" s="2" t="s">
        <v>264</v>
      </c>
      <c r="H1367" s="2" t="s">
        <v>248</v>
      </c>
      <c r="I1367" s="2" t="s">
        <v>868</v>
      </c>
    </row>
    <row r="1368" spans="1:9" ht="14.5" x14ac:dyDescent="0.35">
      <c r="A1368" s="2">
        <v>101147</v>
      </c>
      <c r="B1368" s="2" t="str">
        <f>"3328050903000004"</f>
        <v>3328050903000004</v>
      </c>
      <c r="C1368" s="2" t="s">
        <v>1832</v>
      </c>
      <c r="D1368" s="2" t="s">
        <v>10</v>
      </c>
      <c r="E1368" s="2" t="s">
        <v>11</v>
      </c>
      <c r="F1368" s="2" t="s">
        <v>44</v>
      </c>
      <c r="G1368" s="2" t="s">
        <v>1833</v>
      </c>
      <c r="H1368" s="2" t="s">
        <v>1834</v>
      </c>
      <c r="I1368" s="2" t="s">
        <v>1835</v>
      </c>
    </row>
    <row r="1369" spans="1:9" ht="14.5" x14ac:dyDescent="0.35">
      <c r="A1369" s="2">
        <v>2534445</v>
      </c>
      <c r="B1369" s="2" t="str">
        <f>"3328050903000004"</f>
        <v>3328050903000004</v>
      </c>
      <c r="C1369" s="2" t="s">
        <v>1832</v>
      </c>
      <c r="D1369" s="2" t="s">
        <v>17</v>
      </c>
      <c r="E1369" s="2" t="s">
        <v>11</v>
      </c>
      <c r="F1369" s="2" t="s">
        <v>18</v>
      </c>
      <c r="G1369" s="2" t="s">
        <v>19</v>
      </c>
      <c r="H1369" s="2" t="s">
        <v>1720</v>
      </c>
      <c r="I1369" s="2" t="s">
        <v>1727</v>
      </c>
    </row>
    <row r="1370" spans="1:9" ht="14.5" x14ac:dyDescent="0.35">
      <c r="A1370" s="2">
        <v>72257</v>
      </c>
      <c r="B1370" s="2" t="str">
        <f>"3328050904040003"</f>
        <v>3328050904040003</v>
      </c>
      <c r="C1370" s="2" t="s">
        <v>1836</v>
      </c>
      <c r="D1370" s="2" t="s">
        <v>10</v>
      </c>
      <c r="E1370" s="2" t="s">
        <v>11</v>
      </c>
      <c r="F1370" s="2" t="s">
        <v>44</v>
      </c>
      <c r="G1370" s="2" t="s">
        <v>45</v>
      </c>
      <c r="H1370" s="2" t="s">
        <v>1837</v>
      </c>
      <c r="I1370" s="2" t="s">
        <v>1838</v>
      </c>
    </row>
    <row r="1371" spans="1:9" ht="14.5" x14ac:dyDescent="0.35">
      <c r="A1371" s="2">
        <v>2534505</v>
      </c>
      <c r="B1371" s="2" t="str">
        <f>"3328050904040003"</f>
        <v>3328050904040003</v>
      </c>
      <c r="C1371" s="2" t="s">
        <v>1836</v>
      </c>
      <c r="D1371" s="2" t="s">
        <v>17</v>
      </c>
      <c r="E1371" s="2" t="s">
        <v>11</v>
      </c>
      <c r="F1371" s="2" t="s">
        <v>18</v>
      </c>
      <c r="G1371" s="2" t="s">
        <v>19</v>
      </c>
      <c r="H1371" s="2" t="s">
        <v>1720</v>
      </c>
      <c r="I1371" s="2" t="s">
        <v>1727</v>
      </c>
    </row>
    <row r="1372" spans="1:9" ht="14.5" x14ac:dyDescent="0.35">
      <c r="A1372" s="2">
        <v>1352475</v>
      </c>
      <c r="B1372" s="2" t="str">
        <f>"3328050907890002"</f>
        <v>3328050907890002</v>
      </c>
      <c r="C1372" s="2" t="s">
        <v>1839</v>
      </c>
      <c r="D1372" s="2" t="s">
        <v>10</v>
      </c>
      <c r="E1372" s="2" t="s">
        <v>11</v>
      </c>
      <c r="F1372" s="2" t="s">
        <v>18</v>
      </c>
      <c r="G1372" s="2" t="s">
        <v>19</v>
      </c>
      <c r="H1372" s="2" t="s">
        <v>1720</v>
      </c>
      <c r="I1372" s="2" t="s">
        <v>789</v>
      </c>
    </row>
    <row r="1373" spans="1:9" ht="14.5" x14ac:dyDescent="0.35">
      <c r="A1373" s="2">
        <v>1798631</v>
      </c>
      <c r="B1373" s="2" t="str">
        <f>"3328050907890002"</f>
        <v>3328050907890002</v>
      </c>
      <c r="C1373" s="2" t="s">
        <v>1839</v>
      </c>
      <c r="D1373" s="2" t="s">
        <v>17</v>
      </c>
      <c r="E1373" s="2" t="s">
        <v>11</v>
      </c>
      <c r="F1373" s="2" t="s">
        <v>50</v>
      </c>
      <c r="G1373" s="2" t="s">
        <v>72</v>
      </c>
      <c r="H1373" s="2" t="s">
        <v>1840</v>
      </c>
      <c r="I1373" s="2" t="s">
        <v>1841</v>
      </c>
    </row>
    <row r="1374" spans="1:9" ht="14.5" x14ac:dyDescent="0.35">
      <c r="A1374" s="2">
        <v>2127883</v>
      </c>
      <c r="B1374" s="2" t="str">
        <f>"3328051007780001"</f>
        <v>3328051007780001</v>
      </c>
      <c r="C1374" s="2" t="s">
        <v>1842</v>
      </c>
      <c r="D1374" s="2" t="s">
        <v>10</v>
      </c>
      <c r="E1374" s="2" t="s">
        <v>11</v>
      </c>
      <c r="F1374" s="2" t="s">
        <v>18</v>
      </c>
      <c r="G1374" s="2" t="s">
        <v>19</v>
      </c>
      <c r="H1374" s="2" t="s">
        <v>1720</v>
      </c>
      <c r="I1374" s="2" t="s">
        <v>1731</v>
      </c>
    </row>
    <row r="1375" spans="1:9" ht="14.5" x14ac:dyDescent="0.35">
      <c r="A1375" s="2">
        <v>3122314</v>
      </c>
      <c r="B1375" s="2" t="str">
        <f>"3328051007780001"</f>
        <v>3328051007780001</v>
      </c>
      <c r="C1375" s="2" t="s">
        <v>1843</v>
      </c>
      <c r="D1375" s="2" t="s">
        <v>17</v>
      </c>
      <c r="E1375" s="2" t="s">
        <v>11</v>
      </c>
      <c r="F1375" s="2" t="s">
        <v>18</v>
      </c>
      <c r="G1375" s="2" t="s">
        <v>163</v>
      </c>
      <c r="H1375" s="2" t="s">
        <v>428</v>
      </c>
      <c r="I1375" s="2" t="s">
        <v>429</v>
      </c>
    </row>
    <row r="1376" spans="1:9" ht="14.5" x14ac:dyDescent="0.35">
      <c r="A1376" s="2">
        <v>448740</v>
      </c>
      <c r="B1376" s="2" t="str">
        <f>"3328051010820001"</f>
        <v>3328051010820001</v>
      </c>
      <c r="C1376" s="2" t="s">
        <v>1844</v>
      </c>
      <c r="D1376" s="2" t="s">
        <v>10</v>
      </c>
      <c r="E1376" s="2" t="s">
        <v>11</v>
      </c>
      <c r="F1376" s="2" t="s">
        <v>18</v>
      </c>
      <c r="G1376" s="2" t="s">
        <v>264</v>
      </c>
      <c r="H1376" s="2" t="s">
        <v>477</v>
      </c>
      <c r="I1376" s="2" t="s">
        <v>1845</v>
      </c>
    </row>
    <row r="1377" spans="1:9" ht="14.5" x14ac:dyDescent="0.35">
      <c r="A1377" s="2">
        <v>2535837</v>
      </c>
      <c r="B1377" s="2" t="str">
        <f>"3328051010820001"</f>
        <v>3328051010820001</v>
      </c>
      <c r="C1377" s="2" t="s">
        <v>1846</v>
      </c>
      <c r="D1377" s="2" t="s">
        <v>17</v>
      </c>
      <c r="E1377" s="2" t="s">
        <v>11</v>
      </c>
      <c r="F1377" s="2" t="s">
        <v>18</v>
      </c>
      <c r="G1377" s="2" t="s">
        <v>19</v>
      </c>
      <c r="H1377" s="2" t="s">
        <v>1720</v>
      </c>
      <c r="I1377" s="2" t="s">
        <v>1777</v>
      </c>
    </row>
    <row r="1378" spans="1:9" ht="14.5" x14ac:dyDescent="0.35">
      <c r="A1378" s="2">
        <v>1784025</v>
      </c>
      <c r="B1378" s="2" t="str">
        <f>"3328051103730005"</f>
        <v>3328051103730005</v>
      </c>
      <c r="C1378" s="2" t="s">
        <v>1847</v>
      </c>
      <c r="D1378" s="2" t="s">
        <v>10</v>
      </c>
      <c r="E1378" s="2" t="s">
        <v>11</v>
      </c>
      <c r="F1378" s="2" t="s">
        <v>50</v>
      </c>
      <c r="G1378" s="2" t="s">
        <v>86</v>
      </c>
      <c r="H1378" s="2" t="s">
        <v>445</v>
      </c>
      <c r="I1378" s="2" t="s">
        <v>1848</v>
      </c>
    </row>
    <row r="1379" spans="1:9" ht="14.5" x14ac:dyDescent="0.35">
      <c r="A1379" s="2">
        <v>2535315</v>
      </c>
      <c r="B1379" s="2" t="str">
        <f>"3328051103730005"</f>
        <v>3328051103730005</v>
      </c>
      <c r="C1379" s="2" t="s">
        <v>1847</v>
      </c>
      <c r="D1379" s="2" t="s">
        <v>17</v>
      </c>
      <c r="E1379" s="2" t="s">
        <v>11</v>
      </c>
      <c r="F1379" s="2" t="s">
        <v>18</v>
      </c>
      <c r="G1379" s="2" t="s">
        <v>19</v>
      </c>
      <c r="H1379" s="2" t="s">
        <v>1720</v>
      </c>
      <c r="I1379" s="2" t="s">
        <v>1381</v>
      </c>
    </row>
    <row r="1380" spans="1:9" ht="14.5" x14ac:dyDescent="0.35">
      <c r="A1380" s="2">
        <v>1549014</v>
      </c>
      <c r="B1380" s="2" t="str">
        <f>"3328051103900001"</f>
        <v>3328051103900001</v>
      </c>
      <c r="C1380" s="2" t="s">
        <v>1849</v>
      </c>
      <c r="D1380" s="2" t="s">
        <v>10</v>
      </c>
      <c r="E1380" s="2" t="s">
        <v>11</v>
      </c>
      <c r="F1380" s="2" t="s">
        <v>18</v>
      </c>
      <c r="G1380" s="2" t="s">
        <v>19</v>
      </c>
      <c r="H1380" s="2" t="s">
        <v>1720</v>
      </c>
      <c r="I1380" s="2" t="s">
        <v>1771</v>
      </c>
    </row>
    <row r="1381" spans="1:9" ht="14.5" x14ac:dyDescent="0.35">
      <c r="A1381" s="2">
        <v>1642107</v>
      </c>
      <c r="B1381" s="2" t="str">
        <f>"3328051103900001"</f>
        <v>3328051103900001</v>
      </c>
      <c r="C1381" s="2" t="s">
        <v>1849</v>
      </c>
      <c r="D1381" s="2" t="s">
        <v>17</v>
      </c>
      <c r="E1381" s="2" t="s">
        <v>11</v>
      </c>
      <c r="F1381" s="2" t="s">
        <v>18</v>
      </c>
      <c r="G1381" s="2" t="s">
        <v>264</v>
      </c>
      <c r="H1381" s="2" t="s">
        <v>773</v>
      </c>
      <c r="I1381" s="2" t="s">
        <v>1850</v>
      </c>
    </row>
    <row r="1382" spans="1:9" ht="14.5" x14ac:dyDescent="0.35">
      <c r="A1382" s="2">
        <v>1277714</v>
      </c>
      <c r="B1382" s="2" t="str">
        <f>"3328051111860001"</f>
        <v>3328051111860001</v>
      </c>
      <c r="C1382" s="2" t="s">
        <v>1851</v>
      </c>
      <c r="D1382" s="2" t="s">
        <v>10</v>
      </c>
      <c r="E1382" s="2" t="s">
        <v>11</v>
      </c>
      <c r="F1382" s="2" t="s">
        <v>67</v>
      </c>
      <c r="G1382" s="2" t="s">
        <v>791</v>
      </c>
      <c r="H1382" s="2" t="s">
        <v>1852</v>
      </c>
      <c r="I1382" s="2" t="s">
        <v>1853</v>
      </c>
    </row>
    <row r="1383" spans="1:9" ht="14.5" x14ac:dyDescent="0.35">
      <c r="A1383" s="2">
        <v>2535750</v>
      </c>
      <c r="B1383" s="2" t="str">
        <f>"3328051111860001"</f>
        <v>3328051111860001</v>
      </c>
      <c r="C1383" s="2" t="s">
        <v>1851</v>
      </c>
      <c r="D1383" s="2" t="s">
        <v>17</v>
      </c>
      <c r="E1383" s="2" t="s">
        <v>11</v>
      </c>
      <c r="F1383" s="2" t="s">
        <v>18</v>
      </c>
      <c r="G1383" s="2" t="s">
        <v>19</v>
      </c>
      <c r="H1383" s="2" t="s">
        <v>1720</v>
      </c>
      <c r="I1383" s="2" t="s">
        <v>1777</v>
      </c>
    </row>
    <row r="1384" spans="1:9" ht="14.5" x14ac:dyDescent="0.35">
      <c r="A1384" s="2">
        <v>666636</v>
      </c>
      <c r="B1384" s="2" t="str">
        <f>"3328051201800003"</f>
        <v>3328051201800003</v>
      </c>
      <c r="C1384" s="2" t="s">
        <v>1854</v>
      </c>
      <c r="D1384" s="2" t="s">
        <v>10</v>
      </c>
      <c r="E1384" s="2" t="s">
        <v>11</v>
      </c>
      <c r="F1384" s="2" t="s">
        <v>303</v>
      </c>
      <c r="G1384" s="2" t="s">
        <v>1855</v>
      </c>
      <c r="H1384" s="2" t="s">
        <v>1856</v>
      </c>
      <c r="I1384" s="2" t="s">
        <v>1856</v>
      </c>
    </row>
    <row r="1385" spans="1:9" ht="14.5" x14ac:dyDescent="0.35">
      <c r="A1385" s="2">
        <v>2535612</v>
      </c>
      <c r="B1385" s="2" t="str">
        <f>"3328051201800003"</f>
        <v>3328051201800003</v>
      </c>
      <c r="C1385" s="2" t="s">
        <v>1854</v>
      </c>
      <c r="D1385" s="2" t="s">
        <v>17</v>
      </c>
      <c r="E1385" s="2" t="s">
        <v>11</v>
      </c>
      <c r="F1385" s="2" t="s">
        <v>18</v>
      </c>
      <c r="G1385" s="2" t="s">
        <v>19</v>
      </c>
      <c r="H1385" s="2" t="s">
        <v>1720</v>
      </c>
      <c r="I1385" s="2" t="s">
        <v>1857</v>
      </c>
    </row>
    <row r="1386" spans="1:9" ht="14.5" x14ac:dyDescent="0.35">
      <c r="A1386" s="2">
        <v>2142556</v>
      </c>
      <c r="B1386" s="2" t="str">
        <f>"3328051208900001"</f>
        <v>3328051208900001</v>
      </c>
      <c r="C1386" s="2" t="s">
        <v>1858</v>
      </c>
      <c r="D1386" s="2" t="s">
        <v>10</v>
      </c>
      <c r="E1386" s="2" t="s">
        <v>11</v>
      </c>
      <c r="F1386" s="2" t="s">
        <v>18</v>
      </c>
      <c r="G1386" s="2" t="s">
        <v>19</v>
      </c>
      <c r="H1386" s="2" t="s">
        <v>1720</v>
      </c>
      <c r="I1386" s="2" t="s">
        <v>1737</v>
      </c>
    </row>
    <row r="1387" spans="1:9" ht="14.5" x14ac:dyDescent="0.35">
      <c r="A1387" s="2">
        <v>2639369</v>
      </c>
      <c r="B1387" s="2" t="str">
        <f>"3328051208900001"</f>
        <v>3328051208900001</v>
      </c>
      <c r="C1387" s="2" t="s">
        <v>1859</v>
      </c>
      <c r="D1387" s="2" t="s">
        <v>17</v>
      </c>
      <c r="E1387" s="2" t="s">
        <v>11</v>
      </c>
      <c r="F1387" s="2" t="s">
        <v>18</v>
      </c>
      <c r="G1387" s="2" t="s">
        <v>199</v>
      </c>
      <c r="H1387" s="2" t="s">
        <v>1860</v>
      </c>
      <c r="I1387" s="2" t="s">
        <v>1861</v>
      </c>
    </row>
    <row r="1388" spans="1:9" ht="14.5" x14ac:dyDescent="0.35">
      <c r="A1388" s="2">
        <v>334741</v>
      </c>
      <c r="B1388" s="2" t="str">
        <f>"3328051210910002"</f>
        <v>3328051210910002</v>
      </c>
      <c r="C1388" s="2" t="s">
        <v>1862</v>
      </c>
      <c r="D1388" s="2" t="s">
        <v>10</v>
      </c>
      <c r="E1388" s="2" t="s">
        <v>11</v>
      </c>
      <c r="F1388" s="2" t="s">
        <v>91</v>
      </c>
      <c r="G1388" s="2" t="s">
        <v>137</v>
      </c>
      <c r="H1388" s="2" t="s">
        <v>1863</v>
      </c>
      <c r="I1388" s="2" t="s">
        <v>1864</v>
      </c>
    </row>
    <row r="1389" spans="1:9" ht="14.5" x14ac:dyDescent="0.35">
      <c r="A1389" s="2">
        <v>2535658</v>
      </c>
      <c r="B1389" s="2" t="str">
        <f>"3328051210910002"</f>
        <v>3328051210910002</v>
      </c>
      <c r="C1389" s="2" t="s">
        <v>1865</v>
      </c>
      <c r="D1389" s="2" t="s">
        <v>17</v>
      </c>
      <c r="E1389" s="2" t="s">
        <v>11</v>
      </c>
      <c r="F1389" s="2" t="s">
        <v>18</v>
      </c>
      <c r="G1389" s="2" t="s">
        <v>19</v>
      </c>
      <c r="H1389" s="2" t="s">
        <v>1720</v>
      </c>
      <c r="I1389" s="2" t="s">
        <v>1771</v>
      </c>
    </row>
    <row r="1390" spans="1:9" ht="14.5" x14ac:dyDescent="0.35">
      <c r="A1390" s="2">
        <v>1366571</v>
      </c>
      <c r="B1390" s="2" t="str">
        <f>"3328051210940001"</f>
        <v>3328051210940001</v>
      </c>
      <c r="C1390" s="2" t="s">
        <v>1866</v>
      </c>
      <c r="D1390" s="2" t="s">
        <v>10</v>
      </c>
      <c r="E1390" s="2" t="s">
        <v>11</v>
      </c>
      <c r="F1390" s="2" t="s">
        <v>18</v>
      </c>
      <c r="G1390" s="2" t="s">
        <v>19</v>
      </c>
      <c r="H1390" s="2" t="s">
        <v>1720</v>
      </c>
      <c r="I1390" s="2" t="s">
        <v>1740</v>
      </c>
    </row>
    <row r="1391" spans="1:9" ht="14.5" x14ac:dyDescent="0.35">
      <c r="A1391" s="2">
        <v>474870</v>
      </c>
      <c r="B1391" s="2" t="str">
        <f>"3328051210940001"</f>
        <v>3328051210940001</v>
      </c>
      <c r="C1391" s="2" t="s">
        <v>1866</v>
      </c>
      <c r="D1391" s="2" t="s">
        <v>10</v>
      </c>
      <c r="E1391" s="2" t="s">
        <v>57</v>
      </c>
      <c r="F1391" s="2" t="s">
        <v>727</v>
      </c>
      <c r="G1391" s="2" t="s">
        <v>728</v>
      </c>
      <c r="H1391" s="2" t="s">
        <v>1867</v>
      </c>
      <c r="I1391" s="2" t="s">
        <v>1867</v>
      </c>
    </row>
    <row r="1392" spans="1:9" ht="14.5" x14ac:dyDescent="0.35">
      <c r="A1392" s="2">
        <v>1316249</v>
      </c>
      <c r="B1392" s="2" t="str">
        <f>"3328051211920004"</f>
        <v>3328051211920004</v>
      </c>
      <c r="C1392" s="2" t="s">
        <v>1868</v>
      </c>
      <c r="D1392" s="2" t="s">
        <v>10</v>
      </c>
      <c r="E1392" s="2" t="s">
        <v>11</v>
      </c>
      <c r="F1392" s="2" t="s">
        <v>18</v>
      </c>
      <c r="G1392" s="2" t="s">
        <v>264</v>
      </c>
      <c r="H1392" s="2" t="s">
        <v>265</v>
      </c>
      <c r="I1392" s="2" t="s">
        <v>1869</v>
      </c>
    </row>
    <row r="1393" spans="1:9" ht="14.5" x14ac:dyDescent="0.35">
      <c r="A1393" s="2">
        <v>2535425</v>
      </c>
      <c r="B1393" s="2" t="str">
        <f>"3328051211920004"</f>
        <v>3328051211920004</v>
      </c>
      <c r="C1393" s="2" t="s">
        <v>1870</v>
      </c>
      <c r="D1393" s="2" t="s">
        <v>17</v>
      </c>
      <c r="E1393" s="2" t="s">
        <v>11</v>
      </c>
      <c r="F1393" s="2" t="s">
        <v>18</v>
      </c>
      <c r="G1393" s="2" t="s">
        <v>19</v>
      </c>
      <c r="H1393" s="2" t="s">
        <v>1720</v>
      </c>
      <c r="I1393" s="2" t="s">
        <v>1737</v>
      </c>
    </row>
    <row r="1394" spans="1:9" ht="14.5" x14ac:dyDescent="0.35">
      <c r="A1394" s="2">
        <v>2138771</v>
      </c>
      <c r="B1394" s="2" t="str">
        <f>"3328051212890006"</f>
        <v>3328051212890006</v>
      </c>
      <c r="C1394" s="2" t="s">
        <v>1871</v>
      </c>
      <c r="D1394" s="2" t="s">
        <v>10</v>
      </c>
      <c r="E1394" s="2" t="s">
        <v>11</v>
      </c>
      <c r="F1394" s="2" t="s">
        <v>18</v>
      </c>
      <c r="G1394" s="2" t="s">
        <v>19</v>
      </c>
      <c r="H1394" s="2" t="s">
        <v>1720</v>
      </c>
      <c r="I1394" s="2" t="s">
        <v>1723</v>
      </c>
    </row>
    <row r="1395" spans="1:9" ht="14.5" x14ac:dyDescent="0.35">
      <c r="A1395" s="2">
        <v>1653442</v>
      </c>
      <c r="B1395" s="2" t="str">
        <f>"3328051212890006"</f>
        <v>3328051212890006</v>
      </c>
      <c r="C1395" s="2" t="s">
        <v>1871</v>
      </c>
      <c r="D1395" s="2" t="s">
        <v>17</v>
      </c>
      <c r="E1395" s="2" t="s">
        <v>11</v>
      </c>
      <c r="F1395" s="2" t="s">
        <v>18</v>
      </c>
      <c r="G1395" s="2" t="s">
        <v>264</v>
      </c>
      <c r="H1395" s="2" t="s">
        <v>461</v>
      </c>
      <c r="I1395" s="2" t="s">
        <v>461</v>
      </c>
    </row>
    <row r="1396" spans="1:9" ht="14.5" x14ac:dyDescent="0.35">
      <c r="A1396" s="2">
        <v>943008</v>
      </c>
      <c r="B1396" s="2" t="str">
        <f>"3328051301030003"</f>
        <v>3328051301030003</v>
      </c>
      <c r="C1396" s="2" t="s">
        <v>1872</v>
      </c>
      <c r="D1396" s="2" t="s">
        <v>10</v>
      </c>
      <c r="E1396" s="2" t="s">
        <v>11</v>
      </c>
      <c r="F1396" s="2" t="s">
        <v>91</v>
      </c>
      <c r="G1396" s="2" t="s">
        <v>159</v>
      </c>
      <c r="H1396" s="2" t="s">
        <v>1332</v>
      </c>
      <c r="I1396" s="2" t="s">
        <v>1333</v>
      </c>
    </row>
    <row r="1397" spans="1:9" ht="14.5" x14ac:dyDescent="0.35">
      <c r="A1397" s="2">
        <v>2535042</v>
      </c>
      <c r="B1397" s="2" t="str">
        <f>"3328051301030003"</f>
        <v>3328051301030003</v>
      </c>
      <c r="C1397" s="2" t="s">
        <v>1872</v>
      </c>
      <c r="D1397" s="2" t="s">
        <v>17</v>
      </c>
      <c r="E1397" s="2" t="s">
        <v>11</v>
      </c>
      <c r="F1397" s="2" t="s">
        <v>18</v>
      </c>
      <c r="G1397" s="2" t="s">
        <v>19</v>
      </c>
      <c r="H1397" s="2" t="s">
        <v>1720</v>
      </c>
      <c r="I1397" s="2" t="s">
        <v>1720</v>
      </c>
    </row>
    <row r="1398" spans="1:9" ht="14.5" x14ac:dyDescent="0.35">
      <c r="A1398" s="2">
        <v>2143863</v>
      </c>
      <c r="B1398" s="2" t="str">
        <f>"3328051305040004"</f>
        <v>3328051305040004</v>
      </c>
      <c r="C1398" s="2" t="s">
        <v>1873</v>
      </c>
      <c r="D1398" s="2" t="s">
        <v>10</v>
      </c>
      <c r="E1398" s="2" t="s">
        <v>11</v>
      </c>
      <c r="F1398" s="2" t="s">
        <v>18</v>
      </c>
      <c r="G1398" s="2" t="s">
        <v>19</v>
      </c>
      <c r="H1398" s="2" t="s">
        <v>1720</v>
      </c>
      <c r="I1398" s="2" t="s">
        <v>1857</v>
      </c>
    </row>
    <row r="1399" spans="1:9" ht="14.5" x14ac:dyDescent="0.35">
      <c r="A1399" s="2">
        <v>761473</v>
      </c>
      <c r="B1399" s="2" t="str">
        <f>"3328051305040004"</f>
        <v>3328051305040004</v>
      </c>
      <c r="C1399" s="2" t="s">
        <v>1874</v>
      </c>
      <c r="D1399" s="2" t="s">
        <v>10</v>
      </c>
      <c r="E1399" s="2" t="s">
        <v>57</v>
      </c>
      <c r="F1399" s="2" t="s">
        <v>379</v>
      </c>
      <c r="G1399" s="2" t="s">
        <v>711</v>
      </c>
      <c r="H1399" s="2" t="s">
        <v>1875</v>
      </c>
      <c r="I1399" s="2" t="s">
        <v>1876</v>
      </c>
    </row>
    <row r="1400" spans="1:9" ht="14.5" x14ac:dyDescent="0.35">
      <c r="A1400" s="2">
        <v>1324764</v>
      </c>
      <c r="B1400" s="2" t="str">
        <f>"3328051503910007"</f>
        <v>3328051503910007</v>
      </c>
      <c r="C1400" s="2" t="s">
        <v>1877</v>
      </c>
      <c r="D1400" s="2" t="s">
        <v>10</v>
      </c>
      <c r="E1400" s="2" t="s">
        <v>11</v>
      </c>
      <c r="F1400" s="2" t="s">
        <v>18</v>
      </c>
      <c r="G1400" s="2" t="s">
        <v>264</v>
      </c>
      <c r="H1400" s="2" t="s">
        <v>265</v>
      </c>
      <c r="I1400" s="2" t="s">
        <v>1878</v>
      </c>
    </row>
    <row r="1401" spans="1:9" ht="14.5" x14ac:dyDescent="0.35">
      <c r="A1401" s="2">
        <v>2534887</v>
      </c>
      <c r="B1401" s="2" t="str">
        <f>"3328051503910007"</f>
        <v>3328051503910007</v>
      </c>
      <c r="C1401" s="2" t="s">
        <v>1877</v>
      </c>
      <c r="D1401" s="2" t="s">
        <v>17</v>
      </c>
      <c r="E1401" s="2" t="s">
        <v>11</v>
      </c>
      <c r="F1401" s="2" t="s">
        <v>18</v>
      </c>
      <c r="G1401" s="2" t="s">
        <v>19</v>
      </c>
      <c r="H1401" s="2" t="s">
        <v>1720</v>
      </c>
      <c r="I1401" s="2" t="s">
        <v>1740</v>
      </c>
    </row>
    <row r="1402" spans="1:9" ht="14.5" x14ac:dyDescent="0.35">
      <c r="A1402" s="2">
        <v>1613239</v>
      </c>
      <c r="B1402" s="2" t="str">
        <f>"3328051507820007"</f>
        <v>3328051507820007</v>
      </c>
      <c r="C1402" s="2" t="s">
        <v>1879</v>
      </c>
      <c r="D1402" s="2" t="s">
        <v>10</v>
      </c>
      <c r="E1402" s="2" t="s">
        <v>11</v>
      </c>
      <c r="F1402" s="2" t="s">
        <v>18</v>
      </c>
      <c r="G1402" s="2" t="s">
        <v>19</v>
      </c>
      <c r="H1402" s="2" t="s">
        <v>1720</v>
      </c>
      <c r="I1402" s="2" t="s">
        <v>1721</v>
      </c>
    </row>
    <row r="1403" spans="1:9" ht="14.5" x14ac:dyDescent="0.35">
      <c r="A1403" s="2">
        <v>1172309</v>
      </c>
      <c r="B1403" s="2" t="str">
        <f>"3328051507820007"</f>
        <v>3328051507820007</v>
      </c>
      <c r="C1403" s="2" t="s">
        <v>1879</v>
      </c>
      <c r="D1403" s="2" t="s">
        <v>17</v>
      </c>
      <c r="E1403" s="2" t="s">
        <v>11</v>
      </c>
      <c r="F1403" s="2" t="s">
        <v>18</v>
      </c>
      <c r="G1403" s="2" t="s">
        <v>1787</v>
      </c>
      <c r="H1403" s="2" t="s">
        <v>1880</v>
      </c>
      <c r="I1403" s="2" t="s">
        <v>1881</v>
      </c>
    </row>
    <row r="1404" spans="1:9" ht="14.5" x14ac:dyDescent="0.35">
      <c r="A1404" s="2">
        <v>1361521</v>
      </c>
      <c r="B1404" s="2" t="str">
        <f>"3328051512970003"</f>
        <v>3328051512970003</v>
      </c>
      <c r="C1404" s="2" t="s">
        <v>1882</v>
      </c>
      <c r="D1404" s="2" t="s">
        <v>10</v>
      </c>
      <c r="E1404" s="2" t="s">
        <v>11</v>
      </c>
      <c r="F1404" s="2" t="s">
        <v>18</v>
      </c>
      <c r="G1404" s="2" t="s">
        <v>19</v>
      </c>
      <c r="H1404" s="2" t="s">
        <v>1720</v>
      </c>
      <c r="I1404" s="2" t="s">
        <v>1740</v>
      </c>
    </row>
    <row r="1405" spans="1:9" ht="14.5" x14ac:dyDescent="0.35">
      <c r="A1405" s="2">
        <v>1661986</v>
      </c>
      <c r="B1405" s="2" t="str">
        <f>"3328051512970003"</f>
        <v>3328051512970003</v>
      </c>
      <c r="C1405" s="2" t="s">
        <v>1883</v>
      </c>
      <c r="D1405" s="2" t="s">
        <v>17</v>
      </c>
      <c r="E1405" s="2" t="s">
        <v>11</v>
      </c>
      <c r="F1405" s="2" t="s">
        <v>18</v>
      </c>
      <c r="G1405" s="2" t="s">
        <v>264</v>
      </c>
      <c r="H1405" s="2" t="s">
        <v>264</v>
      </c>
      <c r="I1405" s="2" t="s">
        <v>264</v>
      </c>
    </row>
    <row r="1406" spans="1:9" ht="14.5" x14ac:dyDescent="0.35">
      <c r="A1406" s="2">
        <v>1619556</v>
      </c>
      <c r="B1406" s="2" t="str">
        <f>"3328051512970004"</f>
        <v>3328051512970004</v>
      </c>
      <c r="C1406" s="2" t="s">
        <v>1884</v>
      </c>
      <c r="D1406" s="2" t="s">
        <v>17</v>
      </c>
      <c r="E1406" s="2" t="s">
        <v>11</v>
      </c>
      <c r="F1406" s="2" t="s">
        <v>18</v>
      </c>
      <c r="G1406" s="2" t="s">
        <v>167</v>
      </c>
      <c r="H1406" s="2" t="s">
        <v>1885</v>
      </c>
      <c r="I1406" s="2" t="s">
        <v>1886</v>
      </c>
    </row>
    <row r="1407" spans="1:9" ht="14.5" x14ac:dyDescent="0.35">
      <c r="A1407" s="2">
        <v>1366942</v>
      </c>
      <c r="B1407" s="2" t="str">
        <f>"3328051512970004"</f>
        <v>3328051512970004</v>
      </c>
      <c r="C1407" s="2" t="s">
        <v>1887</v>
      </c>
      <c r="D1407" s="2" t="s">
        <v>189</v>
      </c>
      <c r="E1407" s="2" t="s">
        <v>11</v>
      </c>
      <c r="F1407" s="2" t="s">
        <v>18</v>
      </c>
      <c r="G1407" s="2" t="s">
        <v>19</v>
      </c>
      <c r="H1407" s="2" t="s">
        <v>1720</v>
      </c>
      <c r="I1407" s="2" t="s">
        <v>1740</v>
      </c>
    </row>
    <row r="1408" spans="1:9" ht="14.5" x14ac:dyDescent="0.35">
      <c r="A1408" s="2">
        <v>1348729</v>
      </c>
      <c r="B1408" s="2" t="str">
        <f>"3328051701000002"</f>
        <v>3328051701000002</v>
      </c>
      <c r="C1408" s="2" t="s">
        <v>1888</v>
      </c>
      <c r="D1408" s="2" t="s">
        <v>10</v>
      </c>
      <c r="E1408" s="2" t="s">
        <v>11</v>
      </c>
      <c r="F1408" s="2" t="s">
        <v>18</v>
      </c>
      <c r="G1408" s="2" t="s">
        <v>19</v>
      </c>
      <c r="H1408" s="2" t="s">
        <v>1720</v>
      </c>
      <c r="I1408" s="2" t="s">
        <v>1381</v>
      </c>
    </row>
    <row r="1409" spans="1:9" ht="14.5" x14ac:dyDescent="0.35">
      <c r="A1409" s="2">
        <v>1350405</v>
      </c>
      <c r="B1409" s="2" t="str">
        <f>"3328051701000002"</f>
        <v>3328051701000002</v>
      </c>
      <c r="C1409" s="2" t="s">
        <v>1888</v>
      </c>
      <c r="D1409" s="2" t="s">
        <v>10</v>
      </c>
      <c r="E1409" s="2" t="s">
        <v>57</v>
      </c>
      <c r="F1409" s="2" t="s">
        <v>303</v>
      </c>
      <c r="G1409" s="2" t="s">
        <v>608</v>
      </c>
      <c r="H1409" s="2" t="s">
        <v>609</v>
      </c>
      <c r="I1409" s="2" t="s">
        <v>610</v>
      </c>
    </row>
    <row r="1410" spans="1:9" ht="14.5" x14ac:dyDescent="0.35">
      <c r="A1410" s="2">
        <v>2383649</v>
      </c>
      <c r="B1410" s="2" t="str">
        <f>"3328051702880004"</f>
        <v>3328051702880004</v>
      </c>
      <c r="C1410" s="2" t="s">
        <v>1889</v>
      </c>
      <c r="D1410" s="2" t="s">
        <v>10</v>
      </c>
      <c r="E1410" s="2" t="s">
        <v>11</v>
      </c>
      <c r="F1410" s="2" t="s">
        <v>50</v>
      </c>
      <c r="G1410" s="2" t="s">
        <v>58</v>
      </c>
      <c r="H1410" s="2" t="s">
        <v>417</v>
      </c>
      <c r="I1410" s="2" t="s">
        <v>59</v>
      </c>
    </row>
    <row r="1411" spans="1:9" ht="14.5" x14ac:dyDescent="0.35">
      <c r="A1411" s="2">
        <v>2534736</v>
      </c>
      <c r="B1411" s="2" t="str">
        <f>"3328051702880004"</f>
        <v>3328051702880004</v>
      </c>
      <c r="C1411" s="2" t="s">
        <v>1889</v>
      </c>
      <c r="D1411" s="2" t="s">
        <v>17</v>
      </c>
      <c r="E1411" s="2" t="s">
        <v>11</v>
      </c>
      <c r="F1411" s="2" t="s">
        <v>18</v>
      </c>
      <c r="G1411" s="2" t="s">
        <v>19</v>
      </c>
      <c r="H1411" s="2" t="s">
        <v>1720</v>
      </c>
      <c r="I1411" s="2" t="s">
        <v>1740</v>
      </c>
    </row>
    <row r="1412" spans="1:9" ht="14.5" x14ac:dyDescent="0.35">
      <c r="A1412" s="2">
        <v>2142760</v>
      </c>
      <c r="B1412" s="2" t="str">
        <f>"3328051707870002"</f>
        <v>3328051707870002</v>
      </c>
      <c r="C1412" s="2" t="s">
        <v>1890</v>
      </c>
      <c r="D1412" s="2" t="s">
        <v>10</v>
      </c>
      <c r="E1412" s="2" t="s">
        <v>11</v>
      </c>
      <c r="F1412" s="2" t="s">
        <v>18</v>
      </c>
      <c r="G1412" s="2" t="s">
        <v>19</v>
      </c>
      <c r="H1412" s="2" t="s">
        <v>1720</v>
      </c>
      <c r="I1412" s="2" t="s">
        <v>1737</v>
      </c>
    </row>
    <row r="1413" spans="1:9" ht="14.5" x14ac:dyDescent="0.35">
      <c r="A1413" s="2">
        <v>1678737</v>
      </c>
      <c r="B1413" s="2" t="str">
        <f>"3328051707870002"</f>
        <v>3328051707870002</v>
      </c>
      <c r="C1413" s="2" t="s">
        <v>1891</v>
      </c>
      <c r="D1413" s="2" t="s">
        <v>17</v>
      </c>
      <c r="E1413" s="2" t="s">
        <v>11</v>
      </c>
      <c r="F1413" s="2" t="s">
        <v>18</v>
      </c>
      <c r="G1413" s="2" t="s">
        <v>264</v>
      </c>
      <c r="H1413" s="2" t="s">
        <v>265</v>
      </c>
      <c r="I1413" s="2" t="s">
        <v>906</v>
      </c>
    </row>
    <row r="1414" spans="1:9" ht="14.5" x14ac:dyDescent="0.35">
      <c r="A1414" s="2">
        <v>1451364</v>
      </c>
      <c r="B1414" s="2" t="str">
        <f>"3328051904760003"</f>
        <v>3328051904760003</v>
      </c>
      <c r="C1414" s="2" t="s">
        <v>1892</v>
      </c>
      <c r="D1414" s="2" t="s">
        <v>10</v>
      </c>
      <c r="E1414" s="2" t="s">
        <v>11</v>
      </c>
      <c r="F1414" s="2" t="s">
        <v>18</v>
      </c>
      <c r="G1414" s="2" t="s">
        <v>264</v>
      </c>
      <c r="H1414" s="2" t="s">
        <v>273</v>
      </c>
      <c r="I1414" s="2" t="s">
        <v>875</v>
      </c>
    </row>
    <row r="1415" spans="1:9" ht="14.5" x14ac:dyDescent="0.35">
      <c r="A1415" s="2">
        <v>2535257</v>
      </c>
      <c r="B1415" s="2" t="str">
        <f>"3328051904760003"</f>
        <v>3328051904760003</v>
      </c>
      <c r="C1415" s="2" t="s">
        <v>1893</v>
      </c>
      <c r="D1415" s="2" t="s">
        <v>17</v>
      </c>
      <c r="E1415" s="2" t="s">
        <v>11</v>
      </c>
      <c r="F1415" s="2" t="s">
        <v>18</v>
      </c>
      <c r="G1415" s="2" t="s">
        <v>19</v>
      </c>
      <c r="H1415" s="2" t="s">
        <v>1720</v>
      </c>
      <c r="I1415" s="2" t="s">
        <v>1381</v>
      </c>
    </row>
    <row r="1416" spans="1:9" ht="14.5" x14ac:dyDescent="0.35">
      <c r="A1416" s="2">
        <v>690209</v>
      </c>
      <c r="B1416" s="2" t="str">
        <f>"3328051904840004"</f>
        <v>3328051904840004</v>
      </c>
      <c r="C1416" s="2" t="s">
        <v>1894</v>
      </c>
      <c r="D1416" s="2" t="s">
        <v>10</v>
      </c>
      <c r="E1416" s="2" t="s">
        <v>11</v>
      </c>
      <c r="F1416" s="2" t="s">
        <v>50</v>
      </c>
      <c r="G1416" s="2" t="s">
        <v>280</v>
      </c>
      <c r="H1416" s="2" t="s">
        <v>402</v>
      </c>
      <c r="I1416" s="2" t="s">
        <v>1249</v>
      </c>
    </row>
    <row r="1417" spans="1:9" ht="14.5" x14ac:dyDescent="0.35">
      <c r="A1417" s="2">
        <v>2534400</v>
      </c>
      <c r="B1417" s="2" t="str">
        <f>"3328051904840004"</f>
        <v>3328051904840004</v>
      </c>
      <c r="C1417" s="2" t="s">
        <v>1895</v>
      </c>
      <c r="D1417" s="2" t="s">
        <v>17</v>
      </c>
      <c r="E1417" s="2" t="s">
        <v>11</v>
      </c>
      <c r="F1417" s="2" t="s">
        <v>18</v>
      </c>
      <c r="G1417" s="2" t="s">
        <v>19</v>
      </c>
      <c r="H1417" s="2" t="s">
        <v>1720</v>
      </c>
      <c r="I1417" s="2" t="s">
        <v>1731</v>
      </c>
    </row>
    <row r="1418" spans="1:9" ht="14.5" x14ac:dyDescent="0.35">
      <c r="A1418" s="2">
        <v>1803043</v>
      </c>
      <c r="B1418" s="2" t="str">
        <f>"3328051905630001"</f>
        <v>3328051905630001</v>
      </c>
      <c r="C1418" s="2" t="s">
        <v>1896</v>
      </c>
      <c r="D1418" s="2" t="s">
        <v>10</v>
      </c>
      <c r="E1418" s="2" t="s">
        <v>11</v>
      </c>
      <c r="F1418" s="2" t="s">
        <v>50</v>
      </c>
      <c r="G1418" s="2" t="s">
        <v>58</v>
      </c>
      <c r="H1418" s="2" t="s">
        <v>97</v>
      </c>
      <c r="I1418" s="2" t="s">
        <v>97</v>
      </c>
    </row>
    <row r="1419" spans="1:9" ht="14.5" x14ac:dyDescent="0.35">
      <c r="A1419" s="2">
        <v>2535246</v>
      </c>
      <c r="B1419" s="2" t="str">
        <f>"3328051905630001"</f>
        <v>3328051905630001</v>
      </c>
      <c r="C1419" s="2" t="s">
        <v>1897</v>
      </c>
      <c r="D1419" s="2" t="s">
        <v>17</v>
      </c>
      <c r="E1419" s="2" t="s">
        <v>11</v>
      </c>
      <c r="F1419" s="2" t="s">
        <v>18</v>
      </c>
      <c r="G1419" s="2" t="s">
        <v>19</v>
      </c>
      <c r="H1419" s="2" t="s">
        <v>1720</v>
      </c>
      <c r="I1419" s="2" t="s">
        <v>1381</v>
      </c>
    </row>
    <row r="1420" spans="1:9" ht="14.5" x14ac:dyDescent="0.35">
      <c r="A1420" s="2">
        <v>2080078</v>
      </c>
      <c r="B1420" s="2" t="str">
        <f>"3328052005880004"</f>
        <v>3328052005880004</v>
      </c>
      <c r="C1420" s="2" t="s">
        <v>1898</v>
      </c>
      <c r="D1420" s="2" t="s">
        <v>17</v>
      </c>
      <c r="E1420" s="2" t="s">
        <v>11</v>
      </c>
      <c r="F1420" s="2" t="s">
        <v>18</v>
      </c>
      <c r="G1420" s="2" t="s">
        <v>962</v>
      </c>
      <c r="H1420" s="2" t="s">
        <v>1899</v>
      </c>
      <c r="I1420" s="2" t="s">
        <v>1900</v>
      </c>
    </row>
    <row r="1421" spans="1:9" ht="14.5" x14ac:dyDescent="0.35">
      <c r="A1421" s="2">
        <v>1342727</v>
      </c>
      <c r="B1421" s="2" t="str">
        <f>"3328052005880004"</f>
        <v>3328052005880004</v>
      </c>
      <c r="C1421" s="2" t="s">
        <v>1901</v>
      </c>
      <c r="D1421" s="2" t="s">
        <v>189</v>
      </c>
      <c r="E1421" s="2" t="s">
        <v>11</v>
      </c>
      <c r="F1421" s="2" t="s">
        <v>18</v>
      </c>
      <c r="G1421" s="2" t="s">
        <v>19</v>
      </c>
      <c r="H1421" s="2" t="s">
        <v>1720</v>
      </c>
      <c r="I1421" s="2" t="s">
        <v>1381</v>
      </c>
    </row>
    <row r="1422" spans="1:9" ht="14.5" x14ac:dyDescent="0.35">
      <c r="A1422" s="2">
        <v>1546962</v>
      </c>
      <c r="B1422" s="2" t="str">
        <f>"3328052009060001"</f>
        <v>3328052009060001</v>
      </c>
      <c r="C1422" s="2" t="s">
        <v>1902</v>
      </c>
      <c r="D1422" s="2" t="s">
        <v>10</v>
      </c>
      <c r="E1422" s="2" t="s">
        <v>11</v>
      </c>
      <c r="F1422" s="2" t="s">
        <v>18</v>
      </c>
      <c r="G1422" s="2" t="s">
        <v>19</v>
      </c>
      <c r="H1422" s="2" t="s">
        <v>1720</v>
      </c>
      <c r="I1422" s="2" t="s">
        <v>1771</v>
      </c>
    </row>
    <row r="1423" spans="1:9" ht="14.5" x14ac:dyDescent="0.35">
      <c r="A1423" s="2">
        <v>1682713</v>
      </c>
      <c r="B1423" s="2" t="str">
        <f>"3328052009060001"</f>
        <v>3328052009060001</v>
      </c>
      <c r="C1423" s="2" t="s">
        <v>1903</v>
      </c>
      <c r="D1423" s="2" t="s">
        <v>17</v>
      </c>
      <c r="E1423" s="2" t="s">
        <v>11</v>
      </c>
      <c r="F1423" s="2" t="s">
        <v>18</v>
      </c>
      <c r="G1423" s="2" t="s">
        <v>264</v>
      </c>
      <c r="H1423" s="2" t="s">
        <v>265</v>
      </c>
      <c r="I1423" s="2" t="s">
        <v>1878</v>
      </c>
    </row>
    <row r="1424" spans="1:9" ht="14.5" x14ac:dyDescent="0.35">
      <c r="A1424" s="2">
        <v>2142151</v>
      </c>
      <c r="B1424" s="2" t="str">
        <f>"3328052201940006"</f>
        <v>3328052201940006</v>
      </c>
      <c r="C1424" s="2" t="s">
        <v>1904</v>
      </c>
      <c r="D1424" s="2" t="s">
        <v>10</v>
      </c>
      <c r="E1424" s="2" t="s">
        <v>11</v>
      </c>
      <c r="F1424" s="2" t="s">
        <v>18</v>
      </c>
      <c r="G1424" s="2" t="s">
        <v>19</v>
      </c>
      <c r="H1424" s="2" t="s">
        <v>1720</v>
      </c>
      <c r="I1424" s="2" t="s">
        <v>1737</v>
      </c>
    </row>
    <row r="1425" spans="1:9" ht="14.5" x14ac:dyDescent="0.35">
      <c r="A1425" s="2">
        <v>1689090</v>
      </c>
      <c r="B1425" s="2" t="str">
        <f>"3328052201940006"</f>
        <v>3328052201940006</v>
      </c>
      <c r="C1425" s="2" t="s">
        <v>1905</v>
      </c>
      <c r="D1425" s="2" t="s">
        <v>17</v>
      </c>
      <c r="E1425" s="2" t="s">
        <v>11</v>
      </c>
      <c r="F1425" s="2" t="s">
        <v>18</v>
      </c>
      <c r="G1425" s="2" t="s">
        <v>264</v>
      </c>
      <c r="H1425" s="2" t="s">
        <v>273</v>
      </c>
      <c r="I1425" s="2" t="s">
        <v>1156</v>
      </c>
    </row>
    <row r="1426" spans="1:9" ht="14.5" x14ac:dyDescent="0.35">
      <c r="A1426" s="2">
        <v>2535368</v>
      </c>
      <c r="B1426" s="2" t="str">
        <f>"3328052203050001"</f>
        <v>3328052203050001</v>
      </c>
      <c r="C1426" s="2" t="s">
        <v>1906</v>
      </c>
      <c r="D1426" s="2" t="s">
        <v>17</v>
      </c>
      <c r="E1426" s="2" t="s">
        <v>11</v>
      </c>
      <c r="F1426" s="2" t="s">
        <v>18</v>
      </c>
      <c r="G1426" s="2" t="s">
        <v>19</v>
      </c>
      <c r="H1426" s="2" t="s">
        <v>1720</v>
      </c>
      <c r="I1426" s="2" t="s">
        <v>1737</v>
      </c>
    </row>
    <row r="1427" spans="1:9" ht="14.5" x14ac:dyDescent="0.35">
      <c r="A1427" s="2">
        <v>1695065</v>
      </c>
      <c r="B1427" s="2" t="str">
        <f>"3328052203050001"</f>
        <v>3328052203050001</v>
      </c>
      <c r="C1427" s="2" t="s">
        <v>1907</v>
      </c>
      <c r="D1427" s="2" t="s">
        <v>17</v>
      </c>
      <c r="E1427" s="2" t="s">
        <v>11</v>
      </c>
      <c r="F1427" s="2" t="s">
        <v>18</v>
      </c>
      <c r="G1427" s="2" t="s">
        <v>264</v>
      </c>
      <c r="H1427" s="2" t="s">
        <v>265</v>
      </c>
      <c r="I1427" s="2" t="s">
        <v>1908</v>
      </c>
    </row>
    <row r="1428" spans="1:9" ht="14.5" x14ac:dyDescent="0.35">
      <c r="A1428" s="2">
        <v>1214748</v>
      </c>
      <c r="B1428" s="2" t="str">
        <f>"3328052207820001"</f>
        <v>3328052207820001</v>
      </c>
      <c r="C1428" s="2" t="s">
        <v>1909</v>
      </c>
      <c r="D1428" s="2" t="s">
        <v>10</v>
      </c>
      <c r="E1428" s="2" t="s">
        <v>11</v>
      </c>
      <c r="F1428" s="2" t="s">
        <v>18</v>
      </c>
      <c r="G1428" s="2" t="s">
        <v>264</v>
      </c>
      <c r="H1428" s="2" t="s">
        <v>265</v>
      </c>
      <c r="I1428" s="2" t="s">
        <v>1910</v>
      </c>
    </row>
    <row r="1429" spans="1:9" ht="14.5" x14ac:dyDescent="0.35">
      <c r="A1429" s="2">
        <v>2535696</v>
      </c>
      <c r="B1429" s="2" t="str">
        <f>"3328052207820001"</f>
        <v>3328052207820001</v>
      </c>
      <c r="C1429" s="2" t="s">
        <v>1909</v>
      </c>
      <c r="D1429" s="2" t="s">
        <v>17</v>
      </c>
      <c r="E1429" s="2" t="s">
        <v>11</v>
      </c>
      <c r="F1429" s="2" t="s">
        <v>18</v>
      </c>
      <c r="G1429" s="2" t="s">
        <v>19</v>
      </c>
      <c r="H1429" s="2" t="s">
        <v>1720</v>
      </c>
      <c r="I1429" s="2" t="s">
        <v>1771</v>
      </c>
    </row>
    <row r="1430" spans="1:9" ht="14.5" x14ac:dyDescent="0.35">
      <c r="A1430" s="2">
        <v>2141905</v>
      </c>
      <c r="B1430" s="2" t="str">
        <f>"3328052308970002"</f>
        <v>3328052308970002</v>
      </c>
      <c r="C1430" s="2" t="s">
        <v>1911</v>
      </c>
      <c r="D1430" s="2" t="s">
        <v>10</v>
      </c>
      <c r="E1430" s="2" t="s">
        <v>11</v>
      </c>
      <c r="F1430" s="2" t="s">
        <v>18</v>
      </c>
      <c r="G1430" s="2" t="s">
        <v>19</v>
      </c>
      <c r="H1430" s="2" t="s">
        <v>1720</v>
      </c>
      <c r="I1430" s="2" t="s">
        <v>1737</v>
      </c>
    </row>
    <row r="1431" spans="1:9" ht="14.5" x14ac:dyDescent="0.35">
      <c r="A1431" s="2">
        <v>1683576</v>
      </c>
      <c r="B1431" s="2" t="str">
        <f>"3328052308970002"</f>
        <v>3328052308970002</v>
      </c>
      <c r="C1431" s="2" t="s">
        <v>1911</v>
      </c>
      <c r="D1431" s="2" t="s">
        <v>17</v>
      </c>
      <c r="E1431" s="2" t="s">
        <v>11</v>
      </c>
      <c r="F1431" s="2" t="s">
        <v>18</v>
      </c>
      <c r="G1431" s="2" t="s">
        <v>264</v>
      </c>
      <c r="H1431" s="2" t="s">
        <v>265</v>
      </c>
      <c r="I1431" s="2" t="s">
        <v>982</v>
      </c>
    </row>
    <row r="1432" spans="1:9" ht="14.5" x14ac:dyDescent="0.35">
      <c r="A1432" s="2">
        <v>1364060</v>
      </c>
      <c r="B1432" s="2" t="str">
        <f>"3328052404000002"</f>
        <v>3328052404000002</v>
      </c>
      <c r="C1432" s="2" t="s">
        <v>1912</v>
      </c>
      <c r="D1432" s="2" t="s">
        <v>10</v>
      </c>
      <c r="E1432" s="2" t="s">
        <v>11</v>
      </c>
      <c r="F1432" s="2" t="s">
        <v>18</v>
      </c>
      <c r="G1432" s="2" t="s">
        <v>19</v>
      </c>
      <c r="H1432" s="2" t="s">
        <v>1720</v>
      </c>
      <c r="I1432" s="2" t="s">
        <v>1740</v>
      </c>
    </row>
    <row r="1433" spans="1:9" ht="14.5" x14ac:dyDescent="0.35">
      <c r="A1433" s="2">
        <v>1392483</v>
      </c>
      <c r="B1433" s="2" t="str">
        <f>"3328052404000002"</f>
        <v>3328052404000002</v>
      </c>
      <c r="C1433" s="2" t="s">
        <v>1913</v>
      </c>
      <c r="D1433" s="2" t="s">
        <v>10</v>
      </c>
      <c r="E1433" s="2" t="s">
        <v>57</v>
      </c>
      <c r="F1433" s="2" t="s">
        <v>303</v>
      </c>
      <c r="G1433" s="2" t="s">
        <v>608</v>
      </c>
      <c r="H1433" s="2" t="s">
        <v>1089</v>
      </c>
      <c r="I1433" s="2" t="s">
        <v>1090</v>
      </c>
    </row>
    <row r="1434" spans="1:9" ht="14.5" x14ac:dyDescent="0.35">
      <c r="A1434" s="2">
        <v>735051</v>
      </c>
      <c r="B1434" s="2" t="str">
        <f>"3328052407870001"</f>
        <v>3328052407870001</v>
      </c>
      <c r="C1434" s="2" t="s">
        <v>1914</v>
      </c>
      <c r="D1434" s="2" t="s">
        <v>10</v>
      </c>
      <c r="E1434" s="2" t="s">
        <v>11</v>
      </c>
      <c r="F1434" s="2" t="s">
        <v>18</v>
      </c>
      <c r="G1434" s="2" t="s">
        <v>264</v>
      </c>
      <c r="H1434" s="2" t="s">
        <v>248</v>
      </c>
      <c r="I1434" s="2" t="s">
        <v>1915</v>
      </c>
    </row>
    <row r="1435" spans="1:9" ht="14.5" x14ac:dyDescent="0.35">
      <c r="A1435" s="2">
        <v>2534747</v>
      </c>
      <c r="B1435" s="2" t="str">
        <f>"3328052407870001"</f>
        <v>3328052407870001</v>
      </c>
      <c r="C1435" s="2" t="s">
        <v>1914</v>
      </c>
      <c r="D1435" s="2" t="s">
        <v>17</v>
      </c>
      <c r="E1435" s="2" t="s">
        <v>11</v>
      </c>
      <c r="F1435" s="2" t="s">
        <v>18</v>
      </c>
      <c r="G1435" s="2" t="s">
        <v>19</v>
      </c>
      <c r="H1435" s="2" t="s">
        <v>1720</v>
      </c>
      <c r="I1435" s="2" t="s">
        <v>1740</v>
      </c>
    </row>
    <row r="1436" spans="1:9" ht="14.5" x14ac:dyDescent="0.35">
      <c r="A1436" s="2">
        <v>1625565</v>
      </c>
      <c r="B1436" s="2" t="str">
        <f>"3328052504850001"</f>
        <v>3328052504850001</v>
      </c>
      <c r="C1436" s="2" t="s">
        <v>1916</v>
      </c>
      <c r="D1436" s="2" t="s">
        <v>10</v>
      </c>
      <c r="E1436" s="2" t="s">
        <v>11</v>
      </c>
      <c r="F1436" s="2" t="s">
        <v>18</v>
      </c>
      <c r="G1436" s="2" t="s">
        <v>19</v>
      </c>
      <c r="H1436" s="2" t="s">
        <v>1720</v>
      </c>
      <c r="I1436" s="2" t="s">
        <v>1777</v>
      </c>
    </row>
    <row r="1437" spans="1:9" ht="14.5" x14ac:dyDescent="0.35">
      <c r="A1437" s="2">
        <v>1681473</v>
      </c>
      <c r="B1437" s="2" t="str">
        <f>"3328052504850001"</f>
        <v>3328052504850001</v>
      </c>
      <c r="C1437" s="2" t="s">
        <v>1917</v>
      </c>
      <c r="D1437" s="2" t="s">
        <v>17</v>
      </c>
      <c r="E1437" s="2" t="s">
        <v>11</v>
      </c>
      <c r="F1437" s="2" t="s">
        <v>18</v>
      </c>
      <c r="G1437" s="2" t="s">
        <v>264</v>
      </c>
      <c r="H1437" s="2" t="s">
        <v>265</v>
      </c>
      <c r="I1437" s="2" t="s">
        <v>863</v>
      </c>
    </row>
    <row r="1438" spans="1:9" ht="14.5" x14ac:dyDescent="0.35">
      <c r="A1438" s="2">
        <v>72255</v>
      </c>
      <c r="B1438" s="2" t="str">
        <f>"3328052506760003"</f>
        <v>3328052506760003</v>
      </c>
      <c r="C1438" s="2" t="s">
        <v>1918</v>
      </c>
      <c r="D1438" s="2" t="s">
        <v>10</v>
      </c>
      <c r="E1438" s="2" t="s">
        <v>11</v>
      </c>
      <c r="F1438" s="2" t="s">
        <v>44</v>
      </c>
      <c r="G1438" s="2" t="s">
        <v>45</v>
      </c>
      <c r="H1438" s="2" t="s">
        <v>1837</v>
      </c>
      <c r="I1438" s="2" t="s">
        <v>1838</v>
      </c>
    </row>
    <row r="1439" spans="1:9" ht="14.5" x14ac:dyDescent="0.35">
      <c r="A1439" s="2">
        <v>2534504</v>
      </c>
      <c r="B1439" s="2" t="str">
        <f>"3328052506760003"</f>
        <v>3328052506760003</v>
      </c>
      <c r="C1439" s="2" t="s">
        <v>1918</v>
      </c>
      <c r="D1439" s="2" t="s">
        <v>17</v>
      </c>
      <c r="E1439" s="2" t="s">
        <v>11</v>
      </c>
      <c r="F1439" s="2" t="s">
        <v>18</v>
      </c>
      <c r="G1439" s="2" t="s">
        <v>19</v>
      </c>
      <c r="H1439" s="2" t="s">
        <v>1720</v>
      </c>
      <c r="I1439" s="2" t="s">
        <v>1727</v>
      </c>
    </row>
    <row r="1440" spans="1:9" ht="14.5" x14ac:dyDescent="0.35">
      <c r="A1440" s="2">
        <v>2142656</v>
      </c>
      <c r="B1440" s="2" t="str">
        <f>"3328052612040002"</f>
        <v>3328052612040002</v>
      </c>
      <c r="C1440" s="2" t="s">
        <v>1919</v>
      </c>
      <c r="D1440" s="2" t="s">
        <v>10</v>
      </c>
      <c r="E1440" s="2" t="s">
        <v>11</v>
      </c>
      <c r="F1440" s="2" t="s">
        <v>18</v>
      </c>
      <c r="G1440" s="2" t="s">
        <v>19</v>
      </c>
      <c r="H1440" s="2" t="s">
        <v>1720</v>
      </c>
      <c r="I1440" s="2" t="s">
        <v>1737</v>
      </c>
    </row>
    <row r="1441" spans="1:9" ht="14.5" x14ac:dyDescent="0.35">
      <c r="A1441" s="2">
        <v>1269592</v>
      </c>
      <c r="B1441" s="2" t="str">
        <f>"3328052612040002"</f>
        <v>3328052612040002</v>
      </c>
      <c r="C1441" s="2" t="s">
        <v>1919</v>
      </c>
      <c r="D1441" s="2" t="s">
        <v>17</v>
      </c>
      <c r="E1441" s="2" t="s">
        <v>11</v>
      </c>
      <c r="F1441" s="2" t="s">
        <v>18</v>
      </c>
      <c r="G1441" s="2" t="s">
        <v>1920</v>
      </c>
      <c r="H1441" s="2" t="s">
        <v>1921</v>
      </c>
      <c r="I1441" s="2" t="s">
        <v>1922</v>
      </c>
    </row>
    <row r="1442" spans="1:9" ht="14.5" x14ac:dyDescent="0.35">
      <c r="A1442" s="2">
        <v>1549533</v>
      </c>
      <c r="B1442" s="2" t="str">
        <f>"3328052706980003"</f>
        <v>3328052706980003</v>
      </c>
      <c r="C1442" s="2" t="s">
        <v>1923</v>
      </c>
      <c r="D1442" s="2" t="s">
        <v>10</v>
      </c>
      <c r="E1442" s="2" t="s">
        <v>11</v>
      </c>
      <c r="F1442" s="2" t="s">
        <v>18</v>
      </c>
      <c r="G1442" s="2" t="s">
        <v>19</v>
      </c>
      <c r="H1442" s="2" t="s">
        <v>1720</v>
      </c>
      <c r="I1442" s="2" t="s">
        <v>1720</v>
      </c>
    </row>
    <row r="1443" spans="1:9" ht="14.5" x14ac:dyDescent="0.35">
      <c r="A1443" s="2">
        <v>1628460</v>
      </c>
      <c r="B1443" s="2" t="str">
        <f>"3328052706980003"</f>
        <v>3328052706980003</v>
      </c>
      <c r="C1443" s="2" t="s">
        <v>1923</v>
      </c>
      <c r="D1443" s="2" t="s">
        <v>17</v>
      </c>
      <c r="E1443" s="2" t="s">
        <v>11</v>
      </c>
      <c r="F1443" s="2" t="s">
        <v>18</v>
      </c>
      <c r="G1443" s="2" t="s">
        <v>264</v>
      </c>
      <c r="H1443" s="2" t="s">
        <v>248</v>
      </c>
      <c r="I1443" s="2" t="s">
        <v>472</v>
      </c>
    </row>
    <row r="1444" spans="1:9" ht="14.5" x14ac:dyDescent="0.35">
      <c r="A1444" s="2">
        <v>2535270</v>
      </c>
      <c r="B1444" s="2" t="str">
        <f>"3328052911980001"</f>
        <v>3328052911980001</v>
      </c>
      <c r="C1444" s="2" t="s">
        <v>1924</v>
      </c>
      <c r="D1444" s="2" t="s">
        <v>17</v>
      </c>
      <c r="E1444" s="2" t="s">
        <v>11</v>
      </c>
      <c r="F1444" s="2" t="s">
        <v>18</v>
      </c>
      <c r="G1444" s="2" t="s">
        <v>19</v>
      </c>
      <c r="H1444" s="2" t="s">
        <v>1720</v>
      </c>
      <c r="I1444" s="2" t="s">
        <v>1381</v>
      </c>
    </row>
    <row r="1445" spans="1:9" ht="14.5" x14ac:dyDescent="0.35">
      <c r="A1445" s="2">
        <v>3122765</v>
      </c>
      <c r="B1445" s="2" t="str">
        <f>"3328052911980001"</f>
        <v>3328052911980001</v>
      </c>
      <c r="C1445" s="2" t="s">
        <v>1925</v>
      </c>
      <c r="D1445" s="2" t="s">
        <v>17</v>
      </c>
      <c r="E1445" s="2" t="s">
        <v>11</v>
      </c>
      <c r="F1445" s="2" t="s">
        <v>18</v>
      </c>
      <c r="G1445" s="2" t="s">
        <v>163</v>
      </c>
      <c r="H1445" s="2" t="s">
        <v>1926</v>
      </c>
      <c r="I1445" s="2" t="s">
        <v>1927</v>
      </c>
    </row>
    <row r="1446" spans="1:9" ht="14.5" x14ac:dyDescent="0.35">
      <c r="A1446" s="2">
        <v>439455</v>
      </c>
      <c r="B1446" s="2" t="str">
        <f>"3328054102720002"</f>
        <v>3328054102720002</v>
      </c>
      <c r="C1446" s="2" t="s">
        <v>1928</v>
      </c>
      <c r="D1446" s="2" t="s">
        <v>10</v>
      </c>
      <c r="E1446" s="2" t="s">
        <v>11</v>
      </c>
      <c r="F1446" s="2" t="s">
        <v>50</v>
      </c>
      <c r="G1446" s="2" t="s">
        <v>86</v>
      </c>
      <c r="H1446" s="2" t="s">
        <v>925</v>
      </c>
      <c r="I1446" s="2" t="s">
        <v>1929</v>
      </c>
    </row>
    <row r="1447" spans="1:9" ht="14.5" x14ac:dyDescent="0.35">
      <c r="A1447" s="2">
        <v>2534233</v>
      </c>
      <c r="B1447" s="2" t="str">
        <f>"3328054102720002"</f>
        <v>3328054102720002</v>
      </c>
      <c r="C1447" s="2" t="s">
        <v>1930</v>
      </c>
      <c r="D1447" s="2" t="s">
        <v>17</v>
      </c>
      <c r="E1447" s="2" t="s">
        <v>11</v>
      </c>
      <c r="F1447" s="2" t="s">
        <v>18</v>
      </c>
      <c r="G1447" s="2" t="s">
        <v>19</v>
      </c>
      <c r="H1447" s="2" t="s">
        <v>1720</v>
      </c>
      <c r="I1447" s="2" t="s">
        <v>789</v>
      </c>
    </row>
    <row r="1448" spans="1:9" ht="14.5" x14ac:dyDescent="0.35">
      <c r="A1448" s="2">
        <v>1552795</v>
      </c>
      <c r="B1448" s="2" t="str">
        <f>"3328054103010001"</f>
        <v>3328054103010001</v>
      </c>
      <c r="C1448" s="2" t="s">
        <v>1931</v>
      </c>
      <c r="D1448" s="2" t="s">
        <v>10</v>
      </c>
      <c r="E1448" s="2" t="s">
        <v>11</v>
      </c>
      <c r="F1448" s="2" t="s">
        <v>18</v>
      </c>
      <c r="G1448" s="2" t="s">
        <v>19</v>
      </c>
      <c r="H1448" s="2" t="s">
        <v>1720</v>
      </c>
      <c r="I1448" s="2" t="s">
        <v>1720</v>
      </c>
    </row>
    <row r="1449" spans="1:9" ht="14.5" x14ac:dyDescent="0.35">
      <c r="A1449" s="2">
        <v>2597564</v>
      </c>
      <c r="B1449" s="2" t="str">
        <f>"3328054103010001"</f>
        <v>3328054103010001</v>
      </c>
      <c r="C1449" s="2" t="s">
        <v>1931</v>
      </c>
      <c r="D1449" s="2" t="s">
        <v>17</v>
      </c>
      <c r="E1449" s="2" t="s">
        <v>11</v>
      </c>
      <c r="F1449" s="2" t="s">
        <v>18</v>
      </c>
      <c r="G1449" s="2" t="s">
        <v>1438</v>
      </c>
      <c r="H1449" s="2" t="s">
        <v>1932</v>
      </c>
      <c r="I1449" s="2" t="s">
        <v>1933</v>
      </c>
    </row>
    <row r="1450" spans="1:9" ht="14.5" x14ac:dyDescent="0.35">
      <c r="A1450" s="2">
        <v>2146155</v>
      </c>
      <c r="B1450" s="2" t="str">
        <f>"3328054103010002"</f>
        <v>3328054103010002</v>
      </c>
      <c r="C1450" s="2" t="s">
        <v>1934</v>
      </c>
      <c r="D1450" s="2" t="s">
        <v>10</v>
      </c>
      <c r="E1450" s="2" t="s">
        <v>11</v>
      </c>
      <c r="F1450" s="2" t="s">
        <v>18</v>
      </c>
      <c r="G1450" s="2" t="s">
        <v>19</v>
      </c>
      <c r="H1450" s="2" t="s">
        <v>1720</v>
      </c>
      <c r="I1450" s="2" t="s">
        <v>1857</v>
      </c>
    </row>
    <row r="1451" spans="1:9" ht="14.5" x14ac:dyDescent="0.35">
      <c r="A1451" s="2">
        <v>1688586</v>
      </c>
      <c r="B1451" s="2" t="str">
        <f>"3328054103010002"</f>
        <v>3328054103010002</v>
      </c>
      <c r="C1451" s="2" t="s">
        <v>1934</v>
      </c>
      <c r="D1451" s="2" t="s">
        <v>17</v>
      </c>
      <c r="E1451" s="2" t="s">
        <v>11</v>
      </c>
      <c r="F1451" s="2" t="s">
        <v>18</v>
      </c>
      <c r="G1451" s="2" t="s">
        <v>264</v>
      </c>
      <c r="H1451" s="2" t="s">
        <v>273</v>
      </c>
      <c r="I1451" s="2" t="s">
        <v>700</v>
      </c>
    </row>
    <row r="1452" spans="1:9" ht="14.5" x14ac:dyDescent="0.35">
      <c r="A1452" s="2">
        <v>1343760</v>
      </c>
      <c r="B1452" s="2" t="str">
        <f>"3328054107050022"</f>
        <v>3328054107050022</v>
      </c>
      <c r="C1452" s="2" t="s">
        <v>1935</v>
      </c>
      <c r="D1452" s="2" t="s">
        <v>10</v>
      </c>
      <c r="E1452" s="2" t="s">
        <v>11</v>
      </c>
      <c r="F1452" s="2" t="s">
        <v>18</v>
      </c>
      <c r="G1452" s="2" t="s">
        <v>19</v>
      </c>
      <c r="H1452" s="2" t="s">
        <v>1720</v>
      </c>
      <c r="I1452" s="2" t="s">
        <v>1381</v>
      </c>
    </row>
    <row r="1453" spans="1:9" ht="14.5" x14ac:dyDescent="0.35">
      <c r="A1453" s="2">
        <v>2423196</v>
      </c>
      <c r="B1453" s="2" t="str">
        <f>"3328054107050022"</f>
        <v>3328054107050022</v>
      </c>
      <c r="C1453" s="2" t="s">
        <v>1935</v>
      </c>
      <c r="D1453" s="2" t="s">
        <v>17</v>
      </c>
      <c r="E1453" s="2" t="s">
        <v>11</v>
      </c>
      <c r="F1453" s="2" t="s">
        <v>50</v>
      </c>
      <c r="G1453" s="2" t="s">
        <v>58</v>
      </c>
      <c r="H1453" s="2" t="s">
        <v>417</v>
      </c>
      <c r="I1453" s="2" t="s">
        <v>1936</v>
      </c>
    </row>
    <row r="1454" spans="1:9" ht="14.5" x14ac:dyDescent="0.35">
      <c r="A1454" s="2">
        <v>101146</v>
      </c>
      <c r="B1454" s="2" t="str">
        <f>"3328054107720109"</f>
        <v>3328054107720109</v>
      </c>
      <c r="C1454" s="2" t="s">
        <v>1937</v>
      </c>
      <c r="D1454" s="2" t="s">
        <v>10</v>
      </c>
      <c r="E1454" s="2" t="s">
        <v>11</v>
      </c>
      <c r="F1454" s="2" t="s">
        <v>44</v>
      </c>
      <c r="G1454" s="2" t="s">
        <v>1833</v>
      </c>
      <c r="H1454" s="2" t="s">
        <v>1834</v>
      </c>
      <c r="I1454" s="2" t="s">
        <v>1835</v>
      </c>
    </row>
    <row r="1455" spans="1:9" ht="14.5" x14ac:dyDescent="0.35">
      <c r="A1455" s="2">
        <v>2534444</v>
      </c>
      <c r="B1455" s="2" t="str">
        <f>"3328054107720109"</f>
        <v>3328054107720109</v>
      </c>
      <c r="C1455" s="2" t="s">
        <v>1937</v>
      </c>
      <c r="D1455" s="2" t="s">
        <v>17</v>
      </c>
      <c r="E1455" s="2" t="s">
        <v>11</v>
      </c>
      <c r="F1455" s="2" t="s">
        <v>18</v>
      </c>
      <c r="G1455" s="2" t="s">
        <v>19</v>
      </c>
      <c r="H1455" s="2" t="s">
        <v>1720</v>
      </c>
      <c r="I1455" s="2" t="s">
        <v>1727</v>
      </c>
    </row>
    <row r="1456" spans="1:9" ht="14.5" x14ac:dyDescent="0.35">
      <c r="A1456" s="2">
        <v>1553231</v>
      </c>
      <c r="B1456" s="2" t="str">
        <f>"3328054107770108"</f>
        <v>3328054107770108</v>
      </c>
      <c r="C1456" s="2" t="s">
        <v>1938</v>
      </c>
      <c r="D1456" s="2" t="s">
        <v>10</v>
      </c>
      <c r="E1456" s="2" t="s">
        <v>11</v>
      </c>
      <c r="F1456" s="2" t="s">
        <v>18</v>
      </c>
      <c r="G1456" s="2" t="s">
        <v>19</v>
      </c>
      <c r="H1456" s="2" t="s">
        <v>1720</v>
      </c>
      <c r="I1456" s="2" t="s">
        <v>1720</v>
      </c>
    </row>
    <row r="1457" spans="1:9" ht="14.5" x14ac:dyDescent="0.35">
      <c r="A1457" s="2">
        <v>1686971</v>
      </c>
      <c r="B1457" s="2" t="str">
        <f>"3328054107770108"</f>
        <v>3328054107770108</v>
      </c>
      <c r="C1457" s="2" t="s">
        <v>1939</v>
      </c>
      <c r="D1457" s="2" t="s">
        <v>17</v>
      </c>
      <c r="E1457" s="2" t="s">
        <v>11</v>
      </c>
      <c r="F1457" s="2" t="s">
        <v>18</v>
      </c>
      <c r="G1457" s="2" t="s">
        <v>264</v>
      </c>
      <c r="H1457" s="2" t="s">
        <v>265</v>
      </c>
      <c r="I1457" s="2" t="s">
        <v>1940</v>
      </c>
    </row>
    <row r="1458" spans="1:9" ht="14.5" x14ac:dyDescent="0.35">
      <c r="A1458" s="2">
        <v>2119958</v>
      </c>
      <c r="B1458" s="2" t="str">
        <f>"3328054205010001"</f>
        <v>3328054205010001</v>
      </c>
      <c r="C1458" s="2" t="s">
        <v>1941</v>
      </c>
      <c r="D1458" s="2" t="s">
        <v>10</v>
      </c>
      <c r="E1458" s="2" t="s">
        <v>11</v>
      </c>
      <c r="F1458" s="2" t="s">
        <v>18</v>
      </c>
      <c r="G1458" s="2" t="s">
        <v>19</v>
      </c>
      <c r="H1458" s="2" t="s">
        <v>1720</v>
      </c>
      <c r="I1458" s="2" t="s">
        <v>1774</v>
      </c>
    </row>
    <row r="1459" spans="1:9" ht="14.5" x14ac:dyDescent="0.35">
      <c r="A1459" s="2">
        <v>1607066</v>
      </c>
      <c r="B1459" s="2" t="str">
        <f>"3328054205010001"</f>
        <v>3328054205010001</v>
      </c>
      <c r="C1459" s="2" t="s">
        <v>1941</v>
      </c>
      <c r="D1459" s="2" t="s">
        <v>17</v>
      </c>
      <c r="E1459" s="2" t="s">
        <v>11</v>
      </c>
      <c r="F1459" s="2" t="s">
        <v>18</v>
      </c>
      <c r="G1459" s="2" t="s">
        <v>264</v>
      </c>
      <c r="H1459" s="2" t="s">
        <v>330</v>
      </c>
      <c r="I1459" s="2" t="s">
        <v>1942</v>
      </c>
    </row>
    <row r="1460" spans="1:9" ht="14.5" x14ac:dyDescent="0.35">
      <c r="A1460" s="2">
        <v>673143</v>
      </c>
      <c r="B1460" s="2" t="str">
        <f>"3328054210970002"</f>
        <v>3328054210970002</v>
      </c>
      <c r="C1460" s="2" t="s">
        <v>1943</v>
      </c>
      <c r="D1460" s="2" t="s">
        <v>189</v>
      </c>
      <c r="E1460" s="2" t="s">
        <v>11</v>
      </c>
      <c r="F1460" s="2" t="s">
        <v>18</v>
      </c>
      <c r="G1460" s="2" t="s">
        <v>264</v>
      </c>
      <c r="H1460" s="2" t="s">
        <v>344</v>
      </c>
      <c r="I1460" s="2" t="s">
        <v>1944</v>
      </c>
    </row>
    <row r="1461" spans="1:9" ht="14.5" x14ac:dyDescent="0.35">
      <c r="A1461" s="2">
        <v>2535226</v>
      </c>
      <c r="B1461" s="2" t="str">
        <f>"3328054210970002"</f>
        <v>3328054210970002</v>
      </c>
      <c r="C1461" s="2" t="s">
        <v>1943</v>
      </c>
      <c r="D1461" s="2" t="s">
        <v>17</v>
      </c>
      <c r="E1461" s="2" t="s">
        <v>11</v>
      </c>
      <c r="F1461" s="2" t="s">
        <v>18</v>
      </c>
      <c r="G1461" s="2" t="s">
        <v>19</v>
      </c>
      <c r="H1461" s="2" t="s">
        <v>1720</v>
      </c>
      <c r="I1461" s="2" t="s">
        <v>1381</v>
      </c>
    </row>
    <row r="1462" spans="1:9" ht="14.5" x14ac:dyDescent="0.35">
      <c r="A1462" s="2">
        <v>1284214</v>
      </c>
      <c r="B1462" s="2" t="str">
        <f>"3328054311960001"</f>
        <v>3328054311960001</v>
      </c>
      <c r="C1462" s="2" t="s">
        <v>1945</v>
      </c>
      <c r="D1462" s="2" t="s">
        <v>10</v>
      </c>
      <c r="E1462" s="2" t="s">
        <v>11</v>
      </c>
      <c r="F1462" s="2" t="s">
        <v>18</v>
      </c>
      <c r="G1462" s="2" t="s">
        <v>264</v>
      </c>
      <c r="H1462" s="2" t="s">
        <v>265</v>
      </c>
      <c r="I1462" s="2" t="s">
        <v>1598</v>
      </c>
    </row>
    <row r="1463" spans="1:9" ht="14.5" x14ac:dyDescent="0.35">
      <c r="A1463" s="2">
        <v>2534809</v>
      </c>
      <c r="B1463" s="2" t="str">
        <f>"3328054311960001"</f>
        <v>3328054311960001</v>
      </c>
      <c r="C1463" s="2" t="s">
        <v>1945</v>
      </c>
      <c r="D1463" s="2" t="s">
        <v>17</v>
      </c>
      <c r="E1463" s="2" t="s">
        <v>11</v>
      </c>
      <c r="F1463" s="2" t="s">
        <v>18</v>
      </c>
      <c r="G1463" s="2" t="s">
        <v>19</v>
      </c>
      <c r="H1463" s="2" t="s">
        <v>1720</v>
      </c>
      <c r="I1463" s="2" t="s">
        <v>1740</v>
      </c>
    </row>
    <row r="1464" spans="1:9" ht="14.5" x14ac:dyDescent="0.35">
      <c r="A1464" s="2">
        <v>1582520</v>
      </c>
      <c r="B1464" s="2" t="str">
        <f>"3328054403940005"</f>
        <v>3328054403940005</v>
      </c>
      <c r="C1464" s="2" t="s">
        <v>1946</v>
      </c>
      <c r="D1464" s="2" t="s">
        <v>10</v>
      </c>
      <c r="E1464" s="2" t="s">
        <v>11</v>
      </c>
      <c r="F1464" s="2" t="s">
        <v>50</v>
      </c>
      <c r="G1464" s="2" t="s">
        <v>86</v>
      </c>
      <c r="H1464" s="2" t="s">
        <v>445</v>
      </c>
      <c r="I1464" s="2" t="s">
        <v>1947</v>
      </c>
    </row>
    <row r="1465" spans="1:9" ht="14.5" x14ac:dyDescent="0.35">
      <c r="A1465" s="2">
        <v>2534386</v>
      </c>
      <c r="B1465" s="2" t="str">
        <f>"3328054403940005"</f>
        <v>3328054403940005</v>
      </c>
      <c r="C1465" s="2" t="s">
        <v>1948</v>
      </c>
      <c r="D1465" s="2" t="s">
        <v>17</v>
      </c>
      <c r="E1465" s="2" t="s">
        <v>11</v>
      </c>
      <c r="F1465" s="2" t="s">
        <v>18</v>
      </c>
      <c r="G1465" s="2" t="s">
        <v>19</v>
      </c>
      <c r="H1465" s="2" t="s">
        <v>1720</v>
      </c>
      <c r="I1465" s="2" t="s">
        <v>1731</v>
      </c>
    </row>
    <row r="1466" spans="1:9" ht="14.5" x14ac:dyDescent="0.35">
      <c r="A1466" s="2">
        <v>2142642</v>
      </c>
      <c r="B1466" s="2" t="str">
        <f>"3328054405800001"</f>
        <v>3328054405800001</v>
      </c>
      <c r="C1466" s="2" t="s">
        <v>1949</v>
      </c>
      <c r="D1466" s="2" t="s">
        <v>10</v>
      </c>
      <c r="E1466" s="2" t="s">
        <v>11</v>
      </c>
      <c r="F1466" s="2" t="s">
        <v>18</v>
      </c>
      <c r="G1466" s="2" t="s">
        <v>19</v>
      </c>
      <c r="H1466" s="2" t="s">
        <v>1720</v>
      </c>
      <c r="I1466" s="2" t="s">
        <v>1737</v>
      </c>
    </row>
    <row r="1467" spans="1:9" ht="14.5" x14ac:dyDescent="0.35">
      <c r="A1467" s="2">
        <v>1269591</v>
      </c>
      <c r="B1467" s="2" t="str">
        <f>"3328054405800001"</f>
        <v>3328054405800001</v>
      </c>
      <c r="C1467" s="2" t="s">
        <v>1949</v>
      </c>
      <c r="D1467" s="2" t="s">
        <v>17</v>
      </c>
      <c r="E1467" s="2" t="s">
        <v>11</v>
      </c>
      <c r="F1467" s="2" t="s">
        <v>18</v>
      </c>
      <c r="G1467" s="2" t="s">
        <v>1920</v>
      </c>
      <c r="H1467" s="2" t="s">
        <v>1921</v>
      </c>
      <c r="I1467" s="2" t="s">
        <v>1922</v>
      </c>
    </row>
    <row r="1468" spans="1:9" ht="14.5" x14ac:dyDescent="0.35">
      <c r="A1468" s="2">
        <v>1433938</v>
      </c>
      <c r="B1468" s="2" t="str">
        <f>"3328054411680001"</f>
        <v>3328054411680001</v>
      </c>
      <c r="C1468" s="2" t="s">
        <v>1950</v>
      </c>
      <c r="D1468" s="2" t="s">
        <v>10</v>
      </c>
      <c r="E1468" s="2" t="s">
        <v>11</v>
      </c>
      <c r="F1468" s="2" t="s">
        <v>50</v>
      </c>
      <c r="G1468" s="2" t="s">
        <v>58</v>
      </c>
      <c r="H1468" s="2" t="s">
        <v>1747</v>
      </c>
      <c r="I1468" s="2" t="s">
        <v>1748</v>
      </c>
    </row>
    <row r="1469" spans="1:9" ht="14.5" x14ac:dyDescent="0.35">
      <c r="A1469" s="2">
        <v>2534648</v>
      </c>
      <c r="B1469" s="2" t="str">
        <f>"3328054411680001"</f>
        <v>3328054411680001</v>
      </c>
      <c r="C1469" s="2" t="s">
        <v>1950</v>
      </c>
      <c r="D1469" s="2" t="s">
        <v>17</v>
      </c>
      <c r="E1469" s="2" t="s">
        <v>11</v>
      </c>
      <c r="F1469" s="2" t="s">
        <v>18</v>
      </c>
      <c r="G1469" s="2" t="s">
        <v>19</v>
      </c>
      <c r="H1469" s="2" t="s">
        <v>1720</v>
      </c>
      <c r="I1469" s="2" t="s">
        <v>1723</v>
      </c>
    </row>
    <row r="1470" spans="1:9" ht="14.5" x14ac:dyDescent="0.35">
      <c r="A1470" s="2">
        <v>2132753</v>
      </c>
      <c r="B1470" s="2" t="str">
        <f>"3328054506920005"</f>
        <v>3328054506920005</v>
      </c>
      <c r="C1470" s="2" t="s">
        <v>1951</v>
      </c>
      <c r="D1470" s="2" t="s">
        <v>10</v>
      </c>
      <c r="E1470" s="2" t="s">
        <v>11</v>
      </c>
      <c r="F1470" s="2" t="s">
        <v>18</v>
      </c>
      <c r="G1470" s="2" t="s">
        <v>19</v>
      </c>
      <c r="H1470" s="2" t="s">
        <v>1720</v>
      </c>
      <c r="I1470" s="2" t="s">
        <v>1727</v>
      </c>
    </row>
    <row r="1471" spans="1:9" ht="14.5" x14ac:dyDescent="0.35">
      <c r="A1471" s="2">
        <v>1943012</v>
      </c>
      <c r="B1471" s="2" t="str">
        <f>"3328054506920005"</f>
        <v>3328054506920005</v>
      </c>
      <c r="C1471" s="2" t="s">
        <v>1951</v>
      </c>
      <c r="D1471" s="2" t="s">
        <v>17</v>
      </c>
      <c r="E1471" s="2" t="s">
        <v>11</v>
      </c>
      <c r="F1471" s="2" t="s">
        <v>50</v>
      </c>
      <c r="G1471" s="2" t="s">
        <v>86</v>
      </c>
      <c r="H1471" s="2" t="s">
        <v>205</v>
      </c>
      <c r="I1471" s="2" t="s">
        <v>1952</v>
      </c>
    </row>
    <row r="1472" spans="1:9" ht="14.5" x14ac:dyDescent="0.35">
      <c r="A1472" s="2">
        <v>2119960</v>
      </c>
      <c r="B1472" s="2" t="str">
        <f>"3328054506950001"</f>
        <v>3328054506950001</v>
      </c>
      <c r="C1472" s="2" t="s">
        <v>1953</v>
      </c>
      <c r="D1472" s="2" t="s">
        <v>10</v>
      </c>
      <c r="E1472" s="2" t="s">
        <v>11</v>
      </c>
      <c r="F1472" s="2" t="s">
        <v>18</v>
      </c>
      <c r="G1472" s="2" t="s">
        <v>19</v>
      </c>
      <c r="H1472" s="2" t="s">
        <v>1720</v>
      </c>
      <c r="I1472" s="2" t="s">
        <v>1774</v>
      </c>
    </row>
    <row r="1473" spans="1:9" ht="14.5" x14ac:dyDescent="0.35">
      <c r="A1473" s="2">
        <v>1607868</v>
      </c>
      <c r="B1473" s="2" t="str">
        <f>"3328054506950001"</f>
        <v>3328054506950001</v>
      </c>
      <c r="C1473" s="2" t="s">
        <v>1953</v>
      </c>
      <c r="D1473" s="2" t="s">
        <v>17</v>
      </c>
      <c r="E1473" s="2" t="s">
        <v>11</v>
      </c>
      <c r="F1473" s="2" t="s">
        <v>18</v>
      </c>
      <c r="G1473" s="2" t="s">
        <v>167</v>
      </c>
      <c r="H1473" s="2" t="s">
        <v>1954</v>
      </c>
      <c r="I1473" s="2" t="s">
        <v>1955</v>
      </c>
    </row>
    <row r="1474" spans="1:9" ht="14.5" x14ac:dyDescent="0.35">
      <c r="A1474" s="2">
        <v>1625227</v>
      </c>
      <c r="B1474" s="2" t="str">
        <f>"3328054510870001"</f>
        <v>3328054510870001</v>
      </c>
      <c r="C1474" s="2" t="s">
        <v>383</v>
      </c>
      <c r="D1474" s="2" t="s">
        <v>189</v>
      </c>
      <c r="E1474" s="2" t="s">
        <v>11</v>
      </c>
      <c r="F1474" s="2" t="s">
        <v>18</v>
      </c>
      <c r="G1474" s="2" t="s">
        <v>19</v>
      </c>
      <c r="H1474" s="2" t="s">
        <v>1720</v>
      </c>
      <c r="I1474" s="2" t="s">
        <v>1777</v>
      </c>
    </row>
    <row r="1475" spans="1:9" ht="14.5" x14ac:dyDescent="0.35">
      <c r="A1475" s="2">
        <v>1681507</v>
      </c>
      <c r="B1475" s="2" t="str">
        <f>"3328054510870001"</f>
        <v>3328054510870001</v>
      </c>
      <c r="C1475" s="2" t="s">
        <v>383</v>
      </c>
      <c r="D1475" s="2" t="s">
        <v>17</v>
      </c>
      <c r="E1475" s="2" t="s">
        <v>11</v>
      </c>
      <c r="F1475" s="2" t="s">
        <v>18</v>
      </c>
      <c r="G1475" s="2" t="s">
        <v>264</v>
      </c>
      <c r="H1475" s="2" t="s">
        <v>265</v>
      </c>
      <c r="I1475" s="2" t="s">
        <v>863</v>
      </c>
    </row>
    <row r="1476" spans="1:9" ht="14.5" x14ac:dyDescent="0.35">
      <c r="A1476" s="2">
        <v>1350259</v>
      </c>
      <c r="B1476" s="2" t="str">
        <f>"3328054603900002"</f>
        <v>3328054603900002</v>
      </c>
      <c r="C1476" s="2" t="s">
        <v>1956</v>
      </c>
      <c r="D1476" s="2" t="s">
        <v>10</v>
      </c>
      <c r="E1476" s="2" t="s">
        <v>11</v>
      </c>
      <c r="F1476" s="2" t="s">
        <v>18</v>
      </c>
      <c r="G1476" s="2" t="s">
        <v>19</v>
      </c>
      <c r="H1476" s="2" t="s">
        <v>1720</v>
      </c>
      <c r="I1476" s="2" t="s">
        <v>789</v>
      </c>
    </row>
    <row r="1477" spans="1:9" ht="14.5" x14ac:dyDescent="0.35">
      <c r="A1477" s="2">
        <v>1793786</v>
      </c>
      <c r="B1477" s="2" t="str">
        <f>"3328054603900002"</f>
        <v>3328054603900002</v>
      </c>
      <c r="C1477" s="2" t="s">
        <v>1956</v>
      </c>
      <c r="D1477" s="2" t="s">
        <v>17</v>
      </c>
      <c r="E1477" s="2" t="s">
        <v>11</v>
      </c>
      <c r="F1477" s="2" t="s">
        <v>50</v>
      </c>
      <c r="G1477" s="2" t="s">
        <v>72</v>
      </c>
      <c r="H1477" s="2" t="s">
        <v>73</v>
      </c>
      <c r="I1477" s="2" t="s">
        <v>1957</v>
      </c>
    </row>
    <row r="1478" spans="1:9" ht="14.5" x14ac:dyDescent="0.35">
      <c r="A1478" s="2">
        <v>126760</v>
      </c>
      <c r="B1478" s="2" t="str">
        <f>"3328054607920001"</f>
        <v>3328054607920001</v>
      </c>
      <c r="C1478" s="2" t="s">
        <v>1958</v>
      </c>
      <c r="D1478" s="2" t="s">
        <v>10</v>
      </c>
      <c r="E1478" s="2" t="s">
        <v>11</v>
      </c>
      <c r="F1478" s="2" t="s">
        <v>1959</v>
      </c>
      <c r="G1478" s="2" t="s">
        <v>1960</v>
      </c>
      <c r="H1478" s="2" t="s">
        <v>1961</v>
      </c>
      <c r="I1478" s="2" t="s">
        <v>1962</v>
      </c>
    </row>
    <row r="1479" spans="1:9" ht="14.5" x14ac:dyDescent="0.35">
      <c r="A1479" s="2">
        <v>2534158</v>
      </c>
      <c r="B1479" s="2" t="str">
        <f>"3328054607920001"</f>
        <v>3328054607920001</v>
      </c>
      <c r="C1479" s="2" t="s">
        <v>1958</v>
      </c>
      <c r="D1479" s="2" t="s">
        <v>17</v>
      </c>
      <c r="E1479" s="2" t="s">
        <v>11</v>
      </c>
      <c r="F1479" s="2" t="s">
        <v>18</v>
      </c>
      <c r="G1479" s="2" t="s">
        <v>19</v>
      </c>
      <c r="H1479" s="2" t="s">
        <v>1720</v>
      </c>
      <c r="I1479" s="2" t="s">
        <v>789</v>
      </c>
    </row>
    <row r="1480" spans="1:9" ht="14.5" x14ac:dyDescent="0.35">
      <c r="A1480" s="2">
        <v>790623</v>
      </c>
      <c r="B1480" s="2" t="str">
        <f>"3328054608900009"</f>
        <v>3328054608900009</v>
      </c>
      <c r="C1480" s="2" t="s">
        <v>1963</v>
      </c>
      <c r="D1480" s="2" t="s">
        <v>10</v>
      </c>
      <c r="E1480" s="2" t="s">
        <v>11</v>
      </c>
      <c r="F1480" s="2" t="s">
        <v>91</v>
      </c>
      <c r="G1480" s="2" t="s">
        <v>320</v>
      </c>
      <c r="H1480" s="2" t="s">
        <v>321</v>
      </c>
      <c r="I1480" s="2" t="s">
        <v>1964</v>
      </c>
    </row>
    <row r="1481" spans="1:9" ht="14.5" x14ac:dyDescent="0.35">
      <c r="A1481" s="2">
        <v>2534897</v>
      </c>
      <c r="B1481" s="2" t="str">
        <f>"3328054608900009"</f>
        <v>3328054608900009</v>
      </c>
      <c r="C1481" s="2" t="s">
        <v>1963</v>
      </c>
      <c r="D1481" s="2" t="s">
        <v>17</v>
      </c>
      <c r="E1481" s="2" t="s">
        <v>11</v>
      </c>
      <c r="F1481" s="2" t="s">
        <v>18</v>
      </c>
      <c r="G1481" s="2" t="s">
        <v>19</v>
      </c>
      <c r="H1481" s="2" t="s">
        <v>1720</v>
      </c>
      <c r="I1481" s="2" t="s">
        <v>1740</v>
      </c>
    </row>
    <row r="1482" spans="1:9" ht="14.5" x14ac:dyDescent="0.35">
      <c r="A1482" s="2">
        <v>1358918</v>
      </c>
      <c r="B1482" s="2" t="str">
        <f>"3328054802930001"</f>
        <v>3328054802930001</v>
      </c>
      <c r="C1482" s="2" t="s">
        <v>1965</v>
      </c>
      <c r="D1482" s="2" t="s">
        <v>10</v>
      </c>
      <c r="E1482" s="2" t="s">
        <v>11</v>
      </c>
      <c r="F1482" s="2" t="s">
        <v>18</v>
      </c>
      <c r="G1482" s="2" t="s">
        <v>19</v>
      </c>
      <c r="H1482" s="2" t="s">
        <v>1720</v>
      </c>
      <c r="I1482" s="2" t="s">
        <v>1740</v>
      </c>
    </row>
    <row r="1483" spans="1:9" ht="14.5" x14ac:dyDescent="0.35">
      <c r="A1483" s="2">
        <v>1677812</v>
      </c>
      <c r="B1483" s="2" t="str">
        <f>"3328054802930001"</f>
        <v>3328054802930001</v>
      </c>
      <c r="C1483" s="2" t="s">
        <v>1966</v>
      </c>
      <c r="D1483" s="2" t="s">
        <v>17</v>
      </c>
      <c r="E1483" s="2" t="s">
        <v>11</v>
      </c>
      <c r="F1483" s="2" t="s">
        <v>18</v>
      </c>
      <c r="G1483" s="2" t="s">
        <v>264</v>
      </c>
      <c r="H1483" s="2" t="s">
        <v>265</v>
      </c>
      <c r="I1483" s="2" t="s">
        <v>1910</v>
      </c>
    </row>
    <row r="1484" spans="1:9" ht="14.5" x14ac:dyDescent="0.35">
      <c r="A1484" s="2">
        <v>1547787</v>
      </c>
      <c r="B1484" s="2" t="str">
        <f>"3328054804930003"</f>
        <v>3328054804930003</v>
      </c>
      <c r="C1484" s="2" t="s">
        <v>1967</v>
      </c>
      <c r="D1484" s="2" t="s">
        <v>10</v>
      </c>
      <c r="E1484" s="2" t="s">
        <v>11</v>
      </c>
      <c r="F1484" s="2" t="s">
        <v>18</v>
      </c>
      <c r="G1484" s="2" t="s">
        <v>19</v>
      </c>
      <c r="H1484" s="2" t="s">
        <v>1720</v>
      </c>
      <c r="I1484" s="2" t="s">
        <v>1771</v>
      </c>
    </row>
    <row r="1485" spans="1:9" ht="14.5" x14ac:dyDescent="0.35">
      <c r="A1485" s="2">
        <v>1650106</v>
      </c>
      <c r="B1485" s="2" t="str">
        <f>"3328054804930003"</f>
        <v>3328054804930003</v>
      </c>
      <c r="C1485" s="2" t="s">
        <v>1967</v>
      </c>
      <c r="D1485" s="2" t="s">
        <v>17</v>
      </c>
      <c r="E1485" s="2" t="s">
        <v>11</v>
      </c>
      <c r="F1485" s="2" t="s">
        <v>18</v>
      </c>
      <c r="G1485" s="2" t="s">
        <v>264</v>
      </c>
      <c r="H1485" s="2" t="s">
        <v>344</v>
      </c>
      <c r="I1485" s="2" t="s">
        <v>1968</v>
      </c>
    </row>
    <row r="1486" spans="1:9" ht="14.5" x14ac:dyDescent="0.35">
      <c r="A1486" s="2">
        <v>2144181</v>
      </c>
      <c r="B1486" s="2" t="str">
        <f>"3328054808890001"</f>
        <v>3328054808890001</v>
      </c>
      <c r="C1486" s="2" t="s">
        <v>1969</v>
      </c>
      <c r="D1486" s="2" t="s">
        <v>10</v>
      </c>
      <c r="E1486" s="2" t="s">
        <v>11</v>
      </c>
      <c r="F1486" s="2" t="s">
        <v>18</v>
      </c>
      <c r="G1486" s="2" t="s">
        <v>19</v>
      </c>
      <c r="H1486" s="2" t="s">
        <v>1720</v>
      </c>
      <c r="I1486" s="2" t="s">
        <v>1857</v>
      </c>
    </row>
    <row r="1487" spans="1:9" ht="14.5" x14ac:dyDescent="0.35">
      <c r="A1487" s="2">
        <v>2420155</v>
      </c>
      <c r="B1487" s="2" t="str">
        <f>"3328054808890001"</f>
        <v>3328054808890001</v>
      </c>
      <c r="C1487" s="2" t="s">
        <v>1970</v>
      </c>
      <c r="D1487" s="2" t="s">
        <v>17</v>
      </c>
      <c r="E1487" s="2" t="s">
        <v>11</v>
      </c>
      <c r="F1487" s="2" t="s">
        <v>50</v>
      </c>
      <c r="G1487" s="2" t="s">
        <v>58</v>
      </c>
      <c r="H1487" s="2" t="s">
        <v>97</v>
      </c>
      <c r="I1487" s="2" t="s">
        <v>97</v>
      </c>
    </row>
    <row r="1488" spans="1:9" ht="14.5" x14ac:dyDescent="0.35">
      <c r="A1488" s="2">
        <v>325811</v>
      </c>
      <c r="B1488" s="2" t="str">
        <f>"3328054906670001"</f>
        <v>3328054906670001</v>
      </c>
      <c r="C1488" s="2" t="s">
        <v>1971</v>
      </c>
      <c r="D1488" s="2" t="s">
        <v>10</v>
      </c>
      <c r="E1488" s="2" t="s">
        <v>11</v>
      </c>
      <c r="F1488" s="2" t="s">
        <v>91</v>
      </c>
      <c r="G1488" s="2" t="s">
        <v>438</v>
      </c>
      <c r="H1488" s="2" t="s">
        <v>760</v>
      </c>
      <c r="I1488" s="2" t="s">
        <v>1972</v>
      </c>
    </row>
    <row r="1489" spans="1:9" ht="14.5" x14ac:dyDescent="0.35">
      <c r="A1489" s="2">
        <v>2535455</v>
      </c>
      <c r="B1489" s="2" t="str">
        <f>"3328054906670001"</f>
        <v>3328054906670001</v>
      </c>
      <c r="C1489" s="2" t="s">
        <v>1971</v>
      </c>
      <c r="D1489" s="2" t="s">
        <v>17</v>
      </c>
      <c r="E1489" s="2" t="s">
        <v>11</v>
      </c>
      <c r="F1489" s="2" t="s">
        <v>18</v>
      </c>
      <c r="G1489" s="2" t="s">
        <v>19</v>
      </c>
      <c r="H1489" s="2" t="s">
        <v>1720</v>
      </c>
      <c r="I1489" s="2" t="s">
        <v>1737</v>
      </c>
    </row>
    <row r="1490" spans="1:9" ht="14.5" x14ac:dyDescent="0.35">
      <c r="A1490" s="2">
        <v>2141004</v>
      </c>
      <c r="B1490" s="2" t="str">
        <f>"3328055001900005"</f>
        <v>3328055001900005</v>
      </c>
      <c r="C1490" s="2" t="s">
        <v>1973</v>
      </c>
      <c r="D1490" s="2" t="s">
        <v>10</v>
      </c>
      <c r="E1490" s="2" t="s">
        <v>11</v>
      </c>
      <c r="F1490" s="2" t="s">
        <v>18</v>
      </c>
      <c r="G1490" s="2" t="s">
        <v>19</v>
      </c>
      <c r="H1490" s="2" t="s">
        <v>1720</v>
      </c>
      <c r="I1490" s="2" t="s">
        <v>1737</v>
      </c>
    </row>
    <row r="1491" spans="1:9" ht="14.5" x14ac:dyDescent="0.35">
      <c r="A1491" s="2">
        <v>1553894</v>
      </c>
      <c r="B1491" s="2" t="str">
        <f>"3328055001900005"</f>
        <v>3328055001900005</v>
      </c>
      <c r="C1491" s="2" t="s">
        <v>1973</v>
      </c>
      <c r="D1491" s="2" t="s">
        <v>17</v>
      </c>
      <c r="E1491" s="2" t="s">
        <v>11</v>
      </c>
      <c r="F1491" s="2" t="s">
        <v>18</v>
      </c>
      <c r="G1491" s="2" t="s">
        <v>195</v>
      </c>
      <c r="H1491" s="2" t="s">
        <v>307</v>
      </c>
      <c r="I1491" s="2" t="s">
        <v>1974</v>
      </c>
    </row>
    <row r="1492" spans="1:9" ht="14.5" x14ac:dyDescent="0.35">
      <c r="A1492" s="2">
        <v>1623169</v>
      </c>
      <c r="B1492" s="2" t="str">
        <f>"3328055206980004"</f>
        <v>3328055206980004</v>
      </c>
      <c r="C1492" s="2" t="s">
        <v>1975</v>
      </c>
      <c r="D1492" s="2" t="s">
        <v>10</v>
      </c>
      <c r="E1492" s="2" t="s">
        <v>11</v>
      </c>
      <c r="F1492" s="2" t="s">
        <v>18</v>
      </c>
      <c r="G1492" s="2" t="s">
        <v>19</v>
      </c>
      <c r="H1492" s="2" t="s">
        <v>1720</v>
      </c>
      <c r="I1492" s="2" t="s">
        <v>1777</v>
      </c>
    </row>
    <row r="1493" spans="1:9" ht="14.5" x14ac:dyDescent="0.35">
      <c r="A1493" s="2">
        <v>3088764</v>
      </c>
      <c r="B1493" s="2" t="str">
        <f>"3328055206980004"</f>
        <v>3328055206980004</v>
      </c>
      <c r="C1493" s="2" t="s">
        <v>1975</v>
      </c>
      <c r="D1493" s="2" t="s">
        <v>17</v>
      </c>
      <c r="E1493" s="2" t="s">
        <v>11</v>
      </c>
      <c r="F1493" s="2" t="s">
        <v>18</v>
      </c>
      <c r="G1493" s="2" t="s">
        <v>163</v>
      </c>
      <c r="H1493" s="2" t="s">
        <v>509</v>
      </c>
      <c r="I1493" s="2" t="s">
        <v>1976</v>
      </c>
    </row>
    <row r="1494" spans="1:9" ht="14.5" x14ac:dyDescent="0.35">
      <c r="A1494" s="2">
        <v>1719565</v>
      </c>
      <c r="B1494" s="2" t="str">
        <f>"3328055212820001"</f>
        <v>3328055212820001</v>
      </c>
      <c r="C1494" s="2" t="s">
        <v>1977</v>
      </c>
      <c r="D1494" s="2" t="s">
        <v>10</v>
      </c>
      <c r="E1494" s="2" t="s">
        <v>11</v>
      </c>
      <c r="F1494" s="2" t="s">
        <v>50</v>
      </c>
      <c r="G1494" s="2" t="s">
        <v>86</v>
      </c>
      <c r="H1494" s="2" t="s">
        <v>1268</v>
      </c>
      <c r="I1494" s="2" t="s">
        <v>1978</v>
      </c>
    </row>
    <row r="1495" spans="1:9" ht="14.5" x14ac:dyDescent="0.35">
      <c r="A1495" s="2">
        <v>2535699</v>
      </c>
      <c r="B1495" s="2" t="str">
        <f>"3328055212820001"</f>
        <v>3328055212820001</v>
      </c>
      <c r="C1495" s="2" t="s">
        <v>1979</v>
      </c>
      <c r="D1495" s="2" t="s">
        <v>17</v>
      </c>
      <c r="E1495" s="2" t="s">
        <v>11</v>
      </c>
      <c r="F1495" s="2" t="s">
        <v>18</v>
      </c>
      <c r="G1495" s="2" t="s">
        <v>19</v>
      </c>
      <c r="H1495" s="2" t="s">
        <v>1720</v>
      </c>
      <c r="I1495" s="2" t="s">
        <v>1771</v>
      </c>
    </row>
    <row r="1496" spans="1:9" ht="14.5" x14ac:dyDescent="0.35">
      <c r="A1496" s="2">
        <v>876717</v>
      </c>
      <c r="B1496" s="2" t="str">
        <f>"3328055402950002"</f>
        <v>3328055402950002</v>
      </c>
      <c r="C1496" s="2" t="s">
        <v>1980</v>
      </c>
      <c r="D1496" s="2" t="s">
        <v>10</v>
      </c>
      <c r="E1496" s="2" t="s">
        <v>11</v>
      </c>
      <c r="F1496" s="2" t="s">
        <v>232</v>
      </c>
      <c r="G1496" s="2" t="s">
        <v>1981</v>
      </c>
      <c r="H1496" s="2" t="s">
        <v>1982</v>
      </c>
      <c r="I1496" s="2" t="s">
        <v>1983</v>
      </c>
    </row>
    <row r="1497" spans="1:9" ht="14.5" x14ac:dyDescent="0.35">
      <c r="A1497" s="2">
        <v>2534177</v>
      </c>
      <c r="B1497" s="2" t="str">
        <f>"3328055402950002"</f>
        <v>3328055402950002</v>
      </c>
      <c r="C1497" s="2" t="s">
        <v>1980</v>
      </c>
      <c r="D1497" s="2" t="s">
        <v>17</v>
      </c>
      <c r="E1497" s="2" t="s">
        <v>11</v>
      </c>
      <c r="F1497" s="2" t="s">
        <v>18</v>
      </c>
      <c r="G1497" s="2" t="s">
        <v>19</v>
      </c>
      <c r="H1497" s="2" t="s">
        <v>1720</v>
      </c>
      <c r="I1497" s="2" t="s">
        <v>789</v>
      </c>
    </row>
    <row r="1498" spans="1:9" ht="14.5" x14ac:dyDescent="0.35">
      <c r="A1498" s="2">
        <v>2145532</v>
      </c>
      <c r="B1498" s="2" t="str">
        <f>"3328055404990003"</f>
        <v>3328055404990003</v>
      </c>
      <c r="C1498" s="2" t="s">
        <v>1984</v>
      </c>
      <c r="D1498" s="2" t="s">
        <v>10</v>
      </c>
      <c r="E1498" s="2" t="s">
        <v>11</v>
      </c>
      <c r="F1498" s="2" t="s">
        <v>18</v>
      </c>
      <c r="G1498" s="2" t="s">
        <v>19</v>
      </c>
      <c r="H1498" s="2" t="s">
        <v>1720</v>
      </c>
      <c r="I1498" s="2" t="s">
        <v>1857</v>
      </c>
    </row>
    <row r="1499" spans="1:9" ht="14.5" x14ac:dyDescent="0.35">
      <c r="A1499" s="2">
        <v>1688686</v>
      </c>
      <c r="B1499" s="2" t="str">
        <f>"3328055404990003"</f>
        <v>3328055404990003</v>
      </c>
      <c r="C1499" s="2" t="s">
        <v>1984</v>
      </c>
      <c r="D1499" s="2" t="s">
        <v>17</v>
      </c>
      <c r="E1499" s="2" t="s">
        <v>11</v>
      </c>
      <c r="F1499" s="2" t="s">
        <v>18</v>
      </c>
      <c r="G1499" s="2" t="s">
        <v>264</v>
      </c>
      <c r="H1499" s="2" t="s">
        <v>273</v>
      </c>
      <c r="I1499" s="2" t="s">
        <v>700</v>
      </c>
    </row>
    <row r="1500" spans="1:9" ht="14.5" x14ac:dyDescent="0.35">
      <c r="A1500" s="2">
        <v>1360972</v>
      </c>
      <c r="B1500" s="2" t="str">
        <f>"3328055510010001"</f>
        <v>3328055510010001</v>
      </c>
      <c r="C1500" s="2" t="s">
        <v>1985</v>
      </c>
      <c r="D1500" s="2" t="s">
        <v>10</v>
      </c>
      <c r="E1500" s="2" t="s">
        <v>11</v>
      </c>
      <c r="F1500" s="2" t="s">
        <v>18</v>
      </c>
      <c r="G1500" s="2" t="s">
        <v>19</v>
      </c>
      <c r="H1500" s="2" t="s">
        <v>1720</v>
      </c>
      <c r="I1500" s="2" t="s">
        <v>1740</v>
      </c>
    </row>
    <row r="1501" spans="1:9" ht="14.5" x14ac:dyDescent="0.35">
      <c r="A1501" s="2">
        <v>2209907</v>
      </c>
      <c r="B1501" s="2" t="str">
        <f>"3328055510010001"</f>
        <v>3328055510010001</v>
      </c>
      <c r="C1501" s="2" t="s">
        <v>1986</v>
      </c>
      <c r="D1501" s="2" t="s">
        <v>17</v>
      </c>
      <c r="E1501" s="2" t="s">
        <v>11</v>
      </c>
      <c r="F1501" s="2" t="s">
        <v>303</v>
      </c>
      <c r="G1501" s="2" t="s">
        <v>1987</v>
      </c>
      <c r="H1501" s="2" t="s">
        <v>1988</v>
      </c>
      <c r="I1501" s="2" t="s">
        <v>1989</v>
      </c>
    </row>
    <row r="1502" spans="1:9" ht="14.5" x14ac:dyDescent="0.35">
      <c r="A1502" s="2">
        <v>1349034</v>
      </c>
      <c r="B1502" s="2" t="str">
        <f>"3328055606940001"</f>
        <v>3328055606940001</v>
      </c>
      <c r="C1502" s="2" t="s">
        <v>1990</v>
      </c>
      <c r="D1502" s="2" t="s">
        <v>10</v>
      </c>
      <c r="E1502" s="2" t="s">
        <v>11</v>
      </c>
      <c r="F1502" s="2" t="s">
        <v>18</v>
      </c>
      <c r="G1502" s="2" t="s">
        <v>19</v>
      </c>
      <c r="H1502" s="2" t="s">
        <v>1720</v>
      </c>
      <c r="I1502" s="2" t="s">
        <v>1381</v>
      </c>
    </row>
    <row r="1503" spans="1:9" ht="14.5" x14ac:dyDescent="0.35">
      <c r="A1503" s="2">
        <v>1665125</v>
      </c>
      <c r="B1503" s="2" t="str">
        <f>"3328055606940001"</f>
        <v>3328055606940001</v>
      </c>
      <c r="C1503" s="2" t="s">
        <v>1991</v>
      </c>
      <c r="D1503" s="2" t="s">
        <v>17</v>
      </c>
      <c r="E1503" s="2" t="s">
        <v>11</v>
      </c>
      <c r="F1503" s="2" t="s">
        <v>18</v>
      </c>
      <c r="G1503" s="2" t="s">
        <v>264</v>
      </c>
      <c r="H1503" s="2" t="s">
        <v>877</v>
      </c>
      <c r="I1503" s="2" t="s">
        <v>1992</v>
      </c>
    </row>
    <row r="1504" spans="1:9" ht="14.5" x14ac:dyDescent="0.35">
      <c r="A1504" s="2">
        <v>1362019</v>
      </c>
      <c r="B1504" s="2" t="str">
        <f>"3328055803970001"</f>
        <v>3328055803970001</v>
      </c>
      <c r="C1504" s="2" t="s">
        <v>1993</v>
      </c>
      <c r="D1504" s="2" t="s">
        <v>10</v>
      </c>
      <c r="E1504" s="2" t="s">
        <v>11</v>
      </c>
      <c r="F1504" s="2" t="s">
        <v>18</v>
      </c>
      <c r="G1504" s="2" t="s">
        <v>19</v>
      </c>
      <c r="H1504" s="2" t="s">
        <v>1720</v>
      </c>
      <c r="I1504" s="2" t="s">
        <v>1740</v>
      </c>
    </row>
    <row r="1505" spans="1:9" ht="14.5" x14ac:dyDescent="0.35">
      <c r="A1505" s="2">
        <v>3151120</v>
      </c>
      <c r="B1505" s="2" t="str">
        <f>"3328055803970001"</f>
        <v>3328055803970001</v>
      </c>
      <c r="C1505" s="2" t="s">
        <v>1993</v>
      </c>
      <c r="D1505" s="2" t="s">
        <v>17</v>
      </c>
      <c r="E1505" s="2" t="s">
        <v>11</v>
      </c>
      <c r="F1505" s="2" t="s">
        <v>303</v>
      </c>
      <c r="G1505" s="2" t="s">
        <v>1994</v>
      </c>
      <c r="H1505" s="2" t="s">
        <v>1995</v>
      </c>
      <c r="I1505" s="2" t="s">
        <v>1090</v>
      </c>
    </row>
    <row r="1506" spans="1:9" ht="14.5" x14ac:dyDescent="0.35">
      <c r="A1506" s="2">
        <v>1365815</v>
      </c>
      <c r="B1506" s="2" t="str">
        <f>"3328055806030004"</f>
        <v>3328055806030004</v>
      </c>
      <c r="C1506" s="2" t="s">
        <v>1996</v>
      </c>
      <c r="D1506" s="2" t="s">
        <v>10</v>
      </c>
      <c r="E1506" s="2" t="s">
        <v>11</v>
      </c>
      <c r="F1506" s="2" t="s">
        <v>18</v>
      </c>
      <c r="G1506" s="2" t="s">
        <v>19</v>
      </c>
      <c r="H1506" s="2" t="s">
        <v>1720</v>
      </c>
      <c r="I1506" s="2" t="s">
        <v>1740</v>
      </c>
    </row>
    <row r="1507" spans="1:9" ht="14.5" x14ac:dyDescent="0.35">
      <c r="A1507" s="2">
        <v>1663923</v>
      </c>
      <c r="B1507" s="2" t="str">
        <f>"3328055806030004"</f>
        <v>3328055806030004</v>
      </c>
      <c r="C1507" s="2" t="s">
        <v>1996</v>
      </c>
      <c r="D1507" s="2" t="s">
        <v>17</v>
      </c>
      <c r="E1507" s="2" t="s">
        <v>11</v>
      </c>
      <c r="F1507" s="2" t="s">
        <v>18</v>
      </c>
      <c r="G1507" s="2" t="s">
        <v>264</v>
      </c>
      <c r="H1507" s="2" t="s">
        <v>877</v>
      </c>
      <c r="I1507" s="2" t="s">
        <v>1191</v>
      </c>
    </row>
    <row r="1508" spans="1:9" ht="14.5" x14ac:dyDescent="0.35">
      <c r="A1508" s="2">
        <v>1613874</v>
      </c>
      <c r="B1508" s="2" t="str">
        <f>"3328055806950001"</f>
        <v>3328055806950001</v>
      </c>
      <c r="C1508" s="2" t="s">
        <v>1997</v>
      </c>
      <c r="D1508" s="2" t="s">
        <v>10</v>
      </c>
      <c r="E1508" s="2" t="s">
        <v>11</v>
      </c>
      <c r="F1508" s="2" t="s">
        <v>18</v>
      </c>
      <c r="G1508" s="2" t="s">
        <v>19</v>
      </c>
      <c r="H1508" s="2" t="s">
        <v>1720</v>
      </c>
      <c r="I1508" s="2" t="s">
        <v>1721</v>
      </c>
    </row>
    <row r="1509" spans="1:9" ht="14.5" x14ac:dyDescent="0.35">
      <c r="A1509" s="2">
        <v>931579</v>
      </c>
      <c r="B1509" s="2" t="str">
        <f>"3328055806950001"</f>
        <v>3328055806950001</v>
      </c>
      <c r="C1509" s="2" t="s">
        <v>1997</v>
      </c>
      <c r="D1509" s="2" t="s">
        <v>17</v>
      </c>
      <c r="E1509" s="2" t="s">
        <v>11</v>
      </c>
      <c r="F1509" s="2" t="s">
        <v>91</v>
      </c>
      <c r="G1509" s="2" t="s">
        <v>109</v>
      </c>
      <c r="H1509" s="2" t="s">
        <v>1998</v>
      </c>
      <c r="I1509" s="2" t="s">
        <v>1999</v>
      </c>
    </row>
    <row r="1510" spans="1:9" ht="14.5" x14ac:dyDescent="0.35">
      <c r="A1510" s="2">
        <v>1602861</v>
      </c>
      <c r="B1510" s="2" t="str">
        <f>"3328055908800002"</f>
        <v>3328055908800002</v>
      </c>
      <c r="C1510" s="2" t="s">
        <v>2000</v>
      </c>
      <c r="D1510" s="2" t="s">
        <v>10</v>
      </c>
      <c r="E1510" s="2" t="s">
        <v>11</v>
      </c>
      <c r="F1510" s="2" t="s">
        <v>50</v>
      </c>
      <c r="G1510" s="2" t="s">
        <v>72</v>
      </c>
      <c r="H1510" s="2" t="s">
        <v>738</v>
      </c>
      <c r="I1510" s="2" t="s">
        <v>2001</v>
      </c>
    </row>
    <row r="1511" spans="1:9" ht="14.5" x14ac:dyDescent="0.35">
      <c r="A1511" s="2">
        <v>2535025</v>
      </c>
      <c r="B1511" s="2" t="str">
        <f>"3328055908800002"</f>
        <v>3328055908800002</v>
      </c>
      <c r="C1511" s="2" t="s">
        <v>2002</v>
      </c>
      <c r="D1511" s="2" t="s">
        <v>17</v>
      </c>
      <c r="E1511" s="2" t="s">
        <v>11</v>
      </c>
      <c r="F1511" s="2" t="s">
        <v>18</v>
      </c>
      <c r="G1511" s="2" t="s">
        <v>19</v>
      </c>
      <c r="H1511" s="2" t="s">
        <v>1720</v>
      </c>
      <c r="I1511" s="2" t="s">
        <v>1720</v>
      </c>
    </row>
    <row r="1512" spans="1:9" ht="14.5" x14ac:dyDescent="0.35">
      <c r="A1512" s="2">
        <v>624646</v>
      </c>
      <c r="B1512" s="2" t="str">
        <f>"3328055909900003"</f>
        <v>3328055909900003</v>
      </c>
      <c r="C1512" s="2" t="s">
        <v>2003</v>
      </c>
      <c r="D1512" s="2" t="s">
        <v>10</v>
      </c>
      <c r="E1512" s="2" t="s">
        <v>11</v>
      </c>
      <c r="F1512" s="2" t="s">
        <v>18</v>
      </c>
      <c r="G1512" s="2" t="s">
        <v>264</v>
      </c>
      <c r="H1512" s="2" t="s">
        <v>264</v>
      </c>
      <c r="I1512" s="2" t="s">
        <v>2004</v>
      </c>
    </row>
    <row r="1513" spans="1:9" ht="14.5" x14ac:dyDescent="0.35">
      <c r="A1513" s="2">
        <v>2535220</v>
      </c>
      <c r="B1513" s="2" t="str">
        <f>"3328055909900003"</f>
        <v>3328055909900003</v>
      </c>
      <c r="C1513" s="2" t="s">
        <v>2003</v>
      </c>
      <c r="D1513" s="2" t="s">
        <v>17</v>
      </c>
      <c r="E1513" s="2" t="s">
        <v>11</v>
      </c>
      <c r="F1513" s="2" t="s">
        <v>18</v>
      </c>
      <c r="G1513" s="2" t="s">
        <v>19</v>
      </c>
      <c r="H1513" s="2" t="s">
        <v>1720</v>
      </c>
      <c r="I1513" s="2" t="s">
        <v>1381</v>
      </c>
    </row>
    <row r="1514" spans="1:9" ht="14.5" x14ac:dyDescent="0.35">
      <c r="A1514" s="2">
        <v>121495</v>
      </c>
      <c r="B1514" s="2" t="str">
        <f>"3328056004940005"</f>
        <v>3328056004940005</v>
      </c>
      <c r="C1514" s="2" t="s">
        <v>2005</v>
      </c>
      <c r="D1514" s="2" t="s">
        <v>10</v>
      </c>
      <c r="E1514" s="2" t="s">
        <v>11</v>
      </c>
      <c r="F1514" s="2" t="s">
        <v>91</v>
      </c>
      <c r="G1514" s="2" t="s">
        <v>159</v>
      </c>
      <c r="H1514" s="2" t="s">
        <v>685</v>
      </c>
      <c r="I1514" s="2" t="s">
        <v>686</v>
      </c>
    </row>
    <row r="1515" spans="1:9" ht="14.5" x14ac:dyDescent="0.35">
      <c r="A1515" s="2">
        <v>2534863</v>
      </c>
      <c r="B1515" s="2" t="str">
        <f>"3328056004940005"</f>
        <v>3328056004940005</v>
      </c>
      <c r="C1515" s="2" t="s">
        <v>2005</v>
      </c>
      <c r="D1515" s="2" t="s">
        <v>17</v>
      </c>
      <c r="E1515" s="2" t="s">
        <v>11</v>
      </c>
      <c r="F1515" s="2" t="s">
        <v>18</v>
      </c>
      <c r="G1515" s="2" t="s">
        <v>19</v>
      </c>
      <c r="H1515" s="2" t="s">
        <v>1720</v>
      </c>
      <c r="I1515" s="2" t="s">
        <v>1740</v>
      </c>
    </row>
    <row r="1516" spans="1:9" ht="14.5" x14ac:dyDescent="0.35">
      <c r="A1516" s="2">
        <v>1345336</v>
      </c>
      <c r="B1516" s="2" t="str">
        <f>"3328056006850005"</f>
        <v>3328056006850005</v>
      </c>
      <c r="C1516" s="2" t="s">
        <v>2006</v>
      </c>
      <c r="D1516" s="2" t="s">
        <v>10</v>
      </c>
      <c r="E1516" s="2" t="s">
        <v>11</v>
      </c>
      <c r="F1516" s="2" t="s">
        <v>18</v>
      </c>
      <c r="G1516" s="2" t="s">
        <v>264</v>
      </c>
      <c r="H1516" s="2" t="s">
        <v>265</v>
      </c>
      <c r="I1516" s="2" t="s">
        <v>2007</v>
      </c>
    </row>
    <row r="1517" spans="1:9" ht="14.5" x14ac:dyDescent="0.35">
      <c r="A1517" s="2">
        <v>2534231</v>
      </c>
      <c r="B1517" s="2" t="str">
        <f>"3328056006850005"</f>
        <v>3328056006850005</v>
      </c>
      <c r="C1517" s="2" t="s">
        <v>2008</v>
      </c>
      <c r="D1517" s="2" t="s">
        <v>17</v>
      </c>
      <c r="E1517" s="2" t="s">
        <v>11</v>
      </c>
      <c r="F1517" s="2" t="s">
        <v>18</v>
      </c>
      <c r="G1517" s="2" t="s">
        <v>19</v>
      </c>
      <c r="H1517" s="2" t="s">
        <v>1720</v>
      </c>
      <c r="I1517" s="2" t="s">
        <v>789</v>
      </c>
    </row>
    <row r="1518" spans="1:9" ht="14.5" x14ac:dyDescent="0.35">
      <c r="A1518" s="2">
        <v>3816321</v>
      </c>
      <c r="B1518" s="2" t="str">
        <f>"3328056006880003"</f>
        <v>3328056006880003</v>
      </c>
      <c r="C1518" s="2" t="s">
        <v>2009</v>
      </c>
      <c r="D1518" s="2" t="s">
        <v>10</v>
      </c>
      <c r="E1518" s="2" t="s">
        <v>11</v>
      </c>
      <c r="F1518" s="2" t="s">
        <v>91</v>
      </c>
      <c r="G1518" s="2" t="s">
        <v>650</v>
      </c>
      <c r="H1518" s="2" t="s">
        <v>1752</v>
      </c>
      <c r="I1518" s="2" t="s">
        <v>1753</v>
      </c>
    </row>
    <row r="1519" spans="1:9" ht="14.5" x14ac:dyDescent="0.35">
      <c r="A1519" s="2">
        <v>2534454</v>
      </c>
      <c r="B1519" s="2" t="str">
        <f>"3328056006880003"</f>
        <v>3328056006880003</v>
      </c>
      <c r="C1519" s="2" t="s">
        <v>2009</v>
      </c>
      <c r="D1519" s="2" t="s">
        <v>17</v>
      </c>
      <c r="E1519" s="2" t="s">
        <v>11</v>
      </c>
      <c r="F1519" s="2" t="s">
        <v>18</v>
      </c>
      <c r="G1519" s="2" t="s">
        <v>19</v>
      </c>
      <c r="H1519" s="2" t="s">
        <v>1720</v>
      </c>
      <c r="I1519" s="2" t="s">
        <v>1727</v>
      </c>
    </row>
    <row r="1520" spans="1:9" ht="14.5" x14ac:dyDescent="0.35">
      <c r="A1520" s="2">
        <v>1549228</v>
      </c>
      <c r="B1520" s="2" t="str">
        <f>"3328056006920001"</f>
        <v>3328056006920001</v>
      </c>
      <c r="C1520" s="2" t="s">
        <v>2010</v>
      </c>
      <c r="D1520" s="2" t="s">
        <v>10</v>
      </c>
      <c r="E1520" s="2" t="s">
        <v>11</v>
      </c>
      <c r="F1520" s="2" t="s">
        <v>18</v>
      </c>
      <c r="G1520" s="2" t="s">
        <v>19</v>
      </c>
      <c r="H1520" s="2" t="s">
        <v>1720</v>
      </c>
      <c r="I1520" s="2" t="s">
        <v>1771</v>
      </c>
    </row>
    <row r="1521" spans="1:9" ht="14.5" x14ac:dyDescent="0.35">
      <c r="A1521" s="2">
        <v>850135</v>
      </c>
      <c r="B1521" s="2" t="str">
        <f>"3328056006920001"</f>
        <v>3328056006920001</v>
      </c>
      <c r="C1521" s="2" t="s">
        <v>2010</v>
      </c>
      <c r="D1521" s="2" t="s">
        <v>17</v>
      </c>
      <c r="E1521" s="2" t="s">
        <v>11</v>
      </c>
      <c r="F1521" s="2" t="s">
        <v>50</v>
      </c>
      <c r="G1521" s="2" t="s">
        <v>280</v>
      </c>
      <c r="H1521" s="2" t="s">
        <v>281</v>
      </c>
      <c r="I1521" s="2" t="s">
        <v>282</v>
      </c>
    </row>
    <row r="1522" spans="1:9" ht="14.5" x14ac:dyDescent="0.35">
      <c r="A1522" s="2">
        <v>1624253</v>
      </c>
      <c r="B1522" s="2" t="str">
        <f>"3328056104960003"</f>
        <v>3328056104960003</v>
      </c>
      <c r="C1522" s="2" t="s">
        <v>2011</v>
      </c>
      <c r="D1522" s="2" t="s">
        <v>10</v>
      </c>
      <c r="E1522" s="2" t="s">
        <v>11</v>
      </c>
      <c r="F1522" s="2" t="s">
        <v>18</v>
      </c>
      <c r="G1522" s="2" t="s">
        <v>19</v>
      </c>
      <c r="H1522" s="2" t="s">
        <v>1720</v>
      </c>
      <c r="I1522" s="2" t="s">
        <v>1777</v>
      </c>
    </row>
    <row r="1523" spans="1:9" ht="14.5" x14ac:dyDescent="0.35">
      <c r="A1523" s="2">
        <v>1258899</v>
      </c>
      <c r="B1523" s="2" t="str">
        <f>"3328056104960003"</f>
        <v>3328056104960003</v>
      </c>
      <c r="C1523" s="2" t="s">
        <v>2011</v>
      </c>
      <c r="D1523" s="2" t="s">
        <v>17</v>
      </c>
      <c r="E1523" s="2" t="s">
        <v>11</v>
      </c>
      <c r="F1523" s="2" t="s">
        <v>18</v>
      </c>
      <c r="G1523" s="2" t="s">
        <v>1920</v>
      </c>
      <c r="H1523" s="2" t="s">
        <v>2012</v>
      </c>
      <c r="I1523" s="2" t="s">
        <v>2013</v>
      </c>
    </row>
    <row r="1524" spans="1:9" ht="14.5" x14ac:dyDescent="0.35">
      <c r="A1524" s="2">
        <v>1350701</v>
      </c>
      <c r="B1524" s="2" t="str">
        <f>"3328056309990005"</f>
        <v>3328056309990005</v>
      </c>
      <c r="C1524" s="2" t="s">
        <v>2014</v>
      </c>
      <c r="D1524" s="2" t="s">
        <v>10</v>
      </c>
      <c r="E1524" s="2" t="s">
        <v>11</v>
      </c>
      <c r="F1524" s="2" t="s">
        <v>18</v>
      </c>
      <c r="G1524" s="2" t="s">
        <v>19</v>
      </c>
      <c r="H1524" s="2" t="s">
        <v>1720</v>
      </c>
      <c r="I1524" s="2" t="s">
        <v>789</v>
      </c>
    </row>
    <row r="1525" spans="1:9" ht="14.5" x14ac:dyDescent="0.35">
      <c r="A1525" s="2">
        <v>362897</v>
      </c>
      <c r="B1525" s="2" t="str">
        <f>"3328056309990005"</f>
        <v>3328056309990005</v>
      </c>
      <c r="C1525" s="2" t="s">
        <v>2014</v>
      </c>
      <c r="D1525" s="2" t="s">
        <v>17</v>
      </c>
      <c r="E1525" s="2" t="s">
        <v>57</v>
      </c>
      <c r="F1525" s="2" t="s">
        <v>379</v>
      </c>
      <c r="G1525" s="2" t="s">
        <v>380</v>
      </c>
      <c r="H1525" s="2" t="s">
        <v>2015</v>
      </c>
      <c r="I1525" s="2" t="s">
        <v>2016</v>
      </c>
    </row>
    <row r="1526" spans="1:9" ht="14.5" x14ac:dyDescent="0.35">
      <c r="A1526" s="2">
        <v>690208</v>
      </c>
      <c r="B1526" s="2" t="str">
        <f>"3328056401840004"</f>
        <v>3328056401840004</v>
      </c>
      <c r="C1526" s="2" t="s">
        <v>2017</v>
      </c>
      <c r="D1526" s="2" t="s">
        <v>10</v>
      </c>
      <c r="E1526" s="2" t="s">
        <v>11</v>
      </c>
      <c r="F1526" s="2" t="s">
        <v>50</v>
      </c>
      <c r="G1526" s="2" t="s">
        <v>280</v>
      </c>
      <c r="H1526" s="2" t="s">
        <v>402</v>
      </c>
      <c r="I1526" s="2" t="s">
        <v>1249</v>
      </c>
    </row>
    <row r="1527" spans="1:9" ht="14.5" x14ac:dyDescent="0.35">
      <c r="A1527" s="2">
        <v>2534408</v>
      </c>
      <c r="B1527" s="2" t="str">
        <f>"3328056401840004"</f>
        <v>3328056401840004</v>
      </c>
      <c r="C1527" s="2" t="s">
        <v>2018</v>
      </c>
      <c r="D1527" s="2" t="s">
        <v>17</v>
      </c>
      <c r="E1527" s="2" t="s">
        <v>11</v>
      </c>
      <c r="F1527" s="2" t="s">
        <v>18</v>
      </c>
      <c r="G1527" s="2" t="s">
        <v>19</v>
      </c>
      <c r="H1527" s="2" t="s">
        <v>1720</v>
      </c>
      <c r="I1527" s="2" t="s">
        <v>1731</v>
      </c>
    </row>
    <row r="1528" spans="1:9" ht="14.5" x14ac:dyDescent="0.35">
      <c r="A1528" s="2">
        <v>1784028</v>
      </c>
      <c r="B1528" s="2" t="str">
        <f>"3328056406030001"</f>
        <v>3328056406030001</v>
      </c>
      <c r="C1528" s="2" t="s">
        <v>2019</v>
      </c>
      <c r="D1528" s="2" t="s">
        <v>10</v>
      </c>
      <c r="E1528" s="2" t="s">
        <v>11</v>
      </c>
      <c r="F1528" s="2" t="s">
        <v>50</v>
      </c>
      <c r="G1528" s="2" t="s">
        <v>86</v>
      </c>
      <c r="H1528" s="2" t="s">
        <v>445</v>
      </c>
      <c r="I1528" s="2" t="s">
        <v>1848</v>
      </c>
    </row>
    <row r="1529" spans="1:9" ht="14.5" x14ac:dyDescent="0.35">
      <c r="A1529" s="2">
        <v>2535317</v>
      </c>
      <c r="B1529" s="2" t="str">
        <f>"3328056406030001"</f>
        <v>3328056406030001</v>
      </c>
      <c r="C1529" s="2" t="s">
        <v>2020</v>
      </c>
      <c r="D1529" s="2" t="s">
        <v>17</v>
      </c>
      <c r="E1529" s="2" t="s">
        <v>11</v>
      </c>
      <c r="F1529" s="2" t="s">
        <v>18</v>
      </c>
      <c r="G1529" s="2" t="s">
        <v>19</v>
      </c>
      <c r="H1529" s="2" t="s">
        <v>1720</v>
      </c>
      <c r="I1529" s="2" t="s">
        <v>1381</v>
      </c>
    </row>
    <row r="1530" spans="1:9" ht="14.5" x14ac:dyDescent="0.35">
      <c r="A1530" s="2">
        <v>1546737</v>
      </c>
      <c r="B1530" s="2" t="str">
        <f>"3328056505940005"</f>
        <v>3328056505940005</v>
      </c>
      <c r="C1530" s="2" t="s">
        <v>2021</v>
      </c>
      <c r="D1530" s="2" t="s">
        <v>10</v>
      </c>
      <c r="E1530" s="2" t="s">
        <v>11</v>
      </c>
      <c r="F1530" s="2" t="s">
        <v>50</v>
      </c>
      <c r="G1530" s="2" t="s">
        <v>86</v>
      </c>
      <c r="H1530" s="2" t="s">
        <v>1268</v>
      </c>
      <c r="I1530" s="2" t="s">
        <v>1978</v>
      </c>
    </row>
    <row r="1531" spans="1:9" ht="14.5" x14ac:dyDescent="0.35">
      <c r="A1531" s="2">
        <v>2534362</v>
      </c>
      <c r="B1531" s="2" t="str">
        <f>"3328056505940005"</f>
        <v>3328056505940005</v>
      </c>
      <c r="C1531" s="2" t="s">
        <v>2022</v>
      </c>
      <c r="D1531" s="2" t="s">
        <v>17</v>
      </c>
      <c r="E1531" s="2" t="s">
        <v>11</v>
      </c>
      <c r="F1531" s="2" t="s">
        <v>18</v>
      </c>
      <c r="G1531" s="2" t="s">
        <v>19</v>
      </c>
      <c r="H1531" s="2" t="s">
        <v>1720</v>
      </c>
      <c r="I1531" s="2" t="s">
        <v>1731</v>
      </c>
    </row>
    <row r="1532" spans="1:9" ht="14.5" x14ac:dyDescent="0.35">
      <c r="A1532" s="2">
        <v>1614064</v>
      </c>
      <c r="B1532" s="2" t="str">
        <f>"3328056509760001"</f>
        <v>3328056509760001</v>
      </c>
      <c r="C1532" s="2" t="s">
        <v>2023</v>
      </c>
      <c r="D1532" s="2" t="s">
        <v>10</v>
      </c>
      <c r="E1532" s="2" t="s">
        <v>11</v>
      </c>
      <c r="F1532" s="2" t="s">
        <v>18</v>
      </c>
      <c r="G1532" s="2" t="s">
        <v>19</v>
      </c>
      <c r="H1532" s="2" t="s">
        <v>1720</v>
      </c>
      <c r="I1532" s="2" t="s">
        <v>1721</v>
      </c>
    </row>
    <row r="1533" spans="1:9" ht="14.5" x14ac:dyDescent="0.35">
      <c r="A1533" s="2">
        <v>2175363</v>
      </c>
      <c r="B1533" s="2" t="str">
        <f>"3328056509760001"</f>
        <v>3328056509760001</v>
      </c>
      <c r="C1533" s="2" t="s">
        <v>2023</v>
      </c>
      <c r="D1533" s="2" t="s">
        <v>17</v>
      </c>
      <c r="E1533" s="2" t="s">
        <v>11</v>
      </c>
      <c r="F1533" s="2" t="s">
        <v>303</v>
      </c>
      <c r="G1533" s="2" t="s">
        <v>1808</v>
      </c>
      <c r="H1533" s="2" t="s">
        <v>1809</v>
      </c>
      <c r="I1533" s="2" t="s">
        <v>1810</v>
      </c>
    </row>
    <row r="1534" spans="1:9" ht="14.5" x14ac:dyDescent="0.35">
      <c r="A1534" s="2">
        <v>1360493</v>
      </c>
      <c r="B1534" s="2" t="str">
        <f>"3328056512940002"</f>
        <v>3328056512940002</v>
      </c>
      <c r="C1534" s="2" t="s">
        <v>2024</v>
      </c>
      <c r="D1534" s="2" t="s">
        <v>10</v>
      </c>
      <c r="E1534" s="2" t="s">
        <v>11</v>
      </c>
      <c r="F1534" s="2" t="s">
        <v>18</v>
      </c>
      <c r="G1534" s="2" t="s">
        <v>19</v>
      </c>
      <c r="H1534" s="2" t="s">
        <v>1720</v>
      </c>
      <c r="I1534" s="2" t="s">
        <v>1740</v>
      </c>
    </row>
    <row r="1535" spans="1:9" ht="14.5" x14ac:dyDescent="0.35">
      <c r="A1535" s="2">
        <v>877842</v>
      </c>
      <c r="B1535" s="2" t="str">
        <f>"3328056512940002"</f>
        <v>3328056512940002</v>
      </c>
      <c r="C1535" s="2" t="s">
        <v>2024</v>
      </c>
      <c r="D1535" s="2" t="s">
        <v>17</v>
      </c>
      <c r="E1535" s="2" t="s">
        <v>11</v>
      </c>
      <c r="F1535" s="2" t="s">
        <v>18</v>
      </c>
      <c r="G1535" s="2" t="s">
        <v>1522</v>
      </c>
      <c r="H1535" s="2" t="s">
        <v>1619</v>
      </c>
      <c r="I1535" s="2" t="s">
        <v>2025</v>
      </c>
    </row>
    <row r="1536" spans="1:9" ht="14.5" x14ac:dyDescent="0.35">
      <c r="A1536" s="2">
        <v>2059114</v>
      </c>
      <c r="B1536" s="2" t="str">
        <f>"3328056703730003"</f>
        <v>3328056703730003</v>
      </c>
      <c r="C1536" s="2" t="s">
        <v>2026</v>
      </c>
      <c r="D1536" s="2" t="s">
        <v>10</v>
      </c>
      <c r="E1536" s="2" t="s">
        <v>11</v>
      </c>
      <c r="F1536" s="2" t="s">
        <v>50</v>
      </c>
      <c r="G1536" s="2" t="s">
        <v>58</v>
      </c>
      <c r="H1536" s="2" t="s">
        <v>1742</v>
      </c>
      <c r="I1536" s="2" t="s">
        <v>1742</v>
      </c>
    </row>
    <row r="1537" spans="1:9" ht="14.5" x14ac:dyDescent="0.35">
      <c r="A1537" s="2">
        <v>2535617</v>
      </c>
      <c r="B1537" s="2" t="str">
        <f>"3328056703730003"</f>
        <v>3328056703730003</v>
      </c>
      <c r="C1537" s="2" t="s">
        <v>2026</v>
      </c>
      <c r="D1537" s="2" t="s">
        <v>17</v>
      </c>
      <c r="E1537" s="2" t="s">
        <v>11</v>
      </c>
      <c r="F1537" s="2" t="s">
        <v>18</v>
      </c>
      <c r="G1537" s="2" t="s">
        <v>19</v>
      </c>
      <c r="H1537" s="2" t="s">
        <v>1720</v>
      </c>
      <c r="I1537" s="2" t="s">
        <v>1857</v>
      </c>
    </row>
    <row r="1538" spans="1:9" ht="14.5" x14ac:dyDescent="0.35">
      <c r="A1538" s="2">
        <v>1553682</v>
      </c>
      <c r="B1538" s="2" t="str">
        <f>"3328056706760002"</f>
        <v>3328056706760002</v>
      </c>
      <c r="C1538" s="2" t="s">
        <v>2027</v>
      </c>
      <c r="D1538" s="2" t="s">
        <v>10</v>
      </c>
      <c r="E1538" s="2" t="s">
        <v>11</v>
      </c>
      <c r="F1538" s="2" t="s">
        <v>18</v>
      </c>
      <c r="G1538" s="2" t="s">
        <v>19</v>
      </c>
      <c r="H1538" s="2" t="s">
        <v>1720</v>
      </c>
      <c r="I1538" s="2" t="s">
        <v>1720</v>
      </c>
    </row>
    <row r="1539" spans="1:9" ht="14.5" x14ac:dyDescent="0.35">
      <c r="A1539" s="2">
        <v>2420056</v>
      </c>
      <c r="B1539" s="2" t="str">
        <f>"3328056706760002"</f>
        <v>3328056706760002</v>
      </c>
      <c r="C1539" s="2" t="s">
        <v>2027</v>
      </c>
      <c r="D1539" s="2" t="s">
        <v>17</v>
      </c>
      <c r="E1539" s="2" t="s">
        <v>11</v>
      </c>
      <c r="F1539" s="2" t="s">
        <v>50</v>
      </c>
      <c r="G1539" s="2" t="s">
        <v>58</v>
      </c>
      <c r="H1539" s="2" t="s">
        <v>97</v>
      </c>
      <c r="I1539" s="2" t="s">
        <v>328</v>
      </c>
    </row>
    <row r="1540" spans="1:9" ht="14.5" x14ac:dyDescent="0.35">
      <c r="A1540" s="2">
        <v>2383650</v>
      </c>
      <c r="B1540" s="2" t="str">
        <f>"3328056804900003"</f>
        <v>3328056804900003</v>
      </c>
      <c r="C1540" s="2" t="s">
        <v>2028</v>
      </c>
      <c r="D1540" s="2" t="s">
        <v>10</v>
      </c>
      <c r="E1540" s="2" t="s">
        <v>11</v>
      </c>
      <c r="F1540" s="2" t="s">
        <v>50</v>
      </c>
      <c r="G1540" s="2" t="s">
        <v>58</v>
      </c>
      <c r="H1540" s="2" t="s">
        <v>417</v>
      </c>
      <c r="I1540" s="2" t="s">
        <v>59</v>
      </c>
    </row>
    <row r="1541" spans="1:9" ht="14.5" x14ac:dyDescent="0.35">
      <c r="A1541" s="2">
        <v>2534737</v>
      </c>
      <c r="B1541" s="2" t="str">
        <f>"3328056804900003"</f>
        <v>3328056804900003</v>
      </c>
      <c r="C1541" s="2" t="s">
        <v>2028</v>
      </c>
      <c r="D1541" s="2" t="s">
        <v>17</v>
      </c>
      <c r="E1541" s="2" t="s">
        <v>11</v>
      </c>
      <c r="F1541" s="2" t="s">
        <v>18</v>
      </c>
      <c r="G1541" s="2" t="s">
        <v>19</v>
      </c>
      <c r="H1541" s="2" t="s">
        <v>1720</v>
      </c>
      <c r="I1541" s="2" t="s">
        <v>1740</v>
      </c>
    </row>
    <row r="1542" spans="1:9" ht="14.5" x14ac:dyDescent="0.35">
      <c r="A1542" s="2">
        <v>1382866</v>
      </c>
      <c r="B1542" s="2" t="str">
        <f>"3328056912970002"</f>
        <v>3328056912970002</v>
      </c>
      <c r="C1542" s="2" t="s">
        <v>2029</v>
      </c>
      <c r="D1542" s="2" t="s">
        <v>10</v>
      </c>
      <c r="E1542" s="2" t="s">
        <v>11</v>
      </c>
      <c r="F1542" s="2" t="s">
        <v>18</v>
      </c>
      <c r="G1542" s="2" t="s">
        <v>264</v>
      </c>
      <c r="H1542" s="2" t="s">
        <v>265</v>
      </c>
      <c r="I1542" s="2" t="s">
        <v>1628</v>
      </c>
    </row>
    <row r="1543" spans="1:9" ht="14.5" x14ac:dyDescent="0.35">
      <c r="A1543" s="2">
        <v>2534763</v>
      </c>
      <c r="B1543" s="2" t="str">
        <f>"3328056912970002"</f>
        <v>3328056912970002</v>
      </c>
      <c r="C1543" s="2" t="s">
        <v>2030</v>
      </c>
      <c r="D1543" s="2" t="s">
        <v>17</v>
      </c>
      <c r="E1543" s="2" t="s">
        <v>11</v>
      </c>
      <c r="F1543" s="2" t="s">
        <v>18</v>
      </c>
      <c r="G1543" s="2" t="s">
        <v>19</v>
      </c>
      <c r="H1543" s="2" t="s">
        <v>1720</v>
      </c>
      <c r="I1543" s="2" t="s">
        <v>1740</v>
      </c>
    </row>
    <row r="1544" spans="1:9" ht="14.5" x14ac:dyDescent="0.35">
      <c r="A1544" s="2">
        <v>2141747</v>
      </c>
      <c r="B1544" s="2" t="str">
        <f>"3328057008000001"</f>
        <v>3328057008000001</v>
      </c>
      <c r="C1544" s="2" t="s">
        <v>2031</v>
      </c>
      <c r="D1544" s="2" t="s">
        <v>10</v>
      </c>
      <c r="E1544" s="2" t="s">
        <v>11</v>
      </c>
      <c r="F1544" s="2" t="s">
        <v>18</v>
      </c>
      <c r="G1544" s="2" t="s">
        <v>19</v>
      </c>
      <c r="H1544" s="2" t="s">
        <v>1720</v>
      </c>
      <c r="I1544" s="2" t="s">
        <v>1737</v>
      </c>
    </row>
    <row r="1545" spans="1:9" ht="14.5" x14ac:dyDescent="0.35">
      <c r="A1545" s="2">
        <v>1643985</v>
      </c>
      <c r="B1545" s="2" t="str">
        <f>"3328057008000001"</f>
        <v>3328057008000001</v>
      </c>
      <c r="C1545" s="2" t="s">
        <v>2031</v>
      </c>
      <c r="D1545" s="2" t="s">
        <v>17</v>
      </c>
      <c r="E1545" s="2" t="s">
        <v>11</v>
      </c>
      <c r="F1545" s="2" t="s">
        <v>18</v>
      </c>
      <c r="G1545" s="2" t="s">
        <v>264</v>
      </c>
      <c r="H1545" s="2" t="s">
        <v>265</v>
      </c>
      <c r="I1545" s="2" t="s">
        <v>2007</v>
      </c>
    </row>
    <row r="1546" spans="1:9" ht="14.5" x14ac:dyDescent="0.35">
      <c r="A1546" s="2">
        <v>1364437</v>
      </c>
      <c r="B1546" s="2" t="str">
        <f>"3328057112630019"</f>
        <v>3328057112630019</v>
      </c>
      <c r="C1546" s="2" t="s">
        <v>2032</v>
      </c>
      <c r="D1546" s="2" t="s">
        <v>10</v>
      </c>
      <c r="E1546" s="2" t="s">
        <v>11</v>
      </c>
      <c r="F1546" s="2" t="s">
        <v>18</v>
      </c>
      <c r="G1546" s="2" t="s">
        <v>19</v>
      </c>
      <c r="H1546" s="2" t="s">
        <v>1720</v>
      </c>
      <c r="I1546" s="2" t="s">
        <v>1740</v>
      </c>
    </row>
    <row r="1547" spans="1:9" ht="14.5" x14ac:dyDescent="0.35">
      <c r="A1547" s="2">
        <v>1805460</v>
      </c>
      <c r="B1547" s="2" t="str">
        <f>"3328057112630019"</f>
        <v>3328057112630019</v>
      </c>
      <c r="C1547" s="2" t="s">
        <v>2033</v>
      </c>
      <c r="D1547" s="2" t="s">
        <v>17</v>
      </c>
      <c r="E1547" s="2" t="s">
        <v>11</v>
      </c>
      <c r="F1547" s="2" t="s">
        <v>50</v>
      </c>
      <c r="G1547" s="2" t="s">
        <v>72</v>
      </c>
      <c r="H1547" s="2" t="s">
        <v>628</v>
      </c>
      <c r="I1547" s="2" t="s">
        <v>1281</v>
      </c>
    </row>
    <row r="1548" spans="1:9" ht="14.5" x14ac:dyDescent="0.35">
      <c r="A1548" s="2">
        <v>126761</v>
      </c>
      <c r="B1548" s="2" t="str">
        <f>"3328110501850010"</f>
        <v>3328110501850010</v>
      </c>
      <c r="C1548" s="2" t="s">
        <v>2034</v>
      </c>
      <c r="D1548" s="2" t="s">
        <v>10</v>
      </c>
      <c r="E1548" s="2" t="s">
        <v>11</v>
      </c>
      <c r="F1548" s="2" t="s">
        <v>1959</v>
      </c>
      <c r="G1548" s="2" t="s">
        <v>1960</v>
      </c>
      <c r="H1548" s="2" t="s">
        <v>1961</v>
      </c>
      <c r="I1548" s="2" t="s">
        <v>1962</v>
      </c>
    </row>
    <row r="1549" spans="1:9" ht="14.5" x14ac:dyDescent="0.35">
      <c r="A1549" s="2">
        <v>2534157</v>
      </c>
      <c r="B1549" s="2" t="str">
        <f>"3328110501850010"</f>
        <v>3328110501850010</v>
      </c>
      <c r="C1549" s="2" t="s">
        <v>2034</v>
      </c>
      <c r="D1549" s="2" t="s">
        <v>17</v>
      </c>
      <c r="E1549" s="2" t="s">
        <v>11</v>
      </c>
      <c r="F1549" s="2" t="s">
        <v>18</v>
      </c>
      <c r="G1549" s="2" t="s">
        <v>19</v>
      </c>
      <c r="H1549" s="2" t="s">
        <v>1720</v>
      </c>
      <c r="I1549" s="2" t="s">
        <v>789</v>
      </c>
    </row>
    <row r="1550" spans="1:9" ht="14.5" x14ac:dyDescent="0.35">
      <c r="A1550" s="2">
        <v>2138772</v>
      </c>
      <c r="B1550" s="2" t="str">
        <f>"3329035006930009"</f>
        <v>3329035006930009</v>
      </c>
      <c r="C1550" s="2" t="s">
        <v>1997</v>
      </c>
      <c r="D1550" s="2" t="s">
        <v>10</v>
      </c>
      <c r="E1550" s="2" t="s">
        <v>11</v>
      </c>
      <c r="F1550" s="2" t="s">
        <v>18</v>
      </c>
      <c r="G1550" s="2" t="s">
        <v>19</v>
      </c>
      <c r="H1550" s="2" t="s">
        <v>1720</v>
      </c>
      <c r="I1550" s="2" t="s">
        <v>1723</v>
      </c>
    </row>
    <row r="1551" spans="1:9" ht="14.5" x14ac:dyDescent="0.35">
      <c r="A1551" s="2">
        <v>1653441</v>
      </c>
      <c r="B1551" s="2" t="str">
        <f>"3329035006930009"</f>
        <v>3329035006930009</v>
      </c>
      <c r="C1551" s="2" t="s">
        <v>1997</v>
      </c>
      <c r="D1551" s="2" t="s">
        <v>17</v>
      </c>
      <c r="E1551" s="2" t="s">
        <v>11</v>
      </c>
      <c r="F1551" s="2" t="s">
        <v>18</v>
      </c>
      <c r="G1551" s="2" t="s">
        <v>264</v>
      </c>
      <c r="H1551" s="2" t="s">
        <v>461</v>
      </c>
      <c r="I1551" s="2" t="s">
        <v>461</v>
      </c>
    </row>
    <row r="1552" spans="1:9" ht="14.5" x14ac:dyDescent="0.35">
      <c r="A1552" s="2">
        <v>424483</v>
      </c>
      <c r="B1552" s="2" t="str">
        <f>"3329040409930004"</f>
        <v>3329040409930004</v>
      </c>
      <c r="C1552" s="2" t="s">
        <v>2035</v>
      </c>
      <c r="D1552" s="2" t="s">
        <v>10</v>
      </c>
      <c r="E1552" s="2" t="s">
        <v>11</v>
      </c>
      <c r="F1552" s="2" t="s">
        <v>18</v>
      </c>
      <c r="G1552" s="2" t="s">
        <v>264</v>
      </c>
      <c r="H1552" s="2" t="s">
        <v>396</v>
      </c>
      <c r="I1552" s="2" t="s">
        <v>2036</v>
      </c>
    </row>
    <row r="1553" spans="1:9" ht="14.5" x14ac:dyDescent="0.35">
      <c r="A1553" s="2">
        <v>2535568</v>
      </c>
      <c r="B1553" s="2" t="str">
        <f>"3329040409930004"</f>
        <v>3329040409930004</v>
      </c>
      <c r="C1553" s="2" t="s">
        <v>2037</v>
      </c>
      <c r="D1553" s="2" t="s">
        <v>17</v>
      </c>
      <c r="E1553" s="2" t="s">
        <v>11</v>
      </c>
      <c r="F1553" s="2" t="s">
        <v>18</v>
      </c>
      <c r="G1553" s="2" t="s">
        <v>19</v>
      </c>
      <c r="H1553" s="2" t="s">
        <v>1720</v>
      </c>
      <c r="I1553" s="2" t="s">
        <v>1737</v>
      </c>
    </row>
    <row r="1554" spans="1:9" ht="14.5" x14ac:dyDescent="0.35">
      <c r="A1554" s="2">
        <v>1549380</v>
      </c>
      <c r="B1554" s="2" t="str">
        <f>"3329040605970003"</f>
        <v>3329040605970003</v>
      </c>
      <c r="C1554" s="2" t="s">
        <v>2038</v>
      </c>
      <c r="D1554" s="2" t="s">
        <v>10</v>
      </c>
      <c r="E1554" s="2" t="s">
        <v>11</v>
      </c>
      <c r="F1554" s="2" t="s">
        <v>18</v>
      </c>
      <c r="G1554" s="2" t="s">
        <v>19</v>
      </c>
      <c r="H1554" s="2" t="s">
        <v>1720</v>
      </c>
      <c r="I1554" s="2" t="s">
        <v>1771</v>
      </c>
    </row>
    <row r="1555" spans="1:9" ht="14.5" x14ac:dyDescent="0.35">
      <c r="A1555" s="2">
        <v>1674237</v>
      </c>
      <c r="B1555" s="2" t="str">
        <f>"3329040605970003"</f>
        <v>3329040605970003</v>
      </c>
      <c r="C1555" s="2" t="s">
        <v>2038</v>
      </c>
      <c r="D1555" s="2" t="s">
        <v>17</v>
      </c>
      <c r="E1555" s="2" t="s">
        <v>11</v>
      </c>
      <c r="F1555" s="2" t="s">
        <v>18</v>
      </c>
      <c r="G1555" s="2" t="s">
        <v>264</v>
      </c>
      <c r="H1555" s="2" t="s">
        <v>396</v>
      </c>
      <c r="I1555" s="2" t="s">
        <v>2039</v>
      </c>
    </row>
    <row r="1556" spans="1:9" ht="14.5" x14ac:dyDescent="0.35">
      <c r="A1556" s="2">
        <v>1549381</v>
      </c>
      <c r="B1556" s="2" t="str">
        <f>"3329044908920001"</f>
        <v>3329044908920001</v>
      </c>
      <c r="C1556" s="2" t="s">
        <v>2040</v>
      </c>
      <c r="D1556" s="2" t="s">
        <v>10</v>
      </c>
      <c r="E1556" s="2" t="s">
        <v>11</v>
      </c>
      <c r="F1556" s="2" t="s">
        <v>18</v>
      </c>
      <c r="G1556" s="2" t="s">
        <v>19</v>
      </c>
      <c r="H1556" s="2" t="s">
        <v>1720</v>
      </c>
      <c r="I1556" s="2" t="s">
        <v>1771</v>
      </c>
    </row>
    <row r="1557" spans="1:9" ht="14.5" x14ac:dyDescent="0.35">
      <c r="A1557" s="2">
        <v>1674323</v>
      </c>
      <c r="B1557" s="2" t="str">
        <f>"3329044908920001"</f>
        <v>3329044908920001</v>
      </c>
      <c r="C1557" s="2" t="s">
        <v>2040</v>
      </c>
      <c r="D1557" s="2" t="s">
        <v>17</v>
      </c>
      <c r="E1557" s="2" t="s">
        <v>11</v>
      </c>
      <c r="F1557" s="2" t="s">
        <v>18</v>
      </c>
      <c r="G1557" s="2" t="s">
        <v>264</v>
      </c>
      <c r="H1557" s="2" t="s">
        <v>396</v>
      </c>
      <c r="I1557" s="2" t="s">
        <v>2039</v>
      </c>
    </row>
    <row r="1558" spans="1:9" ht="14.5" x14ac:dyDescent="0.35">
      <c r="A1558" s="2">
        <v>1365861</v>
      </c>
      <c r="B1558" s="2" t="str">
        <f>"3329070106880004"</f>
        <v>3329070106880004</v>
      </c>
      <c r="C1558" s="2" t="s">
        <v>2041</v>
      </c>
      <c r="D1558" s="2" t="s">
        <v>10</v>
      </c>
      <c r="E1558" s="2" t="s">
        <v>11</v>
      </c>
      <c r="F1558" s="2" t="s">
        <v>18</v>
      </c>
      <c r="G1558" s="2" t="s">
        <v>19</v>
      </c>
      <c r="H1558" s="2" t="s">
        <v>1720</v>
      </c>
      <c r="I1558" s="2" t="s">
        <v>1740</v>
      </c>
    </row>
    <row r="1559" spans="1:9" ht="14.5" x14ac:dyDescent="0.35">
      <c r="A1559" s="2">
        <v>1690410</v>
      </c>
      <c r="B1559" s="2" t="str">
        <f>"3329070106880004"</f>
        <v>3329070106880004</v>
      </c>
      <c r="C1559" s="2" t="s">
        <v>2042</v>
      </c>
      <c r="D1559" s="2" t="s">
        <v>17</v>
      </c>
      <c r="E1559" s="2" t="s">
        <v>11</v>
      </c>
      <c r="F1559" s="2" t="s">
        <v>18</v>
      </c>
      <c r="G1559" s="2" t="s">
        <v>264</v>
      </c>
      <c r="H1559" s="2" t="s">
        <v>265</v>
      </c>
      <c r="I1559" s="2" t="s">
        <v>266</v>
      </c>
    </row>
    <row r="1560" spans="1:9" ht="14.5" x14ac:dyDescent="0.35">
      <c r="A1560" s="2">
        <v>1378739</v>
      </c>
      <c r="B1560" s="2" t="str">
        <f>"3329070111850002"</f>
        <v>3329070111850002</v>
      </c>
      <c r="C1560" s="2" t="s">
        <v>1892</v>
      </c>
      <c r="D1560" s="2" t="s">
        <v>10</v>
      </c>
      <c r="E1560" s="2" t="s">
        <v>11</v>
      </c>
      <c r="F1560" s="2" t="s">
        <v>18</v>
      </c>
      <c r="G1560" s="2" t="s">
        <v>264</v>
      </c>
      <c r="H1560" s="2" t="s">
        <v>265</v>
      </c>
      <c r="I1560" s="2" t="s">
        <v>1628</v>
      </c>
    </row>
    <row r="1561" spans="1:9" ht="14.5" x14ac:dyDescent="0.35">
      <c r="A1561" s="2">
        <v>2534377</v>
      </c>
      <c r="B1561" s="2" t="str">
        <f>"3329070111850002"</f>
        <v>3329070111850002</v>
      </c>
      <c r="C1561" s="2" t="s">
        <v>2043</v>
      </c>
      <c r="D1561" s="2" t="s">
        <v>17</v>
      </c>
      <c r="E1561" s="2" t="s">
        <v>11</v>
      </c>
      <c r="F1561" s="2" t="s">
        <v>18</v>
      </c>
      <c r="G1561" s="2" t="s">
        <v>19</v>
      </c>
      <c r="H1561" s="2" t="s">
        <v>1720</v>
      </c>
      <c r="I1561" s="2" t="s">
        <v>1731</v>
      </c>
    </row>
    <row r="1562" spans="1:9" ht="14.5" x14ac:dyDescent="0.35">
      <c r="A1562" s="2">
        <v>2535767</v>
      </c>
      <c r="B1562" s="2" t="str">
        <f>"3329070308880002"</f>
        <v>3329070308880002</v>
      </c>
      <c r="C1562" s="2" t="s">
        <v>2044</v>
      </c>
      <c r="D1562" s="2" t="s">
        <v>17</v>
      </c>
      <c r="E1562" s="2" t="s">
        <v>11</v>
      </c>
      <c r="F1562" s="2" t="s">
        <v>18</v>
      </c>
      <c r="G1562" s="2" t="s">
        <v>19</v>
      </c>
      <c r="H1562" s="2" t="s">
        <v>1720</v>
      </c>
      <c r="I1562" s="2" t="s">
        <v>1777</v>
      </c>
    </row>
    <row r="1563" spans="1:9" ht="14.5" x14ac:dyDescent="0.35">
      <c r="A1563" s="2">
        <v>1692372</v>
      </c>
      <c r="B1563" s="2" t="str">
        <f>"3329070308880002"</f>
        <v>3329070308880002</v>
      </c>
      <c r="C1563" s="2" t="s">
        <v>2044</v>
      </c>
      <c r="D1563" s="2" t="s">
        <v>17</v>
      </c>
      <c r="E1563" s="2" t="s">
        <v>11</v>
      </c>
      <c r="F1563" s="2" t="s">
        <v>18</v>
      </c>
      <c r="G1563" s="2" t="s">
        <v>264</v>
      </c>
      <c r="H1563" s="2" t="s">
        <v>265</v>
      </c>
      <c r="I1563" s="2" t="s">
        <v>1869</v>
      </c>
    </row>
    <row r="1564" spans="1:9" ht="14.5" x14ac:dyDescent="0.35">
      <c r="A1564" s="2">
        <v>2534344</v>
      </c>
      <c r="B1564" s="2" t="str">
        <f>"3329070808870004"</f>
        <v>3329070808870004</v>
      </c>
      <c r="C1564" s="2" t="s">
        <v>2045</v>
      </c>
      <c r="D1564" s="2" t="s">
        <v>17</v>
      </c>
      <c r="E1564" s="2" t="s">
        <v>11</v>
      </c>
      <c r="F1564" s="2" t="s">
        <v>18</v>
      </c>
      <c r="G1564" s="2" t="s">
        <v>19</v>
      </c>
      <c r="H1564" s="2" t="s">
        <v>1720</v>
      </c>
      <c r="I1564" s="2" t="s">
        <v>1774</v>
      </c>
    </row>
    <row r="1565" spans="1:9" ht="14.5" x14ac:dyDescent="0.35">
      <c r="A1565" s="2">
        <v>1315352</v>
      </c>
      <c r="B1565" s="2" t="str">
        <f>"3329070808870004"</f>
        <v>3329070808870004</v>
      </c>
      <c r="C1565" s="2" t="s">
        <v>1386</v>
      </c>
      <c r="D1565" s="2" t="s">
        <v>189</v>
      </c>
      <c r="E1565" s="2" t="s">
        <v>11</v>
      </c>
      <c r="F1565" s="2" t="s">
        <v>18</v>
      </c>
      <c r="G1565" s="2" t="s">
        <v>264</v>
      </c>
      <c r="H1565" s="2" t="s">
        <v>265</v>
      </c>
      <c r="I1565" s="2" t="s">
        <v>1869</v>
      </c>
    </row>
    <row r="1566" spans="1:9" ht="14.5" x14ac:dyDescent="0.35">
      <c r="A1566" s="2">
        <v>1283054</v>
      </c>
      <c r="B1566" s="2" t="str">
        <f>"3329071109840006"</f>
        <v>3329071109840006</v>
      </c>
      <c r="C1566" s="2" t="s">
        <v>2046</v>
      </c>
      <c r="D1566" s="2" t="s">
        <v>10</v>
      </c>
      <c r="E1566" s="2" t="s">
        <v>11</v>
      </c>
      <c r="F1566" s="2" t="s">
        <v>18</v>
      </c>
      <c r="G1566" s="2" t="s">
        <v>264</v>
      </c>
      <c r="H1566" s="2" t="s">
        <v>265</v>
      </c>
      <c r="I1566" s="2" t="s">
        <v>1598</v>
      </c>
    </row>
    <row r="1567" spans="1:9" ht="14.5" x14ac:dyDescent="0.35">
      <c r="A1567" s="2">
        <v>2534409</v>
      </c>
      <c r="B1567" s="2" t="str">
        <f>"3329071109840006"</f>
        <v>3329071109840006</v>
      </c>
      <c r="C1567" s="2" t="s">
        <v>2047</v>
      </c>
      <c r="D1567" s="2" t="s">
        <v>17</v>
      </c>
      <c r="E1567" s="2" t="s">
        <v>11</v>
      </c>
      <c r="F1567" s="2" t="s">
        <v>18</v>
      </c>
      <c r="G1567" s="2" t="s">
        <v>19</v>
      </c>
      <c r="H1567" s="2" t="s">
        <v>1720</v>
      </c>
      <c r="I1567" s="2" t="s">
        <v>1731</v>
      </c>
    </row>
    <row r="1568" spans="1:9" ht="14.5" x14ac:dyDescent="0.35">
      <c r="A1568" s="2">
        <v>1215143</v>
      </c>
      <c r="B1568" s="2" t="str">
        <f>"3329071701920002"</f>
        <v>3329071701920002</v>
      </c>
      <c r="C1568" s="2" t="s">
        <v>2048</v>
      </c>
      <c r="D1568" s="2" t="s">
        <v>10</v>
      </c>
      <c r="E1568" s="2" t="s">
        <v>11</v>
      </c>
      <c r="F1568" s="2" t="s">
        <v>18</v>
      </c>
      <c r="G1568" s="2" t="s">
        <v>264</v>
      </c>
      <c r="H1568" s="2" t="s">
        <v>265</v>
      </c>
      <c r="I1568" s="2" t="s">
        <v>1910</v>
      </c>
    </row>
    <row r="1569" spans="1:9" ht="14.5" x14ac:dyDescent="0.35">
      <c r="A1569" s="2">
        <v>2535791</v>
      </c>
      <c r="B1569" s="2" t="str">
        <f>"3329071701920002"</f>
        <v>3329071701920002</v>
      </c>
      <c r="C1569" s="2" t="s">
        <v>2048</v>
      </c>
      <c r="D1569" s="2" t="s">
        <v>17</v>
      </c>
      <c r="E1569" s="2" t="s">
        <v>11</v>
      </c>
      <c r="F1569" s="2" t="s">
        <v>18</v>
      </c>
      <c r="G1569" s="2" t="s">
        <v>19</v>
      </c>
      <c r="H1569" s="2" t="s">
        <v>1720</v>
      </c>
      <c r="I1569" s="2" t="s">
        <v>1777</v>
      </c>
    </row>
    <row r="1570" spans="1:9" ht="14.5" x14ac:dyDescent="0.35">
      <c r="A1570" s="2">
        <v>1345335</v>
      </c>
      <c r="B1570" s="2" t="str">
        <f>"3329072001680001"</f>
        <v>3329072001680001</v>
      </c>
      <c r="C1570" s="2" t="s">
        <v>2049</v>
      </c>
      <c r="D1570" s="2" t="s">
        <v>10</v>
      </c>
      <c r="E1570" s="2" t="s">
        <v>11</v>
      </c>
      <c r="F1570" s="2" t="s">
        <v>18</v>
      </c>
      <c r="G1570" s="2" t="s">
        <v>264</v>
      </c>
      <c r="H1570" s="2" t="s">
        <v>265</v>
      </c>
      <c r="I1570" s="2" t="s">
        <v>2007</v>
      </c>
    </row>
    <row r="1571" spans="1:9" ht="14.5" x14ac:dyDescent="0.35">
      <c r="A1571" s="2">
        <v>2534230</v>
      </c>
      <c r="B1571" s="2" t="str">
        <f>"3329072001680001"</f>
        <v>3329072001680001</v>
      </c>
      <c r="C1571" s="2" t="s">
        <v>2050</v>
      </c>
      <c r="D1571" s="2" t="s">
        <v>17</v>
      </c>
      <c r="E1571" s="2" t="s">
        <v>11</v>
      </c>
      <c r="F1571" s="2" t="s">
        <v>18</v>
      </c>
      <c r="G1571" s="2" t="s">
        <v>19</v>
      </c>
      <c r="H1571" s="2" t="s">
        <v>1720</v>
      </c>
      <c r="I1571" s="2" t="s">
        <v>789</v>
      </c>
    </row>
    <row r="1572" spans="1:9" ht="14.5" x14ac:dyDescent="0.35">
      <c r="A1572" s="2">
        <v>1340454</v>
      </c>
      <c r="B1572" s="2" t="str">
        <f>"3329072102990002"</f>
        <v>3329072102990002</v>
      </c>
      <c r="C1572" s="2" t="s">
        <v>2051</v>
      </c>
      <c r="D1572" s="2" t="s">
        <v>10</v>
      </c>
      <c r="E1572" s="2" t="s">
        <v>11</v>
      </c>
      <c r="F1572" s="2" t="s">
        <v>18</v>
      </c>
      <c r="G1572" s="2" t="s">
        <v>264</v>
      </c>
      <c r="H1572" s="2" t="s">
        <v>265</v>
      </c>
      <c r="I1572" s="2" t="s">
        <v>2007</v>
      </c>
    </row>
    <row r="1573" spans="1:9" ht="14.5" x14ac:dyDescent="0.35">
      <c r="A1573" s="2">
        <v>2535730</v>
      </c>
      <c r="B1573" s="2" t="str">
        <f>"3329072102990002"</f>
        <v>3329072102990002</v>
      </c>
      <c r="C1573" s="2" t="s">
        <v>2051</v>
      </c>
      <c r="D1573" s="2" t="s">
        <v>17</v>
      </c>
      <c r="E1573" s="2" t="s">
        <v>11</v>
      </c>
      <c r="F1573" s="2" t="s">
        <v>18</v>
      </c>
      <c r="G1573" s="2" t="s">
        <v>19</v>
      </c>
      <c r="H1573" s="2" t="s">
        <v>1720</v>
      </c>
      <c r="I1573" s="2" t="s">
        <v>1771</v>
      </c>
    </row>
    <row r="1574" spans="1:9" ht="14.5" x14ac:dyDescent="0.35">
      <c r="A1574" s="2">
        <v>1363611</v>
      </c>
      <c r="B1574" s="2" t="str">
        <f>"3329072403900002"</f>
        <v>3329072403900002</v>
      </c>
      <c r="C1574" s="2" t="s">
        <v>2052</v>
      </c>
      <c r="D1574" s="2" t="s">
        <v>10</v>
      </c>
      <c r="E1574" s="2" t="s">
        <v>11</v>
      </c>
      <c r="F1574" s="2" t="s">
        <v>18</v>
      </c>
      <c r="G1574" s="2" t="s">
        <v>19</v>
      </c>
      <c r="H1574" s="2" t="s">
        <v>1720</v>
      </c>
      <c r="I1574" s="2" t="s">
        <v>1740</v>
      </c>
    </row>
    <row r="1575" spans="1:9" ht="14.5" x14ac:dyDescent="0.35">
      <c r="A1575" s="2">
        <v>1687274</v>
      </c>
      <c r="B1575" s="2" t="str">
        <f>"3329072403900002"</f>
        <v>3329072403900002</v>
      </c>
      <c r="C1575" s="2" t="s">
        <v>2052</v>
      </c>
      <c r="D1575" s="2" t="s">
        <v>17</v>
      </c>
      <c r="E1575" s="2" t="s">
        <v>11</v>
      </c>
      <c r="F1575" s="2" t="s">
        <v>18</v>
      </c>
      <c r="G1575" s="2" t="s">
        <v>264</v>
      </c>
      <c r="H1575" s="2" t="s">
        <v>265</v>
      </c>
      <c r="I1575" s="2" t="s">
        <v>2053</v>
      </c>
    </row>
    <row r="1576" spans="1:9" ht="14.5" x14ac:dyDescent="0.35">
      <c r="A1576" s="2">
        <v>1349828</v>
      </c>
      <c r="B1576" s="2" t="str">
        <f>"3329072506860003"</f>
        <v>3329072506860003</v>
      </c>
      <c r="C1576" s="2" t="s">
        <v>2054</v>
      </c>
      <c r="D1576" s="2" t="s">
        <v>10</v>
      </c>
      <c r="E1576" s="2" t="s">
        <v>11</v>
      </c>
      <c r="F1576" s="2" t="s">
        <v>18</v>
      </c>
      <c r="G1576" s="2" t="s">
        <v>19</v>
      </c>
      <c r="H1576" s="2" t="s">
        <v>1720</v>
      </c>
      <c r="I1576" s="2" t="s">
        <v>1381</v>
      </c>
    </row>
    <row r="1577" spans="1:9" ht="14.5" x14ac:dyDescent="0.35">
      <c r="A1577" s="2">
        <v>1694846</v>
      </c>
      <c r="B1577" s="2" t="str">
        <f>"3329072506860003"</f>
        <v>3329072506860003</v>
      </c>
      <c r="C1577" s="2" t="s">
        <v>2055</v>
      </c>
      <c r="D1577" s="2" t="s">
        <v>17</v>
      </c>
      <c r="E1577" s="2" t="s">
        <v>11</v>
      </c>
      <c r="F1577" s="2" t="s">
        <v>18</v>
      </c>
      <c r="G1577" s="2" t="s">
        <v>264</v>
      </c>
      <c r="H1577" s="2" t="s">
        <v>265</v>
      </c>
      <c r="I1577" s="2" t="s">
        <v>1598</v>
      </c>
    </row>
    <row r="1578" spans="1:9" ht="14.5" x14ac:dyDescent="0.35">
      <c r="A1578" s="2">
        <v>1342280</v>
      </c>
      <c r="B1578" s="2" t="str">
        <f>"3329074210860001"</f>
        <v>3329074210860001</v>
      </c>
      <c r="C1578" s="2" t="s">
        <v>2056</v>
      </c>
      <c r="D1578" s="2" t="s">
        <v>10</v>
      </c>
      <c r="E1578" s="2" t="s">
        <v>11</v>
      </c>
      <c r="F1578" s="2" t="s">
        <v>18</v>
      </c>
      <c r="G1578" s="2" t="s">
        <v>264</v>
      </c>
      <c r="H1578" s="2" t="s">
        <v>265</v>
      </c>
      <c r="I1578" s="2" t="s">
        <v>2007</v>
      </c>
    </row>
    <row r="1579" spans="1:9" ht="14.5" x14ac:dyDescent="0.35">
      <c r="A1579" s="2">
        <v>2535493</v>
      </c>
      <c r="B1579" s="2" t="str">
        <f>"3329074210860001"</f>
        <v>3329074210860001</v>
      </c>
      <c r="C1579" s="2" t="s">
        <v>2056</v>
      </c>
      <c r="D1579" s="2" t="s">
        <v>17</v>
      </c>
      <c r="E1579" s="2" t="s">
        <v>11</v>
      </c>
      <c r="F1579" s="2" t="s">
        <v>18</v>
      </c>
      <c r="G1579" s="2" t="s">
        <v>19</v>
      </c>
      <c r="H1579" s="2" t="s">
        <v>1720</v>
      </c>
      <c r="I1579" s="2" t="s">
        <v>1737</v>
      </c>
    </row>
    <row r="1580" spans="1:9" ht="14.5" x14ac:dyDescent="0.35">
      <c r="A1580" s="2">
        <v>2535771</v>
      </c>
      <c r="B1580" s="2" t="str">
        <f>"3329074610650001"</f>
        <v>3329074610650001</v>
      </c>
      <c r="C1580" s="2" t="s">
        <v>2057</v>
      </c>
      <c r="D1580" s="2" t="s">
        <v>17</v>
      </c>
      <c r="E1580" s="2" t="s">
        <v>11</v>
      </c>
      <c r="F1580" s="2" t="s">
        <v>18</v>
      </c>
      <c r="G1580" s="2" t="s">
        <v>19</v>
      </c>
      <c r="H1580" s="2" t="s">
        <v>1720</v>
      </c>
      <c r="I1580" s="2" t="s">
        <v>1777</v>
      </c>
    </row>
    <row r="1581" spans="1:9" ht="14.5" x14ac:dyDescent="0.35">
      <c r="A1581" s="2">
        <v>1692374</v>
      </c>
      <c r="B1581" s="2" t="str">
        <f>"3329074610650001"</f>
        <v>3329074610650001</v>
      </c>
      <c r="C1581" s="2" t="s">
        <v>2057</v>
      </c>
      <c r="D1581" s="2" t="s">
        <v>17</v>
      </c>
      <c r="E1581" s="2" t="s">
        <v>11</v>
      </c>
      <c r="F1581" s="2" t="s">
        <v>18</v>
      </c>
      <c r="G1581" s="2" t="s">
        <v>264</v>
      </c>
      <c r="H1581" s="2" t="s">
        <v>265</v>
      </c>
      <c r="I1581" s="2" t="s">
        <v>1869</v>
      </c>
    </row>
    <row r="1582" spans="1:9" ht="14.5" x14ac:dyDescent="0.35">
      <c r="A1582" s="2">
        <v>1324765</v>
      </c>
      <c r="B1582" s="2" t="str">
        <f>"3329076403940001"</f>
        <v>3329076403940001</v>
      </c>
      <c r="C1582" s="2" t="s">
        <v>2058</v>
      </c>
      <c r="D1582" s="2" t="s">
        <v>10</v>
      </c>
      <c r="E1582" s="2" t="s">
        <v>11</v>
      </c>
      <c r="F1582" s="2" t="s">
        <v>18</v>
      </c>
      <c r="G1582" s="2" t="s">
        <v>264</v>
      </c>
      <c r="H1582" s="2" t="s">
        <v>265</v>
      </c>
      <c r="I1582" s="2" t="s">
        <v>1878</v>
      </c>
    </row>
    <row r="1583" spans="1:9" ht="14.5" x14ac:dyDescent="0.35">
      <c r="A1583" s="2">
        <v>2534888</v>
      </c>
      <c r="B1583" s="2" t="str">
        <f>"3329076403940001"</f>
        <v>3329076403940001</v>
      </c>
      <c r="C1583" s="2" t="s">
        <v>2058</v>
      </c>
      <c r="D1583" s="2" t="s">
        <v>17</v>
      </c>
      <c r="E1583" s="2" t="s">
        <v>11</v>
      </c>
      <c r="F1583" s="2" t="s">
        <v>18</v>
      </c>
      <c r="G1583" s="2" t="s">
        <v>19</v>
      </c>
      <c r="H1583" s="2" t="s">
        <v>1720</v>
      </c>
      <c r="I1583" s="2" t="s">
        <v>1740</v>
      </c>
    </row>
    <row r="1584" spans="1:9" ht="14.5" x14ac:dyDescent="0.35">
      <c r="A1584" s="2">
        <v>1343028</v>
      </c>
      <c r="B1584" s="2" t="str">
        <f>"3329076408960002"</f>
        <v>3329076408960002</v>
      </c>
      <c r="C1584" s="2" t="s">
        <v>2059</v>
      </c>
      <c r="D1584" s="2" t="s">
        <v>10</v>
      </c>
      <c r="E1584" s="2" t="s">
        <v>11</v>
      </c>
      <c r="F1584" s="2" t="s">
        <v>18</v>
      </c>
      <c r="G1584" s="2" t="s">
        <v>264</v>
      </c>
      <c r="H1584" s="2" t="s">
        <v>265</v>
      </c>
      <c r="I1584" s="2" t="s">
        <v>2007</v>
      </c>
    </row>
    <row r="1585" spans="1:9" ht="14.5" x14ac:dyDescent="0.35">
      <c r="A1585" s="2">
        <v>2535598</v>
      </c>
      <c r="B1585" s="2" t="str">
        <f>"3329076408960002"</f>
        <v>3329076408960002</v>
      </c>
      <c r="C1585" s="2" t="s">
        <v>2059</v>
      </c>
      <c r="D1585" s="2" t="s">
        <v>17</v>
      </c>
      <c r="E1585" s="2" t="s">
        <v>11</v>
      </c>
      <c r="F1585" s="2" t="s">
        <v>18</v>
      </c>
      <c r="G1585" s="2" t="s">
        <v>19</v>
      </c>
      <c r="H1585" s="2" t="s">
        <v>1720</v>
      </c>
      <c r="I1585" s="2" t="s">
        <v>1857</v>
      </c>
    </row>
    <row r="1586" spans="1:9" ht="14.5" x14ac:dyDescent="0.35">
      <c r="A1586" s="2">
        <v>2130874</v>
      </c>
      <c r="B1586" s="2" t="str">
        <f>"3329076507950001"</f>
        <v>3329076507950001</v>
      </c>
      <c r="C1586" s="2" t="s">
        <v>2060</v>
      </c>
      <c r="D1586" s="2" t="s">
        <v>10</v>
      </c>
      <c r="E1586" s="2" t="s">
        <v>11</v>
      </c>
      <c r="F1586" s="2" t="s">
        <v>18</v>
      </c>
      <c r="G1586" s="2" t="s">
        <v>19</v>
      </c>
      <c r="H1586" s="2" t="s">
        <v>1720</v>
      </c>
      <c r="I1586" s="2" t="s">
        <v>1727</v>
      </c>
    </row>
    <row r="1587" spans="1:9" ht="14.5" x14ac:dyDescent="0.35">
      <c r="A1587" s="2">
        <v>1682591</v>
      </c>
      <c r="B1587" s="2" t="str">
        <f>"3329076507950001"</f>
        <v>3329076507950001</v>
      </c>
      <c r="C1587" s="2" t="s">
        <v>2061</v>
      </c>
      <c r="D1587" s="2" t="s">
        <v>17</v>
      </c>
      <c r="E1587" s="2" t="s">
        <v>11</v>
      </c>
      <c r="F1587" s="2" t="s">
        <v>18</v>
      </c>
      <c r="G1587" s="2" t="s">
        <v>264</v>
      </c>
      <c r="H1587" s="2" t="s">
        <v>265</v>
      </c>
      <c r="I1587" s="2" t="s">
        <v>1878</v>
      </c>
    </row>
    <row r="1588" spans="1:9" ht="14.5" x14ac:dyDescent="0.35">
      <c r="A1588" s="2">
        <v>1229709</v>
      </c>
      <c r="B1588" s="2" t="str">
        <f>"3329076703860008"</f>
        <v>3329076703860008</v>
      </c>
      <c r="C1588" s="2" t="s">
        <v>2062</v>
      </c>
      <c r="D1588" s="2" t="s">
        <v>10</v>
      </c>
      <c r="E1588" s="2" t="s">
        <v>11</v>
      </c>
      <c r="F1588" s="2" t="s">
        <v>18</v>
      </c>
      <c r="G1588" s="2" t="s">
        <v>264</v>
      </c>
      <c r="H1588" s="2" t="s">
        <v>265</v>
      </c>
      <c r="I1588" s="2" t="s">
        <v>982</v>
      </c>
    </row>
    <row r="1589" spans="1:9" ht="14.5" x14ac:dyDescent="0.35">
      <c r="A1589" s="2">
        <v>2535828</v>
      </c>
      <c r="B1589" s="2" t="str">
        <f>"3329076703860008"</f>
        <v>3329076703860008</v>
      </c>
      <c r="C1589" s="2" t="s">
        <v>2063</v>
      </c>
      <c r="D1589" s="2" t="s">
        <v>17</v>
      </c>
      <c r="E1589" s="2" t="s">
        <v>11</v>
      </c>
      <c r="F1589" s="2" t="s">
        <v>18</v>
      </c>
      <c r="G1589" s="2" t="s">
        <v>19</v>
      </c>
      <c r="H1589" s="2" t="s">
        <v>1720</v>
      </c>
      <c r="I1589" s="2" t="s">
        <v>1777</v>
      </c>
    </row>
    <row r="1590" spans="1:9" ht="14.5" x14ac:dyDescent="0.35">
      <c r="A1590" s="2">
        <v>735050</v>
      </c>
      <c r="B1590" s="2" t="str">
        <f>"3329076803960005"</f>
        <v>3329076803960005</v>
      </c>
      <c r="C1590" s="2" t="s">
        <v>2064</v>
      </c>
      <c r="D1590" s="2" t="s">
        <v>10</v>
      </c>
      <c r="E1590" s="2" t="s">
        <v>11</v>
      </c>
      <c r="F1590" s="2" t="s">
        <v>18</v>
      </c>
      <c r="G1590" s="2" t="s">
        <v>264</v>
      </c>
      <c r="H1590" s="2" t="s">
        <v>248</v>
      </c>
      <c r="I1590" s="2" t="s">
        <v>1915</v>
      </c>
    </row>
    <row r="1591" spans="1:9" ht="14.5" x14ac:dyDescent="0.35">
      <c r="A1591" s="2">
        <v>2534748</v>
      </c>
      <c r="B1591" s="2" t="str">
        <f>"3329076803960005"</f>
        <v>3329076803960005</v>
      </c>
      <c r="C1591" s="2" t="s">
        <v>2064</v>
      </c>
      <c r="D1591" s="2" t="s">
        <v>17</v>
      </c>
      <c r="E1591" s="2" t="s">
        <v>11</v>
      </c>
      <c r="F1591" s="2" t="s">
        <v>18</v>
      </c>
      <c r="G1591" s="2" t="s">
        <v>19</v>
      </c>
      <c r="H1591" s="2" t="s">
        <v>1720</v>
      </c>
      <c r="I1591" s="2" t="s">
        <v>1740</v>
      </c>
    </row>
    <row r="1592" spans="1:9" ht="14.5" x14ac:dyDescent="0.35">
      <c r="A1592" s="2">
        <v>1074730</v>
      </c>
      <c r="B1592" s="2" t="str">
        <f>"3329082812860003"</f>
        <v>3329082812860003</v>
      </c>
      <c r="C1592" s="2" t="s">
        <v>2065</v>
      </c>
      <c r="D1592" s="2" t="s">
        <v>10</v>
      </c>
      <c r="E1592" s="2" t="s">
        <v>11</v>
      </c>
      <c r="F1592" s="2" t="s">
        <v>18</v>
      </c>
      <c r="G1592" s="2" t="s">
        <v>264</v>
      </c>
      <c r="H1592" s="2" t="s">
        <v>248</v>
      </c>
      <c r="I1592" s="2" t="s">
        <v>2066</v>
      </c>
    </row>
    <row r="1593" spans="1:9" ht="14.5" x14ac:dyDescent="0.35">
      <c r="A1593" s="2">
        <v>2535834</v>
      </c>
      <c r="B1593" s="2" t="str">
        <f>"3329082812860003"</f>
        <v>3329082812860003</v>
      </c>
      <c r="C1593" s="2" t="s">
        <v>2065</v>
      </c>
      <c r="D1593" s="2" t="s">
        <v>17</v>
      </c>
      <c r="E1593" s="2" t="s">
        <v>11</v>
      </c>
      <c r="F1593" s="2" t="s">
        <v>18</v>
      </c>
      <c r="G1593" s="2" t="s">
        <v>19</v>
      </c>
      <c r="H1593" s="2" t="s">
        <v>1720</v>
      </c>
      <c r="I1593" s="2" t="s">
        <v>1777</v>
      </c>
    </row>
    <row r="1594" spans="1:9" ht="14.5" x14ac:dyDescent="0.35">
      <c r="A1594" s="2">
        <v>1021123</v>
      </c>
      <c r="B1594" s="2" t="str">
        <f>"3329084107610117"</f>
        <v>3329084107610117</v>
      </c>
      <c r="C1594" s="2" t="s">
        <v>2067</v>
      </c>
      <c r="D1594" s="2" t="s">
        <v>189</v>
      </c>
      <c r="E1594" s="2" t="s">
        <v>11</v>
      </c>
      <c r="F1594" s="2" t="s">
        <v>18</v>
      </c>
      <c r="G1594" s="2" t="s">
        <v>264</v>
      </c>
      <c r="H1594" s="2" t="s">
        <v>248</v>
      </c>
      <c r="I1594" s="2" t="s">
        <v>2068</v>
      </c>
    </row>
    <row r="1595" spans="1:9" ht="14.5" x14ac:dyDescent="0.35">
      <c r="A1595" s="2">
        <v>2535616</v>
      </c>
      <c r="B1595" s="2" t="str">
        <f>"3329084107610117"</f>
        <v>3329084107610117</v>
      </c>
      <c r="C1595" s="2" t="s">
        <v>2067</v>
      </c>
      <c r="D1595" s="2" t="s">
        <v>17</v>
      </c>
      <c r="E1595" s="2" t="s">
        <v>11</v>
      </c>
      <c r="F1595" s="2" t="s">
        <v>18</v>
      </c>
      <c r="G1595" s="2" t="s">
        <v>19</v>
      </c>
      <c r="H1595" s="2" t="s">
        <v>1720</v>
      </c>
      <c r="I1595" s="2" t="s">
        <v>1857</v>
      </c>
    </row>
    <row r="1596" spans="1:9" ht="14.5" x14ac:dyDescent="0.35">
      <c r="A1596" s="2">
        <v>1352465</v>
      </c>
      <c r="B1596" s="2" t="str">
        <f>"3329090608920007"</f>
        <v>3329090608920007</v>
      </c>
      <c r="C1596" s="2" t="s">
        <v>2069</v>
      </c>
      <c r="D1596" s="2" t="s">
        <v>10</v>
      </c>
      <c r="E1596" s="2" t="s">
        <v>11</v>
      </c>
      <c r="F1596" s="2" t="s">
        <v>18</v>
      </c>
      <c r="G1596" s="2" t="s">
        <v>19</v>
      </c>
      <c r="H1596" s="2" t="s">
        <v>1720</v>
      </c>
      <c r="I1596" s="2" t="s">
        <v>789</v>
      </c>
    </row>
    <row r="1597" spans="1:9" ht="14.5" x14ac:dyDescent="0.35">
      <c r="A1597" s="2">
        <v>1610235</v>
      </c>
      <c r="B1597" s="2" t="str">
        <f>"3329090608920007"</f>
        <v>3329090608920007</v>
      </c>
      <c r="C1597" s="2" t="s">
        <v>2069</v>
      </c>
      <c r="D1597" s="2" t="s">
        <v>17</v>
      </c>
      <c r="E1597" s="2" t="s">
        <v>11</v>
      </c>
      <c r="F1597" s="2" t="s">
        <v>18</v>
      </c>
      <c r="G1597" s="2" t="s">
        <v>264</v>
      </c>
      <c r="H1597" s="2" t="s">
        <v>264</v>
      </c>
      <c r="I1597" s="2" t="s">
        <v>2004</v>
      </c>
    </row>
    <row r="1598" spans="1:9" ht="14.5" x14ac:dyDescent="0.35">
      <c r="A1598" s="2">
        <v>1116520</v>
      </c>
      <c r="B1598" s="2" t="str">
        <f>"3329092302900003"</f>
        <v>3329092302900003</v>
      </c>
      <c r="C1598" s="2" t="s">
        <v>2070</v>
      </c>
      <c r="D1598" s="2" t="s">
        <v>10</v>
      </c>
      <c r="E1598" s="2" t="s">
        <v>11</v>
      </c>
      <c r="F1598" s="2" t="s">
        <v>18</v>
      </c>
      <c r="G1598" s="2" t="s">
        <v>264</v>
      </c>
      <c r="H1598" s="2" t="s">
        <v>264</v>
      </c>
      <c r="I1598" s="2" t="s">
        <v>2071</v>
      </c>
    </row>
    <row r="1599" spans="1:9" ht="14.5" x14ac:dyDescent="0.35">
      <c r="A1599" s="2">
        <v>2535796</v>
      </c>
      <c r="B1599" s="2" t="str">
        <f>"3329092302900003"</f>
        <v>3329092302900003</v>
      </c>
      <c r="C1599" s="2" t="s">
        <v>2072</v>
      </c>
      <c r="D1599" s="2" t="s">
        <v>17</v>
      </c>
      <c r="E1599" s="2" t="s">
        <v>11</v>
      </c>
      <c r="F1599" s="2" t="s">
        <v>18</v>
      </c>
      <c r="G1599" s="2" t="s">
        <v>19</v>
      </c>
      <c r="H1599" s="2" t="s">
        <v>1720</v>
      </c>
      <c r="I1599" s="2" t="s">
        <v>1777</v>
      </c>
    </row>
    <row r="1600" spans="1:9" ht="14.5" x14ac:dyDescent="0.35">
      <c r="A1600" s="2">
        <v>957337</v>
      </c>
      <c r="B1600" s="2" t="str">
        <f>"3329095405850003"</f>
        <v>3329095405850003</v>
      </c>
      <c r="C1600" s="2" t="s">
        <v>2073</v>
      </c>
      <c r="D1600" s="2" t="s">
        <v>10</v>
      </c>
      <c r="E1600" s="2" t="s">
        <v>11</v>
      </c>
      <c r="F1600" s="2" t="s">
        <v>18</v>
      </c>
      <c r="G1600" s="2" t="s">
        <v>264</v>
      </c>
      <c r="H1600" s="2" t="s">
        <v>264</v>
      </c>
      <c r="I1600" s="2" t="s">
        <v>2074</v>
      </c>
    </row>
    <row r="1601" spans="1:9" ht="14.5" x14ac:dyDescent="0.35">
      <c r="A1601" s="2">
        <v>2534893</v>
      </c>
      <c r="B1601" s="2" t="str">
        <f>"3329095405850003"</f>
        <v>3329095405850003</v>
      </c>
      <c r="C1601" s="2" t="s">
        <v>2073</v>
      </c>
      <c r="D1601" s="2" t="s">
        <v>17</v>
      </c>
      <c r="E1601" s="2" t="s">
        <v>11</v>
      </c>
      <c r="F1601" s="2" t="s">
        <v>18</v>
      </c>
      <c r="G1601" s="2" t="s">
        <v>19</v>
      </c>
      <c r="H1601" s="2" t="s">
        <v>1720</v>
      </c>
      <c r="I1601" s="2" t="s">
        <v>1740</v>
      </c>
    </row>
    <row r="1602" spans="1:9" ht="14.5" x14ac:dyDescent="0.35">
      <c r="A1602" s="2">
        <v>1437478</v>
      </c>
      <c r="B1602" s="2" t="str">
        <f>"3329100303960003"</f>
        <v>3329100303960003</v>
      </c>
      <c r="C1602" s="2" t="s">
        <v>2075</v>
      </c>
      <c r="D1602" s="2" t="s">
        <v>10</v>
      </c>
      <c r="E1602" s="2" t="s">
        <v>11</v>
      </c>
      <c r="F1602" s="2" t="s">
        <v>18</v>
      </c>
      <c r="G1602" s="2" t="s">
        <v>264</v>
      </c>
      <c r="H1602" s="2" t="s">
        <v>273</v>
      </c>
      <c r="I1602" s="2" t="s">
        <v>1156</v>
      </c>
    </row>
    <row r="1603" spans="1:9" ht="14.5" x14ac:dyDescent="0.35">
      <c r="A1603" s="2">
        <v>2535509</v>
      </c>
      <c r="B1603" s="2" t="str">
        <f>"3329100303960003"</f>
        <v>3329100303960003</v>
      </c>
      <c r="C1603" s="2" t="s">
        <v>2076</v>
      </c>
      <c r="D1603" s="2" t="s">
        <v>17</v>
      </c>
      <c r="E1603" s="2" t="s">
        <v>11</v>
      </c>
      <c r="F1603" s="2" t="s">
        <v>18</v>
      </c>
      <c r="G1603" s="2" t="s">
        <v>19</v>
      </c>
      <c r="H1603" s="2" t="s">
        <v>1720</v>
      </c>
      <c r="I1603" s="2" t="s">
        <v>1737</v>
      </c>
    </row>
    <row r="1604" spans="1:9" ht="14.5" x14ac:dyDescent="0.35">
      <c r="A1604" s="2">
        <v>2141090</v>
      </c>
      <c r="B1604" s="2" t="str">
        <f>"3329100710930002"</f>
        <v>3329100710930002</v>
      </c>
      <c r="C1604" s="2" t="s">
        <v>2077</v>
      </c>
      <c r="D1604" s="2" t="s">
        <v>10</v>
      </c>
      <c r="E1604" s="2" t="s">
        <v>11</v>
      </c>
      <c r="F1604" s="2" t="s">
        <v>18</v>
      </c>
      <c r="G1604" s="2" t="s">
        <v>19</v>
      </c>
      <c r="H1604" s="2" t="s">
        <v>1720</v>
      </c>
      <c r="I1604" s="2" t="s">
        <v>1737</v>
      </c>
    </row>
    <row r="1605" spans="1:9" ht="14.5" x14ac:dyDescent="0.35">
      <c r="A1605" s="2">
        <v>1691690</v>
      </c>
      <c r="B1605" s="2" t="str">
        <f>"3329100710930002"</f>
        <v>3329100710930002</v>
      </c>
      <c r="C1605" s="2" t="s">
        <v>2078</v>
      </c>
      <c r="D1605" s="2" t="s">
        <v>17</v>
      </c>
      <c r="E1605" s="2" t="s">
        <v>11</v>
      </c>
      <c r="F1605" s="2" t="s">
        <v>18</v>
      </c>
      <c r="G1605" s="2" t="s">
        <v>264</v>
      </c>
      <c r="H1605" s="2" t="s">
        <v>273</v>
      </c>
      <c r="I1605" s="2" t="s">
        <v>273</v>
      </c>
    </row>
    <row r="1606" spans="1:9" ht="14.5" x14ac:dyDescent="0.35">
      <c r="A1606" s="2">
        <v>1468068</v>
      </c>
      <c r="B1606" s="2" t="str">
        <f>"3329101301980005"</f>
        <v>3329101301980005</v>
      </c>
      <c r="C1606" s="2" t="s">
        <v>2079</v>
      </c>
      <c r="D1606" s="2" t="s">
        <v>10</v>
      </c>
      <c r="E1606" s="2" t="s">
        <v>11</v>
      </c>
      <c r="F1606" s="2" t="s">
        <v>18</v>
      </c>
      <c r="G1606" s="2" t="s">
        <v>264</v>
      </c>
      <c r="H1606" s="2" t="s">
        <v>273</v>
      </c>
      <c r="I1606" s="2" t="s">
        <v>2080</v>
      </c>
    </row>
    <row r="1607" spans="1:9" ht="14.5" x14ac:dyDescent="0.35">
      <c r="A1607" s="2">
        <v>2535735</v>
      </c>
      <c r="B1607" s="2" t="str">
        <f>"3329101301980005"</f>
        <v>3329101301980005</v>
      </c>
      <c r="C1607" s="2" t="s">
        <v>2079</v>
      </c>
      <c r="D1607" s="2" t="s">
        <v>17</v>
      </c>
      <c r="E1607" s="2" t="s">
        <v>11</v>
      </c>
      <c r="F1607" s="2" t="s">
        <v>18</v>
      </c>
      <c r="G1607" s="2" t="s">
        <v>19</v>
      </c>
      <c r="H1607" s="2" t="s">
        <v>1720</v>
      </c>
      <c r="I1607" s="2" t="s">
        <v>1771</v>
      </c>
    </row>
    <row r="1608" spans="1:9" ht="14.5" x14ac:dyDescent="0.35">
      <c r="A1608" s="2">
        <v>2535370</v>
      </c>
      <c r="B1608" s="2" t="str">
        <f>"3329102607000001"</f>
        <v>3329102607000001</v>
      </c>
      <c r="C1608" s="2" t="s">
        <v>2081</v>
      </c>
      <c r="D1608" s="2" t="s">
        <v>17</v>
      </c>
      <c r="E1608" s="2" t="s">
        <v>11</v>
      </c>
      <c r="F1608" s="2" t="s">
        <v>18</v>
      </c>
      <c r="G1608" s="2" t="s">
        <v>19</v>
      </c>
      <c r="H1608" s="2" t="s">
        <v>1720</v>
      </c>
      <c r="I1608" s="2" t="s">
        <v>1737</v>
      </c>
    </row>
    <row r="1609" spans="1:9" ht="14.5" x14ac:dyDescent="0.35">
      <c r="A1609" s="2">
        <v>1456508</v>
      </c>
      <c r="B1609" s="2" t="str">
        <f>"3329102607000001"</f>
        <v>3329102607000001</v>
      </c>
      <c r="C1609" s="2" t="s">
        <v>2082</v>
      </c>
      <c r="D1609" s="2" t="s">
        <v>189</v>
      </c>
      <c r="E1609" s="2" t="s">
        <v>11</v>
      </c>
      <c r="F1609" s="2" t="s">
        <v>18</v>
      </c>
      <c r="G1609" s="2" t="s">
        <v>264</v>
      </c>
      <c r="H1609" s="2" t="s">
        <v>273</v>
      </c>
      <c r="I1609" s="2" t="s">
        <v>2083</v>
      </c>
    </row>
    <row r="1610" spans="1:9" ht="14.5" x14ac:dyDescent="0.35">
      <c r="A1610" s="2">
        <v>1443926</v>
      </c>
      <c r="B1610" s="2" t="str">
        <f>"3329102705860004"</f>
        <v>3329102705860004</v>
      </c>
      <c r="C1610" s="2" t="s">
        <v>2084</v>
      </c>
      <c r="D1610" s="2" t="s">
        <v>10</v>
      </c>
      <c r="E1610" s="2" t="s">
        <v>11</v>
      </c>
      <c r="F1610" s="2" t="s">
        <v>18</v>
      </c>
      <c r="G1610" s="2" t="s">
        <v>264</v>
      </c>
      <c r="H1610" s="2" t="s">
        <v>273</v>
      </c>
      <c r="I1610" s="2" t="s">
        <v>875</v>
      </c>
    </row>
    <row r="1611" spans="1:9" ht="14.5" x14ac:dyDescent="0.35">
      <c r="A1611" s="2">
        <v>2535389</v>
      </c>
      <c r="B1611" s="2" t="str">
        <f>"3329102705860004"</f>
        <v>3329102705860004</v>
      </c>
      <c r="C1611" s="2" t="s">
        <v>2084</v>
      </c>
      <c r="D1611" s="2" t="s">
        <v>17</v>
      </c>
      <c r="E1611" s="2" t="s">
        <v>11</v>
      </c>
      <c r="F1611" s="2" t="s">
        <v>18</v>
      </c>
      <c r="G1611" s="2" t="s">
        <v>19</v>
      </c>
      <c r="H1611" s="2" t="s">
        <v>1720</v>
      </c>
      <c r="I1611" s="2" t="s">
        <v>1737</v>
      </c>
    </row>
    <row r="1612" spans="1:9" ht="14.5" x14ac:dyDescent="0.35">
      <c r="A1612" s="2">
        <v>1473729</v>
      </c>
      <c r="B1612" s="2" t="str">
        <f>"3329102706000005"</f>
        <v>3329102706000005</v>
      </c>
      <c r="C1612" s="2" t="s">
        <v>2085</v>
      </c>
      <c r="D1612" s="2" t="s">
        <v>10</v>
      </c>
      <c r="E1612" s="2" t="s">
        <v>11</v>
      </c>
      <c r="F1612" s="2" t="s">
        <v>18</v>
      </c>
      <c r="G1612" s="2" t="s">
        <v>264</v>
      </c>
      <c r="H1612" s="2" t="s">
        <v>273</v>
      </c>
      <c r="I1612" s="2" t="s">
        <v>1156</v>
      </c>
    </row>
    <row r="1613" spans="1:9" ht="14.5" x14ac:dyDescent="0.35">
      <c r="A1613" s="2">
        <v>2534508</v>
      </c>
      <c r="B1613" s="2" t="str">
        <f>"3329102706000005"</f>
        <v>3329102706000005</v>
      </c>
      <c r="C1613" s="2" t="s">
        <v>2085</v>
      </c>
      <c r="D1613" s="2" t="s">
        <v>17</v>
      </c>
      <c r="E1613" s="2" t="s">
        <v>11</v>
      </c>
      <c r="F1613" s="2" t="s">
        <v>18</v>
      </c>
      <c r="G1613" s="2" t="s">
        <v>19</v>
      </c>
      <c r="H1613" s="2" t="s">
        <v>1720</v>
      </c>
      <c r="I1613" s="2" t="s">
        <v>1727</v>
      </c>
    </row>
    <row r="1614" spans="1:9" ht="14.5" x14ac:dyDescent="0.35">
      <c r="A1614" s="2">
        <v>731920</v>
      </c>
      <c r="B1614" s="2" t="str">
        <f>"3329135210740002"</f>
        <v>3329135210740002</v>
      </c>
      <c r="C1614" s="2" t="s">
        <v>2086</v>
      </c>
      <c r="D1614" s="2" t="s">
        <v>10</v>
      </c>
      <c r="E1614" s="2" t="s">
        <v>11</v>
      </c>
      <c r="F1614" s="2" t="s">
        <v>18</v>
      </c>
      <c r="G1614" s="2" t="s">
        <v>264</v>
      </c>
      <c r="H1614" s="2" t="s">
        <v>773</v>
      </c>
      <c r="I1614" s="2" t="s">
        <v>2087</v>
      </c>
    </row>
    <row r="1615" spans="1:9" ht="14.5" x14ac:dyDescent="0.35">
      <c r="A1615" s="2">
        <v>2534740</v>
      </c>
      <c r="B1615" s="2" t="str">
        <f>"3329135210740002"</f>
        <v>3329135210740002</v>
      </c>
      <c r="C1615" s="2" t="s">
        <v>2086</v>
      </c>
      <c r="D1615" s="2" t="s">
        <v>17</v>
      </c>
      <c r="E1615" s="2" t="s">
        <v>11</v>
      </c>
      <c r="F1615" s="2" t="s">
        <v>18</v>
      </c>
      <c r="G1615" s="2" t="s">
        <v>19</v>
      </c>
      <c r="H1615" s="2" t="s">
        <v>1720</v>
      </c>
      <c r="I1615" s="2" t="s">
        <v>1740</v>
      </c>
    </row>
    <row r="1616" spans="1:9" ht="14.5" x14ac:dyDescent="0.35">
      <c r="A1616" s="2">
        <v>1615625</v>
      </c>
      <c r="B1616" s="2" t="str">
        <f>"3329135806040007"</f>
        <v>3329135806040007</v>
      </c>
      <c r="C1616" s="2" t="s">
        <v>2088</v>
      </c>
      <c r="D1616" s="2" t="s">
        <v>10</v>
      </c>
      <c r="E1616" s="2" t="s">
        <v>11</v>
      </c>
      <c r="F1616" s="2" t="s">
        <v>18</v>
      </c>
      <c r="G1616" s="2" t="s">
        <v>19</v>
      </c>
      <c r="H1616" s="2" t="s">
        <v>1720</v>
      </c>
      <c r="I1616" s="2" t="s">
        <v>1721</v>
      </c>
    </row>
    <row r="1617" spans="1:9" ht="14.5" x14ac:dyDescent="0.35">
      <c r="A1617" s="2">
        <v>1615837</v>
      </c>
      <c r="B1617" s="2" t="str">
        <f>"3329135806040007"</f>
        <v>3329135806040007</v>
      </c>
      <c r="C1617" s="2" t="s">
        <v>2089</v>
      </c>
      <c r="D1617" s="2" t="s">
        <v>17</v>
      </c>
      <c r="E1617" s="2" t="s">
        <v>11</v>
      </c>
      <c r="F1617" s="2" t="s">
        <v>18</v>
      </c>
      <c r="G1617" s="2" t="s">
        <v>264</v>
      </c>
      <c r="H1617" s="2" t="s">
        <v>773</v>
      </c>
      <c r="I1617" s="2" t="s">
        <v>2087</v>
      </c>
    </row>
    <row r="1618" spans="1:9" ht="14.5" x14ac:dyDescent="0.35">
      <c r="A1618" s="2">
        <v>1548973</v>
      </c>
      <c r="B1618" s="2" t="str">
        <f>"3329142004820022"</f>
        <v>3329142004820022</v>
      </c>
      <c r="C1618" s="2" t="s">
        <v>2090</v>
      </c>
      <c r="D1618" s="2" t="s">
        <v>10</v>
      </c>
      <c r="E1618" s="2" t="s">
        <v>11</v>
      </c>
      <c r="F1618" s="2" t="s">
        <v>18</v>
      </c>
      <c r="G1618" s="2" t="s">
        <v>19</v>
      </c>
      <c r="H1618" s="2" t="s">
        <v>1720</v>
      </c>
      <c r="I1618" s="2" t="s">
        <v>1771</v>
      </c>
    </row>
    <row r="1619" spans="1:9" ht="14.5" x14ac:dyDescent="0.35">
      <c r="A1619" s="2">
        <v>1635885</v>
      </c>
      <c r="B1619" s="2" t="str">
        <f>"3329142004820022"</f>
        <v>3329142004820022</v>
      </c>
      <c r="C1619" s="2" t="s">
        <v>2090</v>
      </c>
      <c r="D1619" s="2" t="s">
        <v>17</v>
      </c>
      <c r="E1619" s="2" t="s">
        <v>11</v>
      </c>
      <c r="F1619" s="2" t="s">
        <v>18</v>
      </c>
      <c r="G1619" s="2" t="s">
        <v>264</v>
      </c>
      <c r="H1619" s="2" t="s">
        <v>477</v>
      </c>
      <c r="I1619" s="2" t="s">
        <v>2091</v>
      </c>
    </row>
    <row r="1620" spans="1:9" ht="14.5" x14ac:dyDescent="0.35">
      <c r="A1620" s="2">
        <v>720217</v>
      </c>
      <c r="B1620" s="2" t="str">
        <f>"3329151201970005"</f>
        <v>3329151201970005</v>
      </c>
      <c r="C1620" s="2" t="s">
        <v>2092</v>
      </c>
      <c r="D1620" s="2" t="s">
        <v>10</v>
      </c>
      <c r="E1620" s="2" t="s">
        <v>11</v>
      </c>
      <c r="F1620" s="2" t="s">
        <v>18</v>
      </c>
      <c r="G1620" s="2" t="s">
        <v>264</v>
      </c>
      <c r="H1620" s="2" t="s">
        <v>330</v>
      </c>
      <c r="I1620" s="2" t="s">
        <v>2093</v>
      </c>
    </row>
    <row r="1621" spans="1:9" ht="14.5" x14ac:dyDescent="0.35">
      <c r="A1621" s="2">
        <v>2534789</v>
      </c>
      <c r="B1621" s="2" t="str">
        <f>"3329151201970005"</f>
        <v>3329151201970005</v>
      </c>
      <c r="C1621" s="2" t="s">
        <v>2092</v>
      </c>
      <c r="D1621" s="2" t="s">
        <v>17</v>
      </c>
      <c r="E1621" s="2" t="s">
        <v>11</v>
      </c>
      <c r="F1621" s="2" t="s">
        <v>18</v>
      </c>
      <c r="G1621" s="2" t="s">
        <v>19</v>
      </c>
      <c r="H1621" s="2" t="s">
        <v>1720</v>
      </c>
      <c r="I1621" s="2" t="s">
        <v>1740</v>
      </c>
    </row>
    <row r="1622" spans="1:9" ht="14.5" x14ac:dyDescent="0.35">
      <c r="A1622" s="2">
        <v>1542198</v>
      </c>
      <c r="B1622" s="2" t="str">
        <f>"3329152712940004"</f>
        <v>3329152712940004</v>
      </c>
      <c r="C1622" s="2" t="s">
        <v>2094</v>
      </c>
      <c r="D1622" s="2" t="s">
        <v>10</v>
      </c>
      <c r="E1622" s="2" t="s">
        <v>11</v>
      </c>
      <c r="F1622" s="2" t="s">
        <v>18</v>
      </c>
      <c r="G1622" s="2" t="s">
        <v>264</v>
      </c>
      <c r="H1622" s="2" t="s">
        <v>330</v>
      </c>
      <c r="I1622" s="2" t="s">
        <v>2095</v>
      </c>
    </row>
    <row r="1623" spans="1:9" ht="14.5" x14ac:dyDescent="0.35">
      <c r="A1623" s="2">
        <v>2534919</v>
      </c>
      <c r="B1623" s="2" t="str">
        <f>"3329152712940004"</f>
        <v>3329152712940004</v>
      </c>
      <c r="C1623" s="2" t="s">
        <v>2094</v>
      </c>
      <c r="D1623" s="2" t="s">
        <v>10</v>
      </c>
      <c r="E1623" s="2" t="s">
        <v>11</v>
      </c>
      <c r="F1623" s="2" t="s">
        <v>18</v>
      </c>
      <c r="G1623" s="2" t="s">
        <v>19</v>
      </c>
      <c r="H1623" s="2" t="s">
        <v>1720</v>
      </c>
      <c r="I1623" s="2" t="s">
        <v>1721</v>
      </c>
    </row>
    <row r="1624" spans="1:9" ht="14.5" x14ac:dyDescent="0.35">
      <c r="A1624" s="2">
        <v>1547797</v>
      </c>
      <c r="B1624" s="2" t="str">
        <f>"3329160105920013"</f>
        <v>3329160105920013</v>
      </c>
      <c r="C1624" s="2" t="s">
        <v>2096</v>
      </c>
      <c r="D1624" s="2" t="s">
        <v>10</v>
      </c>
      <c r="E1624" s="2" t="s">
        <v>11</v>
      </c>
      <c r="F1624" s="2" t="s">
        <v>18</v>
      </c>
      <c r="G1624" s="2" t="s">
        <v>19</v>
      </c>
      <c r="H1624" s="2" t="s">
        <v>1720</v>
      </c>
      <c r="I1624" s="2" t="s">
        <v>1771</v>
      </c>
    </row>
    <row r="1625" spans="1:9" ht="14.5" x14ac:dyDescent="0.35">
      <c r="A1625" s="2">
        <v>1650105</v>
      </c>
      <c r="B1625" s="2" t="str">
        <f>"3329160105920013"</f>
        <v>3329160105920013</v>
      </c>
      <c r="C1625" s="2" t="s">
        <v>2096</v>
      </c>
      <c r="D1625" s="2" t="s">
        <v>17</v>
      </c>
      <c r="E1625" s="2" t="s">
        <v>11</v>
      </c>
      <c r="F1625" s="2" t="s">
        <v>18</v>
      </c>
      <c r="G1625" s="2" t="s">
        <v>264</v>
      </c>
      <c r="H1625" s="2" t="s">
        <v>344</v>
      </c>
      <c r="I1625" s="2" t="s">
        <v>1968</v>
      </c>
    </row>
    <row r="1626" spans="1:9" ht="14.5" x14ac:dyDescent="0.35">
      <c r="A1626" s="2">
        <v>798341</v>
      </c>
      <c r="B1626" s="2" t="str">
        <f>"3329162104970006"</f>
        <v>3329162104970006</v>
      </c>
      <c r="C1626" s="2" t="s">
        <v>2097</v>
      </c>
      <c r="D1626" s="2" t="s">
        <v>10</v>
      </c>
      <c r="E1626" s="2" t="s">
        <v>11</v>
      </c>
      <c r="F1626" s="2" t="s">
        <v>18</v>
      </c>
      <c r="G1626" s="2" t="s">
        <v>264</v>
      </c>
      <c r="H1626" s="2" t="s">
        <v>344</v>
      </c>
      <c r="I1626" s="2" t="s">
        <v>939</v>
      </c>
    </row>
    <row r="1627" spans="1:9" ht="14.5" x14ac:dyDescent="0.35">
      <c r="A1627" s="2">
        <v>2535218</v>
      </c>
      <c r="B1627" s="2" t="str">
        <f>"3329162104970006"</f>
        <v>3329162104970006</v>
      </c>
      <c r="C1627" s="2" t="s">
        <v>2097</v>
      </c>
      <c r="D1627" s="2" t="s">
        <v>17</v>
      </c>
      <c r="E1627" s="2" t="s">
        <v>11</v>
      </c>
      <c r="F1627" s="2" t="s">
        <v>18</v>
      </c>
      <c r="G1627" s="2" t="s">
        <v>19</v>
      </c>
      <c r="H1627" s="2" t="s">
        <v>1720</v>
      </c>
      <c r="I1627" s="2" t="s">
        <v>1381</v>
      </c>
    </row>
    <row r="1628" spans="1:9" ht="14.5" x14ac:dyDescent="0.35">
      <c r="A1628" s="2">
        <v>1088142</v>
      </c>
      <c r="B1628" s="2" t="str">
        <f>"3329176404930002"</f>
        <v>3329176404930002</v>
      </c>
      <c r="C1628" s="2" t="s">
        <v>2098</v>
      </c>
      <c r="D1628" s="2" t="s">
        <v>10</v>
      </c>
      <c r="E1628" s="2" t="s">
        <v>11</v>
      </c>
      <c r="F1628" s="2" t="s">
        <v>18</v>
      </c>
      <c r="G1628" s="2" t="s">
        <v>264</v>
      </c>
      <c r="H1628" s="2" t="s">
        <v>881</v>
      </c>
      <c r="I1628" s="2" t="s">
        <v>1656</v>
      </c>
    </row>
    <row r="1629" spans="1:9" ht="14.5" x14ac:dyDescent="0.35">
      <c r="A1629" s="2">
        <v>2535693</v>
      </c>
      <c r="B1629" s="2" t="str">
        <f>"3329176404930002"</f>
        <v>3329176404930002</v>
      </c>
      <c r="C1629" s="2" t="s">
        <v>2098</v>
      </c>
      <c r="D1629" s="2" t="s">
        <v>17</v>
      </c>
      <c r="E1629" s="2" t="s">
        <v>11</v>
      </c>
      <c r="F1629" s="2" t="s">
        <v>18</v>
      </c>
      <c r="G1629" s="2" t="s">
        <v>19</v>
      </c>
      <c r="H1629" s="2" t="s">
        <v>1720</v>
      </c>
      <c r="I1629" s="2" t="s">
        <v>1771</v>
      </c>
    </row>
    <row r="1630" spans="1:9" ht="14.5" x14ac:dyDescent="0.35">
      <c r="A1630" s="2">
        <v>371051</v>
      </c>
      <c r="B1630" s="2" t="str">
        <f>"3376022805830001"</f>
        <v>3376022805830001</v>
      </c>
      <c r="C1630" s="2" t="s">
        <v>2099</v>
      </c>
      <c r="D1630" s="2" t="s">
        <v>10</v>
      </c>
      <c r="E1630" s="2" t="s">
        <v>11</v>
      </c>
      <c r="F1630" s="2" t="s">
        <v>18</v>
      </c>
      <c r="G1630" s="2" t="s">
        <v>268</v>
      </c>
      <c r="H1630" s="2" t="s">
        <v>269</v>
      </c>
      <c r="I1630" s="2" t="s">
        <v>996</v>
      </c>
    </row>
    <row r="1631" spans="1:9" ht="14.5" x14ac:dyDescent="0.35">
      <c r="A1631" s="2">
        <v>2534646</v>
      </c>
      <c r="B1631" s="2" t="str">
        <f>"3376022805830001"</f>
        <v>3376022805830001</v>
      </c>
      <c r="C1631" s="2" t="s">
        <v>2099</v>
      </c>
      <c r="D1631" s="2" t="s">
        <v>17</v>
      </c>
      <c r="E1631" s="2" t="s">
        <v>11</v>
      </c>
      <c r="F1631" s="2" t="s">
        <v>18</v>
      </c>
      <c r="G1631" s="2" t="s">
        <v>19</v>
      </c>
      <c r="H1631" s="2" t="s">
        <v>1720</v>
      </c>
      <c r="I1631" s="2" t="s">
        <v>1723</v>
      </c>
    </row>
    <row r="1632" spans="1:9" ht="14.5" x14ac:dyDescent="0.35">
      <c r="A1632" s="2">
        <v>420229</v>
      </c>
      <c r="B1632" s="2" t="str">
        <f>"3376042109930002"</f>
        <v>3376042109930002</v>
      </c>
      <c r="C1632" s="2" t="s">
        <v>2100</v>
      </c>
      <c r="D1632" s="2" t="s">
        <v>189</v>
      </c>
      <c r="E1632" s="2" t="s">
        <v>11</v>
      </c>
      <c r="F1632" s="2" t="s">
        <v>18</v>
      </c>
      <c r="G1632" s="2" t="s">
        <v>268</v>
      </c>
      <c r="H1632" s="2" t="s">
        <v>448</v>
      </c>
      <c r="I1632" s="2" t="s">
        <v>888</v>
      </c>
    </row>
    <row r="1633" spans="1:9" ht="14.5" x14ac:dyDescent="0.35">
      <c r="A1633" s="2">
        <v>2534894</v>
      </c>
      <c r="B1633" s="2" t="str">
        <f>"3376042109930002"</f>
        <v>3376042109930002</v>
      </c>
      <c r="C1633" s="2" t="s">
        <v>2100</v>
      </c>
      <c r="D1633" s="2" t="s">
        <v>17</v>
      </c>
      <c r="E1633" s="2" t="s">
        <v>11</v>
      </c>
      <c r="F1633" s="2" t="s">
        <v>18</v>
      </c>
      <c r="G1633" s="2" t="s">
        <v>19</v>
      </c>
      <c r="H1633" s="2" t="s">
        <v>1720</v>
      </c>
      <c r="I1633" s="2" t="s">
        <v>1740</v>
      </c>
    </row>
    <row r="1634" spans="1:9" ht="14.5" x14ac:dyDescent="0.35">
      <c r="A1634" s="2">
        <v>378885</v>
      </c>
      <c r="B1634" s="2" t="str">
        <f>"3376047003840002"</f>
        <v>3376047003840002</v>
      </c>
      <c r="C1634" s="2" t="s">
        <v>1935</v>
      </c>
      <c r="D1634" s="2" t="s">
        <v>10</v>
      </c>
      <c r="E1634" s="2" t="s">
        <v>11</v>
      </c>
      <c r="F1634" s="2" t="s">
        <v>18</v>
      </c>
      <c r="G1634" s="2" t="s">
        <v>268</v>
      </c>
      <c r="H1634" s="2" t="s">
        <v>448</v>
      </c>
      <c r="I1634" s="2" t="s">
        <v>2101</v>
      </c>
    </row>
    <row r="1635" spans="1:9" ht="14.5" x14ac:dyDescent="0.35">
      <c r="A1635" s="2">
        <v>2535657</v>
      </c>
      <c r="B1635" s="2" t="str">
        <f>"3376047003840002"</f>
        <v>3376047003840002</v>
      </c>
      <c r="C1635" s="2" t="s">
        <v>2102</v>
      </c>
      <c r="D1635" s="2" t="s">
        <v>17</v>
      </c>
      <c r="E1635" s="2" t="s">
        <v>11</v>
      </c>
      <c r="F1635" s="2" t="s">
        <v>18</v>
      </c>
      <c r="G1635" s="2" t="s">
        <v>19</v>
      </c>
      <c r="H1635" s="2" t="s">
        <v>1720</v>
      </c>
      <c r="I1635" s="2" t="s">
        <v>1771</v>
      </c>
    </row>
    <row r="1636" spans="1:9" ht="14.5" x14ac:dyDescent="0.35">
      <c r="A1636" s="2">
        <v>2132012</v>
      </c>
      <c r="B1636" s="2" t="str">
        <f>"3522024110900009"</f>
        <v>3522024110900009</v>
      </c>
      <c r="C1636" s="2" t="s">
        <v>2103</v>
      </c>
      <c r="D1636" s="2" t="s">
        <v>17</v>
      </c>
      <c r="E1636" s="2" t="s">
        <v>11</v>
      </c>
      <c r="F1636" s="2" t="s">
        <v>303</v>
      </c>
      <c r="G1636" s="2" t="s">
        <v>1808</v>
      </c>
      <c r="H1636" s="2" t="s">
        <v>2104</v>
      </c>
      <c r="I1636" s="2" t="s">
        <v>773</v>
      </c>
    </row>
    <row r="1637" spans="1:9" ht="14.5" x14ac:dyDescent="0.35">
      <c r="A1637" s="2">
        <v>1348370</v>
      </c>
      <c r="B1637" s="2" t="str">
        <f>"3522024110900009"</f>
        <v>3522024110900009</v>
      </c>
      <c r="C1637" s="2" t="s">
        <v>2105</v>
      </c>
      <c r="D1637" s="2" t="s">
        <v>189</v>
      </c>
      <c r="E1637" s="2" t="s">
        <v>11</v>
      </c>
      <c r="F1637" s="2" t="s">
        <v>18</v>
      </c>
      <c r="G1637" s="2" t="s">
        <v>19</v>
      </c>
      <c r="H1637" s="2" t="s">
        <v>1720</v>
      </c>
      <c r="I1637" s="2" t="s">
        <v>1381</v>
      </c>
    </row>
    <row r="1638" spans="1:9" ht="14.5" x14ac:dyDescent="0.35">
      <c r="A1638" s="2">
        <v>1611925</v>
      </c>
      <c r="B1638" s="2" t="str">
        <f>"3522205204000002"</f>
        <v>3522205204000002</v>
      </c>
      <c r="C1638" s="2" t="s">
        <v>2106</v>
      </c>
      <c r="D1638" s="2" t="s">
        <v>10</v>
      </c>
      <c r="E1638" s="2" t="s">
        <v>11</v>
      </c>
      <c r="F1638" s="2" t="s">
        <v>18</v>
      </c>
      <c r="G1638" s="2" t="s">
        <v>19</v>
      </c>
      <c r="H1638" s="2" t="s">
        <v>1720</v>
      </c>
      <c r="I1638" s="2" t="s">
        <v>1721</v>
      </c>
    </row>
    <row r="1639" spans="1:9" ht="14.5" x14ac:dyDescent="0.35">
      <c r="A1639" s="2">
        <v>2150231</v>
      </c>
      <c r="B1639" s="2" t="str">
        <f>"3522205204000002"</f>
        <v>3522205204000002</v>
      </c>
      <c r="C1639" s="2" t="s">
        <v>2106</v>
      </c>
      <c r="D1639" s="2" t="s">
        <v>17</v>
      </c>
      <c r="E1639" s="2" t="s">
        <v>11</v>
      </c>
      <c r="F1639" s="2" t="s">
        <v>303</v>
      </c>
      <c r="G1639" s="2" t="s">
        <v>1808</v>
      </c>
      <c r="H1639" s="2" t="s">
        <v>2107</v>
      </c>
      <c r="I1639" s="2" t="s">
        <v>2108</v>
      </c>
    </row>
    <row r="1640" spans="1:9" ht="14.5" x14ac:dyDescent="0.35">
      <c r="A1640" s="2">
        <v>1087477</v>
      </c>
      <c r="B1640" s="2" t="str">
        <f>"3602234704970001"</f>
        <v>3602234704970001</v>
      </c>
      <c r="C1640" s="2" t="s">
        <v>2109</v>
      </c>
      <c r="D1640" s="2" t="s">
        <v>10</v>
      </c>
      <c r="E1640" s="2" t="s">
        <v>11</v>
      </c>
      <c r="F1640" s="2" t="s">
        <v>67</v>
      </c>
      <c r="G1640" s="2" t="s">
        <v>638</v>
      </c>
      <c r="H1640" s="2" t="s">
        <v>2110</v>
      </c>
      <c r="I1640" s="2" t="s">
        <v>2111</v>
      </c>
    </row>
    <row r="1641" spans="1:9" ht="14.5" x14ac:dyDescent="0.35">
      <c r="A1641" s="2">
        <v>2534795</v>
      </c>
      <c r="B1641" s="2" t="str">
        <f>"3602234704970001"</f>
        <v>3602234704970001</v>
      </c>
      <c r="C1641" s="2" t="s">
        <v>2112</v>
      </c>
      <c r="D1641" s="2" t="s">
        <v>17</v>
      </c>
      <c r="E1641" s="2" t="s">
        <v>11</v>
      </c>
      <c r="F1641" s="2" t="s">
        <v>18</v>
      </c>
      <c r="G1641" s="2" t="s">
        <v>19</v>
      </c>
      <c r="H1641" s="2" t="s">
        <v>1720</v>
      </c>
      <c r="I1641" s="2" t="s">
        <v>1740</v>
      </c>
    </row>
    <row r="1642" spans="1:9" ht="14.5" x14ac:dyDescent="0.35">
      <c r="A1642" s="2">
        <v>2304124</v>
      </c>
      <c r="B1642" s="2" t="str">
        <f>"3604180404940003"</f>
        <v>3604180404940003</v>
      </c>
      <c r="C1642" s="2" t="s">
        <v>2113</v>
      </c>
      <c r="D1642" s="2" t="s">
        <v>10</v>
      </c>
      <c r="E1642" s="2" t="s">
        <v>11</v>
      </c>
      <c r="F1642" s="2" t="s">
        <v>67</v>
      </c>
      <c r="G1642" s="2" t="s">
        <v>375</v>
      </c>
      <c r="H1642" s="2" t="s">
        <v>2114</v>
      </c>
      <c r="I1642" s="2" t="s">
        <v>417</v>
      </c>
    </row>
    <row r="1643" spans="1:9" ht="14.5" x14ac:dyDescent="0.35">
      <c r="A1643" s="2">
        <v>2534917</v>
      </c>
      <c r="B1643" s="2" t="str">
        <f>"3604180404940003"</f>
        <v>3604180404940003</v>
      </c>
      <c r="C1643" s="2" t="s">
        <v>2113</v>
      </c>
      <c r="D1643" s="2" t="s">
        <v>10</v>
      </c>
      <c r="E1643" s="2" t="s">
        <v>11</v>
      </c>
      <c r="F1643" s="2" t="s">
        <v>18</v>
      </c>
      <c r="G1643" s="2" t="s">
        <v>19</v>
      </c>
      <c r="H1643" s="2" t="s">
        <v>1720</v>
      </c>
      <c r="I1643" s="2" t="s">
        <v>1721</v>
      </c>
    </row>
    <row r="1644" spans="1:9" ht="14.5" x14ac:dyDescent="0.35">
      <c r="A1644" s="2">
        <v>2312528</v>
      </c>
      <c r="B1644" s="2" t="str">
        <f>"3671131011780010"</f>
        <v>3671131011780010</v>
      </c>
      <c r="C1644" s="2" t="s">
        <v>2115</v>
      </c>
      <c r="D1644" s="2" t="s">
        <v>10</v>
      </c>
      <c r="E1644" s="2" t="s">
        <v>11</v>
      </c>
      <c r="F1644" s="2" t="s">
        <v>67</v>
      </c>
      <c r="G1644" s="2" t="s">
        <v>512</v>
      </c>
      <c r="H1644" s="2" t="s">
        <v>330</v>
      </c>
      <c r="I1644" s="2" t="s">
        <v>1797</v>
      </c>
    </row>
    <row r="1645" spans="1:9" ht="14.5" x14ac:dyDescent="0.35">
      <c r="A1645" s="2">
        <v>2534802</v>
      </c>
      <c r="B1645" s="2" t="str">
        <f>"3671131011780010"</f>
        <v>3671131011780010</v>
      </c>
      <c r="C1645" s="2" t="s">
        <v>2115</v>
      </c>
      <c r="D1645" s="2" t="s">
        <v>17</v>
      </c>
      <c r="E1645" s="2" t="s">
        <v>11</v>
      </c>
      <c r="F1645" s="2" t="s">
        <v>18</v>
      </c>
      <c r="G1645" s="2" t="s">
        <v>19</v>
      </c>
      <c r="H1645" s="2" t="s">
        <v>1720</v>
      </c>
      <c r="I1645" s="2" t="s">
        <v>1740</v>
      </c>
    </row>
    <row r="1646" spans="1:9" ht="14.5" x14ac:dyDescent="0.35">
      <c r="A1646" s="2">
        <v>1415852</v>
      </c>
      <c r="B1646" s="2" t="str">
        <f>"3674040101830007"</f>
        <v>3674040101830007</v>
      </c>
      <c r="C1646" s="2" t="s">
        <v>2116</v>
      </c>
      <c r="D1646" s="2" t="s">
        <v>10</v>
      </c>
      <c r="E1646" s="2" t="s">
        <v>11</v>
      </c>
      <c r="F1646" s="2" t="s">
        <v>67</v>
      </c>
      <c r="G1646" s="2" t="s">
        <v>68</v>
      </c>
      <c r="H1646" s="2" t="s">
        <v>69</v>
      </c>
      <c r="I1646" s="2" t="s">
        <v>2117</v>
      </c>
    </row>
    <row r="1647" spans="1:9" ht="14.5" x14ac:dyDescent="0.35">
      <c r="A1647" s="2">
        <v>2534685</v>
      </c>
      <c r="B1647" s="2" t="str">
        <f>"3674040101830007"</f>
        <v>3674040101830007</v>
      </c>
      <c r="C1647" s="2" t="s">
        <v>2118</v>
      </c>
      <c r="D1647" s="2" t="s">
        <v>17</v>
      </c>
      <c r="E1647" s="2" t="s">
        <v>11</v>
      </c>
      <c r="F1647" s="2" t="s">
        <v>18</v>
      </c>
      <c r="G1647" s="2" t="s">
        <v>19</v>
      </c>
      <c r="H1647" s="2" t="s">
        <v>1720</v>
      </c>
      <c r="I1647" s="2" t="s">
        <v>1740</v>
      </c>
    </row>
    <row r="1648" spans="1:9" ht="14.5" x14ac:dyDescent="0.35">
      <c r="A1648" s="2">
        <v>1415851</v>
      </c>
      <c r="B1648" s="2" t="str">
        <f>"3674045702840004"</f>
        <v>3674045702840004</v>
      </c>
      <c r="C1648" s="2" t="s">
        <v>2119</v>
      </c>
      <c r="D1648" s="2" t="s">
        <v>10</v>
      </c>
      <c r="E1648" s="2" t="s">
        <v>11</v>
      </c>
      <c r="F1648" s="2" t="s">
        <v>67</v>
      </c>
      <c r="G1648" s="2" t="s">
        <v>68</v>
      </c>
      <c r="H1648" s="2" t="s">
        <v>69</v>
      </c>
      <c r="I1648" s="2" t="s">
        <v>2117</v>
      </c>
    </row>
    <row r="1649" spans="1:9" ht="14.5" x14ac:dyDescent="0.35">
      <c r="A1649" s="2">
        <v>2534686</v>
      </c>
      <c r="B1649" s="2" t="str">
        <f>"3674045702840004"</f>
        <v>3674045702840004</v>
      </c>
      <c r="C1649" s="2" t="s">
        <v>2119</v>
      </c>
      <c r="D1649" s="2" t="s">
        <v>17</v>
      </c>
      <c r="E1649" s="2" t="s">
        <v>11</v>
      </c>
      <c r="F1649" s="2" t="s">
        <v>18</v>
      </c>
      <c r="G1649" s="2" t="s">
        <v>19</v>
      </c>
      <c r="H1649" s="2" t="s">
        <v>1720</v>
      </c>
      <c r="I1649" s="2" t="s">
        <v>1740</v>
      </c>
    </row>
    <row r="1650" spans="1:9" ht="14.5" x14ac:dyDescent="0.35">
      <c r="A1650" s="2">
        <v>2129848</v>
      </c>
      <c r="B1650" s="2" t="str">
        <f>"5311182304860001"</f>
        <v>5311182304860001</v>
      </c>
      <c r="C1650" s="2" t="s">
        <v>2120</v>
      </c>
      <c r="D1650" s="2" t="s">
        <v>10</v>
      </c>
      <c r="E1650" s="2" t="s">
        <v>11</v>
      </c>
      <c r="F1650" s="2" t="s">
        <v>18</v>
      </c>
      <c r="G1650" s="2" t="s">
        <v>19</v>
      </c>
      <c r="H1650" s="2" t="s">
        <v>1720</v>
      </c>
      <c r="I1650" s="2" t="s">
        <v>1727</v>
      </c>
    </row>
    <row r="1651" spans="1:9" ht="14.5" x14ac:dyDescent="0.35">
      <c r="A1651" s="2">
        <v>207182</v>
      </c>
      <c r="B1651" s="2" t="str">
        <f>"5311182304860001"</f>
        <v>5311182304860001</v>
      </c>
      <c r="C1651" s="2" t="s">
        <v>2121</v>
      </c>
      <c r="D1651" s="2" t="s">
        <v>17</v>
      </c>
      <c r="E1651" s="2" t="s">
        <v>11</v>
      </c>
      <c r="F1651" s="2" t="s">
        <v>2122</v>
      </c>
      <c r="G1651" s="2" t="s">
        <v>2123</v>
      </c>
      <c r="H1651" s="2" t="s">
        <v>2124</v>
      </c>
      <c r="I1651" s="2" t="s">
        <v>2125</v>
      </c>
    </row>
    <row r="1652" spans="1:9" ht="14.5" x14ac:dyDescent="0.35">
      <c r="A1652" s="2">
        <v>142045</v>
      </c>
      <c r="B1652" s="2" t="str">
        <f>"6203015802980003"</f>
        <v>6203015802980003</v>
      </c>
      <c r="C1652" s="2" t="s">
        <v>2126</v>
      </c>
      <c r="D1652" s="2" t="s">
        <v>10</v>
      </c>
      <c r="E1652" s="2" t="s">
        <v>11</v>
      </c>
      <c r="F1652" s="2" t="s">
        <v>521</v>
      </c>
      <c r="G1652" s="2" t="s">
        <v>1824</v>
      </c>
      <c r="H1652" s="2" t="s">
        <v>1825</v>
      </c>
      <c r="I1652" s="2" t="s">
        <v>1826</v>
      </c>
    </row>
    <row r="1653" spans="1:9" ht="14.5" x14ac:dyDescent="0.35">
      <c r="A1653" s="2">
        <v>2534905</v>
      </c>
      <c r="B1653" s="2" t="str">
        <f>"6203015802980003"</f>
        <v>6203015802980003</v>
      </c>
      <c r="C1653" s="2" t="s">
        <v>2126</v>
      </c>
      <c r="D1653" s="2" t="s">
        <v>17</v>
      </c>
      <c r="E1653" s="2" t="s">
        <v>11</v>
      </c>
      <c r="F1653" s="2" t="s">
        <v>18</v>
      </c>
      <c r="G1653" s="2" t="s">
        <v>19</v>
      </c>
      <c r="H1653" s="2" t="s">
        <v>1720</v>
      </c>
      <c r="I1653" s="2" t="s">
        <v>1740</v>
      </c>
    </row>
    <row r="1654" spans="1:9" ht="14.5" x14ac:dyDescent="0.35">
      <c r="A1654" s="2">
        <v>814921</v>
      </c>
      <c r="B1654" s="2" t="str">
        <f>"1108160511990001"</f>
        <v>1108160511990001</v>
      </c>
      <c r="C1654" s="2" t="s">
        <v>2127</v>
      </c>
      <c r="D1654" s="2" t="s">
        <v>10</v>
      </c>
      <c r="E1654" s="2" t="s">
        <v>11</v>
      </c>
      <c r="F1654" s="2" t="s">
        <v>412</v>
      </c>
      <c r="G1654" s="2" t="s">
        <v>2128</v>
      </c>
      <c r="H1654" s="2" t="s">
        <v>2129</v>
      </c>
      <c r="I1654" s="2" t="s">
        <v>2130</v>
      </c>
    </row>
    <row r="1655" spans="1:9" ht="14.5" x14ac:dyDescent="0.35">
      <c r="A1655" s="2">
        <v>2540895</v>
      </c>
      <c r="B1655" s="2" t="str">
        <f>"1108160511990001"</f>
        <v>1108160511990001</v>
      </c>
      <c r="C1655" s="2" t="s">
        <v>2131</v>
      </c>
      <c r="D1655" s="2" t="s">
        <v>10</v>
      </c>
      <c r="E1655" s="2" t="s">
        <v>57</v>
      </c>
      <c r="F1655" s="2" t="s">
        <v>18</v>
      </c>
      <c r="G1655" s="2" t="s">
        <v>19</v>
      </c>
      <c r="H1655" s="2" t="s">
        <v>1394</v>
      </c>
      <c r="I1655" s="2" t="s">
        <v>1395</v>
      </c>
    </row>
    <row r="1656" spans="1:9" ht="14.5" x14ac:dyDescent="0.35">
      <c r="A1656" s="2">
        <v>470865</v>
      </c>
      <c r="B1656" s="2" t="str">
        <f>"1111132406840002"</f>
        <v>1111132406840002</v>
      </c>
      <c r="C1656" s="2" t="s">
        <v>2132</v>
      </c>
      <c r="D1656" s="2" t="s">
        <v>10</v>
      </c>
      <c r="E1656" s="2" t="s">
        <v>11</v>
      </c>
      <c r="F1656" s="2" t="s">
        <v>412</v>
      </c>
      <c r="G1656" s="2" t="s">
        <v>2128</v>
      </c>
      <c r="H1656" s="2" t="s">
        <v>2133</v>
      </c>
      <c r="I1656" s="2" t="s">
        <v>2134</v>
      </c>
    </row>
    <row r="1657" spans="1:9" ht="14.5" x14ac:dyDescent="0.35">
      <c r="A1657" s="2">
        <v>2540849</v>
      </c>
      <c r="B1657" s="2" t="str">
        <f>"1111132406840002"</f>
        <v>1111132406840002</v>
      </c>
      <c r="C1657" s="2" t="s">
        <v>2135</v>
      </c>
      <c r="D1657" s="2" t="s">
        <v>10</v>
      </c>
      <c r="E1657" s="2" t="s">
        <v>57</v>
      </c>
      <c r="F1657" s="2" t="s">
        <v>18</v>
      </c>
      <c r="G1657" s="2" t="s">
        <v>19</v>
      </c>
      <c r="H1657" s="2" t="s">
        <v>1394</v>
      </c>
      <c r="I1657" s="2" t="s">
        <v>1395</v>
      </c>
    </row>
    <row r="1658" spans="1:9" ht="14.5" x14ac:dyDescent="0.35">
      <c r="A1658" s="2">
        <v>286891</v>
      </c>
      <c r="B1658" s="2" t="str">
        <f>"1211111706040001"</f>
        <v>1211111706040001</v>
      </c>
      <c r="C1658" s="2" t="s">
        <v>2136</v>
      </c>
      <c r="D1658" s="2" t="s">
        <v>17</v>
      </c>
      <c r="E1658" s="2" t="s">
        <v>11</v>
      </c>
      <c r="F1658" s="2" t="s">
        <v>667</v>
      </c>
      <c r="G1658" s="2" t="s">
        <v>2137</v>
      </c>
      <c r="H1658" s="2" t="s">
        <v>2138</v>
      </c>
      <c r="I1658" s="2" t="s">
        <v>2139</v>
      </c>
    </row>
    <row r="1659" spans="1:9" ht="14.5" x14ac:dyDescent="0.35">
      <c r="A1659" s="2">
        <v>2540759</v>
      </c>
      <c r="B1659" s="2" t="str">
        <f>"1211111706040001"</f>
        <v>1211111706040001</v>
      </c>
      <c r="C1659" s="2" t="s">
        <v>2140</v>
      </c>
      <c r="D1659" s="2" t="s">
        <v>10</v>
      </c>
      <c r="E1659" s="2" t="s">
        <v>57</v>
      </c>
      <c r="F1659" s="2" t="s">
        <v>18</v>
      </c>
      <c r="G1659" s="2" t="s">
        <v>19</v>
      </c>
      <c r="H1659" s="2" t="s">
        <v>1394</v>
      </c>
      <c r="I1659" s="2" t="s">
        <v>1395</v>
      </c>
    </row>
    <row r="1660" spans="1:9" ht="14.5" x14ac:dyDescent="0.35">
      <c r="A1660" s="2">
        <v>189097</v>
      </c>
      <c r="B1660" s="2" t="str">
        <f>"1223011807880007"</f>
        <v>1223011807880007</v>
      </c>
      <c r="C1660" s="2" t="s">
        <v>2141</v>
      </c>
      <c r="D1660" s="2" t="s">
        <v>10</v>
      </c>
      <c r="E1660" s="2" t="s">
        <v>11</v>
      </c>
      <c r="F1660" s="2" t="s">
        <v>228</v>
      </c>
      <c r="G1660" s="2" t="s">
        <v>2142</v>
      </c>
      <c r="H1660" s="2" t="s">
        <v>2143</v>
      </c>
      <c r="I1660" s="2" t="s">
        <v>2144</v>
      </c>
    </row>
    <row r="1661" spans="1:9" ht="14.5" x14ac:dyDescent="0.35">
      <c r="A1661" s="2">
        <v>2540898</v>
      </c>
      <c r="B1661" s="2" t="str">
        <f>"1223011807880007"</f>
        <v>1223011807880007</v>
      </c>
      <c r="C1661" s="2" t="s">
        <v>2145</v>
      </c>
      <c r="D1661" s="2" t="s">
        <v>10</v>
      </c>
      <c r="E1661" s="2" t="s">
        <v>57</v>
      </c>
      <c r="F1661" s="2" t="s">
        <v>18</v>
      </c>
      <c r="G1661" s="2" t="s">
        <v>19</v>
      </c>
      <c r="H1661" s="2" t="s">
        <v>1394</v>
      </c>
      <c r="I1661" s="2" t="s">
        <v>1395</v>
      </c>
    </row>
    <row r="1662" spans="1:9" ht="14.5" x14ac:dyDescent="0.35">
      <c r="A1662" s="2">
        <v>82549</v>
      </c>
      <c r="B1662" s="2" t="str">
        <f>"1223021010000003"</f>
        <v>1223021010000003</v>
      </c>
      <c r="C1662" s="2" t="s">
        <v>2146</v>
      </c>
      <c r="D1662" s="2" t="s">
        <v>10</v>
      </c>
      <c r="E1662" s="2" t="s">
        <v>11</v>
      </c>
      <c r="F1662" s="2" t="s">
        <v>667</v>
      </c>
      <c r="G1662" s="2" t="s">
        <v>2147</v>
      </c>
      <c r="H1662" s="2" t="s">
        <v>2148</v>
      </c>
      <c r="I1662" s="2" t="s">
        <v>2149</v>
      </c>
    </row>
    <row r="1663" spans="1:9" ht="14.5" x14ac:dyDescent="0.35">
      <c r="A1663" s="2">
        <v>2540874</v>
      </c>
      <c r="B1663" s="2" t="str">
        <f>"1223021010000003"</f>
        <v>1223021010000003</v>
      </c>
      <c r="C1663" s="2" t="s">
        <v>2150</v>
      </c>
      <c r="D1663" s="2" t="s">
        <v>10</v>
      </c>
      <c r="E1663" s="2" t="s">
        <v>57</v>
      </c>
      <c r="F1663" s="2" t="s">
        <v>18</v>
      </c>
      <c r="G1663" s="2" t="s">
        <v>19</v>
      </c>
      <c r="H1663" s="2" t="s">
        <v>1394</v>
      </c>
      <c r="I1663" s="2" t="s">
        <v>1395</v>
      </c>
    </row>
    <row r="1664" spans="1:9" ht="14.5" x14ac:dyDescent="0.35">
      <c r="A1664" s="2">
        <v>2540878</v>
      </c>
      <c r="B1664" s="2" t="str">
        <f>"1401112910000001"</f>
        <v>1401112910000001</v>
      </c>
      <c r="C1664" s="2" t="s">
        <v>2151</v>
      </c>
      <c r="D1664" s="2" t="s">
        <v>10</v>
      </c>
      <c r="E1664" s="2" t="s">
        <v>57</v>
      </c>
      <c r="F1664" s="2" t="s">
        <v>18</v>
      </c>
      <c r="G1664" s="2" t="s">
        <v>19</v>
      </c>
      <c r="H1664" s="2" t="s">
        <v>1394</v>
      </c>
      <c r="I1664" s="2" t="s">
        <v>1395</v>
      </c>
    </row>
    <row r="1665" spans="1:9" ht="14.5" x14ac:dyDescent="0.35">
      <c r="A1665" s="2">
        <v>1475011</v>
      </c>
      <c r="B1665" s="2" t="str">
        <f>"1401112910000001"</f>
        <v>1401112910000001</v>
      </c>
      <c r="C1665" s="2" t="s">
        <v>2152</v>
      </c>
      <c r="D1665" s="2" t="s">
        <v>17</v>
      </c>
      <c r="E1665" s="2" t="s">
        <v>11</v>
      </c>
      <c r="F1665" s="2" t="s">
        <v>667</v>
      </c>
      <c r="G1665" s="2" t="s">
        <v>2153</v>
      </c>
      <c r="H1665" s="2" t="s">
        <v>2154</v>
      </c>
      <c r="I1665" s="2" t="s">
        <v>2155</v>
      </c>
    </row>
    <row r="1666" spans="1:9" ht="14.5" x14ac:dyDescent="0.35">
      <c r="A1666" s="2">
        <v>859365</v>
      </c>
      <c r="B1666" s="2" t="str">
        <f>"1671026005910002"</f>
        <v>1671026005910002</v>
      </c>
      <c r="C1666" s="2" t="s">
        <v>2156</v>
      </c>
      <c r="D1666" s="2" t="s">
        <v>10</v>
      </c>
      <c r="E1666" s="2" t="s">
        <v>11</v>
      </c>
      <c r="F1666" s="2" t="s">
        <v>33</v>
      </c>
      <c r="G1666" s="2" t="s">
        <v>2157</v>
      </c>
      <c r="H1666" s="2" t="s">
        <v>2158</v>
      </c>
      <c r="I1666" s="2" t="s">
        <v>2159</v>
      </c>
    </row>
    <row r="1667" spans="1:9" ht="14.5" x14ac:dyDescent="0.35">
      <c r="A1667" s="2">
        <v>2539122</v>
      </c>
      <c r="B1667" s="2" t="str">
        <f>"1671026005910002"</f>
        <v>1671026005910002</v>
      </c>
      <c r="C1667" s="2" t="s">
        <v>2160</v>
      </c>
      <c r="D1667" s="2" t="s">
        <v>17</v>
      </c>
      <c r="E1667" s="2" t="s">
        <v>11</v>
      </c>
      <c r="F1667" s="2" t="s">
        <v>18</v>
      </c>
      <c r="G1667" s="2" t="s">
        <v>19</v>
      </c>
      <c r="H1667" s="2" t="s">
        <v>1394</v>
      </c>
      <c r="I1667" s="2" t="s">
        <v>2161</v>
      </c>
    </row>
    <row r="1668" spans="1:9" ht="14.5" x14ac:dyDescent="0.35">
      <c r="A1668" s="2">
        <v>741349</v>
      </c>
      <c r="B1668" s="2" t="str">
        <f>"1671074209010010"</f>
        <v>1671074209010010</v>
      </c>
      <c r="C1668" s="2" t="s">
        <v>2162</v>
      </c>
      <c r="D1668" s="2" t="s">
        <v>10</v>
      </c>
      <c r="E1668" s="2" t="s">
        <v>11</v>
      </c>
      <c r="F1668" s="2" t="s">
        <v>33</v>
      </c>
      <c r="G1668" s="2" t="s">
        <v>2157</v>
      </c>
      <c r="H1668" s="2" t="s">
        <v>2163</v>
      </c>
      <c r="I1668" s="2" t="s">
        <v>2164</v>
      </c>
    </row>
    <row r="1669" spans="1:9" ht="14.5" x14ac:dyDescent="0.35">
      <c r="A1669" s="2">
        <v>2540024</v>
      </c>
      <c r="B1669" s="2" t="str">
        <f>"1671074209010010"</f>
        <v>1671074209010010</v>
      </c>
      <c r="C1669" s="2" t="s">
        <v>2162</v>
      </c>
      <c r="D1669" s="2" t="s">
        <v>17</v>
      </c>
      <c r="E1669" s="2" t="s">
        <v>11</v>
      </c>
      <c r="F1669" s="2" t="s">
        <v>18</v>
      </c>
      <c r="G1669" s="2" t="s">
        <v>19</v>
      </c>
      <c r="H1669" s="2" t="s">
        <v>1394</v>
      </c>
      <c r="I1669" s="2" t="s">
        <v>2165</v>
      </c>
    </row>
    <row r="1670" spans="1:9" ht="14.5" x14ac:dyDescent="0.35">
      <c r="A1670" s="2">
        <v>226575</v>
      </c>
      <c r="B1670" s="2" t="str">
        <f>"1801040606940021"</f>
        <v>1801040606940021</v>
      </c>
      <c r="C1670" s="2" t="s">
        <v>2166</v>
      </c>
      <c r="D1670" s="2" t="s">
        <v>10</v>
      </c>
      <c r="E1670" s="2" t="s">
        <v>11</v>
      </c>
      <c r="F1670" s="2" t="s">
        <v>44</v>
      </c>
      <c r="G1670" s="2" t="s">
        <v>909</v>
      </c>
      <c r="H1670" s="2" t="s">
        <v>2167</v>
      </c>
      <c r="I1670" s="2" t="s">
        <v>2168</v>
      </c>
    </row>
    <row r="1671" spans="1:9" ht="14.5" x14ac:dyDescent="0.35">
      <c r="A1671" s="2">
        <v>2540890</v>
      </c>
      <c r="B1671" s="2" t="str">
        <f>"1801040606940021"</f>
        <v>1801040606940021</v>
      </c>
      <c r="C1671" s="2" t="s">
        <v>2169</v>
      </c>
      <c r="D1671" s="2" t="s">
        <v>10</v>
      </c>
      <c r="E1671" s="2" t="s">
        <v>57</v>
      </c>
      <c r="F1671" s="2" t="s">
        <v>18</v>
      </c>
      <c r="G1671" s="2" t="s">
        <v>19</v>
      </c>
      <c r="H1671" s="2" t="s">
        <v>1394</v>
      </c>
      <c r="I1671" s="2" t="s">
        <v>1395</v>
      </c>
    </row>
    <row r="1672" spans="1:9" ht="14.5" x14ac:dyDescent="0.35">
      <c r="A1672" s="2">
        <v>491466</v>
      </c>
      <c r="B1672" s="2" t="str">
        <f>"1802225606020003"</f>
        <v>1802225606020003</v>
      </c>
      <c r="C1672" s="2" t="s">
        <v>2170</v>
      </c>
      <c r="D1672" s="2" t="s">
        <v>10</v>
      </c>
      <c r="E1672" s="2" t="s">
        <v>11</v>
      </c>
      <c r="F1672" s="2" t="s">
        <v>44</v>
      </c>
      <c r="G1672" s="2" t="s">
        <v>1040</v>
      </c>
      <c r="H1672" s="2" t="s">
        <v>2171</v>
      </c>
      <c r="I1672" s="2" t="s">
        <v>2171</v>
      </c>
    </row>
    <row r="1673" spans="1:9" ht="14.5" x14ac:dyDescent="0.35">
      <c r="A1673" s="2">
        <v>2539741</v>
      </c>
      <c r="B1673" s="2" t="str">
        <f>"1802225606020003"</f>
        <v>1802225606020003</v>
      </c>
      <c r="C1673" s="2" t="s">
        <v>2170</v>
      </c>
      <c r="D1673" s="2" t="s">
        <v>17</v>
      </c>
      <c r="E1673" s="2" t="s">
        <v>11</v>
      </c>
      <c r="F1673" s="2" t="s">
        <v>18</v>
      </c>
      <c r="G1673" s="2" t="s">
        <v>19</v>
      </c>
      <c r="H1673" s="2" t="s">
        <v>1394</v>
      </c>
      <c r="I1673" s="2" t="s">
        <v>2172</v>
      </c>
    </row>
    <row r="1674" spans="1:9" ht="14.5" x14ac:dyDescent="0.35">
      <c r="A1674" s="2">
        <v>344011</v>
      </c>
      <c r="B1674" s="2" t="str">
        <f>"1808100511910004"</f>
        <v>1808100511910004</v>
      </c>
      <c r="C1674" s="2" t="s">
        <v>2173</v>
      </c>
      <c r="D1674" s="2" t="s">
        <v>10</v>
      </c>
      <c r="E1674" s="2" t="s">
        <v>11</v>
      </c>
      <c r="F1674" s="2" t="s">
        <v>44</v>
      </c>
      <c r="G1674" s="2" t="s">
        <v>2174</v>
      </c>
      <c r="H1674" s="2" t="s">
        <v>2175</v>
      </c>
      <c r="I1674" s="2" t="s">
        <v>2176</v>
      </c>
    </row>
    <row r="1675" spans="1:9" ht="14.5" x14ac:dyDescent="0.35">
      <c r="A1675" s="2">
        <v>2540900</v>
      </c>
      <c r="B1675" s="2" t="str">
        <f>"1808100511910004"</f>
        <v>1808100511910004</v>
      </c>
      <c r="C1675" s="2" t="s">
        <v>2177</v>
      </c>
      <c r="D1675" s="2" t="s">
        <v>10</v>
      </c>
      <c r="E1675" s="2" t="s">
        <v>57</v>
      </c>
      <c r="F1675" s="2" t="s">
        <v>18</v>
      </c>
      <c r="G1675" s="2" t="s">
        <v>19</v>
      </c>
      <c r="H1675" s="2" t="s">
        <v>1394</v>
      </c>
      <c r="I1675" s="2" t="s">
        <v>1395</v>
      </c>
    </row>
    <row r="1676" spans="1:9" ht="14.5" x14ac:dyDescent="0.35">
      <c r="A1676" s="2">
        <v>225298</v>
      </c>
      <c r="B1676" s="2" t="str">
        <f>"3171041205951001"</f>
        <v>3171041205951001</v>
      </c>
      <c r="C1676" s="2" t="s">
        <v>2178</v>
      </c>
      <c r="D1676" s="2" t="s">
        <v>10</v>
      </c>
      <c r="E1676" s="2" t="s">
        <v>11</v>
      </c>
      <c r="F1676" s="2" t="s">
        <v>50</v>
      </c>
      <c r="G1676" s="2" t="s">
        <v>280</v>
      </c>
      <c r="H1676" s="2" t="s">
        <v>2179</v>
      </c>
      <c r="I1676" s="2" t="s">
        <v>266</v>
      </c>
    </row>
    <row r="1677" spans="1:9" ht="14.5" x14ac:dyDescent="0.35">
      <c r="A1677" s="2">
        <v>2540710</v>
      </c>
      <c r="B1677" s="2" t="str">
        <f>"3171041205951001"</f>
        <v>3171041205951001</v>
      </c>
      <c r="C1677" s="2" t="s">
        <v>2180</v>
      </c>
      <c r="D1677" s="2" t="s">
        <v>10</v>
      </c>
      <c r="E1677" s="2" t="s">
        <v>57</v>
      </c>
      <c r="F1677" s="2" t="s">
        <v>18</v>
      </c>
      <c r="G1677" s="2" t="s">
        <v>19</v>
      </c>
      <c r="H1677" s="2" t="s">
        <v>1394</v>
      </c>
      <c r="I1677" s="2" t="s">
        <v>1395</v>
      </c>
    </row>
    <row r="1678" spans="1:9" ht="14.5" x14ac:dyDescent="0.35">
      <c r="A1678" s="2">
        <v>185148</v>
      </c>
      <c r="B1678" s="2" t="str">
        <f>"3171050402870001"</f>
        <v>3171050402870001</v>
      </c>
      <c r="C1678" s="2" t="s">
        <v>2181</v>
      </c>
      <c r="D1678" s="2" t="s">
        <v>10</v>
      </c>
      <c r="E1678" s="2" t="s">
        <v>11</v>
      </c>
      <c r="F1678" s="2" t="s">
        <v>50</v>
      </c>
      <c r="G1678" s="2" t="s">
        <v>280</v>
      </c>
      <c r="H1678" s="2" t="s">
        <v>776</v>
      </c>
      <c r="I1678" s="2" t="s">
        <v>2182</v>
      </c>
    </row>
    <row r="1679" spans="1:9" ht="14.5" x14ac:dyDescent="0.35">
      <c r="A1679" s="2">
        <v>2540727</v>
      </c>
      <c r="B1679" s="2" t="str">
        <f>"3171050402870001"</f>
        <v>3171050402870001</v>
      </c>
      <c r="C1679" s="2" t="s">
        <v>2183</v>
      </c>
      <c r="D1679" s="2" t="s">
        <v>10</v>
      </c>
      <c r="E1679" s="2" t="s">
        <v>57</v>
      </c>
      <c r="F1679" s="2" t="s">
        <v>18</v>
      </c>
      <c r="G1679" s="2" t="s">
        <v>19</v>
      </c>
      <c r="H1679" s="2" t="s">
        <v>1394</v>
      </c>
      <c r="I1679" s="2" t="s">
        <v>1395</v>
      </c>
    </row>
    <row r="1680" spans="1:9" ht="14.5" x14ac:dyDescent="0.35">
      <c r="A1680" s="2">
        <v>366570</v>
      </c>
      <c r="B1680" s="2" t="str">
        <f>"3171070807690007"</f>
        <v>3171070807690007</v>
      </c>
      <c r="C1680" s="2" t="s">
        <v>2184</v>
      </c>
      <c r="D1680" s="2" t="s">
        <v>10</v>
      </c>
      <c r="E1680" s="2" t="s">
        <v>11</v>
      </c>
      <c r="F1680" s="2" t="s">
        <v>50</v>
      </c>
      <c r="G1680" s="2" t="s">
        <v>72</v>
      </c>
      <c r="H1680" s="2" t="s">
        <v>246</v>
      </c>
      <c r="I1680" s="2" t="s">
        <v>2185</v>
      </c>
    </row>
    <row r="1681" spans="1:9" ht="14.5" x14ac:dyDescent="0.35">
      <c r="A1681" s="2">
        <v>2539906</v>
      </c>
      <c r="B1681" s="2" t="str">
        <f>"3171070807690007"</f>
        <v>3171070807690007</v>
      </c>
      <c r="C1681" s="2" t="s">
        <v>2186</v>
      </c>
      <c r="D1681" s="2" t="s">
        <v>17</v>
      </c>
      <c r="E1681" s="2" t="s">
        <v>11</v>
      </c>
      <c r="F1681" s="2" t="s">
        <v>18</v>
      </c>
      <c r="G1681" s="2" t="s">
        <v>19</v>
      </c>
      <c r="H1681" s="2" t="s">
        <v>1394</v>
      </c>
      <c r="I1681" s="2" t="s">
        <v>2187</v>
      </c>
    </row>
    <row r="1682" spans="1:9" ht="14.5" x14ac:dyDescent="0.35">
      <c r="A1682" s="2">
        <v>420583</v>
      </c>
      <c r="B1682" s="2" t="str">
        <f>"3171074307500006"</f>
        <v>3171074307500006</v>
      </c>
      <c r="C1682" s="2" t="s">
        <v>2188</v>
      </c>
      <c r="D1682" s="2" t="s">
        <v>10</v>
      </c>
      <c r="E1682" s="2" t="s">
        <v>11</v>
      </c>
      <c r="F1682" s="2" t="s">
        <v>50</v>
      </c>
      <c r="G1682" s="2" t="s">
        <v>280</v>
      </c>
      <c r="H1682" s="2" t="s">
        <v>281</v>
      </c>
      <c r="I1682" s="2" t="s">
        <v>1256</v>
      </c>
    </row>
    <row r="1683" spans="1:9" ht="14.5" x14ac:dyDescent="0.35">
      <c r="A1683" s="2">
        <v>2538461</v>
      </c>
      <c r="B1683" s="2" t="str">
        <f>"3171074307500006"</f>
        <v>3171074307500006</v>
      </c>
      <c r="C1683" s="2" t="s">
        <v>2188</v>
      </c>
      <c r="D1683" s="2" t="s">
        <v>17</v>
      </c>
      <c r="E1683" s="2" t="s">
        <v>11</v>
      </c>
      <c r="F1683" s="2" t="s">
        <v>18</v>
      </c>
      <c r="G1683" s="2" t="s">
        <v>19</v>
      </c>
      <c r="H1683" s="2" t="s">
        <v>1394</v>
      </c>
      <c r="I1683" s="2" t="s">
        <v>2189</v>
      </c>
    </row>
    <row r="1684" spans="1:9" ht="14.5" x14ac:dyDescent="0.35">
      <c r="A1684" s="2">
        <v>1114604</v>
      </c>
      <c r="B1684" s="2" t="str">
        <f>"3172012309770005"</f>
        <v>3172012309770005</v>
      </c>
      <c r="C1684" s="2" t="s">
        <v>2190</v>
      </c>
      <c r="D1684" s="2" t="s">
        <v>10</v>
      </c>
      <c r="E1684" s="2" t="s">
        <v>11</v>
      </c>
      <c r="F1684" s="2" t="s">
        <v>50</v>
      </c>
      <c r="G1684" s="2" t="s">
        <v>51</v>
      </c>
      <c r="H1684" s="2" t="s">
        <v>52</v>
      </c>
      <c r="I1684" s="2" t="s">
        <v>52</v>
      </c>
    </row>
    <row r="1685" spans="1:9" ht="14.5" x14ac:dyDescent="0.35">
      <c r="A1685" s="2">
        <v>2538960</v>
      </c>
      <c r="B1685" s="2" t="str">
        <f>"3172012309770005"</f>
        <v>3172012309770005</v>
      </c>
      <c r="C1685" s="2" t="s">
        <v>2191</v>
      </c>
      <c r="D1685" s="2" t="s">
        <v>17</v>
      </c>
      <c r="E1685" s="2" t="s">
        <v>11</v>
      </c>
      <c r="F1685" s="2" t="s">
        <v>18</v>
      </c>
      <c r="G1685" s="2" t="s">
        <v>19</v>
      </c>
      <c r="H1685" s="2" t="s">
        <v>1394</v>
      </c>
      <c r="I1685" s="2" t="s">
        <v>2161</v>
      </c>
    </row>
    <row r="1686" spans="1:9" ht="14.5" x14ac:dyDescent="0.35">
      <c r="A1686" s="2">
        <v>485424</v>
      </c>
      <c r="B1686" s="2" t="str">
        <f>"3172021010590014"</f>
        <v>3172021010590014</v>
      </c>
      <c r="C1686" s="2" t="s">
        <v>2192</v>
      </c>
      <c r="D1686" s="2" t="s">
        <v>10</v>
      </c>
      <c r="E1686" s="2" t="s">
        <v>11</v>
      </c>
      <c r="F1686" s="2" t="s">
        <v>50</v>
      </c>
      <c r="G1686" s="2" t="s">
        <v>51</v>
      </c>
      <c r="H1686" s="2" t="s">
        <v>62</v>
      </c>
      <c r="I1686" s="2" t="s">
        <v>2193</v>
      </c>
    </row>
    <row r="1687" spans="1:9" ht="14.5" x14ac:dyDescent="0.35">
      <c r="A1687" s="2">
        <v>2540442</v>
      </c>
      <c r="B1687" s="2" t="str">
        <f>"3172021010590014"</f>
        <v>3172021010590014</v>
      </c>
      <c r="C1687" s="2" t="s">
        <v>2192</v>
      </c>
      <c r="D1687" s="2" t="s">
        <v>17</v>
      </c>
      <c r="E1687" s="2" t="s">
        <v>11</v>
      </c>
      <c r="F1687" s="2" t="s">
        <v>18</v>
      </c>
      <c r="G1687" s="2" t="s">
        <v>19</v>
      </c>
      <c r="H1687" s="2" t="s">
        <v>1394</v>
      </c>
      <c r="I1687" s="2" t="s">
        <v>2194</v>
      </c>
    </row>
    <row r="1688" spans="1:9" ht="14.5" x14ac:dyDescent="0.35">
      <c r="A1688" s="2">
        <v>1273975</v>
      </c>
      <c r="B1688" s="2" t="str">
        <f>"3172034909770003"</f>
        <v>3172034909770003</v>
      </c>
      <c r="C1688" s="2" t="s">
        <v>2195</v>
      </c>
      <c r="D1688" s="2" t="s">
        <v>10</v>
      </c>
      <c r="E1688" s="2" t="s">
        <v>11</v>
      </c>
      <c r="F1688" s="2" t="s">
        <v>50</v>
      </c>
      <c r="G1688" s="2" t="s">
        <v>51</v>
      </c>
      <c r="H1688" s="2" t="s">
        <v>284</v>
      </c>
      <c r="I1688" s="2" t="s">
        <v>2196</v>
      </c>
    </row>
    <row r="1689" spans="1:9" ht="14.5" x14ac:dyDescent="0.35">
      <c r="A1689" s="2">
        <v>2540481</v>
      </c>
      <c r="B1689" s="2" t="str">
        <f>"3172034909770003"</f>
        <v>3172034909770003</v>
      </c>
      <c r="C1689" s="2" t="s">
        <v>2195</v>
      </c>
      <c r="D1689" s="2" t="s">
        <v>17</v>
      </c>
      <c r="E1689" s="2" t="s">
        <v>11</v>
      </c>
      <c r="F1689" s="2" t="s">
        <v>18</v>
      </c>
      <c r="G1689" s="2" t="s">
        <v>19</v>
      </c>
      <c r="H1689" s="2" t="s">
        <v>1394</v>
      </c>
      <c r="I1689" s="2" t="s">
        <v>2194</v>
      </c>
    </row>
    <row r="1690" spans="1:9" ht="14.5" x14ac:dyDescent="0.35">
      <c r="A1690" s="2">
        <v>982203</v>
      </c>
      <c r="B1690" s="2" t="str">
        <f>"3172040203820024"</f>
        <v>3172040203820024</v>
      </c>
      <c r="C1690" s="2" t="s">
        <v>2197</v>
      </c>
      <c r="D1690" s="2" t="s">
        <v>10</v>
      </c>
      <c r="E1690" s="2" t="s">
        <v>11</v>
      </c>
      <c r="F1690" s="2" t="s">
        <v>50</v>
      </c>
      <c r="G1690" s="2" t="s">
        <v>51</v>
      </c>
      <c r="H1690" s="2" t="s">
        <v>78</v>
      </c>
      <c r="I1690" s="2" t="s">
        <v>81</v>
      </c>
    </row>
    <row r="1691" spans="1:9" ht="14.5" x14ac:dyDescent="0.35">
      <c r="A1691" s="2">
        <v>2540671</v>
      </c>
      <c r="B1691" s="2" t="str">
        <f>"3172040203820024"</f>
        <v>3172040203820024</v>
      </c>
      <c r="C1691" s="2" t="s">
        <v>2198</v>
      </c>
      <c r="D1691" s="2" t="s">
        <v>10</v>
      </c>
      <c r="E1691" s="2" t="s">
        <v>57</v>
      </c>
      <c r="F1691" s="2" t="s">
        <v>18</v>
      </c>
      <c r="G1691" s="2" t="s">
        <v>19</v>
      </c>
      <c r="H1691" s="2" t="s">
        <v>1394</v>
      </c>
      <c r="I1691" s="2" t="s">
        <v>1395</v>
      </c>
    </row>
    <row r="1692" spans="1:9" ht="14.5" x14ac:dyDescent="0.35">
      <c r="A1692" s="2">
        <v>1803751</v>
      </c>
      <c r="B1692" s="2" t="str">
        <f>"3172061802950005"</f>
        <v>3172061802950005</v>
      </c>
      <c r="C1692" s="2" t="s">
        <v>2199</v>
      </c>
      <c r="D1692" s="2" t="s">
        <v>10</v>
      </c>
      <c r="E1692" s="2" t="s">
        <v>11</v>
      </c>
      <c r="F1692" s="2" t="s">
        <v>91</v>
      </c>
      <c r="G1692" s="2" t="s">
        <v>159</v>
      </c>
      <c r="H1692" s="2" t="s">
        <v>1332</v>
      </c>
      <c r="I1692" s="2" t="s">
        <v>2200</v>
      </c>
    </row>
    <row r="1693" spans="1:9" ht="14.5" x14ac:dyDescent="0.35">
      <c r="A1693" s="2">
        <v>2540720</v>
      </c>
      <c r="B1693" s="2" t="str">
        <f>"3172061802950005"</f>
        <v>3172061802950005</v>
      </c>
      <c r="C1693" s="2" t="s">
        <v>2201</v>
      </c>
      <c r="D1693" s="2" t="s">
        <v>10</v>
      </c>
      <c r="E1693" s="2" t="s">
        <v>57</v>
      </c>
      <c r="F1693" s="2" t="s">
        <v>18</v>
      </c>
      <c r="G1693" s="2" t="s">
        <v>19</v>
      </c>
      <c r="H1693" s="2" t="s">
        <v>1394</v>
      </c>
      <c r="I1693" s="2" t="s">
        <v>1395</v>
      </c>
    </row>
    <row r="1694" spans="1:9" ht="14.5" x14ac:dyDescent="0.35">
      <c r="A1694" s="2">
        <v>1313382</v>
      </c>
      <c r="B1694" s="2" t="str">
        <f>"3173011408940006"</f>
        <v>3173011408940006</v>
      </c>
      <c r="C1694" s="2" t="s">
        <v>2202</v>
      </c>
      <c r="D1694" s="2" t="s">
        <v>10</v>
      </c>
      <c r="E1694" s="2" t="s">
        <v>11</v>
      </c>
      <c r="F1694" s="2" t="s">
        <v>50</v>
      </c>
      <c r="G1694" s="2" t="s">
        <v>86</v>
      </c>
      <c r="H1694" s="2" t="s">
        <v>1268</v>
      </c>
      <c r="I1694" s="2" t="s">
        <v>2203</v>
      </c>
    </row>
    <row r="1695" spans="1:9" ht="14.5" x14ac:dyDescent="0.35">
      <c r="A1695" s="2">
        <v>2540659</v>
      </c>
      <c r="B1695" s="2" t="str">
        <f>"3173011408940006"</f>
        <v>3173011408940006</v>
      </c>
      <c r="C1695" s="2" t="s">
        <v>2204</v>
      </c>
      <c r="D1695" s="2" t="s">
        <v>10</v>
      </c>
      <c r="E1695" s="2" t="s">
        <v>57</v>
      </c>
      <c r="F1695" s="2" t="s">
        <v>18</v>
      </c>
      <c r="G1695" s="2" t="s">
        <v>19</v>
      </c>
      <c r="H1695" s="2" t="s">
        <v>1394</v>
      </c>
      <c r="I1695" s="2" t="s">
        <v>1395</v>
      </c>
    </row>
    <row r="1696" spans="1:9" ht="14.5" x14ac:dyDescent="0.35">
      <c r="A1696" s="2">
        <v>1563996</v>
      </c>
      <c r="B1696" s="2" t="str">
        <f>"3173012306830010"</f>
        <v>3173012306830010</v>
      </c>
      <c r="C1696" s="2" t="s">
        <v>2205</v>
      </c>
      <c r="D1696" s="2" t="s">
        <v>10</v>
      </c>
      <c r="E1696" s="2" t="s">
        <v>11</v>
      </c>
      <c r="F1696" s="2" t="s">
        <v>50</v>
      </c>
      <c r="G1696" s="2" t="s">
        <v>86</v>
      </c>
      <c r="H1696" s="2" t="s">
        <v>1268</v>
      </c>
      <c r="I1696" s="2" t="s">
        <v>1978</v>
      </c>
    </row>
    <row r="1697" spans="1:9" ht="14.5" x14ac:dyDescent="0.35">
      <c r="A1697" s="2">
        <v>2540751</v>
      </c>
      <c r="B1697" s="2" t="str">
        <f>"3173012306830010"</f>
        <v>3173012306830010</v>
      </c>
      <c r="C1697" s="2" t="s">
        <v>2206</v>
      </c>
      <c r="D1697" s="2" t="s">
        <v>10</v>
      </c>
      <c r="E1697" s="2" t="s">
        <v>57</v>
      </c>
      <c r="F1697" s="2" t="s">
        <v>18</v>
      </c>
      <c r="G1697" s="2" t="s">
        <v>19</v>
      </c>
      <c r="H1697" s="2" t="s">
        <v>1394</v>
      </c>
      <c r="I1697" s="2" t="s">
        <v>1395</v>
      </c>
    </row>
    <row r="1698" spans="1:9" ht="14.5" x14ac:dyDescent="0.35">
      <c r="A1698" s="2">
        <v>141415</v>
      </c>
      <c r="B1698" s="2" t="str">
        <f>"3173026701850002"</f>
        <v>3173026701850002</v>
      </c>
      <c r="C1698" s="2" t="s">
        <v>2207</v>
      </c>
      <c r="D1698" s="2" t="s">
        <v>10</v>
      </c>
      <c r="E1698" s="2" t="s">
        <v>11</v>
      </c>
      <c r="F1698" s="2" t="s">
        <v>50</v>
      </c>
      <c r="G1698" s="2" t="s">
        <v>86</v>
      </c>
      <c r="H1698" s="2" t="s">
        <v>205</v>
      </c>
      <c r="I1698" s="2" t="s">
        <v>1952</v>
      </c>
    </row>
    <row r="1699" spans="1:9" ht="14.5" x14ac:dyDescent="0.35">
      <c r="A1699" s="2">
        <v>2540029</v>
      </c>
      <c r="B1699" s="2" t="str">
        <f>"3173026701850002"</f>
        <v>3173026701850002</v>
      </c>
      <c r="C1699" s="2" t="s">
        <v>2208</v>
      </c>
      <c r="D1699" s="2" t="s">
        <v>17</v>
      </c>
      <c r="E1699" s="2" t="s">
        <v>11</v>
      </c>
      <c r="F1699" s="2" t="s">
        <v>18</v>
      </c>
      <c r="G1699" s="2" t="s">
        <v>19</v>
      </c>
      <c r="H1699" s="2" t="s">
        <v>1394</v>
      </c>
      <c r="I1699" s="2" t="s">
        <v>2165</v>
      </c>
    </row>
    <row r="1700" spans="1:9" ht="14.5" x14ac:dyDescent="0.35">
      <c r="A1700" s="2">
        <v>577327</v>
      </c>
      <c r="B1700" s="2" t="str">
        <f>"3173031906550002"</f>
        <v>3173031906550002</v>
      </c>
      <c r="C1700" s="2" t="s">
        <v>2209</v>
      </c>
      <c r="D1700" s="2" t="s">
        <v>10</v>
      </c>
      <c r="E1700" s="2" t="s">
        <v>11</v>
      </c>
      <c r="F1700" s="2" t="s">
        <v>50</v>
      </c>
      <c r="G1700" s="2" t="s">
        <v>86</v>
      </c>
      <c r="H1700" s="2" t="s">
        <v>1463</v>
      </c>
      <c r="I1700" s="2" t="s">
        <v>2210</v>
      </c>
    </row>
    <row r="1701" spans="1:9" ht="14.5" x14ac:dyDescent="0.35">
      <c r="A1701" s="2">
        <v>2539644</v>
      </c>
      <c r="B1701" s="2" t="str">
        <f>"3173031906550002"</f>
        <v>3173031906550002</v>
      </c>
      <c r="C1701" s="2" t="s">
        <v>2211</v>
      </c>
      <c r="D1701" s="2" t="s">
        <v>17</v>
      </c>
      <c r="E1701" s="2" t="s">
        <v>11</v>
      </c>
      <c r="F1701" s="2" t="s">
        <v>18</v>
      </c>
      <c r="G1701" s="2" t="s">
        <v>19</v>
      </c>
      <c r="H1701" s="2" t="s">
        <v>1394</v>
      </c>
      <c r="I1701" s="2" t="s">
        <v>2212</v>
      </c>
    </row>
    <row r="1702" spans="1:9" ht="14.5" x14ac:dyDescent="0.35">
      <c r="A1702" s="2">
        <v>61660</v>
      </c>
      <c r="B1702" s="2" t="str">
        <f>"3173045205880009"</f>
        <v>3173045205880009</v>
      </c>
      <c r="C1702" s="2" t="s">
        <v>2213</v>
      </c>
      <c r="D1702" s="2" t="s">
        <v>10</v>
      </c>
      <c r="E1702" s="2" t="s">
        <v>11</v>
      </c>
      <c r="F1702" s="2" t="s">
        <v>667</v>
      </c>
      <c r="G1702" s="2" t="s">
        <v>2214</v>
      </c>
      <c r="H1702" s="2" t="s">
        <v>2215</v>
      </c>
      <c r="I1702" s="2" t="s">
        <v>2216</v>
      </c>
    </row>
    <row r="1703" spans="1:9" ht="14.5" x14ac:dyDescent="0.35">
      <c r="A1703" s="2">
        <v>2539535</v>
      </c>
      <c r="B1703" s="2" t="str">
        <f>"3173045205880009"</f>
        <v>3173045205880009</v>
      </c>
      <c r="C1703" s="2" t="s">
        <v>2217</v>
      </c>
      <c r="D1703" s="2" t="s">
        <v>17</v>
      </c>
      <c r="E1703" s="2" t="s">
        <v>11</v>
      </c>
      <c r="F1703" s="2" t="s">
        <v>18</v>
      </c>
      <c r="G1703" s="2" t="s">
        <v>19</v>
      </c>
      <c r="H1703" s="2" t="s">
        <v>1394</v>
      </c>
      <c r="I1703" s="2" t="s">
        <v>2212</v>
      </c>
    </row>
    <row r="1704" spans="1:9" ht="14.5" x14ac:dyDescent="0.35">
      <c r="A1704" s="2">
        <v>1174115</v>
      </c>
      <c r="B1704" s="2" t="str">
        <f>"3173050203780005"</f>
        <v>3173050203780005</v>
      </c>
      <c r="C1704" s="2" t="s">
        <v>2218</v>
      </c>
      <c r="D1704" s="2" t="s">
        <v>10</v>
      </c>
      <c r="E1704" s="2" t="s">
        <v>11</v>
      </c>
      <c r="F1704" s="2" t="s">
        <v>50</v>
      </c>
      <c r="G1704" s="2" t="s">
        <v>86</v>
      </c>
      <c r="H1704" s="2" t="s">
        <v>313</v>
      </c>
      <c r="I1704" s="2" t="s">
        <v>2219</v>
      </c>
    </row>
    <row r="1705" spans="1:9" ht="14.5" x14ac:dyDescent="0.35">
      <c r="A1705" s="2">
        <v>2540715</v>
      </c>
      <c r="B1705" s="2" t="str">
        <f>"3173050203780005"</f>
        <v>3173050203780005</v>
      </c>
      <c r="C1705" s="2" t="s">
        <v>2220</v>
      </c>
      <c r="D1705" s="2" t="s">
        <v>10</v>
      </c>
      <c r="E1705" s="2" t="s">
        <v>57</v>
      </c>
      <c r="F1705" s="2" t="s">
        <v>18</v>
      </c>
      <c r="G1705" s="2" t="s">
        <v>19</v>
      </c>
      <c r="H1705" s="2" t="s">
        <v>1394</v>
      </c>
      <c r="I1705" s="2" t="s">
        <v>1395</v>
      </c>
    </row>
    <row r="1706" spans="1:9" ht="14.5" x14ac:dyDescent="0.35">
      <c r="A1706" s="2">
        <v>1050317</v>
      </c>
      <c r="B1706" s="2" t="str">
        <f>"3174022206870002"</f>
        <v>3174022206870002</v>
      </c>
      <c r="C1706" s="2" t="s">
        <v>2221</v>
      </c>
      <c r="D1706" s="2" t="s">
        <v>10</v>
      </c>
      <c r="E1706" s="2" t="s">
        <v>11</v>
      </c>
      <c r="F1706" s="2" t="s">
        <v>50</v>
      </c>
      <c r="G1706" s="2" t="s">
        <v>72</v>
      </c>
      <c r="H1706" s="2" t="s">
        <v>703</v>
      </c>
      <c r="I1706" s="2" t="s">
        <v>2222</v>
      </c>
    </row>
    <row r="1707" spans="1:9" ht="14.5" x14ac:dyDescent="0.35">
      <c r="A1707" s="2">
        <v>2540666</v>
      </c>
      <c r="B1707" s="2" t="str">
        <f>"3174022206870002"</f>
        <v>3174022206870002</v>
      </c>
      <c r="C1707" s="2" t="s">
        <v>2223</v>
      </c>
      <c r="D1707" s="2" t="s">
        <v>10</v>
      </c>
      <c r="E1707" s="2" t="s">
        <v>57</v>
      </c>
      <c r="F1707" s="2" t="s">
        <v>18</v>
      </c>
      <c r="G1707" s="2" t="s">
        <v>19</v>
      </c>
      <c r="H1707" s="2" t="s">
        <v>1394</v>
      </c>
      <c r="I1707" s="2" t="s">
        <v>1395</v>
      </c>
    </row>
    <row r="1708" spans="1:9" ht="14.5" x14ac:dyDescent="0.35">
      <c r="A1708" s="2">
        <v>370137</v>
      </c>
      <c r="B1708" s="2" t="str">
        <f>"3174030105670003"</f>
        <v>3174030105670003</v>
      </c>
      <c r="C1708" s="2" t="s">
        <v>2224</v>
      </c>
      <c r="D1708" s="2" t="s">
        <v>10</v>
      </c>
      <c r="E1708" s="2" t="s">
        <v>11</v>
      </c>
      <c r="F1708" s="2" t="s">
        <v>50</v>
      </c>
      <c r="G1708" s="2" t="s">
        <v>72</v>
      </c>
      <c r="H1708" s="2" t="s">
        <v>246</v>
      </c>
      <c r="I1708" s="2" t="s">
        <v>2185</v>
      </c>
    </row>
    <row r="1709" spans="1:9" ht="14.5" x14ac:dyDescent="0.35">
      <c r="A1709" s="2">
        <v>2539758</v>
      </c>
      <c r="B1709" s="2" t="str">
        <f>"3174030105670003"</f>
        <v>3174030105670003</v>
      </c>
      <c r="C1709" s="2" t="s">
        <v>2224</v>
      </c>
      <c r="D1709" s="2" t="s">
        <v>17</v>
      </c>
      <c r="E1709" s="2" t="s">
        <v>11</v>
      </c>
      <c r="F1709" s="2" t="s">
        <v>18</v>
      </c>
      <c r="G1709" s="2" t="s">
        <v>19</v>
      </c>
      <c r="H1709" s="2" t="s">
        <v>1394</v>
      </c>
      <c r="I1709" s="2" t="s">
        <v>2172</v>
      </c>
    </row>
    <row r="1710" spans="1:9" ht="14.5" x14ac:dyDescent="0.35">
      <c r="A1710" s="2">
        <v>1656576</v>
      </c>
      <c r="B1710" s="2" t="str">
        <f>"3174031102860007"</f>
        <v>3174031102860007</v>
      </c>
      <c r="C1710" s="2" t="s">
        <v>2225</v>
      </c>
      <c r="D1710" s="2" t="s">
        <v>10</v>
      </c>
      <c r="E1710" s="2" t="s">
        <v>11</v>
      </c>
      <c r="F1710" s="2" t="s">
        <v>50</v>
      </c>
      <c r="G1710" s="2" t="s">
        <v>72</v>
      </c>
      <c r="H1710" s="2" t="s">
        <v>1172</v>
      </c>
      <c r="I1710" s="2" t="s">
        <v>1173</v>
      </c>
    </row>
    <row r="1711" spans="1:9" ht="14.5" x14ac:dyDescent="0.35">
      <c r="A1711" s="2">
        <v>2539886</v>
      </c>
      <c r="B1711" s="2" t="str">
        <f>"3174031102860007"</f>
        <v>3174031102860007</v>
      </c>
      <c r="C1711" s="2" t="s">
        <v>2225</v>
      </c>
      <c r="D1711" s="2" t="s">
        <v>17</v>
      </c>
      <c r="E1711" s="2" t="s">
        <v>11</v>
      </c>
      <c r="F1711" s="2" t="s">
        <v>18</v>
      </c>
      <c r="G1711" s="2" t="s">
        <v>19</v>
      </c>
      <c r="H1711" s="2" t="s">
        <v>1394</v>
      </c>
      <c r="I1711" s="2" t="s">
        <v>2187</v>
      </c>
    </row>
    <row r="1712" spans="1:9" ht="14.5" x14ac:dyDescent="0.35">
      <c r="A1712" s="2">
        <v>1651336</v>
      </c>
      <c r="B1712" s="2" t="str">
        <f>"3174031608011002"</f>
        <v>3174031608011002</v>
      </c>
      <c r="C1712" s="2" t="s">
        <v>2226</v>
      </c>
      <c r="D1712" s="2" t="s">
        <v>10</v>
      </c>
      <c r="E1712" s="2" t="s">
        <v>11</v>
      </c>
      <c r="F1712" s="2" t="s">
        <v>50</v>
      </c>
      <c r="G1712" s="2" t="s">
        <v>72</v>
      </c>
      <c r="H1712" s="2" t="s">
        <v>1172</v>
      </c>
      <c r="I1712" s="2" t="s">
        <v>1173</v>
      </c>
    </row>
    <row r="1713" spans="1:9" ht="14.5" x14ac:dyDescent="0.35">
      <c r="A1713" s="2">
        <v>2539697</v>
      </c>
      <c r="B1713" s="2" t="str">
        <f>"3174031608011002"</f>
        <v>3174031608011002</v>
      </c>
      <c r="C1713" s="2" t="s">
        <v>2226</v>
      </c>
      <c r="D1713" s="2" t="s">
        <v>17</v>
      </c>
      <c r="E1713" s="2" t="s">
        <v>11</v>
      </c>
      <c r="F1713" s="2" t="s">
        <v>18</v>
      </c>
      <c r="G1713" s="2" t="s">
        <v>19</v>
      </c>
      <c r="H1713" s="2" t="s">
        <v>1394</v>
      </c>
      <c r="I1713" s="2" t="s">
        <v>2212</v>
      </c>
    </row>
    <row r="1714" spans="1:9" ht="14.5" x14ac:dyDescent="0.35">
      <c r="A1714" s="2">
        <v>1785768</v>
      </c>
      <c r="B1714" s="2" t="str">
        <f>"3174031908720007"</f>
        <v>3174031908720007</v>
      </c>
      <c r="C1714" s="2" t="s">
        <v>2227</v>
      </c>
      <c r="D1714" s="2" t="s">
        <v>10</v>
      </c>
      <c r="E1714" s="2" t="s">
        <v>11</v>
      </c>
      <c r="F1714" s="2" t="s">
        <v>50</v>
      </c>
      <c r="G1714" s="2" t="s">
        <v>72</v>
      </c>
      <c r="H1714" s="2" t="s">
        <v>1172</v>
      </c>
      <c r="I1714" s="2" t="s">
        <v>2228</v>
      </c>
    </row>
    <row r="1715" spans="1:9" ht="14.5" x14ac:dyDescent="0.35">
      <c r="A1715" s="2">
        <v>2540185</v>
      </c>
      <c r="B1715" s="2" t="str">
        <f>"3174031908720007"</f>
        <v>3174031908720007</v>
      </c>
      <c r="C1715" s="2" t="s">
        <v>2227</v>
      </c>
      <c r="D1715" s="2" t="s">
        <v>17</v>
      </c>
      <c r="E1715" s="2" t="s">
        <v>11</v>
      </c>
      <c r="F1715" s="2" t="s">
        <v>18</v>
      </c>
      <c r="G1715" s="2" t="s">
        <v>19</v>
      </c>
      <c r="H1715" s="2" t="s">
        <v>1394</v>
      </c>
      <c r="I1715" s="2" t="s">
        <v>674</v>
      </c>
    </row>
    <row r="1716" spans="1:9" ht="14.5" x14ac:dyDescent="0.35">
      <c r="A1716" s="2">
        <v>1663139</v>
      </c>
      <c r="B1716" s="2" t="str">
        <f>"3174032010051003"</f>
        <v>3174032010051003</v>
      </c>
      <c r="C1716" s="2" t="s">
        <v>2229</v>
      </c>
      <c r="D1716" s="2" t="s">
        <v>10</v>
      </c>
      <c r="E1716" s="2" t="s">
        <v>11</v>
      </c>
      <c r="F1716" s="2" t="s">
        <v>50</v>
      </c>
      <c r="G1716" s="2" t="s">
        <v>72</v>
      </c>
      <c r="H1716" s="2" t="s">
        <v>1172</v>
      </c>
      <c r="I1716" s="2" t="s">
        <v>2230</v>
      </c>
    </row>
    <row r="1717" spans="1:9" ht="14.5" x14ac:dyDescent="0.35">
      <c r="A1717" s="2">
        <v>1826438</v>
      </c>
      <c r="B1717" s="2" t="str">
        <f>"3174032010051003"</f>
        <v>3174032010051003</v>
      </c>
      <c r="C1717" s="2" t="s">
        <v>2231</v>
      </c>
      <c r="D1717" s="2" t="s">
        <v>189</v>
      </c>
      <c r="E1717" s="2" t="s">
        <v>11</v>
      </c>
      <c r="F1717" s="2" t="s">
        <v>18</v>
      </c>
      <c r="G1717" s="2" t="s">
        <v>19</v>
      </c>
      <c r="H1717" s="2" t="s">
        <v>1394</v>
      </c>
      <c r="I1717" s="2" t="s">
        <v>2172</v>
      </c>
    </row>
    <row r="1718" spans="1:9" ht="14.5" x14ac:dyDescent="0.35">
      <c r="A1718" s="2">
        <v>370139</v>
      </c>
      <c r="B1718" s="2" t="str">
        <f>"3174032202920004"</f>
        <v>3174032202920004</v>
      </c>
      <c r="C1718" s="2" t="s">
        <v>2232</v>
      </c>
      <c r="D1718" s="2" t="s">
        <v>10</v>
      </c>
      <c r="E1718" s="2" t="s">
        <v>11</v>
      </c>
      <c r="F1718" s="2" t="s">
        <v>50</v>
      </c>
      <c r="G1718" s="2" t="s">
        <v>72</v>
      </c>
      <c r="H1718" s="2" t="s">
        <v>246</v>
      </c>
      <c r="I1718" s="2" t="s">
        <v>2185</v>
      </c>
    </row>
    <row r="1719" spans="1:9" ht="14.5" x14ac:dyDescent="0.35">
      <c r="A1719" s="2">
        <v>2539752</v>
      </c>
      <c r="B1719" s="2" t="str">
        <f>"3174032202920004"</f>
        <v>3174032202920004</v>
      </c>
      <c r="C1719" s="2" t="s">
        <v>2232</v>
      </c>
      <c r="D1719" s="2" t="s">
        <v>17</v>
      </c>
      <c r="E1719" s="2" t="s">
        <v>11</v>
      </c>
      <c r="F1719" s="2" t="s">
        <v>18</v>
      </c>
      <c r="G1719" s="2" t="s">
        <v>19</v>
      </c>
      <c r="H1719" s="2" t="s">
        <v>1394</v>
      </c>
      <c r="I1719" s="2" t="s">
        <v>2172</v>
      </c>
    </row>
    <row r="1720" spans="1:9" ht="14.5" x14ac:dyDescent="0.35">
      <c r="A1720" s="2">
        <v>1821300</v>
      </c>
      <c r="B1720" s="2" t="str">
        <f>"3174032706991002"</f>
        <v>3174032706991002</v>
      </c>
      <c r="C1720" s="2" t="s">
        <v>2233</v>
      </c>
      <c r="D1720" s="2" t="s">
        <v>10</v>
      </c>
      <c r="E1720" s="2" t="s">
        <v>11</v>
      </c>
      <c r="F1720" s="2" t="s">
        <v>18</v>
      </c>
      <c r="G1720" s="2" t="s">
        <v>19</v>
      </c>
      <c r="H1720" s="2" t="s">
        <v>1394</v>
      </c>
      <c r="I1720" s="2" t="s">
        <v>2212</v>
      </c>
    </row>
    <row r="1721" spans="1:9" ht="14.5" x14ac:dyDescent="0.35">
      <c r="A1721" s="2">
        <v>1802899</v>
      </c>
      <c r="B1721" s="2" t="str">
        <f>"3174032706991002"</f>
        <v>3174032706991002</v>
      </c>
      <c r="C1721" s="2" t="s">
        <v>2233</v>
      </c>
      <c r="D1721" s="2" t="s">
        <v>17</v>
      </c>
      <c r="E1721" s="2" t="s">
        <v>11</v>
      </c>
      <c r="F1721" s="2" t="s">
        <v>50</v>
      </c>
      <c r="G1721" s="2" t="s">
        <v>72</v>
      </c>
      <c r="H1721" s="2" t="s">
        <v>1172</v>
      </c>
      <c r="I1721" s="2" t="s">
        <v>1173</v>
      </c>
    </row>
    <row r="1722" spans="1:9" ht="14.5" x14ac:dyDescent="0.35">
      <c r="A1722" s="2">
        <v>1641527</v>
      </c>
      <c r="B1722" s="2" t="str">
        <f>"3174032909860008"</f>
        <v>3174032909860008</v>
      </c>
      <c r="C1722" s="2" t="s">
        <v>2234</v>
      </c>
      <c r="D1722" s="2" t="s">
        <v>10</v>
      </c>
      <c r="E1722" s="2" t="s">
        <v>11</v>
      </c>
      <c r="F1722" s="2" t="s">
        <v>50</v>
      </c>
      <c r="G1722" s="2" t="s">
        <v>72</v>
      </c>
      <c r="H1722" s="2" t="s">
        <v>1172</v>
      </c>
      <c r="I1722" s="2" t="s">
        <v>1173</v>
      </c>
    </row>
    <row r="1723" spans="1:9" ht="14.5" x14ac:dyDescent="0.35">
      <c r="A1723" s="2">
        <v>2540354</v>
      </c>
      <c r="B1723" s="2" t="str">
        <f>"3174032909860008"</f>
        <v>3174032909860008</v>
      </c>
      <c r="C1723" s="2" t="s">
        <v>2234</v>
      </c>
      <c r="D1723" s="2" t="s">
        <v>17</v>
      </c>
      <c r="E1723" s="2" t="s">
        <v>11</v>
      </c>
      <c r="F1723" s="2" t="s">
        <v>18</v>
      </c>
      <c r="G1723" s="2" t="s">
        <v>19</v>
      </c>
      <c r="H1723" s="2" t="s">
        <v>1394</v>
      </c>
      <c r="I1723" s="2" t="s">
        <v>2235</v>
      </c>
    </row>
    <row r="1724" spans="1:9" ht="14.5" x14ac:dyDescent="0.35">
      <c r="A1724" s="2">
        <v>1651338</v>
      </c>
      <c r="B1724" s="2" t="str">
        <f>"3174033012710005"</f>
        <v>3174033012710005</v>
      </c>
      <c r="C1724" s="2" t="s">
        <v>2236</v>
      </c>
      <c r="D1724" s="2" t="s">
        <v>10</v>
      </c>
      <c r="E1724" s="2" t="s">
        <v>11</v>
      </c>
      <c r="F1724" s="2" t="s">
        <v>50</v>
      </c>
      <c r="G1724" s="2" t="s">
        <v>72</v>
      </c>
      <c r="H1724" s="2" t="s">
        <v>1172</v>
      </c>
      <c r="I1724" s="2" t="s">
        <v>1173</v>
      </c>
    </row>
    <row r="1725" spans="1:9" ht="14.5" x14ac:dyDescent="0.35">
      <c r="A1725" s="2">
        <v>2539695</v>
      </c>
      <c r="B1725" s="2" t="str">
        <f>"3174033012710005"</f>
        <v>3174033012710005</v>
      </c>
      <c r="C1725" s="2" t="s">
        <v>2236</v>
      </c>
      <c r="D1725" s="2" t="s">
        <v>17</v>
      </c>
      <c r="E1725" s="2" t="s">
        <v>11</v>
      </c>
      <c r="F1725" s="2" t="s">
        <v>18</v>
      </c>
      <c r="G1725" s="2" t="s">
        <v>19</v>
      </c>
      <c r="H1725" s="2" t="s">
        <v>1394</v>
      </c>
      <c r="I1725" s="2" t="s">
        <v>2212</v>
      </c>
    </row>
    <row r="1726" spans="1:9" ht="14.5" x14ac:dyDescent="0.35">
      <c r="A1726" s="2">
        <v>1666050</v>
      </c>
      <c r="B1726" s="2" t="str">
        <f>"3174035206550004"</f>
        <v>3174035206550004</v>
      </c>
      <c r="C1726" s="2" t="s">
        <v>2237</v>
      </c>
      <c r="D1726" s="2" t="s">
        <v>10</v>
      </c>
      <c r="E1726" s="2" t="s">
        <v>11</v>
      </c>
      <c r="F1726" s="2" t="s">
        <v>50</v>
      </c>
      <c r="G1726" s="2" t="s">
        <v>72</v>
      </c>
      <c r="H1726" s="2" t="s">
        <v>1172</v>
      </c>
      <c r="I1726" s="2" t="s">
        <v>2230</v>
      </c>
    </row>
    <row r="1727" spans="1:9" ht="14.5" x14ac:dyDescent="0.35">
      <c r="A1727" s="2">
        <v>2538812</v>
      </c>
      <c r="B1727" s="2" t="str">
        <f>"3174035206550004"</f>
        <v>3174035206550004</v>
      </c>
      <c r="C1727" s="2" t="s">
        <v>2237</v>
      </c>
      <c r="D1727" s="2" t="s">
        <v>17</v>
      </c>
      <c r="E1727" s="2" t="s">
        <v>11</v>
      </c>
      <c r="F1727" s="2" t="s">
        <v>18</v>
      </c>
      <c r="G1727" s="2" t="s">
        <v>19</v>
      </c>
      <c r="H1727" s="2" t="s">
        <v>1394</v>
      </c>
      <c r="I1727" s="2" t="s">
        <v>2238</v>
      </c>
    </row>
    <row r="1728" spans="1:9" ht="14.5" x14ac:dyDescent="0.35">
      <c r="A1728" s="2">
        <v>1651337</v>
      </c>
      <c r="B1728" s="2" t="str">
        <f>"3174035404031006"</f>
        <v>3174035404031006</v>
      </c>
      <c r="C1728" s="2" t="s">
        <v>2239</v>
      </c>
      <c r="D1728" s="2" t="s">
        <v>10</v>
      </c>
      <c r="E1728" s="2" t="s">
        <v>11</v>
      </c>
      <c r="F1728" s="2" t="s">
        <v>50</v>
      </c>
      <c r="G1728" s="2" t="s">
        <v>72</v>
      </c>
      <c r="H1728" s="2" t="s">
        <v>1172</v>
      </c>
      <c r="I1728" s="2" t="s">
        <v>1173</v>
      </c>
    </row>
    <row r="1729" spans="1:9" ht="14.5" x14ac:dyDescent="0.35">
      <c r="A1729" s="2">
        <v>2539696</v>
      </c>
      <c r="B1729" s="2" t="str">
        <f>"3174035404031006"</f>
        <v>3174035404031006</v>
      </c>
      <c r="C1729" s="2" t="s">
        <v>2239</v>
      </c>
      <c r="D1729" s="2" t="s">
        <v>17</v>
      </c>
      <c r="E1729" s="2" t="s">
        <v>11</v>
      </c>
      <c r="F1729" s="2" t="s">
        <v>18</v>
      </c>
      <c r="G1729" s="2" t="s">
        <v>19</v>
      </c>
      <c r="H1729" s="2" t="s">
        <v>1394</v>
      </c>
      <c r="I1729" s="2" t="s">
        <v>2212</v>
      </c>
    </row>
    <row r="1730" spans="1:9" ht="14.5" x14ac:dyDescent="0.35">
      <c r="A1730" s="2">
        <v>370398</v>
      </c>
      <c r="B1730" s="2" t="str">
        <f>"3174036104990003"</f>
        <v>3174036104990003</v>
      </c>
      <c r="C1730" s="2" t="s">
        <v>2240</v>
      </c>
      <c r="D1730" s="2" t="s">
        <v>10</v>
      </c>
      <c r="E1730" s="2" t="s">
        <v>11</v>
      </c>
      <c r="F1730" s="2" t="s">
        <v>50</v>
      </c>
      <c r="G1730" s="2" t="s">
        <v>72</v>
      </c>
      <c r="H1730" s="2" t="s">
        <v>246</v>
      </c>
      <c r="I1730" s="2" t="s">
        <v>2185</v>
      </c>
    </row>
    <row r="1731" spans="1:9" ht="14.5" x14ac:dyDescent="0.35">
      <c r="A1731" s="2">
        <v>2539753</v>
      </c>
      <c r="B1731" s="2" t="str">
        <f>"3174036104990003"</f>
        <v>3174036104990003</v>
      </c>
      <c r="C1731" s="2" t="s">
        <v>2240</v>
      </c>
      <c r="D1731" s="2" t="s">
        <v>17</v>
      </c>
      <c r="E1731" s="2" t="s">
        <v>11</v>
      </c>
      <c r="F1731" s="2" t="s">
        <v>18</v>
      </c>
      <c r="G1731" s="2" t="s">
        <v>19</v>
      </c>
      <c r="H1731" s="2" t="s">
        <v>1394</v>
      </c>
      <c r="I1731" s="2" t="s">
        <v>2172</v>
      </c>
    </row>
    <row r="1732" spans="1:9" ht="14.5" x14ac:dyDescent="0.35">
      <c r="A1732" s="2">
        <v>449114</v>
      </c>
      <c r="B1732" s="2" t="str">
        <f>"3174046707751001"</f>
        <v>3174046707751001</v>
      </c>
      <c r="C1732" s="2" t="s">
        <v>2241</v>
      </c>
      <c r="D1732" s="2" t="s">
        <v>10</v>
      </c>
      <c r="E1732" s="2" t="s">
        <v>11</v>
      </c>
      <c r="F1732" s="2" t="s">
        <v>50</v>
      </c>
      <c r="G1732" s="2" t="s">
        <v>72</v>
      </c>
      <c r="H1732" s="2" t="s">
        <v>73</v>
      </c>
      <c r="I1732" s="2" t="s">
        <v>2242</v>
      </c>
    </row>
    <row r="1733" spans="1:9" ht="14.5" x14ac:dyDescent="0.35">
      <c r="A1733" s="2">
        <v>2540157</v>
      </c>
      <c r="B1733" s="2" t="str">
        <f>"3174046707751001"</f>
        <v>3174046707751001</v>
      </c>
      <c r="C1733" s="2" t="s">
        <v>2241</v>
      </c>
      <c r="D1733" s="2" t="s">
        <v>17</v>
      </c>
      <c r="E1733" s="2" t="s">
        <v>11</v>
      </c>
      <c r="F1733" s="2" t="s">
        <v>18</v>
      </c>
      <c r="G1733" s="2" t="s">
        <v>19</v>
      </c>
      <c r="H1733" s="2" t="s">
        <v>1394</v>
      </c>
      <c r="I1733" s="2" t="s">
        <v>674</v>
      </c>
    </row>
    <row r="1734" spans="1:9" ht="14.5" x14ac:dyDescent="0.35">
      <c r="A1734" s="2">
        <v>734245</v>
      </c>
      <c r="B1734" s="2" t="str">
        <f>"3174050505740011"</f>
        <v>3174050505740011</v>
      </c>
      <c r="C1734" s="2" t="s">
        <v>2243</v>
      </c>
      <c r="D1734" s="2" t="s">
        <v>10</v>
      </c>
      <c r="E1734" s="2" t="s">
        <v>11</v>
      </c>
      <c r="F1734" s="2" t="s">
        <v>50</v>
      </c>
      <c r="G1734" s="2" t="s">
        <v>72</v>
      </c>
      <c r="H1734" s="2" t="s">
        <v>803</v>
      </c>
      <c r="I1734" s="2" t="s">
        <v>2244</v>
      </c>
    </row>
    <row r="1735" spans="1:9" ht="14.5" x14ac:dyDescent="0.35">
      <c r="A1735" s="2">
        <v>2540619</v>
      </c>
      <c r="B1735" s="2" t="str">
        <f>"3174050505740011"</f>
        <v>3174050505740011</v>
      </c>
      <c r="C1735" s="2" t="s">
        <v>2243</v>
      </c>
      <c r="D1735" s="2" t="s">
        <v>17</v>
      </c>
      <c r="E1735" s="2" t="s">
        <v>11</v>
      </c>
      <c r="F1735" s="2" t="s">
        <v>18</v>
      </c>
      <c r="G1735" s="2" t="s">
        <v>19</v>
      </c>
      <c r="H1735" s="2" t="s">
        <v>1394</v>
      </c>
      <c r="I1735" s="2" t="s">
        <v>1395</v>
      </c>
    </row>
    <row r="1736" spans="1:9" ht="14.5" x14ac:dyDescent="0.35">
      <c r="A1736" s="2">
        <v>779500</v>
      </c>
      <c r="B1736" s="2" t="str">
        <f>"3174050903910001"</f>
        <v>3174050903910001</v>
      </c>
      <c r="C1736" s="2" t="s">
        <v>1292</v>
      </c>
      <c r="D1736" s="2" t="s">
        <v>10</v>
      </c>
      <c r="E1736" s="2" t="s">
        <v>11</v>
      </c>
      <c r="F1736" s="2" t="s">
        <v>50</v>
      </c>
      <c r="G1736" s="2" t="s">
        <v>72</v>
      </c>
      <c r="H1736" s="2" t="s">
        <v>803</v>
      </c>
      <c r="I1736" s="2" t="s">
        <v>2244</v>
      </c>
    </row>
    <row r="1737" spans="1:9" ht="14.5" x14ac:dyDescent="0.35">
      <c r="A1737" s="2">
        <v>2539245</v>
      </c>
      <c r="B1737" s="2" t="str">
        <f>"3174050903910001"</f>
        <v>3174050903910001</v>
      </c>
      <c r="C1737" s="2" t="s">
        <v>1292</v>
      </c>
      <c r="D1737" s="2" t="s">
        <v>17</v>
      </c>
      <c r="E1737" s="2" t="s">
        <v>11</v>
      </c>
      <c r="F1737" s="2" t="s">
        <v>18</v>
      </c>
      <c r="G1737" s="2" t="s">
        <v>19</v>
      </c>
      <c r="H1737" s="2" t="s">
        <v>1394</v>
      </c>
      <c r="I1737" s="2" t="s">
        <v>2161</v>
      </c>
    </row>
    <row r="1738" spans="1:9" ht="14.5" x14ac:dyDescent="0.35">
      <c r="A1738" s="2">
        <v>1154320</v>
      </c>
      <c r="B1738" s="2" t="str">
        <f>"3174055507500005"</f>
        <v>3174055507500005</v>
      </c>
      <c r="C1738" s="2" t="s">
        <v>2245</v>
      </c>
      <c r="D1738" s="2" t="s">
        <v>10</v>
      </c>
      <c r="E1738" s="2" t="s">
        <v>11</v>
      </c>
      <c r="F1738" s="2" t="s">
        <v>50</v>
      </c>
      <c r="G1738" s="2" t="s">
        <v>72</v>
      </c>
      <c r="H1738" s="2" t="s">
        <v>803</v>
      </c>
      <c r="I1738" s="2" t="s">
        <v>2246</v>
      </c>
    </row>
    <row r="1739" spans="1:9" ht="14.5" x14ac:dyDescent="0.35">
      <c r="A1739" s="2">
        <v>2540607</v>
      </c>
      <c r="B1739" s="2" t="str">
        <f>"3174055507500005"</f>
        <v>3174055507500005</v>
      </c>
      <c r="C1739" s="2" t="s">
        <v>2245</v>
      </c>
      <c r="D1739" s="2" t="s">
        <v>17</v>
      </c>
      <c r="E1739" s="2" t="s">
        <v>11</v>
      </c>
      <c r="F1739" s="2" t="s">
        <v>18</v>
      </c>
      <c r="G1739" s="2" t="s">
        <v>19</v>
      </c>
      <c r="H1739" s="2" t="s">
        <v>1394</v>
      </c>
      <c r="I1739" s="2" t="s">
        <v>1395</v>
      </c>
    </row>
    <row r="1740" spans="1:9" ht="14.5" x14ac:dyDescent="0.35">
      <c r="A1740" s="2">
        <v>806240</v>
      </c>
      <c r="B1740" s="2" t="str">
        <f>"3174070211730003"</f>
        <v>3174070211730003</v>
      </c>
      <c r="C1740" s="2" t="s">
        <v>2247</v>
      </c>
      <c r="D1740" s="2" t="s">
        <v>10</v>
      </c>
      <c r="E1740" s="2" t="s">
        <v>11</v>
      </c>
      <c r="F1740" s="2" t="s">
        <v>50</v>
      </c>
      <c r="G1740" s="2" t="s">
        <v>72</v>
      </c>
      <c r="H1740" s="2" t="s">
        <v>628</v>
      </c>
      <c r="I1740" s="2" t="s">
        <v>2248</v>
      </c>
    </row>
    <row r="1741" spans="1:9" ht="14.5" x14ac:dyDescent="0.35">
      <c r="A1741" s="2">
        <v>2540880</v>
      </c>
      <c r="B1741" s="2" t="str">
        <f>"3174070211730003"</f>
        <v>3174070211730003</v>
      </c>
      <c r="C1741" s="2" t="s">
        <v>2249</v>
      </c>
      <c r="D1741" s="2" t="s">
        <v>10</v>
      </c>
      <c r="E1741" s="2" t="s">
        <v>57</v>
      </c>
      <c r="F1741" s="2" t="s">
        <v>18</v>
      </c>
      <c r="G1741" s="2" t="s">
        <v>19</v>
      </c>
      <c r="H1741" s="2" t="s">
        <v>1394</v>
      </c>
      <c r="I1741" s="2" t="s">
        <v>1395</v>
      </c>
    </row>
    <row r="1742" spans="1:9" ht="14.5" x14ac:dyDescent="0.35">
      <c r="A1742" s="2">
        <v>1063282</v>
      </c>
      <c r="B1742" s="2" t="str">
        <f>"3174071102700001"</f>
        <v>3174071102700001</v>
      </c>
      <c r="C1742" s="2" t="s">
        <v>2250</v>
      </c>
      <c r="D1742" s="2" t="s">
        <v>10</v>
      </c>
      <c r="E1742" s="2" t="s">
        <v>11</v>
      </c>
      <c r="F1742" s="2" t="s">
        <v>50</v>
      </c>
      <c r="G1742" s="2" t="s">
        <v>72</v>
      </c>
      <c r="H1742" s="2" t="s">
        <v>628</v>
      </c>
      <c r="I1742" s="2" t="s">
        <v>2248</v>
      </c>
    </row>
    <row r="1743" spans="1:9" ht="14.5" x14ac:dyDescent="0.35">
      <c r="A1743" s="2">
        <v>2540506</v>
      </c>
      <c r="B1743" s="2" t="str">
        <f>"3174071102700001"</f>
        <v>3174071102700001</v>
      </c>
      <c r="C1743" s="2" t="s">
        <v>2250</v>
      </c>
      <c r="D1743" s="2" t="s">
        <v>17</v>
      </c>
      <c r="E1743" s="2" t="s">
        <v>11</v>
      </c>
      <c r="F1743" s="2" t="s">
        <v>18</v>
      </c>
      <c r="G1743" s="2" t="s">
        <v>19</v>
      </c>
      <c r="H1743" s="2" t="s">
        <v>1394</v>
      </c>
      <c r="I1743" s="2" t="s">
        <v>1395</v>
      </c>
    </row>
    <row r="1744" spans="1:9" ht="14.5" x14ac:dyDescent="0.35">
      <c r="A1744" s="2">
        <v>1366896</v>
      </c>
      <c r="B1744" s="2" t="str">
        <f>"3174071501850007"</f>
        <v>3174071501850007</v>
      </c>
      <c r="C1744" s="2" t="s">
        <v>2251</v>
      </c>
      <c r="D1744" s="2" t="s">
        <v>10</v>
      </c>
      <c r="E1744" s="2" t="s">
        <v>11</v>
      </c>
      <c r="F1744" s="2" t="s">
        <v>50</v>
      </c>
      <c r="G1744" s="2" t="s">
        <v>72</v>
      </c>
      <c r="H1744" s="2" t="s">
        <v>628</v>
      </c>
      <c r="I1744" s="2" t="s">
        <v>2252</v>
      </c>
    </row>
    <row r="1745" spans="1:9" ht="14.5" x14ac:dyDescent="0.35">
      <c r="A1745" s="2">
        <v>2540644</v>
      </c>
      <c r="B1745" s="2" t="str">
        <f>"3174071501850007"</f>
        <v>3174071501850007</v>
      </c>
      <c r="C1745" s="2" t="s">
        <v>2251</v>
      </c>
      <c r="D1745" s="2" t="s">
        <v>17</v>
      </c>
      <c r="E1745" s="2" t="s">
        <v>11</v>
      </c>
      <c r="F1745" s="2" t="s">
        <v>18</v>
      </c>
      <c r="G1745" s="2" t="s">
        <v>19</v>
      </c>
      <c r="H1745" s="2" t="s">
        <v>1394</v>
      </c>
      <c r="I1745" s="2" t="s">
        <v>1395</v>
      </c>
    </row>
    <row r="1746" spans="1:9" ht="14.5" x14ac:dyDescent="0.35">
      <c r="A1746" s="2">
        <v>1651339</v>
      </c>
      <c r="B1746" s="2" t="str">
        <f>"3174077112730019"</f>
        <v>3174077112730019</v>
      </c>
      <c r="C1746" s="2" t="s">
        <v>2253</v>
      </c>
      <c r="D1746" s="2" t="s">
        <v>10</v>
      </c>
      <c r="E1746" s="2" t="s">
        <v>11</v>
      </c>
      <c r="F1746" s="2" t="s">
        <v>50</v>
      </c>
      <c r="G1746" s="2" t="s">
        <v>72</v>
      </c>
      <c r="H1746" s="2" t="s">
        <v>1172</v>
      </c>
      <c r="I1746" s="2" t="s">
        <v>1173</v>
      </c>
    </row>
    <row r="1747" spans="1:9" ht="14.5" x14ac:dyDescent="0.35">
      <c r="A1747" s="2">
        <v>2539694</v>
      </c>
      <c r="B1747" s="2" t="str">
        <f>"3174077112730019"</f>
        <v>3174077112730019</v>
      </c>
      <c r="C1747" s="2" t="s">
        <v>2253</v>
      </c>
      <c r="D1747" s="2" t="s">
        <v>17</v>
      </c>
      <c r="E1747" s="2" t="s">
        <v>11</v>
      </c>
      <c r="F1747" s="2" t="s">
        <v>18</v>
      </c>
      <c r="G1747" s="2" t="s">
        <v>19</v>
      </c>
      <c r="H1747" s="2" t="s">
        <v>1394</v>
      </c>
      <c r="I1747" s="2" t="s">
        <v>2212</v>
      </c>
    </row>
    <row r="1748" spans="1:9" ht="14.5" x14ac:dyDescent="0.35">
      <c r="A1748" s="2">
        <v>366565</v>
      </c>
      <c r="B1748" s="2" t="str">
        <f>"3174083009011002"</f>
        <v>3174083009011002</v>
      </c>
      <c r="C1748" s="2" t="s">
        <v>2254</v>
      </c>
      <c r="D1748" s="2" t="s">
        <v>10</v>
      </c>
      <c r="E1748" s="2" t="s">
        <v>11</v>
      </c>
      <c r="F1748" s="2" t="s">
        <v>50</v>
      </c>
      <c r="G1748" s="2" t="s">
        <v>72</v>
      </c>
      <c r="H1748" s="2" t="s">
        <v>246</v>
      </c>
      <c r="I1748" s="2" t="s">
        <v>2185</v>
      </c>
    </row>
    <row r="1749" spans="1:9" ht="14.5" x14ac:dyDescent="0.35">
      <c r="A1749" s="2">
        <v>2539903</v>
      </c>
      <c r="B1749" s="2" t="str">
        <f>"3174083009011002"</f>
        <v>3174083009011002</v>
      </c>
      <c r="C1749" s="2" t="s">
        <v>2255</v>
      </c>
      <c r="D1749" s="2" t="s">
        <v>17</v>
      </c>
      <c r="E1749" s="2" t="s">
        <v>11</v>
      </c>
      <c r="F1749" s="2" t="s">
        <v>18</v>
      </c>
      <c r="G1749" s="2" t="s">
        <v>19</v>
      </c>
      <c r="H1749" s="2" t="s">
        <v>1394</v>
      </c>
      <c r="I1749" s="2" t="s">
        <v>2187</v>
      </c>
    </row>
    <row r="1750" spans="1:9" ht="14.5" x14ac:dyDescent="0.35">
      <c r="A1750" s="2">
        <v>2366710</v>
      </c>
      <c r="B1750" s="2" t="str">
        <f>"3175021306750008"</f>
        <v>3175021306750008</v>
      </c>
      <c r="C1750" s="2" t="s">
        <v>2256</v>
      </c>
      <c r="D1750" s="2" t="s">
        <v>10</v>
      </c>
      <c r="E1750" s="2" t="s">
        <v>11</v>
      </c>
      <c r="F1750" s="2" t="s">
        <v>50</v>
      </c>
      <c r="G1750" s="2" t="s">
        <v>58</v>
      </c>
      <c r="H1750" s="2" t="s">
        <v>417</v>
      </c>
      <c r="I1750" s="2" t="s">
        <v>59</v>
      </c>
    </row>
    <row r="1751" spans="1:9" ht="14.5" x14ac:dyDescent="0.35">
      <c r="A1751" s="2">
        <v>2540080</v>
      </c>
      <c r="B1751" s="2" t="str">
        <f>"3175021306750008"</f>
        <v>3175021306750008</v>
      </c>
      <c r="C1751" s="2" t="s">
        <v>2257</v>
      </c>
      <c r="D1751" s="2" t="s">
        <v>17</v>
      </c>
      <c r="E1751" s="2" t="s">
        <v>11</v>
      </c>
      <c r="F1751" s="2" t="s">
        <v>18</v>
      </c>
      <c r="G1751" s="2" t="s">
        <v>19</v>
      </c>
      <c r="H1751" s="2" t="s">
        <v>1394</v>
      </c>
      <c r="I1751" s="2" t="s">
        <v>2165</v>
      </c>
    </row>
    <row r="1752" spans="1:9" ht="14.5" x14ac:dyDescent="0.35">
      <c r="A1752" s="2">
        <v>2366711</v>
      </c>
      <c r="B1752" s="2" t="str">
        <f>"3175025812720011"</f>
        <v>3175025812720011</v>
      </c>
      <c r="C1752" s="2" t="s">
        <v>2258</v>
      </c>
      <c r="D1752" s="2" t="s">
        <v>10</v>
      </c>
      <c r="E1752" s="2" t="s">
        <v>11</v>
      </c>
      <c r="F1752" s="2" t="s">
        <v>50</v>
      </c>
      <c r="G1752" s="2" t="s">
        <v>58</v>
      </c>
      <c r="H1752" s="2" t="s">
        <v>417</v>
      </c>
      <c r="I1752" s="2" t="s">
        <v>59</v>
      </c>
    </row>
    <row r="1753" spans="1:9" ht="14.5" x14ac:dyDescent="0.35">
      <c r="A1753" s="2">
        <v>2540081</v>
      </c>
      <c r="B1753" s="2" t="str">
        <f>"3175025812720011"</f>
        <v>3175025812720011</v>
      </c>
      <c r="C1753" s="2" t="s">
        <v>2259</v>
      </c>
      <c r="D1753" s="2" t="s">
        <v>17</v>
      </c>
      <c r="E1753" s="2" t="s">
        <v>11</v>
      </c>
      <c r="F1753" s="2" t="s">
        <v>18</v>
      </c>
      <c r="G1753" s="2" t="s">
        <v>19</v>
      </c>
      <c r="H1753" s="2" t="s">
        <v>1394</v>
      </c>
      <c r="I1753" s="2" t="s">
        <v>2165</v>
      </c>
    </row>
    <row r="1754" spans="1:9" ht="14.5" x14ac:dyDescent="0.35">
      <c r="A1754" s="2">
        <v>84183</v>
      </c>
      <c r="B1754" s="2" t="str">
        <f>"3175030601730004"</f>
        <v>3175030601730004</v>
      </c>
      <c r="C1754" s="2" t="s">
        <v>2260</v>
      </c>
      <c r="D1754" s="2" t="s">
        <v>10</v>
      </c>
      <c r="E1754" s="2" t="s">
        <v>11</v>
      </c>
      <c r="F1754" s="2" t="s">
        <v>50</v>
      </c>
      <c r="G1754" s="2" t="s">
        <v>58</v>
      </c>
      <c r="H1754" s="2" t="s">
        <v>59</v>
      </c>
      <c r="I1754" s="2" t="s">
        <v>1069</v>
      </c>
    </row>
    <row r="1755" spans="1:9" ht="14.5" x14ac:dyDescent="0.35">
      <c r="A1755" s="2">
        <v>2539960</v>
      </c>
      <c r="B1755" s="2" t="str">
        <f>"3175030601730004"</f>
        <v>3175030601730004</v>
      </c>
      <c r="C1755" s="2" t="s">
        <v>2260</v>
      </c>
      <c r="D1755" s="2" t="s">
        <v>17</v>
      </c>
      <c r="E1755" s="2" t="s">
        <v>11</v>
      </c>
      <c r="F1755" s="2" t="s">
        <v>18</v>
      </c>
      <c r="G1755" s="2" t="s">
        <v>19</v>
      </c>
      <c r="H1755" s="2" t="s">
        <v>1394</v>
      </c>
      <c r="I1755" s="2" t="s">
        <v>2261</v>
      </c>
    </row>
    <row r="1756" spans="1:9" ht="14.5" x14ac:dyDescent="0.35">
      <c r="A1756" s="2">
        <v>2539329</v>
      </c>
      <c r="B1756" s="2" t="str">
        <f>"3175031111940002"</f>
        <v>3175031111940002</v>
      </c>
      <c r="C1756" s="2" t="s">
        <v>2262</v>
      </c>
      <c r="D1756" s="2" t="s">
        <v>17</v>
      </c>
      <c r="E1756" s="2" t="s">
        <v>11</v>
      </c>
      <c r="F1756" s="2" t="s">
        <v>18</v>
      </c>
      <c r="G1756" s="2" t="s">
        <v>19</v>
      </c>
      <c r="H1756" s="2" t="s">
        <v>1394</v>
      </c>
      <c r="I1756" s="2" t="s">
        <v>2161</v>
      </c>
    </row>
    <row r="1757" spans="1:9" ht="14.5" x14ac:dyDescent="0.35">
      <c r="A1757" s="2">
        <v>914838</v>
      </c>
      <c r="B1757" s="2" t="str">
        <f>"3175031111940002"</f>
        <v>3175031111940002</v>
      </c>
      <c r="C1757" s="2" t="s">
        <v>2262</v>
      </c>
      <c r="D1757" s="2" t="s">
        <v>10</v>
      </c>
      <c r="E1757" s="2" t="s">
        <v>11</v>
      </c>
      <c r="F1757" s="2" t="s">
        <v>50</v>
      </c>
      <c r="G1757" s="2" t="s">
        <v>58</v>
      </c>
      <c r="H1757" s="2" t="s">
        <v>59</v>
      </c>
      <c r="I1757" s="2" t="s">
        <v>824</v>
      </c>
    </row>
    <row r="1758" spans="1:9" ht="14.5" x14ac:dyDescent="0.35">
      <c r="A1758" s="2">
        <v>2540589</v>
      </c>
      <c r="B1758" s="2" t="str">
        <f>"3175031607690005"</f>
        <v>3175031607690005</v>
      </c>
      <c r="C1758" s="2" t="s">
        <v>2263</v>
      </c>
      <c r="D1758" s="2" t="s">
        <v>17</v>
      </c>
      <c r="E1758" s="2" t="s">
        <v>11</v>
      </c>
      <c r="F1758" s="2" t="s">
        <v>18</v>
      </c>
      <c r="G1758" s="2" t="s">
        <v>19</v>
      </c>
      <c r="H1758" s="2" t="s">
        <v>1394</v>
      </c>
      <c r="I1758" s="2" t="s">
        <v>1395</v>
      </c>
    </row>
    <row r="1759" spans="1:9" ht="14.5" x14ac:dyDescent="0.35">
      <c r="A1759" s="2">
        <v>627457</v>
      </c>
      <c r="B1759" s="2" t="str">
        <f>"3175031607690005"</f>
        <v>3175031607690005</v>
      </c>
      <c r="C1759" s="2" t="s">
        <v>2263</v>
      </c>
      <c r="D1759" s="2" t="s">
        <v>10</v>
      </c>
      <c r="E1759" s="2" t="s">
        <v>11</v>
      </c>
      <c r="F1759" s="2" t="s">
        <v>50</v>
      </c>
      <c r="G1759" s="2" t="s">
        <v>58</v>
      </c>
      <c r="H1759" s="2" t="s">
        <v>59</v>
      </c>
      <c r="I1759" s="2" t="s">
        <v>2264</v>
      </c>
    </row>
    <row r="1760" spans="1:9" ht="14.5" x14ac:dyDescent="0.35">
      <c r="A1760" s="2">
        <v>2540590</v>
      </c>
      <c r="B1760" s="2" t="str">
        <f>"3175035807760008"</f>
        <v>3175035807760008</v>
      </c>
      <c r="C1760" s="2" t="s">
        <v>2265</v>
      </c>
      <c r="D1760" s="2" t="s">
        <v>17</v>
      </c>
      <c r="E1760" s="2" t="s">
        <v>11</v>
      </c>
      <c r="F1760" s="2" t="s">
        <v>18</v>
      </c>
      <c r="G1760" s="2" t="s">
        <v>19</v>
      </c>
      <c r="H1760" s="2" t="s">
        <v>1394</v>
      </c>
      <c r="I1760" s="2" t="s">
        <v>1395</v>
      </c>
    </row>
    <row r="1761" spans="1:9" ht="14.5" x14ac:dyDescent="0.35">
      <c r="A1761" s="2">
        <v>627459</v>
      </c>
      <c r="B1761" s="2" t="str">
        <f>"3175035807760008"</f>
        <v>3175035807760008</v>
      </c>
      <c r="C1761" s="2" t="s">
        <v>2265</v>
      </c>
      <c r="D1761" s="2" t="s">
        <v>10</v>
      </c>
      <c r="E1761" s="2" t="s">
        <v>11</v>
      </c>
      <c r="F1761" s="2" t="s">
        <v>50</v>
      </c>
      <c r="G1761" s="2" t="s">
        <v>58</v>
      </c>
      <c r="H1761" s="2" t="s">
        <v>59</v>
      </c>
      <c r="I1761" s="2" t="s">
        <v>2264</v>
      </c>
    </row>
    <row r="1762" spans="1:9" ht="14.5" x14ac:dyDescent="0.35">
      <c r="A1762" s="2">
        <v>1734867</v>
      </c>
      <c r="B1762" s="2" t="str">
        <f>"3175052208740003"</f>
        <v>3175052208740003</v>
      </c>
      <c r="C1762" s="2" t="s">
        <v>2266</v>
      </c>
      <c r="D1762" s="2" t="s">
        <v>10</v>
      </c>
      <c r="E1762" s="2" t="s">
        <v>11</v>
      </c>
      <c r="F1762" s="2" t="s">
        <v>50</v>
      </c>
      <c r="G1762" s="2" t="s">
        <v>58</v>
      </c>
      <c r="H1762" s="2" t="s">
        <v>260</v>
      </c>
      <c r="I1762" s="2" t="s">
        <v>626</v>
      </c>
    </row>
    <row r="1763" spans="1:9" ht="14.5" x14ac:dyDescent="0.35">
      <c r="A1763" s="2">
        <v>2540676</v>
      </c>
      <c r="B1763" s="2" t="str">
        <f>"3175052208740003"</f>
        <v>3175052208740003</v>
      </c>
      <c r="C1763" s="2" t="s">
        <v>2267</v>
      </c>
      <c r="D1763" s="2" t="s">
        <v>10</v>
      </c>
      <c r="E1763" s="2" t="s">
        <v>57</v>
      </c>
      <c r="F1763" s="2" t="s">
        <v>18</v>
      </c>
      <c r="G1763" s="2" t="s">
        <v>19</v>
      </c>
      <c r="H1763" s="2" t="s">
        <v>1394</v>
      </c>
      <c r="I1763" s="2" t="s">
        <v>1395</v>
      </c>
    </row>
    <row r="1764" spans="1:9" ht="14.5" x14ac:dyDescent="0.35">
      <c r="A1764" s="2">
        <v>1508085</v>
      </c>
      <c r="B1764" s="2" t="str">
        <f>"3175064411970013"</f>
        <v>3175064411970013</v>
      </c>
      <c r="C1764" s="2" t="s">
        <v>2268</v>
      </c>
      <c r="D1764" s="2" t="s">
        <v>10</v>
      </c>
      <c r="E1764" s="2" t="s">
        <v>11</v>
      </c>
      <c r="F1764" s="2" t="s">
        <v>50</v>
      </c>
      <c r="G1764" s="2" t="s">
        <v>58</v>
      </c>
      <c r="H1764" s="2" t="s">
        <v>417</v>
      </c>
      <c r="I1764" s="2" t="s">
        <v>1936</v>
      </c>
    </row>
    <row r="1765" spans="1:9" ht="14.5" x14ac:dyDescent="0.35">
      <c r="A1765" s="2">
        <v>2539608</v>
      </c>
      <c r="B1765" s="2" t="str">
        <f>"3175064411970013"</f>
        <v>3175064411970013</v>
      </c>
      <c r="C1765" s="2" t="s">
        <v>2269</v>
      </c>
      <c r="D1765" s="2" t="s">
        <v>17</v>
      </c>
      <c r="E1765" s="2" t="s">
        <v>11</v>
      </c>
      <c r="F1765" s="2" t="s">
        <v>18</v>
      </c>
      <c r="G1765" s="2" t="s">
        <v>19</v>
      </c>
      <c r="H1765" s="2" t="s">
        <v>1394</v>
      </c>
      <c r="I1765" s="2" t="s">
        <v>2212</v>
      </c>
    </row>
    <row r="1766" spans="1:9" ht="14.5" x14ac:dyDescent="0.35">
      <c r="A1766" s="2">
        <v>1764753</v>
      </c>
      <c r="B1766" s="2" t="str">
        <f>"3175067012740017"</f>
        <v>3175067012740017</v>
      </c>
      <c r="C1766" s="2" t="s">
        <v>2270</v>
      </c>
      <c r="D1766" s="2" t="s">
        <v>10</v>
      </c>
      <c r="E1766" s="2" t="s">
        <v>11</v>
      </c>
      <c r="F1766" s="2" t="s">
        <v>50</v>
      </c>
      <c r="G1766" s="2" t="s">
        <v>58</v>
      </c>
      <c r="H1766" s="2" t="s">
        <v>417</v>
      </c>
      <c r="I1766" s="2" t="s">
        <v>2271</v>
      </c>
    </row>
    <row r="1767" spans="1:9" ht="14.5" x14ac:dyDescent="0.35">
      <c r="A1767" s="2">
        <v>2540033</v>
      </c>
      <c r="B1767" s="2" t="str">
        <f>"3175067012740017"</f>
        <v>3175067012740017</v>
      </c>
      <c r="C1767" s="2" t="s">
        <v>2270</v>
      </c>
      <c r="D1767" s="2" t="s">
        <v>17</v>
      </c>
      <c r="E1767" s="2" t="s">
        <v>11</v>
      </c>
      <c r="F1767" s="2" t="s">
        <v>18</v>
      </c>
      <c r="G1767" s="2" t="s">
        <v>19</v>
      </c>
      <c r="H1767" s="2" t="s">
        <v>1394</v>
      </c>
      <c r="I1767" s="2" t="s">
        <v>2165</v>
      </c>
    </row>
    <row r="1768" spans="1:9" ht="14.5" x14ac:dyDescent="0.35">
      <c r="A1768" s="2">
        <v>1397503</v>
      </c>
      <c r="B1768" s="2" t="str">
        <f>"3175074301740002"</f>
        <v>3175074301740002</v>
      </c>
      <c r="C1768" s="2" t="s">
        <v>2272</v>
      </c>
      <c r="D1768" s="2" t="s">
        <v>10</v>
      </c>
      <c r="E1768" s="2" t="s">
        <v>11</v>
      </c>
      <c r="F1768" s="2" t="s">
        <v>50</v>
      </c>
      <c r="G1768" s="2" t="s">
        <v>58</v>
      </c>
      <c r="H1768" s="2" t="s">
        <v>1283</v>
      </c>
      <c r="I1768" s="2" t="s">
        <v>2273</v>
      </c>
    </row>
    <row r="1769" spans="1:9" ht="14.5" x14ac:dyDescent="0.35">
      <c r="A1769" s="2">
        <v>2539822</v>
      </c>
      <c r="B1769" s="2" t="str">
        <f>"3175074301740002"</f>
        <v>3175074301740002</v>
      </c>
      <c r="C1769" s="2" t="s">
        <v>2272</v>
      </c>
      <c r="D1769" s="2" t="s">
        <v>17</v>
      </c>
      <c r="E1769" s="2" t="s">
        <v>11</v>
      </c>
      <c r="F1769" s="2" t="s">
        <v>18</v>
      </c>
      <c r="G1769" s="2" t="s">
        <v>19</v>
      </c>
      <c r="H1769" s="2" t="s">
        <v>1394</v>
      </c>
      <c r="I1769" s="2" t="s">
        <v>2187</v>
      </c>
    </row>
    <row r="1770" spans="1:9" ht="14.5" x14ac:dyDescent="0.35">
      <c r="A1770" s="2">
        <v>1397505</v>
      </c>
      <c r="B1770" s="2" t="str">
        <f>"3175075409060012"</f>
        <v>3175075409060012</v>
      </c>
      <c r="C1770" s="2" t="s">
        <v>2274</v>
      </c>
      <c r="D1770" s="2" t="s">
        <v>10</v>
      </c>
      <c r="E1770" s="2" t="s">
        <v>11</v>
      </c>
      <c r="F1770" s="2" t="s">
        <v>50</v>
      </c>
      <c r="G1770" s="2" t="s">
        <v>58</v>
      </c>
      <c r="H1770" s="2" t="s">
        <v>1283</v>
      </c>
      <c r="I1770" s="2" t="s">
        <v>2273</v>
      </c>
    </row>
    <row r="1771" spans="1:9" ht="14.5" x14ac:dyDescent="0.35">
      <c r="A1771" s="2">
        <v>2539820</v>
      </c>
      <c r="B1771" s="2" t="str">
        <f>"3175075409060012"</f>
        <v>3175075409060012</v>
      </c>
      <c r="C1771" s="2" t="s">
        <v>2275</v>
      </c>
      <c r="D1771" s="2" t="s">
        <v>17</v>
      </c>
      <c r="E1771" s="2" t="s">
        <v>11</v>
      </c>
      <c r="F1771" s="2" t="s">
        <v>18</v>
      </c>
      <c r="G1771" s="2" t="s">
        <v>19</v>
      </c>
      <c r="H1771" s="2" t="s">
        <v>1394</v>
      </c>
      <c r="I1771" s="2" t="s">
        <v>2187</v>
      </c>
    </row>
    <row r="1772" spans="1:9" ht="14.5" x14ac:dyDescent="0.35">
      <c r="A1772" s="2">
        <v>1679574</v>
      </c>
      <c r="B1772" s="2" t="str">
        <f>"3201170605810004"</f>
        <v>3201170605810004</v>
      </c>
      <c r="C1772" s="2" t="s">
        <v>2276</v>
      </c>
      <c r="D1772" s="2" t="s">
        <v>10</v>
      </c>
      <c r="E1772" s="2" t="s">
        <v>11</v>
      </c>
      <c r="F1772" s="2" t="s">
        <v>91</v>
      </c>
      <c r="G1772" s="2" t="s">
        <v>650</v>
      </c>
      <c r="H1772" s="2" t="s">
        <v>2277</v>
      </c>
      <c r="I1772" s="2" t="s">
        <v>2278</v>
      </c>
    </row>
    <row r="1773" spans="1:9" ht="14.5" x14ac:dyDescent="0.35">
      <c r="A1773" s="2">
        <v>2540972</v>
      </c>
      <c r="B1773" s="2" t="str">
        <f>"3201170605810004"</f>
        <v>3201170605810004</v>
      </c>
      <c r="C1773" s="2" t="s">
        <v>2279</v>
      </c>
      <c r="D1773" s="2" t="s">
        <v>17</v>
      </c>
      <c r="E1773" s="2" t="s">
        <v>11</v>
      </c>
      <c r="F1773" s="2" t="s">
        <v>18</v>
      </c>
      <c r="G1773" s="2" t="s">
        <v>19</v>
      </c>
      <c r="H1773" s="2" t="s">
        <v>1394</v>
      </c>
      <c r="I1773" s="2" t="s">
        <v>2280</v>
      </c>
    </row>
    <row r="1774" spans="1:9" ht="14.5" x14ac:dyDescent="0.35">
      <c r="A1774" s="2">
        <v>2893381</v>
      </c>
      <c r="B1774" s="2" t="str">
        <f>"3201172404770007"</f>
        <v>3201172404770007</v>
      </c>
      <c r="C1774" s="2" t="s">
        <v>2281</v>
      </c>
      <c r="D1774" s="2" t="s">
        <v>10</v>
      </c>
      <c r="E1774" s="2" t="s">
        <v>11</v>
      </c>
      <c r="F1774" s="2" t="s">
        <v>91</v>
      </c>
      <c r="G1774" s="2" t="s">
        <v>650</v>
      </c>
      <c r="H1774" s="2" t="s">
        <v>2282</v>
      </c>
      <c r="I1774" s="2" t="s">
        <v>2283</v>
      </c>
    </row>
    <row r="1775" spans="1:9" ht="14.5" x14ac:dyDescent="0.35">
      <c r="A1775" s="2">
        <v>2540486</v>
      </c>
      <c r="B1775" s="2" t="str">
        <f>"3201172404770007"</f>
        <v>3201172404770007</v>
      </c>
      <c r="C1775" s="2" t="s">
        <v>2281</v>
      </c>
      <c r="D1775" s="2" t="s">
        <v>17</v>
      </c>
      <c r="E1775" s="2" t="s">
        <v>11</v>
      </c>
      <c r="F1775" s="2" t="s">
        <v>18</v>
      </c>
      <c r="G1775" s="2" t="s">
        <v>19</v>
      </c>
      <c r="H1775" s="2" t="s">
        <v>1394</v>
      </c>
      <c r="I1775" s="2" t="s">
        <v>2194</v>
      </c>
    </row>
    <row r="1776" spans="1:9" ht="14.5" x14ac:dyDescent="0.35">
      <c r="A1776" s="2">
        <v>2893373</v>
      </c>
      <c r="B1776" s="2" t="str">
        <f>"3201174606760017"</f>
        <v>3201174606760017</v>
      </c>
      <c r="C1776" s="2" t="s">
        <v>2284</v>
      </c>
      <c r="D1776" s="2" t="s">
        <v>10</v>
      </c>
      <c r="E1776" s="2" t="s">
        <v>11</v>
      </c>
      <c r="F1776" s="2" t="s">
        <v>91</v>
      </c>
      <c r="G1776" s="2" t="s">
        <v>650</v>
      </c>
      <c r="H1776" s="2" t="s">
        <v>2282</v>
      </c>
      <c r="I1776" s="2" t="s">
        <v>2283</v>
      </c>
    </row>
    <row r="1777" spans="1:9" ht="14.5" x14ac:dyDescent="0.35">
      <c r="A1777" s="2">
        <v>2540487</v>
      </c>
      <c r="B1777" s="2" t="str">
        <f>"3201174606760017"</f>
        <v>3201174606760017</v>
      </c>
      <c r="C1777" s="2" t="s">
        <v>2284</v>
      </c>
      <c r="D1777" s="2" t="s">
        <v>17</v>
      </c>
      <c r="E1777" s="2" t="s">
        <v>11</v>
      </c>
      <c r="F1777" s="2" t="s">
        <v>18</v>
      </c>
      <c r="G1777" s="2" t="s">
        <v>19</v>
      </c>
      <c r="H1777" s="2" t="s">
        <v>1394</v>
      </c>
      <c r="I1777" s="2" t="s">
        <v>2194</v>
      </c>
    </row>
    <row r="1778" spans="1:9" ht="14.5" x14ac:dyDescent="0.35">
      <c r="A1778" s="2">
        <v>798032</v>
      </c>
      <c r="B1778" s="2" t="str">
        <f>"3201226604000006"</f>
        <v>3201226604000006</v>
      </c>
      <c r="C1778" s="2" t="s">
        <v>2285</v>
      </c>
      <c r="D1778" s="2" t="s">
        <v>10</v>
      </c>
      <c r="E1778" s="2" t="s">
        <v>11</v>
      </c>
      <c r="F1778" s="2" t="s">
        <v>91</v>
      </c>
      <c r="G1778" s="2" t="s">
        <v>650</v>
      </c>
      <c r="H1778" s="2" t="s">
        <v>2286</v>
      </c>
      <c r="I1778" s="2" t="s">
        <v>2287</v>
      </c>
    </row>
    <row r="1779" spans="1:9" ht="14.5" x14ac:dyDescent="0.35">
      <c r="A1779" s="2">
        <v>2540038</v>
      </c>
      <c r="B1779" s="2" t="str">
        <f>"3201226604000006"</f>
        <v>3201226604000006</v>
      </c>
      <c r="C1779" s="2" t="s">
        <v>2285</v>
      </c>
      <c r="D1779" s="2" t="s">
        <v>17</v>
      </c>
      <c r="E1779" s="2" t="s">
        <v>11</v>
      </c>
      <c r="F1779" s="2" t="s">
        <v>18</v>
      </c>
      <c r="G1779" s="2" t="s">
        <v>19</v>
      </c>
      <c r="H1779" s="2" t="s">
        <v>1394</v>
      </c>
      <c r="I1779" s="2" t="s">
        <v>2165</v>
      </c>
    </row>
    <row r="1780" spans="1:9" ht="14.5" x14ac:dyDescent="0.35">
      <c r="A1780" s="2">
        <v>1133179</v>
      </c>
      <c r="B1780" s="2" t="str">
        <f>"3201241808850012"</f>
        <v>3201241808850012</v>
      </c>
      <c r="C1780" s="2" t="s">
        <v>2288</v>
      </c>
      <c r="D1780" s="2" t="s">
        <v>10</v>
      </c>
      <c r="E1780" s="2" t="s">
        <v>11</v>
      </c>
      <c r="F1780" s="2" t="s">
        <v>50</v>
      </c>
      <c r="G1780" s="2" t="s">
        <v>86</v>
      </c>
      <c r="H1780" s="2" t="s">
        <v>87</v>
      </c>
      <c r="I1780" s="2" t="s">
        <v>87</v>
      </c>
    </row>
    <row r="1781" spans="1:9" ht="14.5" x14ac:dyDescent="0.35">
      <c r="A1781" s="2">
        <v>2540823</v>
      </c>
      <c r="B1781" s="2" t="str">
        <f>"3201241808850012"</f>
        <v>3201241808850012</v>
      </c>
      <c r="C1781" s="2" t="s">
        <v>2289</v>
      </c>
      <c r="D1781" s="2" t="s">
        <v>10</v>
      </c>
      <c r="E1781" s="2" t="s">
        <v>57</v>
      </c>
      <c r="F1781" s="2" t="s">
        <v>18</v>
      </c>
      <c r="G1781" s="2" t="s">
        <v>19</v>
      </c>
      <c r="H1781" s="2" t="s">
        <v>1394</v>
      </c>
      <c r="I1781" s="2" t="s">
        <v>1395</v>
      </c>
    </row>
    <row r="1782" spans="1:9" ht="14.5" x14ac:dyDescent="0.35">
      <c r="A1782" s="2">
        <v>1074714</v>
      </c>
      <c r="B1782" s="2" t="str">
        <f>"3201390306790007"</f>
        <v>3201390306790007</v>
      </c>
      <c r="C1782" s="2" t="s">
        <v>2290</v>
      </c>
      <c r="D1782" s="2" t="s">
        <v>10</v>
      </c>
      <c r="E1782" s="2" t="s">
        <v>11</v>
      </c>
      <c r="F1782" s="2" t="s">
        <v>50</v>
      </c>
      <c r="G1782" s="2" t="s">
        <v>58</v>
      </c>
      <c r="H1782" s="2" t="s">
        <v>1747</v>
      </c>
      <c r="I1782" s="2" t="s">
        <v>2291</v>
      </c>
    </row>
    <row r="1783" spans="1:9" ht="14.5" x14ac:dyDescent="0.35">
      <c r="A1783" s="2">
        <v>2540802</v>
      </c>
      <c r="B1783" s="2" t="str">
        <f>"3201390306790007"</f>
        <v>3201390306790007</v>
      </c>
      <c r="C1783" s="2" t="s">
        <v>2292</v>
      </c>
      <c r="D1783" s="2" t="s">
        <v>10</v>
      </c>
      <c r="E1783" s="2" t="s">
        <v>57</v>
      </c>
      <c r="F1783" s="2" t="s">
        <v>18</v>
      </c>
      <c r="G1783" s="2" t="s">
        <v>19</v>
      </c>
      <c r="H1783" s="2" t="s">
        <v>1394</v>
      </c>
      <c r="I1783" s="2" t="s">
        <v>1395</v>
      </c>
    </row>
    <row r="1784" spans="1:9" ht="14.5" x14ac:dyDescent="0.35">
      <c r="A1784" s="2">
        <v>318484</v>
      </c>
      <c r="B1784" s="2" t="str">
        <f>"3202120412950003"</f>
        <v>3202120412950003</v>
      </c>
      <c r="C1784" s="2" t="s">
        <v>2293</v>
      </c>
      <c r="D1784" s="2" t="s">
        <v>10</v>
      </c>
      <c r="E1784" s="2" t="s">
        <v>11</v>
      </c>
      <c r="F1784" s="2" t="s">
        <v>91</v>
      </c>
      <c r="G1784" s="2" t="s">
        <v>101</v>
      </c>
      <c r="H1784" s="2" t="s">
        <v>2294</v>
      </c>
      <c r="I1784" s="2" t="s">
        <v>2295</v>
      </c>
    </row>
    <row r="1785" spans="1:9" ht="14.5" x14ac:dyDescent="0.35">
      <c r="A1785" s="2">
        <v>2539604</v>
      </c>
      <c r="B1785" s="2" t="str">
        <f>"3202120412950003"</f>
        <v>3202120412950003</v>
      </c>
      <c r="C1785" s="2" t="s">
        <v>2293</v>
      </c>
      <c r="D1785" s="2" t="s">
        <v>17</v>
      </c>
      <c r="E1785" s="2" t="s">
        <v>11</v>
      </c>
      <c r="F1785" s="2" t="s">
        <v>18</v>
      </c>
      <c r="G1785" s="2" t="s">
        <v>19</v>
      </c>
      <c r="H1785" s="2" t="s">
        <v>1394</v>
      </c>
      <c r="I1785" s="2" t="s">
        <v>2212</v>
      </c>
    </row>
    <row r="1786" spans="1:9" ht="14.5" x14ac:dyDescent="0.35">
      <c r="A1786" s="2">
        <v>1050511</v>
      </c>
      <c r="B1786" s="2" t="str">
        <f>"3202165911960007"</f>
        <v>3202165911960007</v>
      </c>
      <c r="C1786" s="2" t="s">
        <v>2296</v>
      </c>
      <c r="D1786" s="2" t="s">
        <v>10</v>
      </c>
      <c r="E1786" s="2" t="s">
        <v>11</v>
      </c>
      <c r="F1786" s="2" t="s">
        <v>91</v>
      </c>
      <c r="G1786" s="2" t="s">
        <v>101</v>
      </c>
      <c r="H1786" s="2" t="s">
        <v>2297</v>
      </c>
      <c r="I1786" s="2" t="s">
        <v>2298</v>
      </c>
    </row>
    <row r="1787" spans="1:9" ht="14.5" x14ac:dyDescent="0.35">
      <c r="A1787" s="2">
        <v>2539817</v>
      </c>
      <c r="B1787" s="2" t="str">
        <f>"3202165911960007"</f>
        <v>3202165911960007</v>
      </c>
      <c r="C1787" s="2" t="s">
        <v>2299</v>
      </c>
      <c r="D1787" s="2" t="s">
        <v>17</v>
      </c>
      <c r="E1787" s="2" t="s">
        <v>11</v>
      </c>
      <c r="F1787" s="2" t="s">
        <v>18</v>
      </c>
      <c r="G1787" s="2" t="s">
        <v>19</v>
      </c>
      <c r="H1787" s="2" t="s">
        <v>1394</v>
      </c>
      <c r="I1787" s="2" t="s">
        <v>2187</v>
      </c>
    </row>
    <row r="1788" spans="1:9" ht="14.5" x14ac:dyDescent="0.35">
      <c r="A1788" s="2">
        <v>461031</v>
      </c>
      <c r="B1788" s="2" t="str">
        <f>"3203102212950003"</f>
        <v>3203102212950003</v>
      </c>
      <c r="C1788" s="2" t="s">
        <v>2300</v>
      </c>
      <c r="D1788" s="2" t="s">
        <v>10</v>
      </c>
      <c r="E1788" s="2" t="s">
        <v>11</v>
      </c>
      <c r="F1788" s="2" t="s">
        <v>50</v>
      </c>
      <c r="G1788" s="2" t="s">
        <v>51</v>
      </c>
      <c r="H1788" s="2" t="s">
        <v>425</v>
      </c>
      <c r="I1788" s="2" t="s">
        <v>426</v>
      </c>
    </row>
    <row r="1789" spans="1:9" ht="14.5" x14ac:dyDescent="0.35">
      <c r="A1789" s="2">
        <v>2540314</v>
      </c>
      <c r="B1789" s="2" t="str">
        <f>"3203102212950003"</f>
        <v>3203102212950003</v>
      </c>
      <c r="C1789" s="2" t="s">
        <v>2301</v>
      </c>
      <c r="D1789" s="2" t="s">
        <v>17</v>
      </c>
      <c r="E1789" s="2" t="s">
        <v>11</v>
      </c>
      <c r="F1789" s="2" t="s">
        <v>18</v>
      </c>
      <c r="G1789" s="2" t="s">
        <v>19</v>
      </c>
      <c r="H1789" s="2" t="s">
        <v>1394</v>
      </c>
      <c r="I1789" s="2" t="s">
        <v>2235</v>
      </c>
    </row>
    <row r="1790" spans="1:9" ht="14.5" x14ac:dyDescent="0.35">
      <c r="A1790" s="2">
        <v>1152109</v>
      </c>
      <c r="B1790" s="2" t="str">
        <f>"3204150811900003"</f>
        <v>3204150811900003</v>
      </c>
      <c r="C1790" s="2" t="s">
        <v>2302</v>
      </c>
      <c r="D1790" s="2" t="s">
        <v>10</v>
      </c>
      <c r="E1790" s="2" t="s">
        <v>11</v>
      </c>
      <c r="F1790" s="2" t="s">
        <v>91</v>
      </c>
      <c r="G1790" s="2" t="s">
        <v>1398</v>
      </c>
      <c r="H1790" s="2" t="s">
        <v>2303</v>
      </c>
      <c r="I1790" s="2" t="s">
        <v>2304</v>
      </c>
    </row>
    <row r="1791" spans="1:9" ht="14.5" x14ac:dyDescent="0.35">
      <c r="A1791" s="2">
        <v>2540714</v>
      </c>
      <c r="B1791" s="2" t="str">
        <f>"3204150811900003"</f>
        <v>3204150811900003</v>
      </c>
      <c r="C1791" s="2" t="s">
        <v>2305</v>
      </c>
      <c r="D1791" s="2" t="s">
        <v>10</v>
      </c>
      <c r="E1791" s="2" t="s">
        <v>57</v>
      </c>
      <c r="F1791" s="2" t="s">
        <v>18</v>
      </c>
      <c r="G1791" s="2" t="s">
        <v>19</v>
      </c>
      <c r="H1791" s="2" t="s">
        <v>1394</v>
      </c>
      <c r="I1791" s="2" t="s">
        <v>1395</v>
      </c>
    </row>
    <row r="1792" spans="1:9" ht="14.5" x14ac:dyDescent="0.35">
      <c r="A1792" s="2">
        <v>1031208</v>
      </c>
      <c r="B1792" s="2" t="str">
        <f>"3206320507060002"</f>
        <v>3206320507060002</v>
      </c>
      <c r="C1792" s="2" t="s">
        <v>2306</v>
      </c>
      <c r="D1792" s="2" t="s">
        <v>10</v>
      </c>
      <c r="E1792" s="2" t="s">
        <v>11</v>
      </c>
      <c r="F1792" s="2" t="s">
        <v>91</v>
      </c>
      <c r="G1792" s="2" t="s">
        <v>1300</v>
      </c>
      <c r="H1792" s="2" t="s">
        <v>2307</v>
      </c>
      <c r="I1792" s="2" t="s">
        <v>2308</v>
      </c>
    </row>
    <row r="1793" spans="1:9" ht="14.5" x14ac:dyDescent="0.35">
      <c r="A1793" s="2">
        <v>2539809</v>
      </c>
      <c r="B1793" s="2" t="str">
        <f>"3206320507060002"</f>
        <v>3206320507060002</v>
      </c>
      <c r="C1793" s="2" t="s">
        <v>2309</v>
      </c>
      <c r="D1793" s="2" t="s">
        <v>17</v>
      </c>
      <c r="E1793" s="2" t="s">
        <v>11</v>
      </c>
      <c r="F1793" s="2" t="s">
        <v>18</v>
      </c>
      <c r="G1793" s="2" t="s">
        <v>19</v>
      </c>
      <c r="H1793" s="2" t="s">
        <v>1394</v>
      </c>
      <c r="I1793" s="2" t="s">
        <v>2187</v>
      </c>
    </row>
    <row r="1794" spans="1:9" ht="14.5" x14ac:dyDescent="0.35">
      <c r="A1794" s="2">
        <v>1031210</v>
      </c>
      <c r="B1794" s="2" t="str">
        <f>"3206324107790131"</f>
        <v>3206324107790131</v>
      </c>
      <c r="C1794" s="2" t="s">
        <v>2310</v>
      </c>
      <c r="D1794" s="2" t="s">
        <v>10</v>
      </c>
      <c r="E1794" s="2" t="s">
        <v>11</v>
      </c>
      <c r="F1794" s="2" t="s">
        <v>91</v>
      </c>
      <c r="G1794" s="2" t="s">
        <v>1300</v>
      </c>
      <c r="H1794" s="2" t="s">
        <v>2307</v>
      </c>
      <c r="I1794" s="2" t="s">
        <v>2308</v>
      </c>
    </row>
    <row r="1795" spans="1:9" ht="14.5" x14ac:dyDescent="0.35">
      <c r="A1795" s="2">
        <v>2539819</v>
      </c>
      <c r="B1795" s="2" t="str">
        <f>"3206324107790131"</f>
        <v>3206324107790131</v>
      </c>
      <c r="C1795" s="2" t="s">
        <v>2311</v>
      </c>
      <c r="D1795" s="2" t="s">
        <v>17</v>
      </c>
      <c r="E1795" s="2" t="s">
        <v>11</v>
      </c>
      <c r="F1795" s="2" t="s">
        <v>18</v>
      </c>
      <c r="G1795" s="2" t="s">
        <v>19</v>
      </c>
      <c r="H1795" s="2" t="s">
        <v>1394</v>
      </c>
      <c r="I1795" s="2" t="s">
        <v>2187</v>
      </c>
    </row>
    <row r="1796" spans="1:9" ht="14.5" x14ac:dyDescent="0.35">
      <c r="A1796" s="2">
        <v>1031209</v>
      </c>
      <c r="B1796" s="2" t="str">
        <f>"3206325605990002"</f>
        <v>3206325605990002</v>
      </c>
      <c r="C1796" s="2" t="s">
        <v>2312</v>
      </c>
      <c r="D1796" s="2" t="s">
        <v>10</v>
      </c>
      <c r="E1796" s="2" t="s">
        <v>11</v>
      </c>
      <c r="F1796" s="2" t="s">
        <v>91</v>
      </c>
      <c r="G1796" s="2" t="s">
        <v>1300</v>
      </c>
      <c r="H1796" s="2" t="s">
        <v>2307</v>
      </c>
      <c r="I1796" s="2" t="s">
        <v>2308</v>
      </c>
    </row>
    <row r="1797" spans="1:9" ht="14.5" x14ac:dyDescent="0.35">
      <c r="A1797" s="2">
        <v>2539808</v>
      </c>
      <c r="B1797" s="2" t="str">
        <f>"3206325605990002"</f>
        <v>3206325605990002</v>
      </c>
      <c r="C1797" s="2" t="s">
        <v>2313</v>
      </c>
      <c r="D1797" s="2" t="s">
        <v>17</v>
      </c>
      <c r="E1797" s="2" t="s">
        <v>11</v>
      </c>
      <c r="F1797" s="2" t="s">
        <v>18</v>
      </c>
      <c r="G1797" s="2" t="s">
        <v>19</v>
      </c>
      <c r="H1797" s="2" t="s">
        <v>1394</v>
      </c>
      <c r="I1797" s="2" t="s">
        <v>2187</v>
      </c>
    </row>
    <row r="1798" spans="1:9" ht="14.5" x14ac:dyDescent="0.35">
      <c r="A1798" s="2">
        <v>444678</v>
      </c>
      <c r="B1798" s="2" t="str">
        <f>"3209031407890008"</f>
        <v>3209031407890008</v>
      </c>
      <c r="C1798" s="2" t="s">
        <v>2314</v>
      </c>
      <c r="D1798" s="2" t="s">
        <v>10</v>
      </c>
      <c r="E1798" s="2" t="s">
        <v>11</v>
      </c>
      <c r="F1798" s="2" t="s">
        <v>91</v>
      </c>
      <c r="G1798" s="2" t="s">
        <v>985</v>
      </c>
      <c r="H1798" s="2" t="s">
        <v>877</v>
      </c>
      <c r="I1798" s="2" t="s">
        <v>2315</v>
      </c>
    </row>
    <row r="1799" spans="1:9" ht="14.5" x14ac:dyDescent="0.35">
      <c r="A1799" s="2">
        <v>2540600</v>
      </c>
      <c r="B1799" s="2" t="str">
        <f>"3209031407890008"</f>
        <v>3209031407890008</v>
      </c>
      <c r="C1799" s="2" t="s">
        <v>2316</v>
      </c>
      <c r="D1799" s="2" t="s">
        <v>17</v>
      </c>
      <c r="E1799" s="2" t="s">
        <v>11</v>
      </c>
      <c r="F1799" s="2" t="s">
        <v>18</v>
      </c>
      <c r="G1799" s="2" t="s">
        <v>19</v>
      </c>
      <c r="H1799" s="2" t="s">
        <v>1394</v>
      </c>
      <c r="I1799" s="2" t="s">
        <v>1395</v>
      </c>
    </row>
    <row r="1800" spans="1:9" ht="14.5" x14ac:dyDescent="0.35">
      <c r="A1800" s="2">
        <v>905479</v>
      </c>
      <c r="B1800" s="2" t="str">
        <f>"3209050106840019"</f>
        <v>3209050106840019</v>
      </c>
      <c r="C1800" s="2" t="s">
        <v>2317</v>
      </c>
      <c r="D1800" s="2" t="s">
        <v>10</v>
      </c>
      <c r="E1800" s="2" t="s">
        <v>11</v>
      </c>
      <c r="F1800" s="2" t="s">
        <v>91</v>
      </c>
      <c r="G1800" s="2" t="s">
        <v>985</v>
      </c>
      <c r="H1800" s="2" t="s">
        <v>1573</v>
      </c>
      <c r="I1800" s="2" t="s">
        <v>2318</v>
      </c>
    </row>
    <row r="1801" spans="1:9" ht="14.5" x14ac:dyDescent="0.35">
      <c r="A1801" s="2">
        <v>2539840</v>
      </c>
      <c r="B1801" s="2" t="str">
        <f>"3209050106840019"</f>
        <v>3209050106840019</v>
      </c>
      <c r="C1801" s="2" t="s">
        <v>2317</v>
      </c>
      <c r="D1801" s="2" t="s">
        <v>17</v>
      </c>
      <c r="E1801" s="2" t="s">
        <v>11</v>
      </c>
      <c r="F1801" s="2" t="s">
        <v>18</v>
      </c>
      <c r="G1801" s="2" t="s">
        <v>19</v>
      </c>
      <c r="H1801" s="2" t="s">
        <v>1394</v>
      </c>
      <c r="I1801" s="2" t="s">
        <v>2187</v>
      </c>
    </row>
    <row r="1802" spans="1:9" ht="14.5" x14ac:dyDescent="0.35">
      <c r="A1802" s="2">
        <v>490650</v>
      </c>
      <c r="B1802" s="2" t="str">
        <f>"3209100404820014"</f>
        <v>3209100404820014</v>
      </c>
      <c r="C1802" s="2" t="s">
        <v>2319</v>
      </c>
      <c r="D1802" s="2" t="s">
        <v>10</v>
      </c>
      <c r="E1802" s="2" t="s">
        <v>11</v>
      </c>
      <c r="F1802" s="2" t="s">
        <v>91</v>
      </c>
      <c r="G1802" s="2" t="s">
        <v>985</v>
      </c>
      <c r="H1802" s="2" t="s">
        <v>2320</v>
      </c>
      <c r="I1802" s="2" t="s">
        <v>2321</v>
      </c>
    </row>
    <row r="1803" spans="1:9" ht="14.5" x14ac:dyDescent="0.35">
      <c r="A1803" s="2">
        <v>2540654</v>
      </c>
      <c r="B1803" s="2" t="str">
        <f>"3209100404820014"</f>
        <v>3209100404820014</v>
      </c>
      <c r="C1803" s="2" t="s">
        <v>2322</v>
      </c>
      <c r="D1803" s="2" t="s">
        <v>10</v>
      </c>
      <c r="E1803" s="2" t="s">
        <v>57</v>
      </c>
      <c r="F1803" s="2" t="s">
        <v>18</v>
      </c>
      <c r="G1803" s="2" t="s">
        <v>19</v>
      </c>
      <c r="H1803" s="2" t="s">
        <v>1394</v>
      </c>
      <c r="I1803" s="2" t="s">
        <v>1395</v>
      </c>
    </row>
    <row r="1804" spans="1:9" ht="14.5" x14ac:dyDescent="0.35">
      <c r="A1804" s="2">
        <v>489376</v>
      </c>
      <c r="B1804" s="2" t="str">
        <f>"3209101012840006"</f>
        <v>3209101012840006</v>
      </c>
      <c r="C1804" s="2" t="s">
        <v>2323</v>
      </c>
      <c r="D1804" s="2" t="s">
        <v>10</v>
      </c>
      <c r="E1804" s="2" t="s">
        <v>11</v>
      </c>
      <c r="F1804" s="2" t="s">
        <v>91</v>
      </c>
      <c r="G1804" s="2" t="s">
        <v>985</v>
      </c>
      <c r="H1804" s="2" t="s">
        <v>2320</v>
      </c>
      <c r="I1804" s="2" t="s">
        <v>2321</v>
      </c>
    </row>
    <row r="1805" spans="1:9" ht="14.5" x14ac:dyDescent="0.35">
      <c r="A1805" s="2">
        <v>2540756</v>
      </c>
      <c r="B1805" s="2" t="str">
        <f>"3209101012840006"</f>
        <v>3209101012840006</v>
      </c>
      <c r="C1805" s="2" t="s">
        <v>2324</v>
      </c>
      <c r="D1805" s="2" t="s">
        <v>10</v>
      </c>
      <c r="E1805" s="2" t="s">
        <v>57</v>
      </c>
      <c r="F1805" s="2" t="s">
        <v>18</v>
      </c>
      <c r="G1805" s="2" t="s">
        <v>19</v>
      </c>
      <c r="H1805" s="2" t="s">
        <v>1394</v>
      </c>
      <c r="I1805" s="2" t="s">
        <v>1395</v>
      </c>
    </row>
    <row r="1806" spans="1:9" ht="14.5" x14ac:dyDescent="0.35">
      <c r="A1806" s="2">
        <v>488117</v>
      </c>
      <c r="B1806" s="2" t="str">
        <f>"3209102103810007"</f>
        <v>3209102103810007</v>
      </c>
      <c r="C1806" s="2" t="s">
        <v>2325</v>
      </c>
      <c r="D1806" s="2" t="s">
        <v>10</v>
      </c>
      <c r="E1806" s="2" t="s">
        <v>11</v>
      </c>
      <c r="F1806" s="2" t="s">
        <v>91</v>
      </c>
      <c r="G1806" s="2" t="s">
        <v>985</v>
      </c>
      <c r="H1806" s="2" t="s">
        <v>2320</v>
      </c>
      <c r="I1806" s="2" t="s">
        <v>2321</v>
      </c>
    </row>
    <row r="1807" spans="1:9" ht="14.5" x14ac:dyDescent="0.35">
      <c r="A1807" s="2">
        <v>2540796</v>
      </c>
      <c r="B1807" s="2" t="str">
        <f>"3209102103810007"</f>
        <v>3209102103810007</v>
      </c>
      <c r="C1807" s="2" t="s">
        <v>2326</v>
      </c>
      <c r="D1807" s="2" t="s">
        <v>10</v>
      </c>
      <c r="E1807" s="2" t="s">
        <v>57</v>
      </c>
      <c r="F1807" s="2" t="s">
        <v>18</v>
      </c>
      <c r="G1807" s="2" t="s">
        <v>19</v>
      </c>
      <c r="H1807" s="2" t="s">
        <v>1394</v>
      </c>
      <c r="I1807" s="2" t="s">
        <v>1395</v>
      </c>
    </row>
    <row r="1808" spans="1:9" ht="14.5" x14ac:dyDescent="0.35">
      <c r="A1808" s="2">
        <v>487825</v>
      </c>
      <c r="B1808" s="2" t="str">
        <f>"3209102707850013"</f>
        <v>3209102707850013</v>
      </c>
      <c r="C1808" s="2" t="s">
        <v>2327</v>
      </c>
      <c r="D1808" s="2" t="s">
        <v>10</v>
      </c>
      <c r="E1808" s="2" t="s">
        <v>11</v>
      </c>
      <c r="F1808" s="2" t="s">
        <v>91</v>
      </c>
      <c r="G1808" s="2" t="s">
        <v>985</v>
      </c>
      <c r="H1808" s="2" t="s">
        <v>2320</v>
      </c>
      <c r="I1808" s="2" t="s">
        <v>2321</v>
      </c>
    </row>
    <row r="1809" spans="1:9" ht="14.5" x14ac:dyDescent="0.35">
      <c r="A1809" s="2">
        <v>2540859</v>
      </c>
      <c r="B1809" s="2" t="str">
        <f>"3209102707850013"</f>
        <v>3209102707850013</v>
      </c>
      <c r="C1809" s="2" t="s">
        <v>2328</v>
      </c>
      <c r="D1809" s="2" t="s">
        <v>10</v>
      </c>
      <c r="E1809" s="2" t="s">
        <v>57</v>
      </c>
      <c r="F1809" s="2" t="s">
        <v>18</v>
      </c>
      <c r="G1809" s="2" t="s">
        <v>19</v>
      </c>
      <c r="H1809" s="2" t="s">
        <v>1394</v>
      </c>
      <c r="I1809" s="2" t="s">
        <v>1395</v>
      </c>
    </row>
    <row r="1810" spans="1:9" ht="14.5" x14ac:dyDescent="0.35">
      <c r="A1810" s="2">
        <v>1205268</v>
      </c>
      <c r="B1810" s="2" t="str">
        <f>"3209301309820002"</f>
        <v>3209301309820002</v>
      </c>
      <c r="C1810" s="2" t="s">
        <v>2329</v>
      </c>
      <c r="D1810" s="2" t="s">
        <v>10</v>
      </c>
      <c r="E1810" s="2" t="s">
        <v>11</v>
      </c>
      <c r="F1810" s="2" t="s">
        <v>91</v>
      </c>
      <c r="G1810" s="2" t="s">
        <v>985</v>
      </c>
      <c r="H1810" s="2" t="s">
        <v>2330</v>
      </c>
      <c r="I1810" s="2" t="s">
        <v>2331</v>
      </c>
    </row>
    <row r="1811" spans="1:9" ht="14.5" x14ac:dyDescent="0.35">
      <c r="A1811" s="2">
        <v>2540833</v>
      </c>
      <c r="B1811" s="2" t="str">
        <f>"3209301309820002"</f>
        <v>3209301309820002</v>
      </c>
      <c r="C1811" s="2" t="s">
        <v>2332</v>
      </c>
      <c r="D1811" s="2" t="s">
        <v>10</v>
      </c>
      <c r="E1811" s="2" t="s">
        <v>57</v>
      </c>
      <c r="F1811" s="2" t="s">
        <v>18</v>
      </c>
      <c r="G1811" s="2" t="s">
        <v>19</v>
      </c>
      <c r="H1811" s="2" t="s">
        <v>1394</v>
      </c>
      <c r="I1811" s="2" t="s">
        <v>1395</v>
      </c>
    </row>
    <row r="1812" spans="1:9" ht="14.5" x14ac:dyDescent="0.35">
      <c r="A1812" s="2">
        <v>1233329</v>
      </c>
      <c r="B1812" s="2" t="str">
        <f>"3209302305970005"</f>
        <v>3209302305970005</v>
      </c>
      <c r="C1812" s="2" t="s">
        <v>2333</v>
      </c>
      <c r="D1812" s="2" t="s">
        <v>10</v>
      </c>
      <c r="E1812" s="2" t="s">
        <v>11</v>
      </c>
      <c r="F1812" s="2" t="s">
        <v>91</v>
      </c>
      <c r="G1812" s="2" t="s">
        <v>985</v>
      </c>
      <c r="H1812" s="2" t="s">
        <v>2330</v>
      </c>
      <c r="I1812" s="2" t="s">
        <v>2334</v>
      </c>
    </row>
    <row r="1813" spans="1:9" ht="14.5" x14ac:dyDescent="0.35">
      <c r="A1813" s="2">
        <v>2540897</v>
      </c>
      <c r="B1813" s="2" t="str">
        <f>"3209302305970005"</f>
        <v>3209302305970005</v>
      </c>
      <c r="C1813" s="2" t="s">
        <v>2335</v>
      </c>
      <c r="D1813" s="2" t="s">
        <v>10</v>
      </c>
      <c r="E1813" s="2" t="s">
        <v>57</v>
      </c>
      <c r="F1813" s="2" t="s">
        <v>18</v>
      </c>
      <c r="G1813" s="2" t="s">
        <v>19</v>
      </c>
      <c r="H1813" s="2" t="s">
        <v>1394</v>
      </c>
      <c r="I1813" s="2" t="s">
        <v>1395</v>
      </c>
    </row>
    <row r="1814" spans="1:9" ht="14.5" x14ac:dyDescent="0.35">
      <c r="A1814" s="2">
        <v>980194</v>
      </c>
      <c r="B1814" s="2" t="str">
        <f>"3212091110010001"</f>
        <v>3212091110010001</v>
      </c>
      <c r="C1814" s="2" t="s">
        <v>2336</v>
      </c>
      <c r="D1814" s="2" t="s">
        <v>10</v>
      </c>
      <c r="E1814" s="2" t="s">
        <v>11</v>
      </c>
      <c r="F1814" s="2" t="s">
        <v>91</v>
      </c>
      <c r="G1814" s="2" t="s">
        <v>114</v>
      </c>
      <c r="H1814" s="2" t="s">
        <v>2337</v>
      </c>
      <c r="I1814" s="2" t="s">
        <v>789</v>
      </c>
    </row>
    <row r="1815" spans="1:9" ht="14.5" x14ac:dyDescent="0.35">
      <c r="A1815" s="2">
        <v>2540656</v>
      </c>
      <c r="B1815" s="2" t="str">
        <f>"3212091110010001"</f>
        <v>3212091110010001</v>
      </c>
      <c r="C1815" s="2" t="s">
        <v>2338</v>
      </c>
      <c r="D1815" s="2" t="s">
        <v>10</v>
      </c>
      <c r="E1815" s="2" t="s">
        <v>57</v>
      </c>
      <c r="F1815" s="2" t="s">
        <v>18</v>
      </c>
      <c r="G1815" s="2" t="s">
        <v>19</v>
      </c>
      <c r="H1815" s="2" t="s">
        <v>1394</v>
      </c>
      <c r="I1815" s="2" t="s">
        <v>1395</v>
      </c>
    </row>
    <row r="1816" spans="1:9" ht="14.5" x14ac:dyDescent="0.35">
      <c r="A1816" s="2">
        <v>963797</v>
      </c>
      <c r="B1816" s="2" t="str">
        <f>"3212091303980004"</f>
        <v>3212091303980004</v>
      </c>
      <c r="C1816" s="2" t="s">
        <v>2339</v>
      </c>
      <c r="D1816" s="2" t="s">
        <v>10</v>
      </c>
      <c r="E1816" s="2" t="s">
        <v>11</v>
      </c>
      <c r="F1816" s="2" t="s">
        <v>91</v>
      </c>
      <c r="G1816" s="2" t="s">
        <v>114</v>
      </c>
      <c r="H1816" s="2" t="s">
        <v>2337</v>
      </c>
      <c r="I1816" s="2" t="s">
        <v>2340</v>
      </c>
    </row>
    <row r="1817" spans="1:9" ht="14.5" x14ac:dyDescent="0.35">
      <c r="A1817" s="2">
        <v>2540682</v>
      </c>
      <c r="B1817" s="2" t="str">
        <f>"3212091303980004"</f>
        <v>3212091303980004</v>
      </c>
      <c r="C1817" s="2" t="s">
        <v>2341</v>
      </c>
      <c r="D1817" s="2" t="s">
        <v>10</v>
      </c>
      <c r="E1817" s="2" t="s">
        <v>57</v>
      </c>
      <c r="F1817" s="2" t="s">
        <v>18</v>
      </c>
      <c r="G1817" s="2" t="s">
        <v>19</v>
      </c>
      <c r="H1817" s="2" t="s">
        <v>1394</v>
      </c>
      <c r="I1817" s="2" t="s">
        <v>1395</v>
      </c>
    </row>
    <row r="1818" spans="1:9" ht="14.5" x14ac:dyDescent="0.35">
      <c r="A1818" s="2">
        <v>401379</v>
      </c>
      <c r="B1818" s="2" t="str">
        <f>"3212275708900010"</f>
        <v>3212275708900010</v>
      </c>
      <c r="C1818" s="2" t="s">
        <v>2342</v>
      </c>
      <c r="D1818" s="2" t="s">
        <v>10</v>
      </c>
      <c r="E1818" s="2" t="s">
        <v>11</v>
      </c>
      <c r="F1818" s="2" t="s">
        <v>91</v>
      </c>
      <c r="G1818" s="2" t="s">
        <v>114</v>
      </c>
      <c r="H1818" s="2" t="s">
        <v>2343</v>
      </c>
      <c r="I1818" s="2" t="s">
        <v>2344</v>
      </c>
    </row>
    <row r="1819" spans="1:9" ht="14.5" x14ac:dyDescent="0.35">
      <c r="A1819" s="2">
        <v>2540620</v>
      </c>
      <c r="B1819" s="2" t="str">
        <f>"3212275708900010"</f>
        <v>3212275708900010</v>
      </c>
      <c r="C1819" s="2" t="s">
        <v>2342</v>
      </c>
      <c r="D1819" s="2" t="s">
        <v>17</v>
      </c>
      <c r="E1819" s="2" t="s">
        <v>11</v>
      </c>
      <c r="F1819" s="2" t="s">
        <v>18</v>
      </c>
      <c r="G1819" s="2" t="s">
        <v>19</v>
      </c>
      <c r="H1819" s="2" t="s">
        <v>1394</v>
      </c>
      <c r="I1819" s="2" t="s">
        <v>1395</v>
      </c>
    </row>
    <row r="1820" spans="1:9" ht="14.5" x14ac:dyDescent="0.35">
      <c r="A1820" s="2">
        <v>222286</v>
      </c>
      <c r="B1820" s="2" t="str">
        <f>"3215212912810001"</f>
        <v>3215212912810001</v>
      </c>
      <c r="C1820" s="2" t="s">
        <v>2345</v>
      </c>
      <c r="D1820" s="2" t="s">
        <v>10</v>
      </c>
      <c r="E1820" s="2" t="s">
        <v>11</v>
      </c>
      <c r="F1820" s="2" t="s">
        <v>18</v>
      </c>
      <c r="G1820" s="2" t="s">
        <v>268</v>
      </c>
      <c r="H1820" s="2" t="s">
        <v>371</v>
      </c>
      <c r="I1820" s="2" t="s">
        <v>2346</v>
      </c>
    </row>
    <row r="1821" spans="1:9" ht="14.5" x14ac:dyDescent="0.35">
      <c r="A1821" s="2">
        <v>2540730</v>
      </c>
      <c r="B1821" s="2" t="str">
        <f>"3215212912810001"</f>
        <v>3215212912810001</v>
      </c>
      <c r="C1821" s="2" t="s">
        <v>2347</v>
      </c>
      <c r="D1821" s="2" t="s">
        <v>10</v>
      </c>
      <c r="E1821" s="2" t="s">
        <v>57</v>
      </c>
      <c r="F1821" s="2" t="s">
        <v>18</v>
      </c>
      <c r="G1821" s="2" t="s">
        <v>19</v>
      </c>
      <c r="H1821" s="2" t="s">
        <v>1394</v>
      </c>
      <c r="I1821" s="2" t="s">
        <v>1395</v>
      </c>
    </row>
    <row r="1822" spans="1:9" ht="14.5" x14ac:dyDescent="0.35">
      <c r="A1822" s="2">
        <v>1969427</v>
      </c>
      <c r="B1822" s="2" t="str">
        <f>"3216025407900007"</f>
        <v>3216025407900007</v>
      </c>
      <c r="C1822" s="2" t="s">
        <v>2348</v>
      </c>
      <c r="D1822" s="2" t="s">
        <v>10</v>
      </c>
      <c r="E1822" s="2" t="s">
        <v>11</v>
      </c>
      <c r="F1822" s="2" t="s">
        <v>50</v>
      </c>
      <c r="G1822" s="2" t="s">
        <v>58</v>
      </c>
      <c r="H1822" s="2" t="s">
        <v>417</v>
      </c>
      <c r="I1822" s="2" t="s">
        <v>2271</v>
      </c>
    </row>
    <row r="1823" spans="1:9" ht="14.5" x14ac:dyDescent="0.35">
      <c r="A1823" s="2">
        <v>2540188</v>
      </c>
      <c r="B1823" s="2" t="str">
        <f>"3216025407900007"</f>
        <v>3216025407900007</v>
      </c>
      <c r="C1823" s="2" t="s">
        <v>2348</v>
      </c>
      <c r="D1823" s="2" t="s">
        <v>17</v>
      </c>
      <c r="E1823" s="2" t="s">
        <v>11</v>
      </c>
      <c r="F1823" s="2" t="s">
        <v>18</v>
      </c>
      <c r="G1823" s="2" t="s">
        <v>19</v>
      </c>
      <c r="H1823" s="2" t="s">
        <v>1394</v>
      </c>
      <c r="I1823" s="2" t="s">
        <v>674</v>
      </c>
    </row>
    <row r="1824" spans="1:9" ht="14.5" x14ac:dyDescent="0.35">
      <c r="A1824" s="2">
        <v>1582579</v>
      </c>
      <c r="B1824" s="2" t="str">
        <f>"3216091007750019"</f>
        <v>3216091007750019</v>
      </c>
      <c r="C1824" s="2" t="s">
        <v>2349</v>
      </c>
      <c r="D1824" s="2" t="s">
        <v>10</v>
      </c>
      <c r="E1824" s="2" t="s">
        <v>11</v>
      </c>
      <c r="F1824" s="2" t="s">
        <v>91</v>
      </c>
      <c r="G1824" s="2" t="s">
        <v>92</v>
      </c>
      <c r="H1824" s="2" t="s">
        <v>128</v>
      </c>
      <c r="I1824" s="2" t="s">
        <v>2350</v>
      </c>
    </row>
    <row r="1825" spans="1:9" ht="14.5" x14ac:dyDescent="0.35">
      <c r="A1825" s="2">
        <v>2540955</v>
      </c>
      <c r="B1825" s="2" t="str">
        <f>"3216091007750019"</f>
        <v>3216091007750019</v>
      </c>
      <c r="C1825" s="2" t="s">
        <v>2349</v>
      </c>
      <c r="D1825" s="2" t="s">
        <v>17</v>
      </c>
      <c r="E1825" s="2" t="s">
        <v>11</v>
      </c>
      <c r="F1825" s="2" t="s">
        <v>18</v>
      </c>
      <c r="G1825" s="2" t="s">
        <v>19</v>
      </c>
      <c r="H1825" s="2" t="s">
        <v>1394</v>
      </c>
      <c r="I1825" s="2" t="s">
        <v>2280</v>
      </c>
    </row>
    <row r="1826" spans="1:9" ht="14.5" x14ac:dyDescent="0.35">
      <c r="A1826" s="2">
        <v>1582580</v>
      </c>
      <c r="B1826" s="2" t="str">
        <f>"3216094809780011"</f>
        <v>3216094809780011</v>
      </c>
      <c r="C1826" s="2" t="s">
        <v>2351</v>
      </c>
      <c r="D1826" s="2" t="s">
        <v>10</v>
      </c>
      <c r="E1826" s="2" t="s">
        <v>11</v>
      </c>
      <c r="F1826" s="2" t="s">
        <v>91</v>
      </c>
      <c r="G1826" s="2" t="s">
        <v>92</v>
      </c>
      <c r="H1826" s="2" t="s">
        <v>128</v>
      </c>
      <c r="I1826" s="2" t="s">
        <v>2350</v>
      </c>
    </row>
    <row r="1827" spans="1:9" ht="14.5" x14ac:dyDescent="0.35">
      <c r="A1827" s="2">
        <v>2540956</v>
      </c>
      <c r="B1827" s="2" t="str">
        <f>"3216094809780011"</f>
        <v>3216094809780011</v>
      </c>
      <c r="C1827" s="2" t="s">
        <v>2351</v>
      </c>
      <c r="D1827" s="2" t="s">
        <v>17</v>
      </c>
      <c r="E1827" s="2" t="s">
        <v>11</v>
      </c>
      <c r="F1827" s="2" t="s">
        <v>18</v>
      </c>
      <c r="G1827" s="2" t="s">
        <v>19</v>
      </c>
      <c r="H1827" s="2" t="s">
        <v>1394</v>
      </c>
      <c r="I1827" s="2" t="s">
        <v>2280</v>
      </c>
    </row>
    <row r="1828" spans="1:9" ht="14.5" x14ac:dyDescent="0.35">
      <c r="A1828" s="2">
        <v>46261</v>
      </c>
      <c r="B1828" s="2" t="str">
        <f>"3274012012910009"</f>
        <v>3274012012910009</v>
      </c>
      <c r="C1828" s="2" t="s">
        <v>2352</v>
      </c>
      <c r="D1828" s="2" t="s">
        <v>10</v>
      </c>
      <c r="E1828" s="2" t="s">
        <v>11</v>
      </c>
      <c r="F1828" s="2" t="s">
        <v>91</v>
      </c>
      <c r="G1828" s="2" t="s">
        <v>155</v>
      </c>
      <c r="H1828" s="2" t="s">
        <v>156</v>
      </c>
      <c r="I1828" s="2" t="s">
        <v>2353</v>
      </c>
    </row>
    <row r="1829" spans="1:9" ht="14.5" x14ac:dyDescent="0.35">
      <c r="A1829" s="2">
        <v>2540083</v>
      </c>
      <c r="B1829" s="2" t="str">
        <f>"3274012012910009"</f>
        <v>3274012012910009</v>
      </c>
      <c r="C1829" s="2" t="s">
        <v>2354</v>
      </c>
      <c r="D1829" s="2" t="s">
        <v>17</v>
      </c>
      <c r="E1829" s="2" t="s">
        <v>11</v>
      </c>
      <c r="F1829" s="2" t="s">
        <v>18</v>
      </c>
      <c r="G1829" s="2" t="s">
        <v>19</v>
      </c>
      <c r="H1829" s="2" t="s">
        <v>1394</v>
      </c>
      <c r="I1829" s="2" t="s">
        <v>2165</v>
      </c>
    </row>
    <row r="1830" spans="1:9" ht="14.5" x14ac:dyDescent="0.35">
      <c r="A1830" s="2">
        <v>143003</v>
      </c>
      <c r="B1830" s="2" t="str">
        <f>"3275011905760028"</f>
        <v>3275011905760028</v>
      </c>
      <c r="C1830" s="2" t="s">
        <v>2355</v>
      </c>
      <c r="D1830" s="2" t="s">
        <v>10</v>
      </c>
      <c r="E1830" s="2" t="s">
        <v>11</v>
      </c>
      <c r="F1830" s="2" t="s">
        <v>91</v>
      </c>
      <c r="G1830" s="2" t="s">
        <v>159</v>
      </c>
      <c r="H1830" s="2" t="s">
        <v>685</v>
      </c>
      <c r="I1830" s="2" t="s">
        <v>686</v>
      </c>
    </row>
    <row r="1831" spans="1:9" ht="14.5" x14ac:dyDescent="0.35">
      <c r="A1831" s="2">
        <v>2540748</v>
      </c>
      <c r="B1831" s="2" t="str">
        <f>"3275011905760028"</f>
        <v>3275011905760028</v>
      </c>
      <c r="C1831" s="2" t="s">
        <v>2356</v>
      </c>
      <c r="D1831" s="2" t="s">
        <v>10</v>
      </c>
      <c r="E1831" s="2" t="s">
        <v>57</v>
      </c>
      <c r="F1831" s="2" t="s">
        <v>18</v>
      </c>
      <c r="G1831" s="2" t="s">
        <v>19</v>
      </c>
      <c r="H1831" s="2" t="s">
        <v>1394</v>
      </c>
      <c r="I1831" s="2" t="s">
        <v>1395</v>
      </c>
    </row>
    <row r="1832" spans="1:9" ht="14.5" x14ac:dyDescent="0.35">
      <c r="A1832" s="2">
        <v>1844673</v>
      </c>
      <c r="B1832" s="2" t="str">
        <f>"3275041210810031"</f>
        <v>3275041210810031</v>
      </c>
      <c r="C1832" s="2" t="s">
        <v>2357</v>
      </c>
      <c r="D1832" s="2" t="s">
        <v>10</v>
      </c>
      <c r="E1832" s="2" t="s">
        <v>11</v>
      </c>
      <c r="F1832" s="2" t="s">
        <v>91</v>
      </c>
      <c r="G1832" s="2" t="s">
        <v>159</v>
      </c>
      <c r="H1832" s="2" t="s">
        <v>1332</v>
      </c>
      <c r="I1832" s="2" t="s">
        <v>2358</v>
      </c>
    </row>
    <row r="1833" spans="1:9" ht="14.5" x14ac:dyDescent="0.35">
      <c r="A1833" s="2">
        <v>2539291</v>
      </c>
      <c r="B1833" s="2" t="str">
        <f>"3275041210810031"</f>
        <v>3275041210810031</v>
      </c>
      <c r="C1833" s="2" t="s">
        <v>2357</v>
      </c>
      <c r="D1833" s="2" t="s">
        <v>17</v>
      </c>
      <c r="E1833" s="2" t="s">
        <v>11</v>
      </c>
      <c r="F1833" s="2" t="s">
        <v>18</v>
      </c>
      <c r="G1833" s="2" t="s">
        <v>19</v>
      </c>
      <c r="H1833" s="2" t="s">
        <v>1394</v>
      </c>
      <c r="I1833" s="2" t="s">
        <v>2161</v>
      </c>
    </row>
    <row r="1834" spans="1:9" ht="14.5" x14ac:dyDescent="0.35">
      <c r="A1834" s="2">
        <v>1844674</v>
      </c>
      <c r="B1834" s="2" t="str">
        <f>"3275045703880021"</f>
        <v>3275045703880021</v>
      </c>
      <c r="C1834" s="2" t="s">
        <v>2359</v>
      </c>
      <c r="D1834" s="2" t="s">
        <v>10</v>
      </c>
      <c r="E1834" s="2" t="s">
        <v>11</v>
      </c>
      <c r="F1834" s="2" t="s">
        <v>91</v>
      </c>
      <c r="G1834" s="2" t="s">
        <v>159</v>
      </c>
      <c r="H1834" s="2" t="s">
        <v>1332</v>
      </c>
      <c r="I1834" s="2" t="s">
        <v>2358</v>
      </c>
    </row>
    <row r="1835" spans="1:9" ht="14.5" x14ac:dyDescent="0.35">
      <c r="A1835" s="2">
        <v>2539298</v>
      </c>
      <c r="B1835" s="2" t="str">
        <f>"3275045703880021"</f>
        <v>3275045703880021</v>
      </c>
      <c r="C1835" s="2" t="s">
        <v>2359</v>
      </c>
      <c r="D1835" s="2" t="s">
        <v>17</v>
      </c>
      <c r="E1835" s="2" t="s">
        <v>11</v>
      </c>
      <c r="F1835" s="2" t="s">
        <v>18</v>
      </c>
      <c r="G1835" s="2" t="s">
        <v>19</v>
      </c>
      <c r="H1835" s="2" t="s">
        <v>1394</v>
      </c>
      <c r="I1835" s="2" t="s">
        <v>2161</v>
      </c>
    </row>
    <row r="1836" spans="1:9" ht="14.5" x14ac:dyDescent="0.35">
      <c r="A1836" s="2">
        <v>611654</v>
      </c>
      <c r="B1836" s="2" t="str">
        <f>"3275090309760014"</f>
        <v>3275090309760014</v>
      </c>
      <c r="C1836" s="2" t="s">
        <v>2360</v>
      </c>
      <c r="D1836" s="2" t="s">
        <v>10</v>
      </c>
      <c r="E1836" s="2" t="s">
        <v>11</v>
      </c>
      <c r="F1836" s="2" t="s">
        <v>91</v>
      </c>
      <c r="G1836" s="2" t="s">
        <v>159</v>
      </c>
      <c r="H1836" s="2" t="s">
        <v>1170</v>
      </c>
      <c r="I1836" s="2" t="s">
        <v>2361</v>
      </c>
    </row>
    <row r="1837" spans="1:9" ht="14.5" x14ac:dyDescent="0.35">
      <c r="A1837" s="2">
        <v>2540830</v>
      </c>
      <c r="B1837" s="2" t="str">
        <f>"3275090309760014"</f>
        <v>3275090309760014</v>
      </c>
      <c r="C1837" s="2" t="s">
        <v>2362</v>
      </c>
      <c r="D1837" s="2" t="s">
        <v>10</v>
      </c>
      <c r="E1837" s="2" t="s">
        <v>57</v>
      </c>
      <c r="F1837" s="2" t="s">
        <v>18</v>
      </c>
      <c r="G1837" s="2" t="s">
        <v>19</v>
      </c>
      <c r="H1837" s="2" t="s">
        <v>1394</v>
      </c>
      <c r="I1837" s="2" t="s">
        <v>1395</v>
      </c>
    </row>
    <row r="1838" spans="1:9" ht="14.5" x14ac:dyDescent="0.35">
      <c r="A1838" s="2">
        <v>336404</v>
      </c>
      <c r="B1838" s="2" t="str">
        <f>"3276020702780012"</f>
        <v>3276020702780012</v>
      </c>
      <c r="C1838" s="2" t="s">
        <v>2363</v>
      </c>
      <c r="D1838" s="2" t="s">
        <v>10</v>
      </c>
      <c r="E1838" s="2" t="s">
        <v>11</v>
      </c>
      <c r="F1838" s="2" t="s">
        <v>91</v>
      </c>
      <c r="G1838" s="2" t="s">
        <v>2364</v>
      </c>
      <c r="H1838" s="2" t="s">
        <v>2365</v>
      </c>
      <c r="I1838" s="2" t="s">
        <v>177</v>
      </c>
    </row>
    <row r="1839" spans="1:9" ht="14.5" x14ac:dyDescent="0.35">
      <c r="A1839" s="2">
        <v>2540832</v>
      </c>
      <c r="B1839" s="2" t="str">
        <f>"3276020702780012"</f>
        <v>3276020702780012</v>
      </c>
      <c r="C1839" s="2" t="s">
        <v>2366</v>
      </c>
      <c r="D1839" s="2" t="s">
        <v>10</v>
      </c>
      <c r="E1839" s="2" t="s">
        <v>57</v>
      </c>
      <c r="F1839" s="2" t="s">
        <v>18</v>
      </c>
      <c r="G1839" s="2" t="s">
        <v>19</v>
      </c>
      <c r="H1839" s="2" t="s">
        <v>1394</v>
      </c>
      <c r="I1839" s="2" t="s">
        <v>1395</v>
      </c>
    </row>
    <row r="1840" spans="1:9" ht="14.5" x14ac:dyDescent="0.35">
      <c r="A1840" s="2">
        <v>562357</v>
      </c>
      <c r="B1840" s="2" t="str">
        <f>"3276041911830002"</f>
        <v>3276041911830002</v>
      </c>
      <c r="C1840" s="2" t="s">
        <v>2367</v>
      </c>
      <c r="D1840" s="2" t="s">
        <v>10</v>
      </c>
      <c r="E1840" s="2" t="s">
        <v>11</v>
      </c>
      <c r="F1840" s="2" t="s">
        <v>91</v>
      </c>
      <c r="G1840" s="2" t="s">
        <v>903</v>
      </c>
      <c r="H1840" s="2" t="s">
        <v>2368</v>
      </c>
      <c r="I1840" s="2" t="s">
        <v>2210</v>
      </c>
    </row>
    <row r="1841" spans="1:9" ht="14.5" x14ac:dyDescent="0.35">
      <c r="A1841" s="2">
        <v>2540754</v>
      </c>
      <c r="B1841" s="2" t="str">
        <f>"3276041911830002"</f>
        <v>3276041911830002</v>
      </c>
      <c r="C1841" s="2" t="s">
        <v>2369</v>
      </c>
      <c r="D1841" s="2" t="s">
        <v>10</v>
      </c>
      <c r="E1841" s="2" t="s">
        <v>57</v>
      </c>
      <c r="F1841" s="2" t="s">
        <v>18</v>
      </c>
      <c r="G1841" s="2" t="s">
        <v>19</v>
      </c>
      <c r="H1841" s="2" t="s">
        <v>1394</v>
      </c>
      <c r="I1841" s="2" t="s">
        <v>1395</v>
      </c>
    </row>
    <row r="1842" spans="1:9" ht="14.5" x14ac:dyDescent="0.35">
      <c r="A1842" s="2">
        <v>752901</v>
      </c>
      <c r="B1842" s="2" t="str">
        <f>"3276052512920003"</f>
        <v>3276052512920003</v>
      </c>
      <c r="C1842" s="2" t="s">
        <v>2370</v>
      </c>
      <c r="D1842" s="2" t="s">
        <v>10</v>
      </c>
      <c r="E1842" s="2" t="s">
        <v>11</v>
      </c>
      <c r="F1842" s="2" t="s">
        <v>91</v>
      </c>
      <c r="G1842" s="2" t="s">
        <v>903</v>
      </c>
      <c r="H1842" s="2" t="s">
        <v>2371</v>
      </c>
      <c r="I1842" s="2" t="s">
        <v>2372</v>
      </c>
    </row>
    <row r="1843" spans="1:9" ht="14.5" x14ac:dyDescent="0.35">
      <c r="A1843" s="2">
        <v>2539602</v>
      </c>
      <c r="B1843" s="2" t="str">
        <f>"3276052512920003"</f>
        <v>3276052512920003</v>
      </c>
      <c r="C1843" s="2" t="s">
        <v>2370</v>
      </c>
      <c r="D1843" s="2" t="s">
        <v>17</v>
      </c>
      <c r="E1843" s="2" t="s">
        <v>11</v>
      </c>
      <c r="F1843" s="2" t="s">
        <v>18</v>
      </c>
      <c r="G1843" s="2" t="s">
        <v>19</v>
      </c>
      <c r="H1843" s="2" t="s">
        <v>1394</v>
      </c>
      <c r="I1843" s="2" t="s">
        <v>2212</v>
      </c>
    </row>
    <row r="1844" spans="1:9" ht="14.5" x14ac:dyDescent="0.35">
      <c r="A1844" s="2">
        <v>337466</v>
      </c>
      <c r="B1844" s="2" t="str">
        <f>"3276092505920002"</f>
        <v>3276092505920002</v>
      </c>
      <c r="C1844" s="2" t="s">
        <v>2373</v>
      </c>
      <c r="D1844" s="2" t="s">
        <v>10</v>
      </c>
      <c r="E1844" s="2" t="s">
        <v>11</v>
      </c>
      <c r="F1844" s="2" t="s">
        <v>91</v>
      </c>
      <c r="G1844" s="2" t="s">
        <v>903</v>
      </c>
      <c r="H1844" s="2" t="s">
        <v>2374</v>
      </c>
      <c r="I1844" s="2" t="s">
        <v>2375</v>
      </c>
    </row>
    <row r="1845" spans="1:9" ht="14.5" x14ac:dyDescent="0.35">
      <c r="A1845" s="2">
        <v>2540792</v>
      </c>
      <c r="B1845" s="2" t="str">
        <f>"3276092505920002"</f>
        <v>3276092505920002</v>
      </c>
      <c r="C1845" s="2" t="s">
        <v>2373</v>
      </c>
      <c r="D1845" s="2" t="s">
        <v>10</v>
      </c>
      <c r="E1845" s="2" t="s">
        <v>57</v>
      </c>
      <c r="F1845" s="2" t="s">
        <v>18</v>
      </c>
      <c r="G1845" s="2" t="s">
        <v>19</v>
      </c>
      <c r="H1845" s="2" t="s">
        <v>1394</v>
      </c>
      <c r="I1845" s="2" t="s">
        <v>1395</v>
      </c>
    </row>
    <row r="1846" spans="1:9" ht="14.5" x14ac:dyDescent="0.35">
      <c r="A1846" s="2">
        <v>741350</v>
      </c>
      <c r="B1846" s="2" t="str">
        <f>"3277026812630009"</f>
        <v>3277026812630009</v>
      </c>
      <c r="C1846" s="2" t="s">
        <v>2376</v>
      </c>
      <c r="D1846" s="2" t="s">
        <v>10</v>
      </c>
      <c r="E1846" s="2" t="s">
        <v>11</v>
      </c>
      <c r="F1846" s="2" t="s">
        <v>33</v>
      </c>
      <c r="G1846" s="2" t="s">
        <v>2157</v>
      </c>
      <c r="H1846" s="2" t="s">
        <v>2163</v>
      </c>
      <c r="I1846" s="2" t="s">
        <v>2164</v>
      </c>
    </row>
    <row r="1847" spans="1:9" ht="14.5" x14ac:dyDescent="0.35">
      <c r="A1847" s="2">
        <v>2540030</v>
      </c>
      <c r="B1847" s="2" t="str">
        <f>"3277026812630009"</f>
        <v>3277026812630009</v>
      </c>
      <c r="C1847" s="2" t="s">
        <v>2376</v>
      </c>
      <c r="D1847" s="2" t="s">
        <v>17</v>
      </c>
      <c r="E1847" s="2" t="s">
        <v>11</v>
      </c>
      <c r="F1847" s="2" t="s">
        <v>18</v>
      </c>
      <c r="G1847" s="2" t="s">
        <v>19</v>
      </c>
      <c r="H1847" s="2" t="s">
        <v>1394</v>
      </c>
      <c r="I1847" s="2" t="s">
        <v>2165</v>
      </c>
    </row>
    <row r="1848" spans="1:9" ht="14.5" x14ac:dyDescent="0.35">
      <c r="A1848" s="2">
        <v>521972</v>
      </c>
      <c r="B1848" s="2" t="str">
        <f>"3278080506920001"</f>
        <v>3278080506920001</v>
      </c>
      <c r="C1848" s="2" t="s">
        <v>2377</v>
      </c>
      <c r="D1848" s="2" t="s">
        <v>10</v>
      </c>
      <c r="E1848" s="2" t="s">
        <v>11</v>
      </c>
      <c r="F1848" s="2" t="s">
        <v>91</v>
      </c>
      <c r="G1848" s="2" t="s">
        <v>221</v>
      </c>
      <c r="H1848" s="2" t="s">
        <v>2378</v>
      </c>
      <c r="I1848" s="2" t="s">
        <v>2379</v>
      </c>
    </row>
    <row r="1849" spans="1:9" ht="14.5" x14ac:dyDescent="0.35">
      <c r="A1849" s="2">
        <v>2540705</v>
      </c>
      <c r="B1849" s="2" t="str">
        <f>"3278080506920001"</f>
        <v>3278080506920001</v>
      </c>
      <c r="C1849" s="2" t="s">
        <v>2380</v>
      </c>
      <c r="D1849" s="2" t="s">
        <v>10</v>
      </c>
      <c r="E1849" s="2" t="s">
        <v>57</v>
      </c>
      <c r="F1849" s="2" t="s">
        <v>18</v>
      </c>
      <c r="G1849" s="2" t="s">
        <v>19</v>
      </c>
      <c r="H1849" s="2" t="s">
        <v>1394</v>
      </c>
      <c r="I1849" s="2" t="s">
        <v>1395</v>
      </c>
    </row>
    <row r="1850" spans="1:9" ht="14.5" x14ac:dyDescent="0.35">
      <c r="A1850" s="2">
        <v>1255703</v>
      </c>
      <c r="B1850" s="2" t="str">
        <f>"3301010901810001"</f>
        <v>3301010901810001</v>
      </c>
      <c r="C1850" s="2" t="s">
        <v>2381</v>
      </c>
      <c r="D1850" s="2" t="s">
        <v>10</v>
      </c>
      <c r="E1850" s="2" t="s">
        <v>11</v>
      </c>
      <c r="F1850" s="2" t="s">
        <v>18</v>
      </c>
      <c r="G1850" s="2" t="s">
        <v>264</v>
      </c>
      <c r="H1850" s="2" t="s">
        <v>265</v>
      </c>
      <c r="I1850" s="2" t="s">
        <v>266</v>
      </c>
    </row>
    <row r="1851" spans="1:9" ht="14.5" x14ac:dyDescent="0.35">
      <c r="A1851" s="2">
        <v>2540847</v>
      </c>
      <c r="B1851" s="2" t="str">
        <f>"3301010901810001"</f>
        <v>3301010901810001</v>
      </c>
      <c r="C1851" s="2" t="s">
        <v>2382</v>
      </c>
      <c r="D1851" s="2" t="s">
        <v>10</v>
      </c>
      <c r="E1851" s="2" t="s">
        <v>57</v>
      </c>
      <c r="F1851" s="2" t="s">
        <v>18</v>
      </c>
      <c r="G1851" s="2" t="s">
        <v>19</v>
      </c>
      <c r="H1851" s="2" t="s">
        <v>1394</v>
      </c>
      <c r="I1851" s="2" t="s">
        <v>1395</v>
      </c>
    </row>
    <row r="1852" spans="1:9" ht="14.5" x14ac:dyDescent="0.35">
      <c r="A1852" s="2">
        <v>3053325</v>
      </c>
      <c r="B1852" s="2" t="str">
        <f>"3301022006990003"</f>
        <v>3301022006990003</v>
      </c>
      <c r="C1852" s="2" t="s">
        <v>2383</v>
      </c>
      <c r="D1852" s="2" t="s">
        <v>17</v>
      </c>
      <c r="E1852" s="2" t="s">
        <v>11</v>
      </c>
      <c r="F1852" s="2" t="s">
        <v>18</v>
      </c>
      <c r="G1852" s="2" t="s">
        <v>163</v>
      </c>
      <c r="H1852" s="2" t="s">
        <v>164</v>
      </c>
      <c r="I1852" s="2" t="s">
        <v>2384</v>
      </c>
    </row>
    <row r="1853" spans="1:9" ht="14.5" x14ac:dyDescent="0.35">
      <c r="A1853" s="2">
        <v>2540739</v>
      </c>
      <c r="B1853" s="2" t="str">
        <f>"3301022006990003"</f>
        <v>3301022006990003</v>
      </c>
      <c r="C1853" s="2" t="s">
        <v>2385</v>
      </c>
      <c r="D1853" s="2" t="s">
        <v>10</v>
      </c>
      <c r="E1853" s="2" t="s">
        <v>57</v>
      </c>
      <c r="F1853" s="2" t="s">
        <v>18</v>
      </c>
      <c r="G1853" s="2" t="s">
        <v>19</v>
      </c>
      <c r="H1853" s="2" t="s">
        <v>1394</v>
      </c>
      <c r="I1853" s="2" t="s">
        <v>1395</v>
      </c>
    </row>
    <row r="1854" spans="1:9" ht="14.5" x14ac:dyDescent="0.35">
      <c r="A1854" s="2">
        <v>2244531</v>
      </c>
      <c r="B1854" s="2" t="str">
        <f>"3301141806970005"</f>
        <v>3301141806970005</v>
      </c>
      <c r="C1854" s="2" t="s">
        <v>2386</v>
      </c>
      <c r="D1854" s="2" t="s">
        <v>10</v>
      </c>
      <c r="E1854" s="2" t="s">
        <v>11</v>
      </c>
      <c r="F1854" s="2" t="s">
        <v>18</v>
      </c>
      <c r="G1854" s="2" t="s">
        <v>163</v>
      </c>
      <c r="H1854" s="2" t="s">
        <v>176</v>
      </c>
      <c r="I1854" s="2" t="s">
        <v>2315</v>
      </c>
    </row>
    <row r="1855" spans="1:9" ht="14.5" x14ac:dyDescent="0.35">
      <c r="A1855" s="2">
        <v>2540838</v>
      </c>
      <c r="B1855" s="2" t="str">
        <f>"3301141806970005"</f>
        <v>3301141806970005</v>
      </c>
      <c r="C1855" s="2" t="s">
        <v>2387</v>
      </c>
      <c r="D1855" s="2" t="s">
        <v>10</v>
      </c>
      <c r="E1855" s="2" t="s">
        <v>57</v>
      </c>
      <c r="F1855" s="2" t="s">
        <v>18</v>
      </c>
      <c r="G1855" s="2" t="s">
        <v>19</v>
      </c>
      <c r="H1855" s="2" t="s">
        <v>1394</v>
      </c>
      <c r="I1855" s="2" t="s">
        <v>1395</v>
      </c>
    </row>
    <row r="1856" spans="1:9" ht="14.5" x14ac:dyDescent="0.35">
      <c r="A1856" s="2">
        <v>270132</v>
      </c>
      <c r="B1856" s="2" t="str">
        <f>"3301252402900001"</f>
        <v>3301252402900001</v>
      </c>
      <c r="C1856" s="2" t="s">
        <v>2388</v>
      </c>
      <c r="D1856" s="2" t="s">
        <v>10</v>
      </c>
      <c r="E1856" s="2" t="s">
        <v>11</v>
      </c>
      <c r="F1856" s="2" t="s">
        <v>18</v>
      </c>
      <c r="G1856" s="2" t="s">
        <v>2389</v>
      </c>
      <c r="H1856" s="2" t="s">
        <v>2390</v>
      </c>
      <c r="I1856" s="2" t="s">
        <v>2391</v>
      </c>
    </row>
    <row r="1857" spans="1:9" ht="14.5" x14ac:dyDescent="0.35">
      <c r="A1857" s="2">
        <v>2540734</v>
      </c>
      <c r="B1857" s="2" t="str">
        <f>"3301252402900001"</f>
        <v>3301252402900001</v>
      </c>
      <c r="C1857" s="2" t="s">
        <v>2392</v>
      </c>
      <c r="D1857" s="2" t="s">
        <v>10</v>
      </c>
      <c r="E1857" s="2" t="s">
        <v>57</v>
      </c>
      <c r="F1857" s="2" t="s">
        <v>18</v>
      </c>
      <c r="G1857" s="2" t="s">
        <v>19</v>
      </c>
      <c r="H1857" s="2" t="s">
        <v>1394</v>
      </c>
      <c r="I1857" s="2" t="s">
        <v>1395</v>
      </c>
    </row>
    <row r="1858" spans="1:9" ht="14.5" x14ac:dyDescent="0.35">
      <c r="A1858" s="2">
        <v>24421</v>
      </c>
      <c r="B1858" s="2" t="str">
        <f>"3302142803800002"</f>
        <v>3302142803800002</v>
      </c>
      <c r="C1858" s="2" t="s">
        <v>2393</v>
      </c>
      <c r="D1858" s="2" t="s">
        <v>10</v>
      </c>
      <c r="E1858" s="2" t="s">
        <v>11</v>
      </c>
      <c r="F1858" s="2" t="s">
        <v>18</v>
      </c>
      <c r="G1858" s="2" t="s">
        <v>167</v>
      </c>
      <c r="H1858" s="2" t="s">
        <v>2394</v>
      </c>
      <c r="I1858" s="2" t="s">
        <v>2395</v>
      </c>
    </row>
    <row r="1859" spans="1:9" ht="14.5" x14ac:dyDescent="0.35">
      <c r="A1859" s="2">
        <v>2540728</v>
      </c>
      <c r="B1859" s="2" t="str">
        <f>"3302142803800002"</f>
        <v>3302142803800002</v>
      </c>
      <c r="C1859" s="2" t="s">
        <v>2396</v>
      </c>
      <c r="D1859" s="2" t="s">
        <v>10</v>
      </c>
      <c r="E1859" s="2" t="s">
        <v>57</v>
      </c>
      <c r="F1859" s="2" t="s">
        <v>18</v>
      </c>
      <c r="G1859" s="2" t="s">
        <v>19</v>
      </c>
      <c r="H1859" s="2" t="s">
        <v>1394</v>
      </c>
      <c r="I1859" s="2" t="s">
        <v>1395</v>
      </c>
    </row>
    <row r="1860" spans="1:9" ht="14.5" x14ac:dyDescent="0.35">
      <c r="A1860" s="2">
        <v>1106434</v>
      </c>
      <c r="B1860" s="2" t="str">
        <f>"3302200303920005"</f>
        <v>3302200303920005</v>
      </c>
      <c r="C1860" s="2" t="s">
        <v>2397</v>
      </c>
      <c r="D1860" s="2" t="s">
        <v>10</v>
      </c>
      <c r="E1860" s="2" t="s">
        <v>11</v>
      </c>
      <c r="F1860" s="2" t="s">
        <v>18</v>
      </c>
      <c r="G1860" s="2" t="s">
        <v>167</v>
      </c>
      <c r="H1860" s="2" t="s">
        <v>2398</v>
      </c>
      <c r="I1860" s="2" t="s">
        <v>2399</v>
      </c>
    </row>
    <row r="1861" spans="1:9" ht="14.5" x14ac:dyDescent="0.35">
      <c r="A1861" s="2">
        <v>2540661</v>
      </c>
      <c r="B1861" s="2" t="str">
        <f>"3302200303920005"</f>
        <v>3302200303920005</v>
      </c>
      <c r="C1861" s="2" t="s">
        <v>2400</v>
      </c>
      <c r="D1861" s="2" t="s">
        <v>10</v>
      </c>
      <c r="E1861" s="2" t="s">
        <v>57</v>
      </c>
      <c r="F1861" s="2" t="s">
        <v>18</v>
      </c>
      <c r="G1861" s="2" t="s">
        <v>19</v>
      </c>
      <c r="H1861" s="2" t="s">
        <v>1394</v>
      </c>
      <c r="I1861" s="2" t="s">
        <v>1395</v>
      </c>
    </row>
    <row r="1862" spans="1:9" ht="14.5" x14ac:dyDescent="0.35">
      <c r="A1862" s="2">
        <v>1367965</v>
      </c>
      <c r="B1862" s="2" t="str">
        <f>"3303050112790001"</f>
        <v>3303050112790001</v>
      </c>
      <c r="C1862" s="2" t="s">
        <v>2401</v>
      </c>
      <c r="D1862" s="2" t="s">
        <v>10</v>
      </c>
      <c r="E1862" s="2" t="s">
        <v>11</v>
      </c>
      <c r="F1862" s="2" t="s">
        <v>18</v>
      </c>
      <c r="G1862" s="2" t="s">
        <v>167</v>
      </c>
      <c r="H1862" s="2" t="s">
        <v>2402</v>
      </c>
      <c r="I1862" s="2" t="s">
        <v>2403</v>
      </c>
    </row>
    <row r="1863" spans="1:9" ht="14.5" x14ac:dyDescent="0.35">
      <c r="A1863" s="2">
        <v>2540785</v>
      </c>
      <c r="B1863" s="2" t="str">
        <f>"3303050112790001"</f>
        <v>3303050112790001</v>
      </c>
      <c r="C1863" s="2" t="s">
        <v>2401</v>
      </c>
      <c r="D1863" s="2" t="s">
        <v>10</v>
      </c>
      <c r="E1863" s="2" t="s">
        <v>57</v>
      </c>
      <c r="F1863" s="2" t="s">
        <v>18</v>
      </c>
      <c r="G1863" s="2" t="s">
        <v>19</v>
      </c>
      <c r="H1863" s="2" t="s">
        <v>1394</v>
      </c>
      <c r="I1863" s="2" t="s">
        <v>1395</v>
      </c>
    </row>
    <row r="1864" spans="1:9" ht="14.5" x14ac:dyDescent="0.35">
      <c r="A1864" s="2">
        <v>1805011</v>
      </c>
      <c r="B1864" s="2" t="str">
        <f>"3305122706960007"</f>
        <v>3305122706960007</v>
      </c>
      <c r="C1864" s="2" t="s">
        <v>2404</v>
      </c>
      <c r="D1864" s="2" t="s">
        <v>10</v>
      </c>
      <c r="E1864" s="2" t="s">
        <v>11</v>
      </c>
      <c r="F1864" s="2" t="s">
        <v>18</v>
      </c>
      <c r="G1864" s="2" t="s">
        <v>19</v>
      </c>
      <c r="H1864" s="2" t="s">
        <v>1394</v>
      </c>
      <c r="I1864" s="2" t="s">
        <v>2212</v>
      </c>
    </row>
    <row r="1865" spans="1:9" ht="14.5" x14ac:dyDescent="0.35">
      <c r="A1865" s="2">
        <v>1115946</v>
      </c>
      <c r="B1865" s="2" t="str">
        <f>"3305122706960007"</f>
        <v>3305122706960007</v>
      </c>
      <c r="C1865" s="2" t="s">
        <v>2404</v>
      </c>
      <c r="D1865" s="2" t="s">
        <v>17</v>
      </c>
      <c r="E1865" s="2" t="s">
        <v>11</v>
      </c>
      <c r="F1865" s="2" t="s">
        <v>18</v>
      </c>
      <c r="G1865" s="2" t="s">
        <v>171</v>
      </c>
      <c r="H1865" s="2" t="s">
        <v>171</v>
      </c>
      <c r="I1865" s="2" t="s">
        <v>2405</v>
      </c>
    </row>
    <row r="1866" spans="1:9" ht="14.5" x14ac:dyDescent="0.35">
      <c r="A1866" s="2">
        <v>920714</v>
      </c>
      <c r="B1866" s="2" t="str">
        <f>"3306042912900001"</f>
        <v>3306042912900001</v>
      </c>
      <c r="C1866" s="2" t="s">
        <v>2406</v>
      </c>
      <c r="D1866" s="2" t="s">
        <v>10</v>
      </c>
      <c r="E1866" s="2" t="s">
        <v>11</v>
      </c>
      <c r="F1866" s="2" t="s">
        <v>18</v>
      </c>
      <c r="G1866" s="2" t="s">
        <v>1920</v>
      </c>
      <c r="H1866" s="2" t="s">
        <v>2407</v>
      </c>
      <c r="I1866" s="2" t="s">
        <v>2408</v>
      </c>
    </row>
    <row r="1867" spans="1:9" ht="14.5" x14ac:dyDescent="0.35">
      <c r="A1867" s="2">
        <v>2540919</v>
      </c>
      <c r="B1867" s="2" t="str">
        <f>"3306042912900001"</f>
        <v>3306042912900001</v>
      </c>
      <c r="C1867" s="2" t="s">
        <v>2406</v>
      </c>
      <c r="D1867" s="2" t="s">
        <v>10</v>
      </c>
      <c r="E1867" s="2" t="s">
        <v>57</v>
      </c>
      <c r="F1867" s="2" t="s">
        <v>18</v>
      </c>
      <c r="G1867" s="2" t="s">
        <v>19</v>
      </c>
      <c r="H1867" s="2" t="s">
        <v>1394</v>
      </c>
      <c r="I1867" s="2" t="s">
        <v>1395</v>
      </c>
    </row>
    <row r="1868" spans="1:9" ht="14.5" x14ac:dyDescent="0.35">
      <c r="A1868" s="2">
        <v>902555</v>
      </c>
      <c r="B1868" s="2" t="str">
        <f>"3306102804850001"</f>
        <v>3306102804850001</v>
      </c>
      <c r="C1868" s="2" t="s">
        <v>1367</v>
      </c>
      <c r="D1868" s="2" t="s">
        <v>10</v>
      </c>
      <c r="E1868" s="2" t="s">
        <v>11</v>
      </c>
      <c r="F1868" s="2" t="s">
        <v>18</v>
      </c>
      <c r="G1868" s="2" t="s">
        <v>1920</v>
      </c>
      <c r="H1868" s="2" t="s">
        <v>1388</v>
      </c>
      <c r="I1868" s="2" t="s">
        <v>1388</v>
      </c>
    </row>
    <row r="1869" spans="1:9" ht="14.5" x14ac:dyDescent="0.35">
      <c r="A1869" s="2">
        <v>2540749</v>
      </c>
      <c r="B1869" s="2" t="str">
        <f>"3306102804850001"</f>
        <v>3306102804850001</v>
      </c>
      <c r="C1869" s="2" t="s">
        <v>2409</v>
      </c>
      <c r="D1869" s="2" t="s">
        <v>10</v>
      </c>
      <c r="E1869" s="2" t="s">
        <v>57</v>
      </c>
      <c r="F1869" s="2" t="s">
        <v>18</v>
      </c>
      <c r="G1869" s="2" t="s">
        <v>19</v>
      </c>
      <c r="H1869" s="2" t="s">
        <v>1394</v>
      </c>
      <c r="I1869" s="2" t="s">
        <v>1395</v>
      </c>
    </row>
    <row r="1870" spans="1:9" ht="14.5" x14ac:dyDescent="0.35">
      <c r="A1870" s="2">
        <v>1203808</v>
      </c>
      <c r="B1870" s="2" t="str">
        <f>"3306111207990001"</f>
        <v>3306111207990001</v>
      </c>
      <c r="C1870" s="2" t="s">
        <v>2410</v>
      </c>
      <c r="D1870" s="2" t="s">
        <v>10</v>
      </c>
      <c r="E1870" s="2" t="s">
        <v>11</v>
      </c>
      <c r="F1870" s="2" t="s">
        <v>18</v>
      </c>
      <c r="G1870" s="2" t="s">
        <v>1920</v>
      </c>
      <c r="H1870" s="2" t="s">
        <v>1921</v>
      </c>
      <c r="I1870" s="2" t="s">
        <v>1921</v>
      </c>
    </row>
    <row r="1871" spans="1:9" ht="14.5" x14ac:dyDescent="0.35">
      <c r="A1871" s="2">
        <v>2540922</v>
      </c>
      <c r="B1871" s="2" t="str">
        <f>"3306111207990001"</f>
        <v>3306111207990001</v>
      </c>
      <c r="C1871" s="2" t="s">
        <v>2410</v>
      </c>
      <c r="D1871" s="2" t="s">
        <v>10</v>
      </c>
      <c r="E1871" s="2" t="s">
        <v>57</v>
      </c>
      <c r="F1871" s="2" t="s">
        <v>18</v>
      </c>
      <c r="G1871" s="2" t="s">
        <v>19</v>
      </c>
      <c r="H1871" s="2" t="s">
        <v>1394</v>
      </c>
      <c r="I1871" s="2" t="s">
        <v>1395</v>
      </c>
    </row>
    <row r="1872" spans="1:9" ht="14.5" x14ac:dyDescent="0.35">
      <c r="A1872" s="2">
        <v>2540783</v>
      </c>
      <c r="B1872" s="2" t="str">
        <f>"3309071608969002"</f>
        <v>3309071608969002</v>
      </c>
      <c r="C1872" s="2" t="s">
        <v>2411</v>
      </c>
      <c r="D1872" s="2" t="s">
        <v>10</v>
      </c>
      <c r="E1872" s="2" t="s">
        <v>57</v>
      </c>
      <c r="F1872" s="2" t="s">
        <v>18</v>
      </c>
      <c r="G1872" s="2" t="s">
        <v>19</v>
      </c>
      <c r="H1872" s="2" t="s">
        <v>1394</v>
      </c>
      <c r="I1872" s="2" t="s">
        <v>1395</v>
      </c>
    </row>
    <row r="1873" spans="1:9" ht="14.5" x14ac:dyDescent="0.35">
      <c r="A1873" s="2">
        <v>687378</v>
      </c>
      <c r="B1873" s="2" t="str">
        <f>"3309071608969002"</f>
        <v>3309071608969002</v>
      </c>
      <c r="C1873" s="2" t="s">
        <v>2412</v>
      </c>
      <c r="D1873" s="2" t="s">
        <v>10</v>
      </c>
      <c r="E1873" s="2" t="s">
        <v>57</v>
      </c>
      <c r="F1873" s="2" t="s">
        <v>18</v>
      </c>
      <c r="G1873" s="2" t="s">
        <v>190</v>
      </c>
      <c r="H1873" s="2" t="s">
        <v>190</v>
      </c>
      <c r="I1873" s="2" t="s">
        <v>2413</v>
      </c>
    </row>
    <row r="1874" spans="1:9" ht="14.5" x14ac:dyDescent="0.35">
      <c r="A1874" s="2">
        <v>2540914</v>
      </c>
      <c r="B1874" s="2" t="str">
        <f>"3311102210800004"</f>
        <v>3311102210800004</v>
      </c>
      <c r="C1874" s="2" t="s">
        <v>2414</v>
      </c>
      <c r="D1874" s="2" t="s">
        <v>10</v>
      </c>
      <c r="E1874" s="2" t="s">
        <v>57</v>
      </c>
      <c r="F1874" s="2" t="s">
        <v>18</v>
      </c>
      <c r="G1874" s="2" t="s">
        <v>19</v>
      </c>
      <c r="H1874" s="2" t="s">
        <v>1394</v>
      </c>
      <c r="I1874" s="2" t="s">
        <v>1395</v>
      </c>
    </row>
    <row r="1875" spans="1:9" ht="14.5" x14ac:dyDescent="0.35">
      <c r="A1875" s="2">
        <v>687450</v>
      </c>
      <c r="B1875" s="2" t="str">
        <f>"3311102210800004"</f>
        <v>3311102210800004</v>
      </c>
      <c r="C1875" s="2" t="s">
        <v>2414</v>
      </c>
      <c r="D1875" s="2" t="s">
        <v>10</v>
      </c>
      <c r="E1875" s="2" t="s">
        <v>57</v>
      </c>
      <c r="F1875" s="2" t="s">
        <v>18</v>
      </c>
      <c r="G1875" s="2" t="s">
        <v>190</v>
      </c>
      <c r="H1875" s="2" t="s">
        <v>190</v>
      </c>
      <c r="I1875" s="2" t="s">
        <v>2413</v>
      </c>
    </row>
    <row r="1876" spans="1:9" ht="14.5" x14ac:dyDescent="0.35">
      <c r="A1876" s="2">
        <v>1812124</v>
      </c>
      <c r="B1876" s="2" t="str">
        <f>"3316125112620001"</f>
        <v>3316125112620001</v>
      </c>
      <c r="C1876" s="2" t="s">
        <v>2415</v>
      </c>
      <c r="D1876" s="2" t="s">
        <v>10</v>
      </c>
      <c r="E1876" s="2" t="s">
        <v>11</v>
      </c>
      <c r="F1876" s="2" t="s">
        <v>18</v>
      </c>
      <c r="G1876" s="2" t="s">
        <v>19</v>
      </c>
      <c r="H1876" s="2" t="s">
        <v>1394</v>
      </c>
      <c r="I1876" s="2" t="s">
        <v>2212</v>
      </c>
    </row>
    <row r="1877" spans="1:9" ht="14.5" x14ac:dyDescent="0.35">
      <c r="A1877" s="2">
        <v>1431590</v>
      </c>
      <c r="B1877" s="2" t="str">
        <f>"3316125112620001"</f>
        <v>3316125112620001</v>
      </c>
      <c r="C1877" s="2" t="s">
        <v>2415</v>
      </c>
      <c r="D1877" s="2" t="s">
        <v>17</v>
      </c>
      <c r="E1877" s="2" t="s">
        <v>11</v>
      </c>
      <c r="F1877" s="2" t="s">
        <v>18</v>
      </c>
      <c r="G1877" s="2" t="s">
        <v>2416</v>
      </c>
      <c r="H1877" s="2" t="s">
        <v>2417</v>
      </c>
      <c r="I1877" s="2" t="s">
        <v>2418</v>
      </c>
    </row>
    <row r="1878" spans="1:9" ht="14.5" x14ac:dyDescent="0.35">
      <c r="A1878" s="2">
        <v>702023</v>
      </c>
      <c r="B1878" s="2" t="str">
        <f>"3316162306710001"</f>
        <v>3316162306710001</v>
      </c>
      <c r="C1878" s="2" t="s">
        <v>245</v>
      </c>
      <c r="D1878" s="2" t="s">
        <v>10</v>
      </c>
      <c r="E1878" s="2" t="s">
        <v>11</v>
      </c>
      <c r="F1878" s="2" t="s">
        <v>18</v>
      </c>
      <c r="G1878" s="2" t="s">
        <v>2416</v>
      </c>
      <c r="H1878" s="2" t="s">
        <v>2419</v>
      </c>
      <c r="I1878" s="2" t="s">
        <v>2420</v>
      </c>
    </row>
    <row r="1879" spans="1:9" ht="14.5" x14ac:dyDescent="0.35">
      <c r="A1879" s="2">
        <v>2540809</v>
      </c>
      <c r="B1879" s="2" t="str">
        <f>"3316162306710001"</f>
        <v>3316162306710001</v>
      </c>
      <c r="C1879" s="2" t="s">
        <v>2421</v>
      </c>
      <c r="D1879" s="2" t="s">
        <v>10</v>
      </c>
      <c r="E1879" s="2" t="s">
        <v>57</v>
      </c>
      <c r="F1879" s="2" t="s">
        <v>18</v>
      </c>
      <c r="G1879" s="2" t="s">
        <v>19</v>
      </c>
      <c r="H1879" s="2" t="s">
        <v>1394</v>
      </c>
      <c r="I1879" s="2" t="s">
        <v>1395</v>
      </c>
    </row>
    <row r="1880" spans="1:9" ht="14.5" x14ac:dyDescent="0.35">
      <c r="A1880" s="2">
        <v>1840013</v>
      </c>
      <c r="B1880" s="2" t="str">
        <f>"3318046411970003"</f>
        <v>3318046411970003</v>
      </c>
      <c r="C1880" s="2" t="s">
        <v>2422</v>
      </c>
      <c r="D1880" s="2" t="s">
        <v>10</v>
      </c>
      <c r="E1880" s="2" t="s">
        <v>11</v>
      </c>
      <c r="F1880" s="2" t="s">
        <v>18</v>
      </c>
      <c r="G1880" s="2" t="s">
        <v>19</v>
      </c>
      <c r="H1880" s="2" t="s">
        <v>1394</v>
      </c>
      <c r="I1880" s="2" t="s">
        <v>674</v>
      </c>
    </row>
    <row r="1881" spans="1:9" ht="14.5" x14ac:dyDescent="0.35">
      <c r="A1881" s="2">
        <v>1088930</v>
      </c>
      <c r="B1881" s="2" t="str">
        <f>"3318046411970003"</f>
        <v>3318046411970003</v>
      </c>
      <c r="C1881" s="2" t="s">
        <v>2423</v>
      </c>
      <c r="D1881" s="2" t="s">
        <v>17</v>
      </c>
      <c r="E1881" s="2" t="s">
        <v>11</v>
      </c>
      <c r="F1881" s="2" t="s">
        <v>18</v>
      </c>
      <c r="G1881" s="2" t="s">
        <v>1787</v>
      </c>
      <c r="H1881" s="2" t="s">
        <v>2424</v>
      </c>
      <c r="I1881" s="2" t="s">
        <v>2425</v>
      </c>
    </row>
    <row r="1882" spans="1:9" ht="14.5" x14ac:dyDescent="0.35">
      <c r="A1882" s="2">
        <v>1111666</v>
      </c>
      <c r="B1882" s="2" t="str">
        <f>"3318090102970003"</f>
        <v>3318090102970003</v>
      </c>
      <c r="C1882" s="2" t="s">
        <v>2426</v>
      </c>
      <c r="D1882" s="2" t="s">
        <v>17</v>
      </c>
      <c r="E1882" s="2" t="s">
        <v>11</v>
      </c>
      <c r="F1882" s="2" t="s">
        <v>18</v>
      </c>
      <c r="G1882" s="2" t="s">
        <v>1787</v>
      </c>
      <c r="H1882" s="2" t="s">
        <v>2427</v>
      </c>
      <c r="I1882" s="2" t="s">
        <v>2428</v>
      </c>
    </row>
    <row r="1883" spans="1:9" ht="14.5" x14ac:dyDescent="0.35">
      <c r="A1883" s="2">
        <v>2540828</v>
      </c>
      <c r="B1883" s="2" t="str">
        <f>"3318090102970003"</f>
        <v>3318090102970003</v>
      </c>
      <c r="C1883" s="2" t="s">
        <v>2429</v>
      </c>
      <c r="D1883" s="2" t="s">
        <v>10</v>
      </c>
      <c r="E1883" s="2" t="s">
        <v>57</v>
      </c>
      <c r="F1883" s="2" t="s">
        <v>18</v>
      </c>
      <c r="G1883" s="2" t="s">
        <v>19</v>
      </c>
      <c r="H1883" s="2" t="s">
        <v>1394</v>
      </c>
      <c r="I1883" s="2" t="s">
        <v>1395</v>
      </c>
    </row>
    <row r="1884" spans="1:9" ht="14.5" x14ac:dyDescent="0.35">
      <c r="A1884" s="2">
        <v>375001</v>
      </c>
      <c r="B1884" s="2" t="str">
        <f>"3318211107780001"</f>
        <v>3318211107780001</v>
      </c>
      <c r="C1884" s="2" t="s">
        <v>2430</v>
      </c>
      <c r="D1884" s="2" t="s">
        <v>10</v>
      </c>
      <c r="E1884" s="2" t="s">
        <v>11</v>
      </c>
      <c r="F1884" s="2" t="s">
        <v>18</v>
      </c>
      <c r="G1884" s="2" t="s">
        <v>1787</v>
      </c>
      <c r="H1884" s="2" t="s">
        <v>2431</v>
      </c>
      <c r="I1884" s="2" t="s">
        <v>2431</v>
      </c>
    </row>
    <row r="1885" spans="1:9" ht="14.5" x14ac:dyDescent="0.35">
      <c r="A1885" s="2">
        <v>2540674</v>
      </c>
      <c r="B1885" s="2" t="str">
        <f>"3318211107780001"</f>
        <v>3318211107780001</v>
      </c>
      <c r="C1885" s="2" t="s">
        <v>2432</v>
      </c>
      <c r="D1885" s="2" t="s">
        <v>10</v>
      </c>
      <c r="E1885" s="2" t="s">
        <v>57</v>
      </c>
      <c r="F1885" s="2" t="s">
        <v>18</v>
      </c>
      <c r="G1885" s="2" t="s">
        <v>19</v>
      </c>
      <c r="H1885" s="2" t="s">
        <v>1394</v>
      </c>
      <c r="I1885" s="2" t="s">
        <v>1395</v>
      </c>
    </row>
    <row r="1886" spans="1:9" ht="14.5" x14ac:dyDescent="0.35">
      <c r="A1886" s="2">
        <v>1285129</v>
      </c>
      <c r="B1886" s="2" t="str">
        <f>"3319021912910004"</f>
        <v>3319021912910004</v>
      </c>
      <c r="C1886" s="2" t="s">
        <v>2433</v>
      </c>
      <c r="D1886" s="2" t="s">
        <v>10</v>
      </c>
      <c r="E1886" s="2" t="s">
        <v>11</v>
      </c>
      <c r="F1886" s="2" t="s">
        <v>18</v>
      </c>
      <c r="G1886" s="2" t="s">
        <v>2434</v>
      </c>
      <c r="H1886" s="2" t="s">
        <v>2435</v>
      </c>
      <c r="I1886" s="2" t="s">
        <v>2436</v>
      </c>
    </row>
    <row r="1887" spans="1:9" ht="14.5" x14ac:dyDescent="0.35">
      <c r="A1887" s="2">
        <v>2540746</v>
      </c>
      <c r="B1887" s="2" t="str">
        <f>"3319021912910004"</f>
        <v>3319021912910004</v>
      </c>
      <c r="C1887" s="2" t="s">
        <v>2437</v>
      </c>
      <c r="D1887" s="2" t="s">
        <v>10</v>
      </c>
      <c r="E1887" s="2" t="s">
        <v>57</v>
      </c>
      <c r="F1887" s="2" t="s">
        <v>18</v>
      </c>
      <c r="G1887" s="2" t="s">
        <v>19</v>
      </c>
      <c r="H1887" s="2" t="s">
        <v>1394</v>
      </c>
      <c r="I1887" s="2" t="s">
        <v>1395</v>
      </c>
    </row>
    <row r="1888" spans="1:9" ht="14.5" x14ac:dyDescent="0.35">
      <c r="A1888" s="2">
        <v>782516</v>
      </c>
      <c r="B1888" s="2" t="str">
        <f>"3319070810670001"</f>
        <v>3319070810670001</v>
      </c>
      <c r="C1888" s="2" t="s">
        <v>2438</v>
      </c>
      <c r="D1888" s="2" t="s">
        <v>10</v>
      </c>
      <c r="E1888" s="2" t="s">
        <v>11</v>
      </c>
      <c r="F1888" s="2" t="s">
        <v>18</v>
      </c>
      <c r="G1888" s="2" t="s">
        <v>2434</v>
      </c>
      <c r="H1888" s="2" t="s">
        <v>2439</v>
      </c>
      <c r="I1888" s="2" t="s">
        <v>2440</v>
      </c>
    </row>
    <row r="1889" spans="1:9" ht="14.5" x14ac:dyDescent="0.35">
      <c r="A1889" s="2">
        <v>2540694</v>
      </c>
      <c r="B1889" s="2" t="str">
        <f>"3319070810670001"</f>
        <v>3319070810670001</v>
      </c>
      <c r="C1889" s="2" t="s">
        <v>2441</v>
      </c>
      <c r="D1889" s="2" t="s">
        <v>10</v>
      </c>
      <c r="E1889" s="2" t="s">
        <v>57</v>
      </c>
      <c r="F1889" s="2" t="s">
        <v>18</v>
      </c>
      <c r="G1889" s="2" t="s">
        <v>19</v>
      </c>
      <c r="H1889" s="2" t="s">
        <v>1394</v>
      </c>
      <c r="I1889" s="2" t="s">
        <v>1395</v>
      </c>
    </row>
    <row r="1890" spans="1:9" ht="14.5" x14ac:dyDescent="0.35">
      <c r="A1890" s="2">
        <v>1017091</v>
      </c>
      <c r="B1890" s="2" t="str">
        <f>"3321042502850002"</f>
        <v>3321042502850002</v>
      </c>
      <c r="C1890" s="2" t="s">
        <v>2442</v>
      </c>
      <c r="D1890" s="2" t="s">
        <v>10</v>
      </c>
      <c r="E1890" s="2" t="s">
        <v>11</v>
      </c>
      <c r="F1890" s="2" t="s">
        <v>18</v>
      </c>
      <c r="G1890" s="2" t="s">
        <v>184</v>
      </c>
      <c r="H1890" s="2" t="s">
        <v>185</v>
      </c>
      <c r="I1890" s="2" t="s">
        <v>2443</v>
      </c>
    </row>
    <row r="1891" spans="1:9" ht="14.5" x14ac:dyDescent="0.35">
      <c r="A1891" s="2">
        <v>2540812</v>
      </c>
      <c r="B1891" s="2" t="str">
        <f>"3321042502850002"</f>
        <v>3321042502850002</v>
      </c>
      <c r="C1891" s="2" t="s">
        <v>2444</v>
      </c>
      <c r="D1891" s="2" t="s">
        <v>10</v>
      </c>
      <c r="E1891" s="2" t="s">
        <v>57</v>
      </c>
      <c r="F1891" s="2" t="s">
        <v>18</v>
      </c>
      <c r="G1891" s="2" t="s">
        <v>19</v>
      </c>
      <c r="H1891" s="2" t="s">
        <v>1394</v>
      </c>
      <c r="I1891" s="2" t="s">
        <v>1395</v>
      </c>
    </row>
    <row r="1892" spans="1:9" ht="14.5" x14ac:dyDescent="0.35">
      <c r="A1892" s="2">
        <v>2540686</v>
      </c>
      <c r="B1892" s="2" t="str">
        <f>"3325111701940001"</f>
        <v>3325111701940001</v>
      </c>
      <c r="C1892" s="2" t="s">
        <v>2445</v>
      </c>
      <c r="D1892" s="2" t="s">
        <v>10</v>
      </c>
      <c r="E1892" s="2" t="s">
        <v>57</v>
      </c>
      <c r="F1892" s="2" t="s">
        <v>18</v>
      </c>
      <c r="G1892" s="2" t="s">
        <v>19</v>
      </c>
      <c r="H1892" s="2" t="s">
        <v>1394</v>
      </c>
      <c r="I1892" s="2" t="s">
        <v>1395</v>
      </c>
    </row>
    <row r="1893" spans="1:9" ht="14.5" x14ac:dyDescent="0.35">
      <c r="A1893" s="2">
        <v>34824</v>
      </c>
      <c r="B1893" s="2" t="str">
        <f>"3325111701940001"</f>
        <v>3325111701940001</v>
      </c>
      <c r="C1893" s="2" t="s">
        <v>2446</v>
      </c>
      <c r="D1893" s="2" t="s">
        <v>189</v>
      </c>
      <c r="E1893" s="2" t="s">
        <v>11</v>
      </c>
      <c r="F1893" s="2" t="s">
        <v>18</v>
      </c>
      <c r="G1893" s="2" t="s">
        <v>190</v>
      </c>
      <c r="H1893" s="2" t="s">
        <v>190</v>
      </c>
      <c r="I1893" s="2" t="s">
        <v>506</v>
      </c>
    </row>
    <row r="1894" spans="1:9" ht="14.5" x14ac:dyDescent="0.35">
      <c r="A1894" s="2">
        <v>2540872</v>
      </c>
      <c r="B1894" s="2" t="str">
        <f>"3325112104910003"</f>
        <v>3325112104910003</v>
      </c>
      <c r="C1894" s="2" t="s">
        <v>2447</v>
      </c>
      <c r="D1894" s="2" t="s">
        <v>10</v>
      </c>
      <c r="E1894" s="2" t="s">
        <v>57</v>
      </c>
      <c r="F1894" s="2" t="s">
        <v>18</v>
      </c>
      <c r="G1894" s="2" t="s">
        <v>19</v>
      </c>
      <c r="H1894" s="2" t="s">
        <v>1394</v>
      </c>
      <c r="I1894" s="2" t="s">
        <v>1395</v>
      </c>
    </row>
    <row r="1895" spans="1:9" ht="14.5" x14ac:dyDescent="0.35">
      <c r="A1895" s="2">
        <v>201524</v>
      </c>
      <c r="B1895" s="2" t="str">
        <f>"3325112104910003"</f>
        <v>3325112104910003</v>
      </c>
      <c r="C1895" s="2" t="s">
        <v>2448</v>
      </c>
      <c r="D1895" s="2" t="s">
        <v>189</v>
      </c>
      <c r="E1895" s="2" t="s">
        <v>11</v>
      </c>
      <c r="F1895" s="2" t="s">
        <v>18</v>
      </c>
      <c r="G1895" s="2" t="s">
        <v>190</v>
      </c>
      <c r="H1895" s="2" t="s">
        <v>190</v>
      </c>
      <c r="I1895" s="2" t="s">
        <v>37</v>
      </c>
    </row>
    <row r="1896" spans="1:9" ht="14.5" x14ac:dyDescent="0.35">
      <c r="A1896" s="2">
        <v>2540744</v>
      </c>
      <c r="B1896" s="2" t="str">
        <f>"3325112108970021"</f>
        <v>3325112108970021</v>
      </c>
      <c r="C1896" s="2" t="s">
        <v>2449</v>
      </c>
      <c r="D1896" s="2" t="s">
        <v>10</v>
      </c>
      <c r="E1896" s="2" t="s">
        <v>57</v>
      </c>
      <c r="F1896" s="2" t="s">
        <v>18</v>
      </c>
      <c r="G1896" s="2" t="s">
        <v>19</v>
      </c>
      <c r="H1896" s="2" t="s">
        <v>1394</v>
      </c>
      <c r="I1896" s="2" t="s">
        <v>1395</v>
      </c>
    </row>
    <row r="1897" spans="1:9" ht="14.5" x14ac:dyDescent="0.35">
      <c r="A1897" s="2">
        <v>20868</v>
      </c>
      <c r="B1897" s="2" t="str">
        <f>"3325112108970021"</f>
        <v>3325112108970021</v>
      </c>
      <c r="C1897" s="2" t="s">
        <v>2450</v>
      </c>
      <c r="D1897" s="2" t="s">
        <v>189</v>
      </c>
      <c r="E1897" s="2" t="s">
        <v>11</v>
      </c>
      <c r="F1897" s="2" t="s">
        <v>18</v>
      </c>
      <c r="G1897" s="2" t="s">
        <v>190</v>
      </c>
      <c r="H1897" s="2" t="s">
        <v>190</v>
      </c>
      <c r="I1897" s="2" t="s">
        <v>2451</v>
      </c>
    </row>
    <row r="1898" spans="1:9" ht="14.5" x14ac:dyDescent="0.35">
      <c r="A1898" s="2">
        <v>2540740</v>
      </c>
      <c r="B1898" s="2" t="str">
        <f>"3325112509950005"</f>
        <v>3325112509950005</v>
      </c>
      <c r="C1898" s="2" t="s">
        <v>2452</v>
      </c>
      <c r="D1898" s="2" t="s">
        <v>10</v>
      </c>
      <c r="E1898" s="2" t="s">
        <v>57</v>
      </c>
      <c r="F1898" s="2" t="s">
        <v>18</v>
      </c>
      <c r="G1898" s="2" t="s">
        <v>19</v>
      </c>
      <c r="H1898" s="2" t="s">
        <v>1394</v>
      </c>
      <c r="I1898" s="2" t="s">
        <v>1395</v>
      </c>
    </row>
    <row r="1899" spans="1:9" ht="14.5" x14ac:dyDescent="0.35">
      <c r="A1899" s="2">
        <v>151045</v>
      </c>
      <c r="B1899" s="2" t="str">
        <f>"3325112509950005"</f>
        <v>3325112509950005</v>
      </c>
      <c r="C1899" s="2" t="s">
        <v>2453</v>
      </c>
      <c r="D1899" s="2" t="s">
        <v>189</v>
      </c>
      <c r="E1899" s="2" t="s">
        <v>11</v>
      </c>
      <c r="F1899" s="2" t="s">
        <v>18</v>
      </c>
      <c r="G1899" s="2" t="s">
        <v>190</v>
      </c>
      <c r="H1899" s="2" t="s">
        <v>190</v>
      </c>
      <c r="I1899" s="2" t="s">
        <v>2454</v>
      </c>
    </row>
    <row r="1900" spans="1:9" ht="14.5" x14ac:dyDescent="0.35">
      <c r="A1900" s="2">
        <v>2540664</v>
      </c>
      <c r="B1900" s="2" t="str">
        <f>"3325112912790005"</f>
        <v>3325112912790005</v>
      </c>
      <c r="C1900" s="2" t="s">
        <v>2455</v>
      </c>
      <c r="D1900" s="2" t="s">
        <v>10</v>
      </c>
      <c r="E1900" s="2" t="s">
        <v>57</v>
      </c>
      <c r="F1900" s="2" t="s">
        <v>18</v>
      </c>
      <c r="G1900" s="2" t="s">
        <v>19</v>
      </c>
      <c r="H1900" s="2" t="s">
        <v>1394</v>
      </c>
      <c r="I1900" s="2" t="s">
        <v>1395</v>
      </c>
    </row>
    <row r="1901" spans="1:9" ht="14.5" x14ac:dyDescent="0.35">
      <c r="A1901" s="2">
        <v>78486</v>
      </c>
      <c r="B1901" s="2" t="str">
        <f>"3325112912790005"</f>
        <v>3325112912790005</v>
      </c>
      <c r="C1901" s="2" t="s">
        <v>2456</v>
      </c>
      <c r="D1901" s="2" t="s">
        <v>189</v>
      </c>
      <c r="E1901" s="2" t="s">
        <v>11</v>
      </c>
      <c r="F1901" s="2" t="s">
        <v>18</v>
      </c>
      <c r="G1901" s="2" t="s">
        <v>190</v>
      </c>
      <c r="H1901" s="2" t="s">
        <v>190</v>
      </c>
      <c r="I1901" s="2" t="s">
        <v>2457</v>
      </c>
    </row>
    <row r="1902" spans="1:9" ht="14.5" x14ac:dyDescent="0.35">
      <c r="A1902" s="2">
        <v>2540738</v>
      </c>
      <c r="B1902" s="2" t="str">
        <f>"3325113004970008"</f>
        <v>3325113004970008</v>
      </c>
      <c r="C1902" s="2" t="s">
        <v>2458</v>
      </c>
      <c r="D1902" s="2" t="s">
        <v>10</v>
      </c>
      <c r="E1902" s="2" t="s">
        <v>57</v>
      </c>
      <c r="F1902" s="2" t="s">
        <v>18</v>
      </c>
      <c r="G1902" s="2" t="s">
        <v>19</v>
      </c>
      <c r="H1902" s="2" t="s">
        <v>1394</v>
      </c>
      <c r="I1902" s="2" t="s">
        <v>1395</v>
      </c>
    </row>
    <row r="1903" spans="1:9" ht="14.5" x14ac:dyDescent="0.35">
      <c r="A1903" s="2">
        <v>223204</v>
      </c>
      <c r="B1903" s="2" t="str">
        <f>"3325113004970008"</f>
        <v>3325113004970008</v>
      </c>
      <c r="C1903" s="2" t="s">
        <v>2459</v>
      </c>
      <c r="D1903" s="2" t="s">
        <v>189</v>
      </c>
      <c r="E1903" s="2" t="s">
        <v>11</v>
      </c>
      <c r="F1903" s="2" t="s">
        <v>18</v>
      </c>
      <c r="G1903" s="2" t="s">
        <v>190</v>
      </c>
      <c r="H1903" s="2" t="s">
        <v>190</v>
      </c>
      <c r="I1903" s="2" t="s">
        <v>2460</v>
      </c>
    </row>
    <row r="1904" spans="1:9" ht="14.5" x14ac:dyDescent="0.35">
      <c r="A1904" s="2">
        <v>1174983</v>
      </c>
      <c r="B1904" s="2" t="str">
        <f>"3326012404900001"</f>
        <v>3326012404900001</v>
      </c>
      <c r="C1904" s="2" t="s">
        <v>2461</v>
      </c>
      <c r="D1904" s="2" t="s">
        <v>10</v>
      </c>
      <c r="E1904" s="2" t="s">
        <v>11</v>
      </c>
      <c r="F1904" s="2" t="s">
        <v>18</v>
      </c>
      <c r="G1904" s="2" t="s">
        <v>195</v>
      </c>
      <c r="H1904" s="2" t="s">
        <v>2462</v>
      </c>
      <c r="I1904" s="2" t="s">
        <v>2463</v>
      </c>
    </row>
    <row r="1905" spans="1:9" ht="14.5" x14ac:dyDescent="0.35">
      <c r="A1905" s="2">
        <v>2540735</v>
      </c>
      <c r="B1905" s="2" t="str">
        <f>"3326012404900001"</f>
        <v>3326012404900001</v>
      </c>
      <c r="C1905" s="2" t="s">
        <v>2464</v>
      </c>
      <c r="D1905" s="2" t="s">
        <v>10</v>
      </c>
      <c r="E1905" s="2" t="s">
        <v>57</v>
      </c>
      <c r="F1905" s="2" t="s">
        <v>18</v>
      </c>
      <c r="G1905" s="2" t="s">
        <v>19</v>
      </c>
      <c r="H1905" s="2" t="s">
        <v>1394</v>
      </c>
      <c r="I1905" s="2" t="s">
        <v>1395</v>
      </c>
    </row>
    <row r="1906" spans="1:9" ht="14.5" x14ac:dyDescent="0.35">
      <c r="A1906" s="2">
        <v>2540390</v>
      </c>
      <c r="B1906" s="2" t="str">
        <f>"3326020202060002"</f>
        <v>3326020202060002</v>
      </c>
      <c r="C1906" s="2" t="s">
        <v>2465</v>
      </c>
      <c r="D1906" s="2" t="s">
        <v>17</v>
      </c>
      <c r="E1906" s="2" t="s">
        <v>11</v>
      </c>
      <c r="F1906" s="2" t="s">
        <v>18</v>
      </c>
      <c r="G1906" s="2" t="s">
        <v>19</v>
      </c>
      <c r="H1906" s="2" t="s">
        <v>1394</v>
      </c>
      <c r="I1906" s="2" t="s">
        <v>2235</v>
      </c>
    </row>
    <row r="1907" spans="1:9" ht="14.5" x14ac:dyDescent="0.35">
      <c r="A1907" s="2">
        <v>851087</v>
      </c>
      <c r="B1907" s="2" t="str">
        <f>"3326020202060002"</f>
        <v>3326020202060002</v>
      </c>
      <c r="C1907" s="2" t="s">
        <v>2466</v>
      </c>
      <c r="D1907" s="2" t="s">
        <v>189</v>
      </c>
      <c r="E1907" s="2" t="s">
        <v>11</v>
      </c>
      <c r="F1907" s="2" t="s">
        <v>18</v>
      </c>
      <c r="G1907" s="2" t="s">
        <v>195</v>
      </c>
      <c r="H1907" s="2" t="s">
        <v>586</v>
      </c>
      <c r="I1907" s="2" t="s">
        <v>767</v>
      </c>
    </row>
    <row r="1908" spans="1:9" ht="14.5" x14ac:dyDescent="0.35">
      <c r="A1908" s="2">
        <v>1110846</v>
      </c>
      <c r="B1908" s="2" t="str">
        <f>"3326110110600001"</f>
        <v>3326110110600001</v>
      </c>
      <c r="C1908" s="2" t="s">
        <v>2467</v>
      </c>
      <c r="D1908" s="2" t="s">
        <v>10</v>
      </c>
      <c r="E1908" s="2" t="s">
        <v>11</v>
      </c>
      <c r="F1908" s="2" t="s">
        <v>18</v>
      </c>
      <c r="G1908" s="2" t="s">
        <v>195</v>
      </c>
      <c r="H1908" s="2" t="s">
        <v>906</v>
      </c>
      <c r="I1908" s="2" t="s">
        <v>2468</v>
      </c>
    </row>
    <row r="1909" spans="1:9" ht="14.5" x14ac:dyDescent="0.35">
      <c r="A1909" s="2">
        <v>2540764</v>
      </c>
      <c r="B1909" s="2" t="str">
        <f>"3326110110600001"</f>
        <v>3326110110600001</v>
      </c>
      <c r="C1909" s="2" t="s">
        <v>2469</v>
      </c>
      <c r="D1909" s="2" t="s">
        <v>10</v>
      </c>
      <c r="E1909" s="2" t="s">
        <v>57</v>
      </c>
      <c r="F1909" s="2" t="s">
        <v>18</v>
      </c>
      <c r="G1909" s="2" t="s">
        <v>19</v>
      </c>
      <c r="H1909" s="2" t="s">
        <v>1394</v>
      </c>
      <c r="I1909" s="2" t="s">
        <v>1395</v>
      </c>
    </row>
    <row r="1910" spans="1:9" ht="14.5" x14ac:dyDescent="0.35">
      <c r="A1910" s="2">
        <v>1184884</v>
      </c>
      <c r="B1910" s="2" t="str">
        <f>"3326112112700001"</f>
        <v>3326112112700001</v>
      </c>
      <c r="C1910" s="2" t="s">
        <v>2470</v>
      </c>
      <c r="D1910" s="2" t="s">
        <v>10</v>
      </c>
      <c r="E1910" s="2" t="s">
        <v>11</v>
      </c>
      <c r="F1910" s="2" t="s">
        <v>18</v>
      </c>
      <c r="G1910" s="2" t="s">
        <v>195</v>
      </c>
      <c r="H1910" s="2" t="s">
        <v>906</v>
      </c>
      <c r="I1910" s="2" t="s">
        <v>2471</v>
      </c>
    </row>
    <row r="1911" spans="1:9" ht="14.5" x14ac:dyDescent="0.35">
      <c r="A1911" s="2">
        <v>2540811</v>
      </c>
      <c r="B1911" s="2" t="str">
        <f>"3326112112700001"</f>
        <v>3326112112700001</v>
      </c>
      <c r="C1911" s="2" t="s">
        <v>2472</v>
      </c>
      <c r="D1911" s="2" t="s">
        <v>10</v>
      </c>
      <c r="E1911" s="2" t="s">
        <v>57</v>
      </c>
      <c r="F1911" s="2" t="s">
        <v>18</v>
      </c>
      <c r="G1911" s="2" t="s">
        <v>19</v>
      </c>
      <c r="H1911" s="2" t="s">
        <v>1394</v>
      </c>
      <c r="I1911" s="2" t="s">
        <v>1395</v>
      </c>
    </row>
    <row r="1912" spans="1:9" ht="14.5" x14ac:dyDescent="0.35">
      <c r="A1912" s="2">
        <v>975205</v>
      </c>
      <c r="B1912" s="2" t="str">
        <f>"3326131509660021"</f>
        <v>3326131509660021</v>
      </c>
      <c r="C1912" s="2" t="s">
        <v>2473</v>
      </c>
      <c r="D1912" s="2" t="s">
        <v>10</v>
      </c>
      <c r="E1912" s="2" t="s">
        <v>11</v>
      </c>
      <c r="F1912" s="2" t="s">
        <v>18</v>
      </c>
      <c r="G1912" s="2" t="s">
        <v>195</v>
      </c>
      <c r="H1912" s="2" t="s">
        <v>1434</v>
      </c>
      <c r="I1912" s="2" t="s">
        <v>2474</v>
      </c>
    </row>
    <row r="1913" spans="1:9" ht="14.5" x14ac:dyDescent="0.35">
      <c r="A1913" s="2">
        <v>2540696</v>
      </c>
      <c r="B1913" s="2" t="str">
        <f>"3326131509660021"</f>
        <v>3326131509660021</v>
      </c>
      <c r="C1913" s="2" t="s">
        <v>2475</v>
      </c>
      <c r="D1913" s="2" t="s">
        <v>10</v>
      </c>
      <c r="E1913" s="2" t="s">
        <v>57</v>
      </c>
      <c r="F1913" s="2" t="s">
        <v>18</v>
      </c>
      <c r="G1913" s="2" t="s">
        <v>19</v>
      </c>
      <c r="H1913" s="2" t="s">
        <v>1394</v>
      </c>
      <c r="I1913" s="2" t="s">
        <v>1395</v>
      </c>
    </row>
    <row r="1914" spans="1:9" ht="14.5" x14ac:dyDescent="0.35">
      <c r="A1914" s="2">
        <v>985782</v>
      </c>
      <c r="B1914" s="2" t="str">
        <f>"3326131903860063"</f>
        <v>3326131903860063</v>
      </c>
      <c r="C1914" s="2" t="s">
        <v>2476</v>
      </c>
      <c r="D1914" s="2" t="s">
        <v>10</v>
      </c>
      <c r="E1914" s="2" t="s">
        <v>11</v>
      </c>
      <c r="F1914" s="2" t="s">
        <v>18</v>
      </c>
      <c r="G1914" s="2" t="s">
        <v>195</v>
      </c>
      <c r="H1914" s="2" t="s">
        <v>1434</v>
      </c>
      <c r="I1914" s="2" t="s">
        <v>2477</v>
      </c>
    </row>
    <row r="1915" spans="1:9" ht="14.5" x14ac:dyDescent="0.35">
      <c r="A1915" s="2">
        <v>2540881</v>
      </c>
      <c r="B1915" s="2" t="str">
        <f>"3326131903860063"</f>
        <v>3326131903860063</v>
      </c>
      <c r="C1915" s="2" t="s">
        <v>2478</v>
      </c>
      <c r="D1915" s="2" t="s">
        <v>10</v>
      </c>
      <c r="E1915" s="2" t="s">
        <v>57</v>
      </c>
      <c r="F1915" s="2" t="s">
        <v>18</v>
      </c>
      <c r="G1915" s="2" t="s">
        <v>19</v>
      </c>
      <c r="H1915" s="2" t="s">
        <v>1394</v>
      </c>
      <c r="I1915" s="2" t="s">
        <v>1395</v>
      </c>
    </row>
    <row r="1916" spans="1:9" ht="14.5" x14ac:dyDescent="0.35">
      <c r="A1916" s="2">
        <v>2540680</v>
      </c>
      <c r="B1916" s="2" t="str">
        <f>"3326132210910003"</f>
        <v>3326132210910003</v>
      </c>
      <c r="C1916" s="2" t="s">
        <v>2479</v>
      </c>
      <c r="D1916" s="2" t="s">
        <v>10</v>
      </c>
      <c r="E1916" s="2" t="s">
        <v>57</v>
      </c>
      <c r="F1916" s="2" t="s">
        <v>18</v>
      </c>
      <c r="G1916" s="2" t="s">
        <v>19</v>
      </c>
      <c r="H1916" s="2" t="s">
        <v>1394</v>
      </c>
      <c r="I1916" s="2" t="s">
        <v>1395</v>
      </c>
    </row>
    <row r="1917" spans="1:9" ht="14.5" x14ac:dyDescent="0.35">
      <c r="A1917" s="2">
        <v>1567988</v>
      </c>
      <c r="B1917" s="2" t="str">
        <f>"3326132210910003"</f>
        <v>3326132210910003</v>
      </c>
      <c r="C1917" s="2" t="s">
        <v>2480</v>
      </c>
      <c r="D1917" s="2" t="s">
        <v>17</v>
      </c>
      <c r="E1917" s="2" t="s">
        <v>11</v>
      </c>
      <c r="F1917" s="2" t="s">
        <v>18</v>
      </c>
      <c r="G1917" s="2" t="s">
        <v>195</v>
      </c>
      <c r="H1917" s="2" t="s">
        <v>1434</v>
      </c>
      <c r="I1917" s="2" t="s">
        <v>842</v>
      </c>
    </row>
    <row r="1918" spans="1:9" ht="14.5" x14ac:dyDescent="0.35">
      <c r="A1918" s="2">
        <v>1003513</v>
      </c>
      <c r="B1918" s="2" t="str">
        <f>"3326141212930001"</f>
        <v>3326141212930001</v>
      </c>
      <c r="C1918" s="2" t="s">
        <v>2481</v>
      </c>
      <c r="D1918" s="2" t="s">
        <v>10</v>
      </c>
      <c r="E1918" s="2" t="s">
        <v>11</v>
      </c>
      <c r="F1918" s="2" t="s">
        <v>18</v>
      </c>
      <c r="G1918" s="2" t="s">
        <v>195</v>
      </c>
      <c r="H1918" s="2" t="s">
        <v>470</v>
      </c>
      <c r="I1918" s="2" t="s">
        <v>2482</v>
      </c>
    </row>
    <row r="1919" spans="1:9" ht="14.5" x14ac:dyDescent="0.35">
      <c r="A1919" s="2">
        <v>2540799</v>
      </c>
      <c r="B1919" s="2" t="str">
        <f>"3326141212930001"</f>
        <v>3326141212930001</v>
      </c>
      <c r="C1919" s="2" t="s">
        <v>2483</v>
      </c>
      <c r="D1919" s="2" t="s">
        <v>10</v>
      </c>
      <c r="E1919" s="2" t="s">
        <v>57</v>
      </c>
      <c r="F1919" s="2" t="s">
        <v>18</v>
      </c>
      <c r="G1919" s="2" t="s">
        <v>19</v>
      </c>
      <c r="H1919" s="2" t="s">
        <v>1394</v>
      </c>
      <c r="I1919" s="2" t="s">
        <v>1395</v>
      </c>
    </row>
    <row r="1920" spans="1:9" ht="14.5" x14ac:dyDescent="0.35">
      <c r="A1920" s="2">
        <v>1040491</v>
      </c>
      <c r="B1920" s="2" t="str">
        <f>"3326141605980002"</f>
        <v>3326141605980002</v>
      </c>
      <c r="C1920" s="2" t="s">
        <v>2484</v>
      </c>
      <c r="D1920" s="2" t="s">
        <v>10</v>
      </c>
      <c r="E1920" s="2" t="s">
        <v>11</v>
      </c>
      <c r="F1920" s="2" t="s">
        <v>18</v>
      </c>
      <c r="G1920" s="2" t="s">
        <v>195</v>
      </c>
      <c r="H1920" s="2" t="s">
        <v>470</v>
      </c>
      <c r="I1920" s="2" t="s">
        <v>2485</v>
      </c>
    </row>
    <row r="1921" spans="1:9" ht="14.5" x14ac:dyDescent="0.35">
      <c r="A1921" s="2">
        <v>2540668</v>
      </c>
      <c r="B1921" s="2" t="str">
        <f>"3326141605980002"</f>
        <v>3326141605980002</v>
      </c>
      <c r="C1921" s="2" t="s">
        <v>2486</v>
      </c>
      <c r="D1921" s="2" t="s">
        <v>10</v>
      </c>
      <c r="E1921" s="2" t="s">
        <v>57</v>
      </c>
      <c r="F1921" s="2" t="s">
        <v>18</v>
      </c>
      <c r="G1921" s="2" t="s">
        <v>19</v>
      </c>
      <c r="H1921" s="2" t="s">
        <v>1394</v>
      </c>
      <c r="I1921" s="2" t="s">
        <v>1395</v>
      </c>
    </row>
    <row r="1922" spans="1:9" ht="14.5" x14ac:dyDescent="0.35">
      <c r="A1922" s="2">
        <v>1001814</v>
      </c>
      <c r="B1922" s="2" t="str">
        <f>"3326142111820001"</f>
        <v>3326142111820001</v>
      </c>
      <c r="C1922" s="2" t="s">
        <v>2487</v>
      </c>
      <c r="D1922" s="2" t="s">
        <v>10</v>
      </c>
      <c r="E1922" s="2" t="s">
        <v>11</v>
      </c>
      <c r="F1922" s="2" t="s">
        <v>18</v>
      </c>
      <c r="G1922" s="2" t="s">
        <v>195</v>
      </c>
      <c r="H1922" s="2" t="s">
        <v>470</v>
      </c>
      <c r="I1922" s="2" t="s">
        <v>2482</v>
      </c>
    </row>
    <row r="1923" spans="1:9" ht="14.5" x14ac:dyDescent="0.35">
      <c r="A1923" s="2">
        <v>2540657</v>
      </c>
      <c r="B1923" s="2" t="str">
        <f>"3326142111820001"</f>
        <v>3326142111820001</v>
      </c>
      <c r="C1923" s="2" t="s">
        <v>2488</v>
      </c>
      <c r="D1923" s="2" t="s">
        <v>10</v>
      </c>
      <c r="E1923" s="2" t="s">
        <v>57</v>
      </c>
      <c r="F1923" s="2" t="s">
        <v>18</v>
      </c>
      <c r="G1923" s="2" t="s">
        <v>19</v>
      </c>
      <c r="H1923" s="2" t="s">
        <v>1394</v>
      </c>
      <c r="I1923" s="2" t="s">
        <v>1395</v>
      </c>
    </row>
    <row r="1924" spans="1:9" ht="14.5" x14ac:dyDescent="0.35">
      <c r="A1924" s="2">
        <v>1028807</v>
      </c>
      <c r="B1924" s="2" t="str">
        <f>"3326160810970021"</f>
        <v>3326160810970021</v>
      </c>
      <c r="C1924" s="2" t="s">
        <v>2489</v>
      </c>
      <c r="D1924" s="2" t="s">
        <v>10</v>
      </c>
      <c r="E1924" s="2" t="s">
        <v>11</v>
      </c>
      <c r="F1924" s="2" t="s">
        <v>18</v>
      </c>
      <c r="G1924" s="2" t="s">
        <v>962</v>
      </c>
      <c r="H1924" s="2" t="s">
        <v>2490</v>
      </c>
      <c r="I1924" s="2" t="s">
        <v>2491</v>
      </c>
    </row>
    <row r="1925" spans="1:9" ht="14.5" x14ac:dyDescent="0.35">
      <c r="A1925" s="2">
        <v>2540731</v>
      </c>
      <c r="B1925" s="2" t="str">
        <f>"3326160810970021"</f>
        <v>3326160810970021</v>
      </c>
      <c r="C1925" s="2" t="s">
        <v>2492</v>
      </c>
      <c r="D1925" s="2" t="s">
        <v>10</v>
      </c>
      <c r="E1925" s="2" t="s">
        <v>57</v>
      </c>
      <c r="F1925" s="2" t="s">
        <v>18</v>
      </c>
      <c r="G1925" s="2" t="s">
        <v>19</v>
      </c>
      <c r="H1925" s="2" t="s">
        <v>1394</v>
      </c>
      <c r="I1925" s="2" t="s">
        <v>1395</v>
      </c>
    </row>
    <row r="1926" spans="1:9" ht="14.5" x14ac:dyDescent="0.35">
      <c r="A1926" s="2">
        <v>1370218</v>
      </c>
      <c r="B1926" s="2" t="str">
        <f>"3326170202020001"</f>
        <v>3326170202020001</v>
      </c>
      <c r="C1926" s="2" t="s">
        <v>2493</v>
      </c>
      <c r="D1926" s="2" t="s">
        <v>10</v>
      </c>
      <c r="E1926" s="2" t="s">
        <v>11</v>
      </c>
      <c r="F1926" s="2" t="s">
        <v>18</v>
      </c>
      <c r="G1926" s="2" t="s">
        <v>195</v>
      </c>
      <c r="H1926" s="2" t="s">
        <v>2494</v>
      </c>
      <c r="I1926" s="2" t="s">
        <v>2495</v>
      </c>
    </row>
    <row r="1927" spans="1:9" ht="14.5" x14ac:dyDescent="0.35">
      <c r="A1927" s="2">
        <v>2540806</v>
      </c>
      <c r="B1927" s="2" t="str">
        <f>"3326170202020001"</f>
        <v>3326170202020001</v>
      </c>
      <c r="C1927" s="2" t="s">
        <v>2496</v>
      </c>
      <c r="D1927" s="2" t="s">
        <v>10</v>
      </c>
      <c r="E1927" s="2" t="s">
        <v>57</v>
      </c>
      <c r="F1927" s="2" t="s">
        <v>18</v>
      </c>
      <c r="G1927" s="2" t="s">
        <v>19</v>
      </c>
      <c r="H1927" s="2" t="s">
        <v>1394</v>
      </c>
      <c r="I1927" s="2" t="s">
        <v>1395</v>
      </c>
    </row>
    <row r="1928" spans="1:9" ht="14.5" x14ac:dyDescent="0.35">
      <c r="A1928" s="2">
        <v>1808502</v>
      </c>
      <c r="B1928" s="2" t="str">
        <f>"3327034107470130"</f>
        <v>3327034107470130</v>
      </c>
      <c r="C1928" s="2" t="s">
        <v>2497</v>
      </c>
      <c r="D1928" s="2" t="s">
        <v>10</v>
      </c>
      <c r="E1928" s="2" t="s">
        <v>11</v>
      </c>
      <c r="F1928" s="2" t="s">
        <v>18</v>
      </c>
      <c r="G1928" s="2" t="s">
        <v>199</v>
      </c>
      <c r="H1928" s="2" t="s">
        <v>599</v>
      </c>
      <c r="I1928" s="2" t="s">
        <v>599</v>
      </c>
    </row>
    <row r="1929" spans="1:9" ht="14.5" x14ac:dyDescent="0.35">
      <c r="A1929" s="2">
        <v>2538974</v>
      </c>
      <c r="B1929" s="2" t="str">
        <f>"3327034107470130"</f>
        <v>3327034107470130</v>
      </c>
      <c r="C1929" s="2" t="s">
        <v>2498</v>
      </c>
      <c r="D1929" s="2" t="s">
        <v>17</v>
      </c>
      <c r="E1929" s="2" t="s">
        <v>11</v>
      </c>
      <c r="F1929" s="2" t="s">
        <v>18</v>
      </c>
      <c r="G1929" s="2" t="s">
        <v>19</v>
      </c>
      <c r="H1929" s="2" t="s">
        <v>1394</v>
      </c>
      <c r="I1929" s="2" t="s">
        <v>2161</v>
      </c>
    </row>
    <row r="1930" spans="1:9" ht="14.5" x14ac:dyDescent="0.35">
      <c r="A1930" s="2">
        <v>1496614</v>
      </c>
      <c r="B1930" s="2" t="str">
        <f>"3327060106680003"</f>
        <v>3327060106680003</v>
      </c>
      <c r="C1930" s="2" t="s">
        <v>2499</v>
      </c>
      <c r="D1930" s="2" t="s">
        <v>10</v>
      </c>
      <c r="E1930" s="2" t="s">
        <v>11</v>
      </c>
      <c r="F1930" s="2" t="s">
        <v>18</v>
      </c>
      <c r="G1930" s="2" t="s">
        <v>199</v>
      </c>
      <c r="H1930" s="2" t="s">
        <v>974</v>
      </c>
      <c r="I1930" s="2" t="s">
        <v>2500</v>
      </c>
    </row>
    <row r="1931" spans="1:9" ht="14.5" x14ac:dyDescent="0.35">
      <c r="A1931" s="2">
        <v>2540871</v>
      </c>
      <c r="B1931" s="2" t="str">
        <f>"3327060106680003"</f>
        <v>3327060106680003</v>
      </c>
      <c r="C1931" s="2" t="s">
        <v>2501</v>
      </c>
      <c r="D1931" s="2" t="s">
        <v>10</v>
      </c>
      <c r="E1931" s="2" t="s">
        <v>57</v>
      </c>
      <c r="F1931" s="2" t="s">
        <v>18</v>
      </c>
      <c r="G1931" s="2" t="s">
        <v>19</v>
      </c>
      <c r="H1931" s="2" t="s">
        <v>1394</v>
      </c>
      <c r="I1931" s="2" t="s">
        <v>1395</v>
      </c>
    </row>
    <row r="1932" spans="1:9" ht="14.5" x14ac:dyDescent="0.35">
      <c r="A1932" s="2">
        <v>1262524</v>
      </c>
      <c r="B1932" s="2" t="str">
        <f>"3327125207950002"</f>
        <v>3327125207950002</v>
      </c>
      <c r="C1932" s="2" t="s">
        <v>2502</v>
      </c>
      <c r="D1932" s="2" t="s">
        <v>10</v>
      </c>
      <c r="E1932" s="2" t="s">
        <v>11</v>
      </c>
      <c r="F1932" s="2" t="s">
        <v>50</v>
      </c>
      <c r="G1932" s="2" t="s">
        <v>86</v>
      </c>
      <c r="H1932" s="2" t="s">
        <v>1268</v>
      </c>
      <c r="I1932" s="2" t="s">
        <v>2503</v>
      </c>
    </row>
    <row r="1933" spans="1:9" ht="14.5" x14ac:dyDescent="0.35">
      <c r="A1933" s="2">
        <v>2539780</v>
      </c>
      <c r="B1933" s="2" t="str">
        <f>"3327125207950002"</f>
        <v>3327125207950002</v>
      </c>
      <c r="C1933" s="2" t="s">
        <v>2502</v>
      </c>
      <c r="D1933" s="2" t="s">
        <v>17</v>
      </c>
      <c r="E1933" s="2" t="s">
        <v>11</v>
      </c>
      <c r="F1933" s="2" t="s">
        <v>18</v>
      </c>
      <c r="G1933" s="2" t="s">
        <v>19</v>
      </c>
      <c r="H1933" s="2" t="s">
        <v>1394</v>
      </c>
      <c r="I1933" s="2" t="s">
        <v>2172</v>
      </c>
    </row>
    <row r="1934" spans="1:9" ht="14.5" x14ac:dyDescent="0.35">
      <c r="A1934" s="2">
        <v>1278645</v>
      </c>
      <c r="B1934" s="2" t="str">
        <f>"3328011802950008"</f>
        <v>3328011802950008</v>
      </c>
      <c r="C1934" s="2" t="s">
        <v>2504</v>
      </c>
      <c r="D1934" s="2" t="s">
        <v>10</v>
      </c>
      <c r="E1934" s="2" t="s">
        <v>11</v>
      </c>
      <c r="F1934" s="2" t="s">
        <v>50</v>
      </c>
      <c r="G1934" s="2" t="s">
        <v>86</v>
      </c>
      <c r="H1934" s="2" t="s">
        <v>1268</v>
      </c>
      <c r="I1934" s="2" t="s">
        <v>2503</v>
      </c>
    </row>
    <row r="1935" spans="1:9" ht="14.5" x14ac:dyDescent="0.35">
      <c r="A1935" s="2">
        <v>2540868</v>
      </c>
      <c r="B1935" s="2" t="str">
        <f>"3328011802950008"</f>
        <v>3328011802950008</v>
      </c>
      <c r="C1935" s="2" t="s">
        <v>2505</v>
      </c>
      <c r="D1935" s="2" t="s">
        <v>10</v>
      </c>
      <c r="E1935" s="2" t="s">
        <v>57</v>
      </c>
      <c r="F1935" s="2" t="s">
        <v>18</v>
      </c>
      <c r="G1935" s="2" t="s">
        <v>19</v>
      </c>
      <c r="H1935" s="2" t="s">
        <v>1394</v>
      </c>
      <c r="I1935" s="2" t="s">
        <v>1395</v>
      </c>
    </row>
    <row r="1936" spans="1:9" ht="14.5" x14ac:dyDescent="0.35">
      <c r="A1936" s="2">
        <v>572268</v>
      </c>
      <c r="B1936" s="2" t="str">
        <f>"3328042901990003"</f>
        <v>3328042901990003</v>
      </c>
      <c r="C1936" s="2" t="s">
        <v>2506</v>
      </c>
      <c r="D1936" s="2" t="s">
        <v>10</v>
      </c>
      <c r="E1936" s="2" t="s">
        <v>11</v>
      </c>
      <c r="F1936" s="2" t="s">
        <v>50</v>
      </c>
      <c r="G1936" s="2" t="s">
        <v>280</v>
      </c>
      <c r="H1936" s="2" t="s">
        <v>2507</v>
      </c>
      <c r="I1936" s="2" t="s">
        <v>2507</v>
      </c>
    </row>
    <row r="1937" spans="1:9" ht="14.5" x14ac:dyDescent="0.35">
      <c r="A1937" s="2">
        <v>2540804</v>
      </c>
      <c r="B1937" s="2" t="str">
        <f>"3328042901990003"</f>
        <v>3328042901990003</v>
      </c>
      <c r="C1937" s="2" t="s">
        <v>2508</v>
      </c>
      <c r="D1937" s="2" t="s">
        <v>10</v>
      </c>
      <c r="E1937" s="2" t="s">
        <v>57</v>
      </c>
      <c r="F1937" s="2" t="s">
        <v>18</v>
      </c>
      <c r="G1937" s="2" t="s">
        <v>19</v>
      </c>
      <c r="H1937" s="2" t="s">
        <v>1394</v>
      </c>
      <c r="I1937" s="2" t="s">
        <v>1395</v>
      </c>
    </row>
    <row r="1938" spans="1:9" ht="14.5" x14ac:dyDescent="0.35">
      <c r="A1938" s="2">
        <v>2036606</v>
      </c>
      <c r="B1938" s="2" t="str">
        <f>"3328055311890002"</f>
        <v>3328055311890002</v>
      </c>
      <c r="C1938" s="2" t="s">
        <v>2509</v>
      </c>
      <c r="D1938" s="2" t="s">
        <v>10</v>
      </c>
      <c r="E1938" s="2" t="s">
        <v>11</v>
      </c>
      <c r="F1938" s="2" t="s">
        <v>50</v>
      </c>
      <c r="G1938" s="2" t="s">
        <v>58</v>
      </c>
      <c r="H1938" s="2" t="s">
        <v>260</v>
      </c>
      <c r="I1938" s="2" t="s">
        <v>2510</v>
      </c>
    </row>
    <row r="1939" spans="1:9" ht="14.5" x14ac:dyDescent="0.35">
      <c r="A1939" s="2">
        <v>2539916</v>
      </c>
      <c r="B1939" s="2" t="str">
        <f>"3328055311890002"</f>
        <v>3328055311890002</v>
      </c>
      <c r="C1939" s="2" t="s">
        <v>2509</v>
      </c>
      <c r="D1939" s="2" t="s">
        <v>17</v>
      </c>
      <c r="E1939" s="2" t="s">
        <v>11</v>
      </c>
      <c r="F1939" s="2" t="s">
        <v>18</v>
      </c>
      <c r="G1939" s="2" t="s">
        <v>19</v>
      </c>
      <c r="H1939" s="2" t="s">
        <v>1394</v>
      </c>
      <c r="I1939" s="2" t="s">
        <v>2187</v>
      </c>
    </row>
    <row r="1940" spans="1:9" ht="14.5" x14ac:dyDescent="0.35">
      <c r="A1940" s="2">
        <v>247749</v>
      </c>
      <c r="B1940" s="2" t="str">
        <f>"3328060206870004"</f>
        <v>3328060206870004</v>
      </c>
      <c r="C1940" s="2" t="s">
        <v>2511</v>
      </c>
      <c r="D1940" s="2" t="s">
        <v>10</v>
      </c>
      <c r="E1940" s="2" t="s">
        <v>11</v>
      </c>
      <c r="F1940" s="2" t="s">
        <v>18</v>
      </c>
      <c r="G1940" s="2" t="s">
        <v>264</v>
      </c>
      <c r="H1940" s="2" t="s">
        <v>468</v>
      </c>
      <c r="I1940" s="2" t="s">
        <v>861</v>
      </c>
    </row>
    <row r="1941" spans="1:9" ht="14.5" x14ac:dyDescent="0.35">
      <c r="A1941" s="2">
        <v>2540436</v>
      </c>
      <c r="B1941" s="2" t="str">
        <f>"3328060206870004"</f>
        <v>3328060206870004</v>
      </c>
      <c r="C1941" s="2" t="s">
        <v>2511</v>
      </c>
      <c r="D1941" s="2" t="s">
        <v>17</v>
      </c>
      <c r="E1941" s="2" t="s">
        <v>11</v>
      </c>
      <c r="F1941" s="2" t="s">
        <v>18</v>
      </c>
      <c r="G1941" s="2" t="s">
        <v>19</v>
      </c>
      <c r="H1941" s="2" t="s">
        <v>1394</v>
      </c>
      <c r="I1941" s="2" t="s">
        <v>2194</v>
      </c>
    </row>
    <row r="1942" spans="1:9" ht="14.5" x14ac:dyDescent="0.35">
      <c r="A1942" s="2">
        <v>769720</v>
      </c>
      <c r="B1942" s="2" t="str">
        <f>"3328060301910001"</f>
        <v>3328060301910001</v>
      </c>
      <c r="C1942" s="2" t="s">
        <v>2512</v>
      </c>
      <c r="D1942" s="2" t="s">
        <v>10</v>
      </c>
      <c r="E1942" s="2" t="s">
        <v>11</v>
      </c>
      <c r="F1942" s="2" t="s">
        <v>18</v>
      </c>
      <c r="G1942" s="2" t="s">
        <v>264</v>
      </c>
      <c r="H1942" s="2" t="s">
        <v>248</v>
      </c>
      <c r="I1942" s="2" t="s">
        <v>2513</v>
      </c>
    </row>
    <row r="1943" spans="1:9" ht="14.5" x14ac:dyDescent="0.35">
      <c r="A1943" s="2">
        <v>2540265</v>
      </c>
      <c r="B1943" s="2" t="str">
        <f>"3328060301910001"</f>
        <v>3328060301910001</v>
      </c>
      <c r="C1943" s="2" t="s">
        <v>2512</v>
      </c>
      <c r="D1943" s="2" t="s">
        <v>17</v>
      </c>
      <c r="E1943" s="2" t="s">
        <v>11</v>
      </c>
      <c r="F1943" s="2" t="s">
        <v>18</v>
      </c>
      <c r="G1943" s="2" t="s">
        <v>19</v>
      </c>
      <c r="H1943" s="2" t="s">
        <v>1394</v>
      </c>
      <c r="I1943" s="2" t="s">
        <v>2235</v>
      </c>
    </row>
    <row r="1944" spans="1:9" ht="14.5" x14ac:dyDescent="0.35">
      <c r="A1944" s="2">
        <v>1856246</v>
      </c>
      <c r="B1944" s="2" t="str">
        <f>"3328060303950012"</f>
        <v>3328060303950012</v>
      </c>
      <c r="C1944" s="2" t="s">
        <v>2514</v>
      </c>
      <c r="D1944" s="2" t="s">
        <v>10</v>
      </c>
      <c r="E1944" s="2" t="s">
        <v>11</v>
      </c>
      <c r="F1944" s="2" t="s">
        <v>18</v>
      </c>
      <c r="G1944" s="2" t="s">
        <v>19</v>
      </c>
      <c r="H1944" s="2" t="s">
        <v>1394</v>
      </c>
      <c r="I1944" s="2" t="s">
        <v>2194</v>
      </c>
    </row>
    <row r="1945" spans="1:9" ht="14.5" x14ac:dyDescent="0.35">
      <c r="A1945" s="2">
        <v>1940735</v>
      </c>
      <c r="B1945" s="2" t="str">
        <f>"3328060303950012"</f>
        <v>3328060303950012</v>
      </c>
      <c r="C1945" s="2" t="s">
        <v>2515</v>
      </c>
      <c r="D1945" s="2" t="s">
        <v>17</v>
      </c>
      <c r="E1945" s="2" t="s">
        <v>11</v>
      </c>
      <c r="F1945" s="2" t="s">
        <v>50</v>
      </c>
      <c r="G1945" s="2" t="s">
        <v>86</v>
      </c>
      <c r="H1945" s="2" t="s">
        <v>87</v>
      </c>
      <c r="I1945" s="2" t="s">
        <v>2516</v>
      </c>
    </row>
    <row r="1946" spans="1:9" ht="14.5" x14ac:dyDescent="0.35">
      <c r="A1946" s="2">
        <v>2581869</v>
      </c>
      <c r="B1946" s="2" t="str">
        <f>"3328060303970007"</f>
        <v>3328060303970007</v>
      </c>
      <c r="C1946" s="2" t="s">
        <v>2517</v>
      </c>
      <c r="D1946" s="2" t="s">
        <v>17</v>
      </c>
      <c r="E1946" s="2" t="s">
        <v>11</v>
      </c>
      <c r="F1946" s="2" t="s">
        <v>67</v>
      </c>
      <c r="G1946" s="2" t="s">
        <v>375</v>
      </c>
      <c r="H1946" s="2" t="s">
        <v>2518</v>
      </c>
      <c r="I1946" s="2" t="s">
        <v>2519</v>
      </c>
    </row>
    <row r="1947" spans="1:9" ht="14.5" x14ac:dyDescent="0.35">
      <c r="A1947" s="2">
        <v>1773080</v>
      </c>
      <c r="B1947" s="2" t="str">
        <f>"3328060303970007"</f>
        <v>3328060303970007</v>
      </c>
      <c r="C1947" s="2" t="s">
        <v>2517</v>
      </c>
      <c r="D1947" s="2" t="s">
        <v>189</v>
      </c>
      <c r="E1947" s="2" t="s">
        <v>11</v>
      </c>
      <c r="F1947" s="2" t="s">
        <v>18</v>
      </c>
      <c r="G1947" s="2" t="s">
        <v>19</v>
      </c>
      <c r="H1947" s="2" t="s">
        <v>1394</v>
      </c>
      <c r="I1947" s="2" t="s">
        <v>2520</v>
      </c>
    </row>
    <row r="1948" spans="1:9" ht="14.5" x14ac:dyDescent="0.35">
      <c r="A1948" s="2">
        <v>1779394</v>
      </c>
      <c r="B1948" s="2" t="str">
        <f>"3328060603860001"</f>
        <v>3328060603860001</v>
      </c>
      <c r="C1948" s="2" t="s">
        <v>2521</v>
      </c>
      <c r="D1948" s="2" t="s">
        <v>10</v>
      </c>
      <c r="E1948" s="2" t="s">
        <v>11</v>
      </c>
      <c r="F1948" s="2" t="s">
        <v>18</v>
      </c>
      <c r="G1948" s="2" t="s">
        <v>19</v>
      </c>
      <c r="H1948" s="2" t="s">
        <v>1394</v>
      </c>
      <c r="I1948" s="2" t="s">
        <v>2238</v>
      </c>
    </row>
    <row r="1949" spans="1:9" ht="14.5" x14ac:dyDescent="0.35">
      <c r="A1949" s="2">
        <v>1882327</v>
      </c>
      <c r="B1949" s="2" t="str">
        <f>"3328060603860001"</f>
        <v>3328060603860001</v>
      </c>
      <c r="C1949" s="2" t="s">
        <v>2522</v>
      </c>
      <c r="D1949" s="2" t="s">
        <v>17</v>
      </c>
      <c r="E1949" s="2" t="s">
        <v>11</v>
      </c>
      <c r="F1949" s="2" t="s">
        <v>91</v>
      </c>
      <c r="G1949" s="2" t="s">
        <v>320</v>
      </c>
      <c r="H1949" s="2" t="s">
        <v>2523</v>
      </c>
      <c r="I1949" s="2" t="s">
        <v>2524</v>
      </c>
    </row>
    <row r="1950" spans="1:9" ht="14.5" x14ac:dyDescent="0.35">
      <c r="A1950" s="2">
        <v>2541151</v>
      </c>
      <c r="B1950" s="2" t="str">
        <f>"3328060606000007"</f>
        <v>3328060606000007</v>
      </c>
      <c r="C1950" s="2" t="s">
        <v>2525</v>
      </c>
      <c r="D1950" s="2" t="s">
        <v>17</v>
      </c>
      <c r="E1950" s="2" t="s">
        <v>11</v>
      </c>
      <c r="F1950" s="2" t="s">
        <v>18</v>
      </c>
      <c r="G1950" s="2" t="s">
        <v>19</v>
      </c>
      <c r="H1950" s="2" t="s">
        <v>1394</v>
      </c>
      <c r="I1950" s="2" t="s">
        <v>2161</v>
      </c>
    </row>
    <row r="1951" spans="1:9" ht="14.5" x14ac:dyDescent="0.35">
      <c r="A1951" s="2">
        <v>1376111</v>
      </c>
      <c r="B1951" s="2" t="str">
        <f>"3328060606000007"</f>
        <v>3328060606000007</v>
      </c>
      <c r="C1951" s="2" t="s">
        <v>2525</v>
      </c>
      <c r="D1951" s="2" t="s">
        <v>17</v>
      </c>
      <c r="E1951" s="2" t="s">
        <v>11</v>
      </c>
      <c r="F1951" s="2" t="s">
        <v>50</v>
      </c>
      <c r="G1951" s="2" t="s">
        <v>51</v>
      </c>
      <c r="H1951" s="2" t="s">
        <v>284</v>
      </c>
      <c r="I1951" s="2" t="s">
        <v>400</v>
      </c>
    </row>
    <row r="1952" spans="1:9" ht="14.5" x14ac:dyDescent="0.35">
      <c r="A1952" s="2">
        <v>2539847</v>
      </c>
      <c r="B1952" s="2" t="str">
        <f>"3328060706760005"</f>
        <v>3328060706760005</v>
      </c>
      <c r="C1952" s="2" t="s">
        <v>2526</v>
      </c>
      <c r="D1952" s="2" t="s">
        <v>17</v>
      </c>
      <c r="E1952" s="2" t="s">
        <v>11</v>
      </c>
      <c r="F1952" s="2" t="s">
        <v>18</v>
      </c>
      <c r="G1952" s="2" t="s">
        <v>19</v>
      </c>
      <c r="H1952" s="2" t="s">
        <v>1394</v>
      </c>
      <c r="I1952" s="2" t="s">
        <v>2187</v>
      </c>
    </row>
    <row r="1953" spans="1:9" ht="14.5" x14ac:dyDescent="0.35">
      <c r="A1953" s="2">
        <v>315339</v>
      </c>
      <c r="B1953" s="2" t="str">
        <f>"3328060706760005"</f>
        <v>3328060706760005</v>
      </c>
      <c r="C1953" s="2" t="s">
        <v>2526</v>
      </c>
      <c r="D1953" s="2" t="s">
        <v>10</v>
      </c>
      <c r="E1953" s="2" t="s">
        <v>11</v>
      </c>
      <c r="F1953" s="2" t="s">
        <v>50</v>
      </c>
      <c r="G1953" s="2" t="s">
        <v>58</v>
      </c>
      <c r="H1953" s="2" t="s">
        <v>2527</v>
      </c>
      <c r="I1953" s="2" t="s">
        <v>2528</v>
      </c>
    </row>
    <row r="1954" spans="1:9" ht="14.5" x14ac:dyDescent="0.35">
      <c r="A1954" s="2">
        <v>1490633</v>
      </c>
      <c r="B1954" s="2" t="str">
        <f>"3328060912710005"</f>
        <v>3328060912710005</v>
      </c>
      <c r="C1954" s="2" t="s">
        <v>2529</v>
      </c>
      <c r="D1954" s="2" t="s">
        <v>10</v>
      </c>
      <c r="E1954" s="2" t="s">
        <v>11</v>
      </c>
      <c r="F1954" s="2" t="s">
        <v>91</v>
      </c>
      <c r="G1954" s="2" t="s">
        <v>92</v>
      </c>
      <c r="H1954" s="2" t="s">
        <v>571</v>
      </c>
      <c r="I1954" s="2" t="s">
        <v>572</v>
      </c>
    </row>
    <row r="1955" spans="1:9" ht="14.5" x14ac:dyDescent="0.35">
      <c r="A1955" s="2">
        <v>2539225</v>
      </c>
      <c r="B1955" s="2" t="str">
        <f>"3328060912710005"</f>
        <v>3328060912710005</v>
      </c>
      <c r="C1955" s="2" t="s">
        <v>2529</v>
      </c>
      <c r="D1955" s="2" t="s">
        <v>17</v>
      </c>
      <c r="E1955" s="2" t="s">
        <v>11</v>
      </c>
      <c r="F1955" s="2" t="s">
        <v>18</v>
      </c>
      <c r="G1955" s="2" t="s">
        <v>19</v>
      </c>
      <c r="H1955" s="2" t="s">
        <v>1394</v>
      </c>
      <c r="I1955" s="2" t="s">
        <v>2161</v>
      </c>
    </row>
    <row r="1956" spans="1:9" ht="14.5" x14ac:dyDescent="0.35">
      <c r="A1956" s="2">
        <v>1695366</v>
      </c>
      <c r="B1956" s="2" t="str">
        <f>"3328061002880005"</f>
        <v>3328061002880005</v>
      </c>
      <c r="C1956" s="2" t="s">
        <v>2530</v>
      </c>
      <c r="D1956" s="2" t="s">
        <v>17</v>
      </c>
      <c r="E1956" s="2" t="s">
        <v>11</v>
      </c>
      <c r="F1956" s="2" t="s">
        <v>18</v>
      </c>
      <c r="G1956" s="2" t="s">
        <v>1514</v>
      </c>
      <c r="H1956" s="2" t="s">
        <v>2531</v>
      </c>
      <c r="I1956" s="2" t="s">
        <v>2532</v>
      </c>
    </row>
    <row r="1957" spans="1:9" ht="14.5" x14ac:dyDescent="0.35">
      <c r="A1957" s="2">
        <v>1827895</v>
      </c>
      <c r="B1957" s="2" t="str">
        <f>"3328061002880005"</f>
        <v>3328061002880005</v>
      </c>
      <c r="C1957" s="2" t="s">
        <v>2530</v>
      </c>
      <c r="D1957" s="2" t="s">
        <v>189</v>
      </c>
      <c r="E1957" s="2" t="s">
        <v>11</v>
      </c>
      <c r="F1957" s="2" t="s">
        <v>18</v>
      </c>
      <c r="G1957" s="2" t="s">
        <v>19</v>
      </c>
      <c r="H1957" s="2" t="s">
        <v>1394</v>
      </c>
      <c r="I1957" s="2" t="s">
        <v>2187</v>
      </c>
    </row>
    <row r="1958" spans="1:9" ht="14.5" x14ac:dyDescent="0.35">
      <c r="A1958" s="2">
        <v>1826887</v>
      </c>
      <c r="B1958" s="2" t="str">
        <f>"3328061008930008"</f>
        <v>3328061008930008</v>
      </c>
      <c r="C1958" s="2" t="s">
        <v>2533</v>
      </c>
      <c r="D1958" s="2" t="s">
        <v>189</v>
      </c>
      <c r="E1958" s="2" t="s">
        <v>11</v>
      </c>
      <c r="F1958" s="2" t="s">
        <v>18</v>
      </c>
      <c r="G1958" s="2" t="s">
        <v>19</v>
      </c>
      <c r="H1958" s="2" t="s">
        <v>1394</v>
      </c>
      <c r="I1958" s="2" t="s">
        <v>2187</v>
      </c>
    </row>
    <row r="1959" spans="1:9" ht="14.5" x14ac:dyDescent="0.35">
      <c r="A1959" s="2">
        <v>861196</v>
      </c>
      <c r="B1959" s="2" t="str">
        <f>"3328061008930008"</f>
        <v>3328061008930008</v>
      </c>
      <c r="C1959" s="2" t="s">
        <v>2533</v>
      </c>
      <c r="D1959" s="2" t="s">
        <v>17</v>
      </c>
      <c r="E1959" s="2" t="s">
        <v>11</v>
      </c>
      <c r="F1959" s="2" t="s">
        <v>379</v>
      </c>
      <c r="G1959" s="2" t="s">
        <v>1206</v>
      </c>
      <c r="H1959" s="2" t="s">
        <v>1588</v>
      </c>
      <c r="I1959" s="2" t="s">
        <v>2534</v>
      </c>
    </row>
    <row r="1960" spans="1:9" ht="14.5" x14ac:dyDescent="0.35">
      <c r="A1960" s="2">
        <v>1634753</v>
      </c>
      <c r="B1960" s="2" t="str">
        <f>"3328061112020001"</f>
        <v>3328061112020001</v>
      </c>
      <c r="C1960" s="2" t="s">
        <v>2535</v>
      </c>
      <c r="D1960" s="2" t="s">
        <v>10</v>
      </c>
      <c r="E1960" s="2" t="s">
        <v>11</v>
      </c>
      <c r="F1960" s="2" t="s">
        <v>91</v>
      </c>
      <c r="G1960" s="2" t="s">
        <v>101</v>
      </c>
      <c r="H1960" s="2" t="s">
        <v>1106</v>
      </c>
      <c r="I1960" s="2" t="s">
        <v>1106</v>
      </c>
    </row>
    <row r="1961" spans="1:9" ht="14.5" x14ac:dyDescent="0.35">
      <c r="A1961" s="2">
        <v>2538848</v>
      </c>
      <c r="B1961" s="2" t="str">
        <f>"3328061112020001"</f>
        <v>3328061112020001</v>
      </c>
      <c r="C1961" s="2" t="s">
        <v>2535</v>
      </c>
      <c r="D1961" s="2" t="s">
        <v>17</v>
      </c>
      <c r="E1961" s="2" t="s">
        <v>11</v>
      </c>
      <c r="F1961" s="2" t="s">
        <v>18</v>
      </c>
      <c r="G1961" s="2" t="s">
        <v>19</v>
      </c>
      <c r="H1961" s="2" t="s">
        <v>1394</v>
      </c>
      <c r="I1961" s="2" t="s">
        <v>2238</v>
      </c>
    </row>
    <row r="1962" spans="1:9" ht="14.5" x14ac:dyDescent="0.35">
      <c r="A1962" s="2">
        <v>1418973</v>
      </c>
      <c r="B1962" s="2" t="str">
        <f>"3328061202830010"</f>
        <v>3328061202830010</v>
      </c>
      <c r="C1962" s="2" t="s">
        <v>2536</v>
      </c>
      <c r="D1962" s="2" t="s">
        <v>10</v>
      </c>
      <c r="E1962" s="2" t="s">
        <v>11</v>
      </c>
      <c r="F1962" s="2" t="s">
        <v>91</v>
      </c>
      <c r="G1962" s="2" t="s">
        <v>320</v>
      </c>
      <c r="H1962" s="2" t="s">
        <v>1289</v>
      </c>
      <c r="I1962" s="2" t="s">
        <v>1766</v>
      </c>
    </row>
    <row r="1963" spans="1:9" ht="14.5" x14ac:dyDescent="0.35">
      <c r="A1963" s="2">
        <v>2539899</v>
      </c>
      <c r="B1963" s="2" t="str">
        <f>"3328061202830010"</f>
        <v>3328061202830010</v>
      </c>
      <c r="C1963" s="2" t="s">
        <v>2536</v>
      </c>
      <c r="D1963" s="2" t="s">
        <v>17</v>
      </c>
      <c r="E1963" s="2" t="s">
        <v>11</v>
      </c>
      <c r="F1963" s="2" t="s">
        <v>18</v>
      </c>
      <c r="G1963" s="2" t="s">
        <v>19</v>
      </c>
      <c r="H1963" s="2" t="s">
        <v>1394</v>
      </c>
      <c r="I1963" s="2" t="s">
        <v>2187</v>
      </c>
    </row>
    <row r="1964" spans="1:9" ht="14.5" x14ac:dyDescent="0.35">
      <c r="A1964" s="2">
        <v>880612</v>
      </c>
      <c r="B1964" s="2" t="str">
        <f>"3328061205750007"</f>
        <v>3328061205750007</v>
      </c>
      <c r="C1964" s="2" t="s">
        <v>2537</v>
      </c>
      <c r="D1964" s="2" t="s">
        <v>10</v>
      </c>
      <c r="E1964" s="2" t="s">
        <v>11</v>
      </c>
      <c r="F1964" s="2" t="s">
        <v>18</v>
      </c>
      <c r="G1964" s="2" t="s">
        <v>385</v>
      </c>
      <c r="H1964" s="2" t="s">
        <v>2538</v>
      </c>
      <c r="I1964" s="2" t="s">
        <v>2539</v>
      </c>
    </row>
    <row r="1965" spans="1:9" ht="14.5" x14ac:dyDescent="0.35">
      <c r="A1965" s="2">
        <v>2540457</v>
      </c>
      <c r="B1965" s="2" t="str">
        <f>"3328061205750007"</f>
        <v>3328061205750007</v>
      </c>
      <c r="C1965" s="2" t="s">
        <v>2537</v>
      </c>
      <c r="D1965" s="2" t="s">
        <v>17</v>
      </c>
      <c r="E1965" s="2" t="s">
        <v>11</v>
      </c>
      <c r="F1965" s="2" t="s">
        <v>18</v>
      </c>
      <c r="G1965" s="2" t="s">
        <v>19</v>
      </c>
      <c r="H1965" s="2" t="s">
        <v>1394</v>
      </c>
      <c r="I1965" s="2" t="s">
        <v>2194</v>
      </c>
    </row>
    <row r="1966" spans="1:9" ht="14.5" x14ac:dyDescent="0.35">
      <c r="A1966" s="2">
        <v>258564</v>
      </c>
      <c r="B1966" s="2" t="str">
        <f>"3328061303910001"</f>
        <v>3328061303910001</v>
      </c>
      <c r="C1966" s="2" t="s">
        <v>2540</v>
      </c>
      <c r="D1966" s="2" t="s">
        <v>10</v>
      </c>
      <c r="E1966" s="2" t="s">
        <v>11</v>
      </c>
      <c r="F1966" s="2" t="s">
        <v>50</v>
      </c>
      <c r="G1966" s="2" t="s">
        <v>280</v>
      </c>
      <c r="H1966" s="2" t="s">
        <v>2179</v>
      </c>
      <c r="I1966" s="2" t="s">
        <v>2541</v>
      </c>
    </row>
    <row r="1967" spans="1:9" ht="14.5" x14ac:dyDescent="0.35">
      <c r="A1967" s="2">
        <v>2539677</v>
      </c>
      <c r="B1967" s="2" t="str">
        <f>"3328061303910001"</f>
        <v>3328061303910001</v>
      </c>
      <c r="C1967" s="2" t="s">
        <v>2540</v>
      </c>
      <c r="D1967" s="2" t="s">
        <v>17</v>
      </c>
      <c r="E1967" s="2" t="s">
        <v>11</v>
      </c>
      <c r="F1967" s="2" t="s">
        <v>18</v>
      </c>
      <c r="G1967" s="2" t="s">
        <v>19</v>
      </c>
      <c r="H1967" s="2" t="s">
        <v>1394</v>
      </c>
      <c r="I1967" s="2" t="s">
        <v>2212</v>
      </c>
    </row>
    <row r="1968" spans="1:9" ht="14.5" x14ac:dyDescent="0.35">
      <c r="A1968" s="2">
        <v>2373237</v>
      </c>
      <c r="B1968" s="2" t="str">
        <f>"3328061412800003"</f>
        <v>3328061412800003</v>
      </c>
      <c r="C1968" s="2" t="s">
        <v>1892</v>
      </c>
      <c r="D1968" s="2" t="s">
        <v>10</v>
      </c>
      <c r="E1968" s="2" t="s">
        <v>11</v>
      </c>
      <c r="F1968" s="2" t="s">
        <v>91</v>
      </c>
      <c r="G1968" s="2" t="s">
        <v>555</v>
      </c>
      <c r="H1968" s="2" t="s">
        <v>1927</v>
      </c>
      <c r="I1968" s="2" t="s">
        <v>2542</v>
      </c>
    </row>
    <row r="1969" spans="1:9" ht="14.5" x14ac:dyDescent="0.35">
      <c r="A1969" s="2">
        <v>2539818</v>
      </c>
      <c r="B1969" s="2" t="str">
        <f>"3328061412800003"</f>
        <v>3328061412800003</v>
      </c>
      <c r="C1969" s="2" t="s">
        <v>2543</v>
      </c>
      <c r="D1969" s="2" t="s">
        <v>17</v>
      </c>
      <c r="E1969" s="2" t="s">
        <v>11</v>
      </c>
      <c r="F1969" s="2" t="s">
        <v>18</v>
      </c>
      <c r="G1969" s="2" t="s">
        <v>19</v>
      </c>
      <c r="H1969" s="2" t="s">
        <v>1394</v>
      </c>
      <c r="I1969" s="2" t="s">
        <v>2187</v>
      </c>
    </row>
    <row r="1970" spans="1:9" ht="14.5" x14ac:dyDescent="0.35">
      <c r="A1970" s="2">
        <v>28511</v>
      </c>
      <c r="B1970" s="2" t="str">
        <f>"3328061505650012"</f>
        <v>3328061505650012</v>
      </c>
      <c r="C1970" s="2" t="s">
        <v>2544</v>
      </c>
      <c r="D1970" s="2" t="s">
        <v>10</v>
      </c>
      <c r="E1970" s="2" t="s">
        <v>11</v>
      </c>
      <c r="F1970" s="2" t="s">
        <v>2545</v>
      </c>
      <c r="G1970" s="2" t="s">
        <v>2546</v>
      </c>
      <c r="H1970" s="2" t="s">
        <v>2547</v>
      </c>
      <c r="I1970" s="2" t="s">
        <v>2548</v>
      </c>
    </row>
    <row r="1971" spans="1:9" ht="14.5" x14ac:dyDescent="0.35">
      <c r="A1971" s="2">
        <v>2540253</v>
      </c>
      <c r="B1971" s="2" t="str">
        <f>"3328061505650012"</f>
        <v>3328061505650012</v>
      </c>
      <c r="C1971" s="2" t="s">
        <v>2544</v>
      </c>
      <c r="D1971" s="2" t="s">
        <v>17</v>
      </c>
      <c r="E1971" s="2" t="s">
        <v>11</v>
      </c>
      <c r="F1971" s="2" t="s">
        <v>18</v>
      </c>
      <c r="G1971" s="2" t="s">
        <v>19</v>
      </c>
      <c r="H1971" s="2" t="s">
        <v>1394</v>
      </c>
      <c r="I1971" s="2" t="s">
        <v>2235</v>
      </c>
    </row>
    <row r="1972" spans="1:9" ht="14.5" x14ac:dyDescent="0.35">
      <c r="A1972" s="2">
        <v>1262522</v>
      </c>
      <c r="B1972" s="2" t="str">
        <f>"3328061506940009"</f>
        <v>3328061506940009</v>
      </c>
      <c r="C1972" s="2" t="s">
        <v>2549</v>
      </c>
      <c r="D1972" s="2" t="s">
        <v>10</v>
      </c>
      <c r="E1972" s="2" t="s">
        <v>11</v>
      </c>
      <c r="F1972" s="2" t="s">
        <v>50</v>
      </c>
      <c r="G1972" s="2" t="s">
        <v>86</v>
      </c>
      <c r="H1972" s="2" t="s">
        <v>1268</v>
      </c>
      <c r="I1972" s="2" t="s">
        <v>2503</v>
      </c>
    </row>
    <row r="1973" spans="1:9" ht="14.5" x14ac:dyDescent="0.35">
      <c r="A1973" s="2">
        <v>2539777</v>
      </c>
      <c r="B1973" s="2" t="str">
        <f>"3328061506940009"</f>
        <v>3328061506940009</v>
      </c>
      <c r="C1973" s="2" t="s">
        <v>2549</v>
      </c>
      <c r="D1973" s="2" t="s">
        <v>17</v>
      </c>
      <c r="E1973" s="2" t="s">
        <v>11</v>
      </c>
      <c r="F1973" s="2" t="s">
        <v>18</v>
      </c>
      <c r="G1973" s="2" t="s">
        <v>19</v>
      </c>
      <c r="H1973" s="2" t="s">
        <v>1394</v>
      </c>
      <c r="I1973" s="2" t="s">
        <v>2172</v>
      </c>
    </row>
    <row r="1974" spans="1:9" ht="14.5" x14ac:dyDescent="0.35">
      <c r="A1974" s="2">
        <v>118608</v>
      </c>
      <c r="B1974" s="2" t="str">
        <f>"3328061606860008"</f>
        <v>3328061606860008</v>
      </c>
      <c r="C1974" s="2" t="s">
        <v>2550</v>
      </c>
      <c r="D1974" s="2" t="s">
        <v>10</v>
      </c>
      <c r="E1974" s="2" t="s">
        <v>11</v>
      </c>
      <c r="F1974" s="2" t="s">
        <v>1374</v>
      </c>
      <c r="G1974" s="2" t="s">
        <v>2551</v>
      </c>
      <c r="H1974" s="2" t="s">
        <v>2552</v>
      </c>
      <c r="I1974" s="2" t="s">
        <v>2553</v>
      </c>
    </row>
    <row r="1975" spans="1:9" ht="14.5" x14ac:dyDescent="0.35">
      <c r="A1975" s="2">
        <v>2539334</v>
      </c>
      <c r="B1975" s="2" t="str">
        <f>"3328061606860008"</f>
        <v>3328061606860008</v>
      </c>
      <c r="C1975" s="2" t="s">
        <v>2550</v>
      </c>
      <c r="D1975" s="2" t="s">
        <v>17</v>
      </c>
      <c r="E1975" s="2" t="s">
        <v>11</v>
      </c>
      <c r="F1975" s="2" t="s">
        <v>18</v>
      </c>
      <c r="G1975" s="2" t="s">
        <v>19</v>
      </c>
      <c r="H1975" s="2" t="s">
        <v>1394</v>
      </c>
      <c r="I1975" s="2" t="s">
        <v>2161</v>
      </c>
    </row>
    <row r="1976" spans="1:9" ht="14.5" x14ac:dyDescent="0.35">
      <c r="A1976" s="2">
        <v>1824417</v>
      </c>
      <c r="B1976" s="2" t="str">
        <f>"3328061708760011"</f>
        <v>3328061708760011</v>
      </c>
      <c r="C1976" s="2" t="s">
        <v>2554</v>
      </c>
      <c r="D1976" s="2" t="s">
        <v>10</v>
      </c>
      <c r="E1976" s="2" t="s">
        <v>11</v>
      </c>
      <c r="F1976" s="2" t="s">
        <v>18</v>
      </c>
      <c r="G1976" s="2" t="s">
        <v>19</v>
      </c>
      <c r="H1976" s="2" t="s">
        <v>1394</v>
      </c>
      <c r="I1976" s="2" t="s">
        <v>2172</v>
      </c>
    </row>
    <row r="1977" spans="1:9" ht="14.5" x14ac:dyDescent="0.35">
      <c r="A1977" s="2">
        <v>52431</v>
      </c>
      <c r="B1977" s="2" t="str">
        <f>"3328061708760011"</f>
        <v>3328061708760011</v>
      </c>
      <c r="C1977" s="2" t="s">
        <v>2554</v>
      </c>
      <c r="D1977" s="2" t="s">
        <v>17</v>
      </c>
      <c r="E1977" s="2" t="s">
        <v>57</v>
      </c>
      <c r="F1977" s="2" t="s">
        <v>211</v>
      </c>
      <c r="G1977" s="2" t="s">
        <v>2555</v>
      </c>
      <c r="H1977" s="2" t="s">
        <v>2556</v>
      </c>
      <c r="I1977" s="2" t="s">
        <v>2557</v>
      </c>
    </row>
    <row r="1978" spans="1:9" ht="14.5" x14ac:dyDescent="0.35">
      <c r="A1978" s="2">
        <v>1784815</v>
      </c>
      <c r="B1978" s="2" t="str">
        <f>"3328061708770007"</f>
        <v>3328061708770007</v>
      </c>
      <c r="C1978" s="2" t="s">
        <v>2558</v>
      </c>
      <c r="D1978" s="2" t="s">
        <v>17</v>
      </c>
      <c r="E1978" s="2" t="s">
        <v>11</v>
      </c>
      <c r="F1978" s="2" t="s">
        <v>303</v>
      </c>
      <c r="G1978" s="2" t="s">
        <v>1669</v>
      </c>
      <c r="H1978" s="2" t="s">
        <v>2559</v>
      </c>
      <c r="I1978" s="2" t="s">
        <v>2560</v>
      </c>
    </row>
    <row r="1979" spans="1:9" ht="14.5" x14ac:dyDescent="0.35">
      <c r="A1979" s="2">
        <v>2539047</v>
      </c>
      <c r="B1979" s="2" t="str">
        <f>"3328061708770007"</f>
        <v>3328061708770007</v>
      </c>
      <c r="C1979" s="2" t="s">
        <v>2561</v>
      </c>
      <c r="D1979" s="2" t="s">
        <v>17</v>
      </c>
      <c r="E1979" s="2" t="s">
        <v>11</v>
      </c>
      <c r="F1979" s="2" t="s">
        <v>18</v>
      </c>
      <c r="G1979" s="2" t="s">
        <v>19</v>
      </c>
      <c r="H1979" s="2" t="s">
        <v>1394</v>
      </c>
      <c r="I1979" s="2" t="s">
        <v>2161</v>
      </c>
    </row>
    <row r="1980" spans="1:9" ht="14.5" x14ac:dyDescent="0.35">
      <c r="A1980" s="2">
        <v>455369</v>
      </c>
      <c r="B1980" s="2" t="str">
        <f>"3328061711960005"</f>
        <v>3328061711960005</v>
      </c>
      <c r="C1980" s="2" t="s">
        <v>2562</v>
      </c>
      <c r="D1980" s="2" t="s">
        <v>10</v>
      </c>
      <c r="E1980" s="2" t="s">
        <v>11</v>
      </c>
      <c r="F1980" s="2" t="s">
        <v>783</v>
      </c>
      <c r="G1980" s="2" t="s">
        <v>1112</v>
      </c>
      <c r="H1980" s="2" t="s">
        <v>2563</v>
      </c>
      <c r="I1980" s="2" t="s">
        <v>2564</v>
      </c>
    </row>
    <row r="1981" spans="1:9" ht="14.5" x14ac:dyDescent="0.35">
      <c r="A1981" s="2">
        <v>2538453</v>
      </c>
      <c r="B1981" s="2" t="str">
        <f>"3328061711960005"</f>
        <v>3328061711960005</v>
      </c>
      <c r="C1981" s="2" t="s">
        <v>2562</v>
      </c>
      <c r="D1981" s="2" t="s">
        <v>17</v>
      </c>
      <c r="E1981" s="2" t="s">
        <v>11</v>
      </c>
      <c r="F1981" s="2" t="s">
        <v>18</v>
      </c>
      <c r="G1981" s="2" t="s">
        <v>19</v>
      </c>
      <c r="H1981" s="2" t="s">
        <v>1394</v>
      </c>
      <c r="I1981" s="2" t="s">
        <v>2189</v>
      </c>
    </row>
    <row r="1982" spans="1:9" ht="14.5" x14ac:dyDescent="0.35">
      <c r="A1982" s="2">
        <v>2538650</v>
      </c>
      <c r="B1982" s="2" t="str">
        <f>"3328061806050001"</f>
        <v>3328061806050001</v>
      </c>
      <c r="C1982" s="2" t="s">
        <v>2565</v>
      </c>
      <c r="D1982" s="2" t="s">
        <v>17</v>
      </c>
      <c r="E1982" s="2" t="s">
        <v>11</v>
      </c>
      <c r="F1982" s="2" t="s">
        <v>18</v>
      </c>
      <c r="G1982" s="2" t="s">
        <v>19</v>
      </c>
      <c r="H1982" s="2" t="s">
        <v>1394</v>
      </c>
      <c r="I1982" s="2" t="s">
        <v>2520</v>
      </c>
    </row>
    <row r="1983" spans="1:9" ht="14.5" x14ac:dyDescent="0.35">
      <c r="A1983" s="2">
        <v>1350389</v>
      </c>
      <c r="B1983" s="2" t="str">
        <f>"3328061806050001"</f>
        <v>3328061806050001</v>
      </c>
      <c r="C1983" s="2" t="s">
        <v>2565</v>
      </c>
      <c r="D1983" s="2" t="s">
        <v>10</v>
      </c>
      <c r="E1983" s="2" t="s">
        <v>57</v>
      </c>
      <c r="F1983" s="2" t="s">
        <v>303</v>
      </c>
      <c r="G1983" s="2" t="s">
        <v>608</v>
      </c>
      <c r="H1983" s="2" t="s">
        <v>609</v>
      </c>
      <c r="I1983" s="2" t="s">
        <v>610</v>
      </c>
    </row>
    <row r="1984" spans="1:9" ht="14.5" x14ac:dyDescent="0.35">
      <c r="A1984" s="2">
        <v>228693</v>
      </c>
      <c r="B1984" s="2" t="str">
        <f>"3328061807920005"</f>
        <v>3328061807920005</v>
      </c>
      <c r="C1984" s="2" t="s">
        <v>2566</v>
      </c>
      <c r="D1984" s="2" t="s">
        <v>189</v>
      </c>
      <c r="E1984" s="2" t="s">
        <v>11</v>
      </c>
      <c r="F1984" s="2" t="s">
        <v>18</v>
      </c>
      <c r="G1984" s="2" t="s">
        <v>171</v>
      </c>
      <c r="H1984" s="2" t="s">
        <v>2567</v>
      </c>
      <c r="I1984" s="2" t="s">
        <v>2568</v>
      </c>
    </row>
    <row r="1985" spans="1:9" ht="14.5" x14ac:dyDescent="0.35">
      <c r="A1985" s="2">
        <v>2540605</v>
      </c>
      <c r="B1985" s="2" t="str">
        <f>"3328061807920005"</f>
        <v>3328061807920005</v>
      </c>
      <c r="C1985" s="2" t="s">
        <v>2566</v>
      </c>
      <c r="D1985" s="2" t="s">
        <v>17</v>
      </c>
      <c r="E1985" s="2" t="s">
        <v>11</v>
      </c>
      <c r="F1985" s="2" t="s">
        <v>18</v>
      </c>
      <c r="G1985" s="2" t="s">
        <v>19</v>
      </c>
      <c r="H1985" s="2" t="s">
        <v>1394</v>
      </c>
      <c r="I1985" s="2" t="s">
        <v>1395</v>
      </c>
    </row>
    <row r="1986" spans="1:9" ht="14.5" x14ac:dyDescent="0.35">
      <c r="A1986" s="2">
        <v>420922</v>
      </c>
      <c r="B1986" s="2" t="str">
        <f>"3328061812960005"</f>
        <v>3328061812960005</v>
      </c>
      <c r="C1986" s="2" t="s">
        <v>2569</v>
      </c>
      <c r="D1986" s="2" t="s">
        <v>17</v>
      </c>
      <c r="E1986" s="2" t="s">
        <v>11</v>
      </c>
      <c r="F1986" s="2" t="s">
        <v>18</v>
      </c>
      <c r="G1986" s="2" t="s">
        <v>268</v>
      </c>
      <c r="H1986" s="2" t="s">
        <v>448</v>
      </c>
      <c r="I1986" s="2" t="s">
        <v>888</v>
      </c>
    </row>
    <row r="1987" spans="1:9" ht="14.5" x14ac:dyDescent="0.35">
      <c r="A1987" s="2">
        <v>1771492</v>
      </c>
      <c r="B1987" s="2" t="str">
        <f>"3328061812960005"</f>
        <v>3328061812960005</v>
      </c>
      <c r="C1987" s="2" t="s">
        <v>2570</v>
      </c>
      <c r="D1987" s="2" t="s">
        <v>189</v>
      </c>
      <c r="E1987" s="2" t="s">
        <v>11</v>
      </c>
      <c r="F1987" s="2" t="s">
        <v>18</v>
      </c>
      <c r="G1987" s="2" t="s">
        <v>19</v>
      </c>
      <c r="H1987" s="2" t="s">
        <v>1394</v>
      </c>
      <c r="I1987" s="2" t="s">
        <v>2520</v>
      </c>
    </row>
    <row r="1988" spans="1:9" ht="14.5" x14ac:dyDescent="0.35">
      <c r="A1988" s="2">
        <v>1861860</v>
      </c>
      <c r="B1988" s="2" t="str">
        <f>"3328061907890002"</f>
        <v>3328061907890002</v>
      </c>
      <c r="C1988" s="2" t="s">
        <v>2100</v>
      </c>
      <c r="D1988" s="2" t="s">
        <v>10</v>
      </c>
      <c r="E1988" s="2" t="s">
        <v>11</v>
      </c>
      <c r="F1988" s="2" t="s">
        <v>18</v>
      </c>
      <c r="G1988" s="2" t="s">
        <v>19</v>
      </c>
      <c r="H1988" s="2" t="s">
        <v>1394</v>
      </c>
      <c r="I1988" s="2" t="s">
        <v>1395</v>
      </c>
    </row>
    <row r="1989" spans="1:9" ht="14.5" x14ac:dyDescent="0.35">
      <c r="A1989" s="2">
        <v>1959521</v>
      </c>
      <c r="B1989" s="2" t="str">
        <f>"3328061907890002"</f>
        <v>3328061907890002</v>
      </c>
      <c r="C1989" s="2" t="s">
        <v>2571</v>
      </c>
      <c r="D1989" s="2" t="s">
        <v>17</v>
      </c>
      <c r="E1989" s="2" t="s">
        <v>11</v>
      </c>
      <c r="F1989" s="2" t="s">
        <v>50</v>
      </c>
      <c r="G1989" s="2" t="s">
        <v>86</v>
      </c>
      <c r="H1989" s="2" t="s">
        <v>1268</v>
      </c>
      <c r="I1989" s="2" t="s">
        <v>2503</v>
      </c>
    </row>
    <row r="1990" spans="1:9" ht="14.5" x14ac:dyDescent="0.35">
      <c r="A1990" s="2">
        <v>238996</v>
      </c>
      <c r="B1990" s="2" t="str">
        <f>"3328062001010007"</f>
        <v>3328062001010007</v>
      </c>
      <c r="C1990" s="2" t="s">
        <v>2572</v>
      </c>
      <c r="D1990" s="2" t="s">
        <v>10</v>
      </c>
      <c r="E1990" s="2" t="s">
        <v>11</v>
      </c>
      <c r="F1990" s="2" t="s">
        <v>18</v>
      </c>
      <c r="G1990" s="2" t="s">
        <v>268</v>
      </c>
      <c r="H1990" s="2" t="s">
        <v>371</v>
      </c>
      <c r="I1990" s="2" t="s">
        <v>372</v>
      </c>
    </row>
    <row r="1991" spans="1:9" ht="14.5" x14ac:dyDescent="0.35">
      <c r="A1991" s="2">
        <v>1808142</v>
      </c>
      <c r="B1991" s="2" t="str">
        <f>"3328062001010007"</f>
        <v>3328062001010007</v>
      </c>
      <c r="C1991" s="2" t="s">
        <v>2573</v>
      </c>
      <c r="D1991" s="2" t="s">
        <v>189</v>
      </c>
      <c r="E1991" s="2" t="s">
        <v>11</v>
      </c>
      <c r="F1991" s="2" t="s">
        <v>18</v>
      </c>
      <c r="G1991" s="2" t="s">
        <v>19</v>
      </c>
      <c r="H1991" s="2" t="s">
        <v>1394</v>
      </c>
      <c r="I1991" s="2" t="s">
        <v>2212</v>
      </c>
    </row>
    <row r="1992" spans="1:9" ht="14.5" x14ac:dyDescent="0.35">
      <c r="A1992" s="2">
        <v>1830867</v>
      </c>
      <c r="B1992" s="2" t="str">
        <f>"3328062010990007"</f>
        <v>3328062010990007</v>
      </c>
      <c r="C1992" s="2" t="s">
        <v>2574</v>
      </c>
      <c r="D1992" s="2" t="s">
        <v>189</v>
      </c>
      <c r="E1992" s="2" t="s">
        <v>11</v>
      </c>
      <c r="F1992" s="2" t="s">
        <v>18</v>
      </c>
      <c r="G1992" s="2" t="s">
        <v>19</v>
      </c>
      <c r="H1992" s="2" t="s">
        <v>1394</v>
      </c>
      <c r="I1992" s="2" t="s">
        <v>2187</v>
      </c>
    </row>
    <row r="1993" spans="1:9" ht="14.5" x14ac:dyDescent="0.35">
      <c r="A1993" s="2">
        <v>2574122</v>
      </c>
      <c r="B1993" s="2" t="str">
        <f>"3328062010990007"</f>
        <v>3328062010990007</v>
      </c>
      <c r="C1993" s="2" t="s">
        <v>2574</v>
      </c>
      <c r="D1993" s="2" t="s">
        <v>17</v>
      </c>
      <c r="E1993" s="2" t="s">
        <v>11</v>
      </c>
      <c r="F1993" s="2" t="s">
        <v>18</v>
      </c>
      <c r="G1993" s="2" t="s">
        <v>19</v>
      </c>
      <c r="H1993" s="2" t="s">
        <v>2575</v>
      </c>
      <c r="I1993" s="2" t="s">
        <v>2575</v>
      </c>
    </row>
    <row r="1994" spans="1:9" ht="14.5" x14ac:dyDescent="0.35">
      <c r="A1994" s="2">
        <v>1502641</v>
      </c>
      <c r="B1994" s="2" t="str">
        <f>"3328062312700003"</f>
        <v>3328062312700003</v>
      </c>
      <c r="C1994" s="2" t="s">
        <v>2576</v>
      </c>
      <c r="D1994" s="2" t="s">
        <v>10</v>
      </c>
      <c r="E1994" s="2" t="s">
        <v>11</v>
      </c>
      <c r="F1994" s="2" t="s">
        <v>50</v>
      </c>
      <c r="G1994" s="2" t="s">
        <v>58</v>
      </c>
      <c r="H1994" s="2" t="s">
        <v>417</v>
      </c>
      <c r="I1994" s="2" t="s">
        <v>1936</v>
      </c>
    </row>
    <row r="1995" spans="1:9" ht="14.5" x14ac:dyDescent="0.35">
      <c r="A1995" s="2">
        <v>2538868</v>
      </c>
      <c r="B1995" s="2" t="str">
        <f>"3328062312700003"</f>
        <v>3328062312700003</v>
      </c>
      <c r="C1995" s="2" t="s">
        <v>2576</v>
      </c>
      <c r="D1995" s="2" t="s">
        <v>17</v>
      </c>
      <c r="E1995" s="2" t="s">
        <v>11</v>
      </c>
      <c r="F1995" s="2" t="s">
        <v>18</v>
      </c>
      <c r="G1995" s="2" t="s">
        <v>19</v>
      </c>
      <c r="H1995" s="2" t="s">
        <v>1394</v>
      </c>
      <c r="I1995" s="2" t="s">
        <v>307</v>
      </c>
    </row>
    <row r="1996" spans="1:9" ht="14.5" x14ac:dyDescent="0.35">
      <c r="A1996" s="2">
        <v>2538698</v>
      </c>
      <c r="B1996" s="2" t="str">
        <f>"3328062401040004"</f>
        <v>3328062401040004</v>
      </c>
      <c r="C1996" s="2" t="s">
        <v>2577</v>
      </c>
      <c r="D1996" s="2" t="s">
        <v>17</v>
      </c>
      <c r="E1996" s="2" t="s">
        <v>11</v>
      </c>
      <c r="F1996" s="2" t="s">
        <v>18</v>
      </c>
      <c r="G1996" s="2" t="s">
        <v>19</v>
      </c>
      <c r="H1996" s="2" t="s">
        <v>1394</v>
      </c>
      <c r="I1996" s="2" t="s">
        <v>2520</v>
      </c>
    </row>
    <row r="1997" spans="1:9" ht="14.5" x14ac:dyDescent="0.35">
      <c r="A1997" s="2">
        <v>1350391</v>
      </c>
      <c r="B1997" s="2" t="str">
        <f>"3328062401040004"</f>
        <v>3328062401040004</v>
      </c>
      <c r="C1997" s="2" t="s">
        <v>2578</v>
      </c>
      <c r="D1997" s="2" t="s">
        <v>10</v>
      </c>
      <c r="E1997" s="2" t="s">
        <v>57</v>
      </c>
      <c r="F1997" s="2" t="s">
        <v>303</v>
      </c>
      <c r="G1997" s="2" t="s">
        <v>608</v>
      </c>
      <c r="H1997" s="2" t="s">
        <v>609</v>
      </c>
      <c r="I1997" s="2" t="s">
        <v>610</v>
      </c>
    </row>
    <row r="1998" spans="1:9" ht="14.5" x14ac:dyDescent="0.35">
      <c r="A1998" s="2">
        <v>683053</v>
      </c>
      <c r="B1998" s="2" t="str">
        <f>"3328062411820006"</f>
        <v>3328062411820006</v>
      </c>
      <c r="C1998" s="2" t="s">
        <v>2579</v>
      </c>
      <c r="D1998" s="2" t="s">
        <v>10</v>
      </c>
      <c r="E1998" s="2" t="s">
        <v>11</v>
      </c>
      <c r="F1998" s="2" t="s">
        <v>91</v>
      </c>
      <c r="G1998" s="2" t="s">
        <v>114</v>
      </c>
      <c r="H1998" s="2" t="s">
        <v>2580</v>
      </c>
      <c r="I1998" s="2" t="s">
        <v>2581</v>
      </c>
    </row>
    <row r="1999" spans="1:9" ht="14.5" x14ac:dyDescent="0.35">
      <c r="A1999" s="2">
        <v>2540054</v>
      </c>
      <c r="B1999" s="2" t="str">
        <f>"3328062411820006"</f>
        <v>3328062411820006</v>
      </c>
      <c r="C1999" s="2" t="s">
        <v>2579</v>
      </c>
      <c r="D1999" s="2" t="s">
        <v>17</v>
      </c>
      <c r="E1999" s="2" t="s">
        <v>11</v>
      </c>
      <c r="F1999" s="2" t="s">
        <v>18</v>
      </c>
      <c r="G1999" s="2" t="s">
        <v>19</v>
      </c>
      <c r="H1999" s="2" t="s">
        <v>1394</v>
      </c>
      <c r="I1999" s="2" t="s">
        <v>2165</v>
      </c>
    </row>
    <row r="2000" spans="1:9" ht="14.5" x14ac:dyDescent="0.35">
      <c r="A2000" s="2">
        <v>732128</v>
      </c>
      <c r="B2000" s="2" t="str">
        <f>"3328062504910002"</f>
        <v>3328062504910002</v>
      </c>
      <c r="C2000" s="2" t="s">
        <v>2582</v>
      </c>
      <c r="D2000" s="2" t="s">
        <v>10</v>
      </c>
      <c r="E2000" s="2" t="s">
        <v>11</v>
      </c>
      <c r="F2000" s="2" t="s">
        <v>50</v>
      </c>
      <c r="G2000" s="2" t="s">
        <v>72</v>
      </c>
      <c r="H2000" s="2" t="s">
        <v>628</v>
      </c>
      <c r="I2000" s="2" t="s">
        <v>1281</v>
      </c>
    </row>
    <row r="2001" spans="1:9" ht="14.5" x14ac:dyDescent="0.35">
      <c r="A2001" s="2">
        <v>2538861</v>
      </c>
      <c r="B2001" s="2" t="str">
        <f>"3328062504910002"</f>
        <v>3328062504910002</v>
      </c>
      <c r="C2001" s="2" t="s">
        <v>2583</v>
      </c>
      <c r="D2001" s="2" t="s">
        <v>17</v>
      </c>
      <c r="E2001" s="2" t="s">
        <v>11</v>
      </c>
      <c r="F2001" s="2" t="s">
        <v>18</v>
      </c>
      <c r="G2001" s="2" t="s">
        <v>19</v>
      </c>
      <c r="H2001" s="2" t="s">
        <v>1394</v>
      </c>
      <c r="I2001" s="2" t="s">
        <v>307</v>
      </c>
    </row>
    <row r="2002" spans="1:9" ht="14.5" x14ac:dyDescent="0.35">
      <c r="A2002" s="2">
        <v>1400765</v>
      </c>
      <c r="B2002" s="2" t="str">
        <f>"3328062511860002"</f>
        <v>3328062511860002</v>
      </c>
      <c r="C2002" s="2" t="s">
        <v>2584</v>
      </c>
      <c r="D2002" s="2" t="s">
        <v>10</v>
      </c>
      <c r="E2002" s="2" t="s">
        <v>11</v>
      </c>
      <c r="F2002" s="2" t="s">
        <v>91</v>
      </c>
      <c r="G2002" s="2" t="s">
        <v>92</v>
      </c>
      <c r="H2002" s="2" t="s">
        <v>678</v>
      </c>
      <c r="I2002" s="2" t="s">
        <v>2585</v>
      </c>
    </row>
    <row r="2003" spans="1:9" ht="14.5" x14ac:dyDescent="0.35">
      <c r="A2003" s="2">
        <v>2539251</v>
      </c>
      <c r="B2003" s="2" t="str">
        <f>"3328062511860002"</f>
        <v>3328062511860002</v>
      </c>
      <c r="C2003" s="2" t="s">
        <v>2584</v>
      </c>
      <c r="D2003" s="2" t="s">
        <v>17</v>
      </c>
      <c r="E2003" s="2" t="s">
        <v>11</v>
      </c>
      <c r="F2003" s="2" t="s">
        <v>18</v>
      </c>
      <c r="G2003" s="2" t="s">
        <v>19</v>
      </c>
      <c r="H2003" s="2" t="s">
        <v>1394</v>
      </c>
      <c r="I2003" s="2" t="s">
        <v>2161</v>
      </c>
    </row>
    <row r="2004" spans="1:9" ht="14.5" x14ac:dyDescent="0.35">
      <c r="A2004" s="2">
        <v>2036607</v>
      </c>
      <c r="B2004" s="2" t="str">
        <f>"3328062703910001"</f>
        <v>3328062703910001</v>
      </c>
      <c r="C2004" s="2" t="s">
        <v>2586</v>
      </c>
      <c r="D2004" s="2" t="s">
        <v>10</v>
      </c>
      <c r="E2004" s="2" t="s">
        <v>11</v>
      </c>
      <c r="F2004" s="2" t="s">
        <v>50</v>
      </c>
      <c r="G2004" s="2" t="s">
        <v>58</v>
      </c>
      <c r="H2004" s="2" t="s">
        <v>260</v>
      </c>
      <c r="I2004" s="2" t="s">
        <v>2510</v>
      </c>
    </row>
    <row r="2005" spans="1:9" ht="14.5" x14ac:dyDescent="0.35">
      <c r="A2005" s="2">
        <v>2539915</v>
      </c>
      <c r="B2005" s="2" t="str">
        <f>"3328062703910001"</f>
        <v>3328062703910001</v>
      </c>
      <c r="C2005" s="2" t="s">
        <v>2586</v>
      </c>
      <c r="D2005" s="2" t="s">
        <v>17</v>
      </c>
      <c r="E2005" s="2" t="s">
        <v>11</v>
      </c>
      <c r="F2005" s="2" t="s">
        <v>18</v>
      </c>
      <c r="G2005" s="2" t="s">
        <v>19</v>
      </c>
      <c r="H2005" s="2" t="s">
        <v>1394</v>
      </c>
      <c r="I2005" s="2" t="s">
        <v>2187</v>
      </c>
    </row>
    <row r="2006" spans="1:9" ht="14.5" x14ac:dyDescent="0.35">
      <c r="A2006" s="2">
        <v>263680</v>
      </c>
      <c r="B2006" s="2" t="str">
        <f>"3328062704780007"</f>
        <v>3328062704780007</v>
      </c>
      <c r="C2006" s="2" t="s">
        <v>2587</v>
      </c>
      <c r="D2006" s="2" t="s">
        <v>10</v>
      </c>
      <c r="E2006" s="2" t="s">
        <v>11</v>
      </c>
      <c r="F2006" s="2" t="s">
        <v>18</v>
      </c>
      <c r="G2006" s="2" t="s">
        <v>264</v>
      </c>
      <c r="H2006" s="2" t="s">
        <v>468</v>
      </c>
      <c r="I2006" s="2" t="s">
        <v>2588</v>
      </c>
    </row>
    <row r="2007" spans="1:9" ht="14.5" x14ac:dyDescent="0.35">
      <c r="A2007" s="2">
        <v>2540458</v>
      </c>
      <c r="B2007" s="2" t="str">
        <f>"3328062704780007"</f>
        <v>3328062704780007</v>
      </c>
      <c r="C2007" s="2" t="s">
        <v>2587</v>
      </c>
      <c r="D2007" s="2" t="s">
        <v>17</v>
      </c>
      <c r="E2007" s="2" t="s">
        <v>11</v>
      </c>
      <c r="F2007" s="2" t="s">
        <v>18</v>
      </c>
      <c r="G2007" s="2" t="s">
        <v>19</v>
      </c>
      <c r="H2007" s="2" t="s">
        <v>1394</v>
      </c>
      <c r="I2007" s="2" t="s">
        <v>2194</v>
      </c>
    </row>
    <row r="2008" spans="1:9" ht="14.5" x14ac:dyDescent="0.35">
      <c r="A2008" s="2">
        <v>1770096</v>
      </c>
      <c r="B2008" s="2" t="str">
        <f>"3328062707990007"</f>
        <v>3328062707990007</v>
      </c>
      <c r="C2008" s="2" t="s">
        <v>2589</v>
      </c>
      <c r="D2008" s="2" t="s">
        <v>10</v>
      </c>
      <c r="E2008" s="2" t="s">
        <v>11</v>
      </c>
      <c r="F2008" s="2" t="s">
        <v>18</v>
      </c>
      <c r="G2008" s="2" t="s">
        <v>19</v>
      </c>
      <c r="H2008" s="2" t="s">
        <v>1394</v>
      </c>
      <c r="I2008" s="2" t="s">
        <v>2520</v>
      </c>
    </row>
    <row r="2009" spans="1:9" ht="14.5" x14ac:dyDescent="0.35">
      <c r="A2009" s="2">
        <v>1609909</v>
      </c>
      <c r="B2009" s="2" t="str">
        <f>"3328062707990007"</f>
        <v>3328062707990007</v>
      </c>
      <c r="C2009" s="2" t="s">
        <v>2590</v>
      </c>
      <c r="D2009" s="2" t="s">
        <v>17</v>
      </c>
      <c r="E2009" s="2" t="s">
        <v>11</v>
      </c>
      <c r="F2009" s="2" t="s">
        <v>18</v>
      </c>
      <c r="G2009" s="2" t="s">
        <v>264</v>
      </c>
      <c r="H2009" s="2" t="s">
        <v>264</v>
      </c>
      <c r="I2009" s="2" t="s">
        <v>2591</v>
      </c>
    </row>
    <row r="2010" spans="1:9" ht="14.5" x14ac:dyDescent="0.35">
      <c r="A2010" s="2">
        <v>1851268</v>
      </c>
      <c r="B2010" s="2" t="str">
        <f>"3328062801970007"</f>
        <v>3328062801970007</v>
      </c>
      <c r="C2010" s="2" t="s">
        <v>2592</v>
      </c>
      <c r="D2010" s="2" t="s">
        <v>189</v>
      </c>
      <c r="E2010" s="2" t="s">
        <v>11</v>
      </c>
      <c r="F2010" s="2" t="s">
        <v>18</v>
      </c>
      <c r="G2010" s="2" t="s">
        <v>19</v>
      </c>
      <c r="H2010" s="2" t="s">
        <v>1394</v>
      </c>
      <c r="I2010" s="2" t="s">
        <v>2235</v>
      </c>
    </row>
    <row r="2011" spans="1:9" ht="14.5" x14ac:dyDescent="0.35">
      <c r="A2011" s="2">
        <v>1687201</v>
      </c>
      <c r="B2011" s="2" t="str">
        <f>"3328062801970007"</f>
        <v>3328062801970007</v>
      </c>
      <c r="C2011" s="2" t="s">
        <v>2592</v>
      </c>
      <c r="D2011" s="2" t="s">
        <v>17</v>
      </c>
      <c r="E2011" s="2" t="s">
        <v>11</v>
      </c>
      <c r="F2011" s="2" t="s">
        <v>18</v>
      </c>
      <c r="G2011" s="2" t="s">
        <v>264</v>
      </c>
      <c r="H2011" s="2" t="s">
        <v>265</v>
      </c>
      <c r="I2011" s="2" t="s">
        <v>2053</v>
      </c>
    </row>
    <row r="2012" spans="1:9" ht="14.5" x14ac:dyDescent="0.35">
      <c r="A2012" s="2">
        <v>2023385</v>
      </c>
      <c r="B2012" s="2" t="str">
        <f>"3328062808990021"</f>
        <v>3328062808990021</v>
      </c>
      <c r="C2012" s="2" t="s">
        <v>2593</v>
      </c>
      <c r="D2012" s="2" t="s">
        <v>10</v>
      </c>
      <c r="E2012" s="2" t="s">
        <v>11</v>
      </c>
      <c r="F2012" s="2" t="s">
        <v>91</v>
      </c>
      <c r="G2012" s="2" t="s">
        <v>92</v>
      </c>
      <c r="H2012" s="2" t="s">
        <v>673</v>
      </c>
      <c r="I2012" s="2" t="s">
        <v>2594</v>
      </c>
    </row>
    <row r="2013" spans="1:9" ht="14.5" x14ac:dyDescent="0.35">
      <c r="A2013" s="2">
        <v>2540191</v>
      </c>
      <c r="B2013" s="2" t="str">
        <f>"3328062808990021"</f>
        <v>3328062808990021</v>
      </c>
      <c r="C2013" s="2" t="s">
        <v>2593</v>
      </c>
      <c r="D2013" s="2" t="s">
        <v>17</v>
      </c>
      <c r="E2013" s="2" t="s">
        <v>11</v>
      </c>
      <c r="F2013" s="2" t="s">
        <v>18</v>
      </c>
      <c r="G2013" s="2" t="s">
        <v>19</v>
      </c>
      <c r="H2013" s="2" t="s">
        <v>1394</v>
      </c>
      <c r="I2013" s="2" t="s">
        <v>674</v>
      </c>
    </row>
    <row r="2014" spans="1:9" ht="14.5" x14ac:dyDescent="0.35">
      <c r="A2014" s="2">
        <v>1969428</v>
      </c>
      <c r="B2014" s="2" t="str">
        <f>"3328062902840004"</f>
        <v>3328062902840004</v>
      </c>
      <c r="C2014" s="2" t="s">
        <v>2595</v>
      </c>
      <c r="D2014" s="2" t="s">
        <v>10</v>
      </c>
      <c r="E2014" s="2" t="s">
        <v>11</v>
      </c>
      <c r="F2014" s="2" t="s">
        <v>50</v>
      </c>
      <c r="G2014" s="2" t="s">
        <v>58</v>
      </c>
      <c r="H2014" s="2" t="s">
        <v>417</v>
      </c>
      <c r="I2014" s="2" t="s">
        <v>2271</v>
      </c>
    </row>
    <row r="2015" spans="1:9" ht="14.5" x14ac:dyDescent="0.35">
      <c r="A2015" s="2">
        <v>2540187</v>
      </c>
      <c r="B2015" s="2" t="str">
        <f>"3328062902840004"</f>
        <v>3328062902840004</v>
      </c>
      <c r="C2015" s="2" t="s">
        <v>2595</v>
      </c>
      <c r="D2015" s="2" t="s">
        <v>17</v>
      </c>
      <c r="E2015" s="2" t="s">
        <v>11</v>
      </c>
      <c r="F2015" s="2" t="s">
        <v>18</v>
      </c>
      <c r="G2015" s="2" t="s">
        <v>19</v>
      </c>
      <c r="H2015" s="2" t="s">
        <v>1394</v>
      </c>
      <c r="I2015" s="2" t="s">
        <v>674</v>
      </c>
    </row>
    <row r="2016" spans="1:9" ht="14.5" x14ac:dyDescent="0.35">
      <c r="A2016" s="2">
        <v>123201</v>
      </c>
      <c r="B2016" s="2" t="str">
        <f>"3328062908750001"</f>
        <v>3328062908750001</v>
      </c>
      <c r="C2016" s="2" t="s">
        <v>2596</v>
      </c>
      <c r="D2016" s="2" t="s">
        <v>10</v>
      </c>
      <c r="E2016" s="2" t="s">
        <v>11</v>
      </c>
      <c r="F2016" s="2" t="s">
        <v>18</v>
      </c>
      <c r="G2016" s="2" t="s">
        <v>2389</v>
      </c>
      <c r="H2016" s="2" t="s">
        <v>2597</v>
      </c>
      <c r="I2016" s="2" t="s">
        <v>2598</v>
      </c>
    </row>
    <row r="2017" spans="1:9" ht="14.5" x14ac:dyDescent="0.35">
      <c r="A2017" s="2">
        <v>2540546</v>
      </c>
      <c r="B2017" s="2" t="str">
        <f>"3328062908750001"</f>
        <v>3328062908750001</v>
      </c>
      <c r="C2017" s="2" t="s">
        <v>2596</v>
      </c>
      <c r="D2017" s="2" t="s">
        <v>17</v>
      </c>
      <c r="E2017" s="2" t="s">
        <v>11</v>
      </c>
      <c r="F2017" s="2" t="s">
        <v>18</v>
      </c>
      <c r="G2017" s="2" t="s">
        <v>19</v>
      </c>
      <c r="H2017" s="2" t="s">
        <v>1394</v>
      </c>
      <c r="I2017" s="2" t="s">
        <v>1395</v>
      </c>
    </row>
    <row r="2018" spans="1:9" ht="14.5" x14ac:dyDescent="0.35">
      <c r="A2018" s="2">
        <v>144847</v>
      </c>
      <c r="B2018" s="2" t="str">
        <f>"3328063012700014"</f>
        <v>3328063012700014</v>
      </c>
      <c r="C2018" s="2" t="s">
        <v>2599</v>
      </c>
      <c r="D2018" s="2" t="s">
        <v>10</v>
      </c>
      <c r="E2018" s="2" t="s">
        <v>11</v>
      </c>
      <c r="F2018" s="2" t="s">
        <v>232</v>
      </c>
      <c r="G2018" s="2" t="s">
        <v>642</v>
      </c>
      <c r="H2018" s="2" t="s">
        <v>2600</v>
      </c>
      <c r="I2018" s="2" t="s">
        <v>2601</v>
      </c>
    </row>
    <row r="2019" spans="1:9" ht="14.5" x14ac:dyDescent="0.35">
      <c r="A2019" s="2">
        <v>2538711</v>
      </c>
      <c r="B2019" s="2" t="str">
        <f>"3328063012700014"</f>
        <v>3328063012700014</v>
      </c>
      <c r="C2019" s="2" t="s">
        <v>2602</v>
      </c>
      <c r="D2019" s="2" t="s">
        <v>17</v>
      </c>
      <c r="E2019" s="2" t="s">
        <v>11</v>
      </c>
      <c r="F2019" s="2" t="s">
        <v>18</v>
      </c>
      <c r="G2019" s="2" t="s">
        <v>19</v>
      </c>
      <c r="H2019" s="2" t="s">
        <v>1394</v>
      </c>
      <c r="I2019" s="2" t="s">
        <v>2520</v>
      </c>
    </row>
    <row r="2020" spans="1:9" ht="14.5" x14ac:dyDescent="0.35">
      <c r="A2020" s="2">
        <v>1767443</v>
      </c>
      <c r="B2020" s="2" t="str">
        <f>"3328063105000014"</f>
        <v>3328063105000014</v>
      </c>
      <c r="C2020" s="2" t="s">
        <v>2603</v>
      </c>
      <c r="D2020" s="2" t="s">
        <v>10</v>
      </c>
      <c r="E2020" s="2" t="s">
        <v>11</v>
      </c>
      <c r="F2020" s="2" t="s">
        <v>18</v>
      </c>
      <c r="G2020" s="2" t="s">
        <v>19</v>
      </c>
      <c r="H2020" s="2" t="s">
        <v>1394</v>
      </c>
      <c r="I2020" s="2" t="s">
        <v>2189</v>
      </c>
    </row>
    <row r="2021" spans="1:9" ht="14.5" x14ac:dyDescent="0.35">
      <c r="A2021" s="2">
        <v>1564470</v>
      </c>
      <c r="B2021" s="2" t="str">
        <f>"3328063105000014"</f>
        <v>3328063105000014</v>
      </c>
      <c r="C2021" s="2" t="s">
        <v>2603</v>
      </c>
      <c r="D2021" s="2" t="s">
        <v>17</v>
      </c>
      <c r="E2021" s="2" t="s">
        <v>11</v>
      </c>
      <c r="F2021" s="2" t="s">
        <v>18</v>
      </c>
      <c r="G2021" s="2" t="s">
        <v>195</v>
      </c>
      <c r="H2021" s="2" t="s">
        <v>2604</v>
      </c>
      <c r="I2021" s="2" t="s">
        <v>2605</v>
      </c>
    </row>
    <row r="2022" spans="1:9" ht="14.5" x14ac:dyDescent="0.35">
      <c r="A2022" s="2">
        <v>1856510</v>
      </c>
      <c r="B2022" s="2" t="str">
        <f>"3328064105800003"</f>
        <v>3328064105800003</v>
      </c>
      <c r="C2022" s="2" t="s">
        <v>2606</v>
      </c>
      <c r="D2022" s="2" t="s">
        <v>10</v>
      </c>
      <c r="E2022" s="2" t="s">
        <v>11</v>
      </c>
      <c r="F2022" s="2" t="s">
        <v>18</v>
      </c>
      <c r="G2022" s="2" t="s">
        <v>19</v>
      </c>
      <c r="H2022" s="2" t="s">
        <v>1394</v>
      </c>
      <c r="I2022" s="2" t="s">
        <v>2194</v>
      </c>
    </row>
    <row r="2023" spans="1:9" ht="14.5" x14ac:dyDescent="0.35">
      <c r="A2023" s="2">
        <v>1378366</v>
      </c>
      <c r="B2023" s="2" t="str">
        <f>"3328064105800003"</f>
        <v>3328064105800003</v>
      </c>
      <c r="C2023" s="2" t="s">
        <v>2607</v>
      </c>
      <c r="D2023" s="2" t="s">
        <v>17</v>
      </c>
      <c r="E2023" s="2" t="s">
        <v>11</v>
      </c>
      <c r="F2023" s="2" t="s">
        <v>50</v>
      </c>
      <c r="G2023" s="2" t="s">
        <v>51</v>
      </c>
      <c r="H2023" s="2" t="s">
        <v>425</v>
      </c>
      <c r="I2023" s="2" t="s">
        <v>426</v>
      </c>
    </row>
    <row r="2024" spans="1:9" ht="14.5" x14ac:dyDescent="0.35">
      <c r="A2024" s="2">
        <v>1826833</v>
      </c>
      <c r="B2024" s="2" t="str">
        <f>"3328064107820008"</f>
        <v>3328064107820008</v>
      </c>
      <c r="C2024" s="2" t="s">
        <v>2608</v>
      </c>
      <c r="D2024" s="2" t="s">
        <v>10</v>
      </c>
      <c r="E2024" s="2" t="s">
        <v>11</v>
      </c>
      <c r="F2024" s="2" t="s">
        <v>18</v>
      </c>
      <c r="G2024" s="2" t="s">
        <v>19</v>
      </c>
      <c r="H2024" s="2" t="s">
        <v>1394</v>
      </c>
      <c r="I2024" s="2" t="s">
        <v>2187</v>
      </c>
    </row>
    <row r="2025" spans="1:9" ht="14.5" x14ac:dyDescent="0.35">
      <c r="A2025" s="2">
        <v>1355730</v>
      </c>
      <c r="B2025" s="2" t="str">
        <f>"3328064107820008"</f>
        <v>3328064107820008</v>
      </c>
      <c r="C2025" s="2" t="s">
        <v>2608</v>
      </c>
      <c r="D2025" s="2" t="s">
        <v>17</v>
      </c>
      <c r="E2025" s="2" t="s">
        <v>11</v>
      </c>
      <c r="F2025" s="2" t="s">
        <v>303</v>
      </c>
      <c r="G2025" s="2" t="s">
        <v>2609</v>
      </c>
      <c r="H2025" s="2" t="s">
        <v>501</v>
      </c>
      <c r="I2025" s="2" t="s">
        <v>501</v>
      </c>
    </row>
    <row r="2026" spans="1:9" ht="14.5" x14ac:dyDescent="0.35">
      <c r="A2026" s="2">
        <v>1653270</v>
      </c>
      <c r="B2026" s="2" t="str">
        <f>"3328064107890006"</f>
        <v>3328064107890006</v>
      </c>
      <c r="C2026" s="2" t="s">
        <v>2245</v>
      </c>
      <c r="D2026" s="2" t="s">
        <v>10</v>
      </c>
      <c r="E2026" s="2" t="s">
        <v>11</v>
      </c>
      <c r="F2026" s="2" t="s">
        <v>50</v>
      </c>
      <c r="G2026" s="2" t="s">
        <v>72</v>
      </c>
      <c r="H2026" s="2" t="s">
        <v>1172</v>
      </c>
      <c r="I2026" s="2" t="s">
        <v>1173</v>
      </c>
    </row>
    <row r="2027" spans="1:9" ht="14.5" x14ac:dyDescent="0.35">
      <c r="A2027" s="2">
        <v>2539865</v>
      </c>
      <c r="B2027" s="2" t="str">
        <f>"3328064107890006"</f>
        <v>3328064107890006</v>
      </c>
      <c r="C2027" s="2" t="s">
        <v>2610</v>
      </c>
      <c r="D2027" s="2" t="s">
        <v>17</v>
      </c>
      <c r="E2027" s="2" t="s">
        <v>11</v>
      </c>
      <c r="F2027" s="2" t="s">
        <v>18</v>
      </c>
      <c r="G2027" s="2" t="s">
        <v>19</v>
      </c>
      <c r="H2027" s="2" t="s">
        <v>1394</v>
      </c>
      <c r="I2027" s="2" t="s">
        <v>2187</v>
      </c>
    </row>
    <row r="2028" spans="1:9" ht="14.5" x14ac:dyDescent="0.35">
      <c r="A2028" s="2">
        <v>1768471</v>
      </c>
      <c r="B2028" s="2" t="str">
        <f>"3328064108740003"</f>
        <v>3328064108740003</v>
      </c>
      <c r="C2028" s="2" t="s">
        <v>2611</v>
      </c>
      <c r="D2028" s="2" t="s">
        <v>10</v>
      </c>
      <c r="E2028" s="2" t="s">
        <v>11</v>
      </c>
      <c r="F2028" s="2" t="s">
        <v>18</v>
      </c>
      <c r="G2028" s="2" t="s">
        <v>19</v>
      </c>
      <c r="H2028" s="2" t="s">
        <v>1394</v>
      </c>
      <c r="I2028" s="2" t="s">
        <v>2189</v>
      </c>
    </row>
    <row r="2029" spans="1:9" ht="14.5" x14ac:dyDescent="0.35">
      <c r="A2029" s="2">
        <v>1349038</v>
      </c>
      <c r="B2029" s="2" t="str">
        <f>"3328064108740003"</f>
        <v>3328064108740003</v>
      </c>
      <c r="C2029" s="2" t="s">
        <v>2612</v>
      </c>
      <c r="D2029" s="2" t="s">
        <v>10</v>
      </c>
      <c r="E2029" s="2" t="s">
        <v>57</v>
      </c>
      <c r="F2029" s="2" t="s">
        <v>303</v>
      </c>
      <c r="G2029" s="2" t="s">
        <v>608</v>
      </c>
      <c r="H2029" s="2" t="s">
        <v>609</v>
      </c>
      <c r="I2029" s="2" t="s">
        <v>610</v>
      </c>
    </row>
    <row r="2030" spans="1:9" ht="14.5" x14ac:dyDescent="0.35">
      <c r="A2030" s="2">
        <v>356253</v>
      </c>
      <c r="B2030" s="2" t="str">
        <f>"3328064109830006"</f>
        <v>3328064109830006</v>
      </c>
      <c r="C2030" s="2" t="s">
        <v>2613</v>
      </c>
      <c r="D2030" s="2" t="s">
        <v>10</v>
      </c>
      <c r="E2030" s="2" t="s">
        <v>11</v>
      </c>
      <c r="F2030" s="2" t="s">
        <v>91</v>
      </c>
      <c r="G2030" s="2" t="s">
        <v>159</v>
      </c>
      <c r="H2030" s="2" t="s">
        <v>2614</v>
      </c>
      <c r="I2030" s="2" t="s">
        <v>2615</v>
      </c>
    </row>
    <row r="2031" spans="1:9" ht="14.5" x14ac:dyDescent="0.35">
      <c r="A2031" s="2">
        <v>2540402</v>
      </c>
      <c r="B2031" s="2" t="str">
        <f>"3328064109830006"</f>
        <v>3328064109830006</v>
      </c>
      <c r="C2031" s="2" t="s">
        <v>2613</v>
      </c>
      <c r="D2031" s="2" t="s">
        <v>17</v>
      </c>
      <c r="E2031" s="2" t="s">
        <v>11</v>
      </c>
      <c r="F2031" s="2" t="s">
        <v>18</v>
      </c>
      <c r="G2031" s="2" t="s">
        <v>19</v>
      </c>
      <c r="H2031" s="2" t="s">
        <v>1394</v>
      </c>
      <c r="I2031" s="2" t="s">
        <v>2194</v>
      </c>
    </row>
    <row r="2032" spans="1:9" ht="14.5" x14ac:dyDescent="0.35">
      <c r="A2032" s="2">
        <v>2555197</v>
      </c>
      <c r="B2032" s="2" t="str">
        <f>"3328064203860006"</f>
        <v>3328064203860006</v>
      </c>
      <c r="C2032" s="2" t="s">
        <v>2616</v>
      </c>
      <c r="D2032" s="2" t="s">
        <v>17</v>
      </c>
      <c r="E2032" s="2" t="s">
        <v>11</v>
      </c>
      <c r="F2032" s="2" t="s">
        <v>67</v>
      </c>
      <c r="G2032" s="2" t="s">
        <v>375</v>
      </c>
      <c r="H2032" s="2" t="s">
        <v>2617</v>
      </c>
      <c r="I2032" s="2" t="s">
        <v>2618</v>
      </c>
    </row>
    <row r="2033" spans="1:9" ht="14.5" x14ac:dyDescent="0.35">
      <c r="A2033" s="2">
        <v>1831765</v>
      </c>
      <c r="B2033" s="2" t="str">
        <f>"3328064203860006"</f>
        <v>3328064203860006</v>
      </c>
      <c r="C2033" s="2" t="s">
        <v>2616</v>
      </c>
      <c r="D2033" s="2" t="s">
        <v>189</v>
      </c>
      <c r="E2033" s="2" t="s">
        <v>11</v>
      </c>
      <c r="F2033" s="2" t="s">
        <v>18</v>
      </c>
      <c r="G2033" s="2" t="s">
        <v>19</v>
      </c>
      <c r="H2033" s="2" t="s">
        <v>1394</v>
      </c>
      <c r="I2033" s="2" t="s">
        <v>2261</v>
      </c>
    </row>
    <row r="2034" spans="1:9" ht="14.5" x14ac:dyDescent="0.35">
      <c r="A2034" s="2">
        <v>318485</v>
      </c>
      <c r="B2034" s="2" t="str">
        <f>"3328064203990002"</f>
        <v>3328064203990002</v>
      </c>
      <c r="C2034" s="2" t="s">
        <v>2619</v>
      </c>
      <c r="D2034" s="2" t="s">
        <v>10</v>
      </c>
      <c r="E2034" s="2" t="s">
        <v>11</v>
      </c>
      <c r="F2034" s="2" t="s">
        <v>91</v>
      </c>
      <c r="G2034" s="2" t="s">
        <v>101</v>
      </c>
      <c r="H2034" s="2" t="s">
        <v>2294</v>
      </c>
      <c r="I2034" s="2" t="s">
        <v>2295</v>
      </c>
    </row>
    <row r="2035" spans="1:9" ht="14.5" x14ac:dyDescent="0.35">
      <c r="A2035" s="2">
        <v>2539603</v>
      </c>
      <c r="B2035" s="2" t="str">
        <f>"3328064203990002"</f>
        <v>3328064203990002</v>
      </c>
      <c r="C2035" s="2" t="s">
        <v>2619</v>
      </c>
      <c r="D2035" s="2" t="s">
        <v>17</v>
      </c>
      <c r="E2035" s="2" t="s">
        <v>11</v>
      </c>
      <c r="F2035" s="2" t="s">
        <v>18</v>
      </c>
      <c r="G2035" s="2" t="s">
        <v>19</v>
      </c>
      <c r="H2035" s="2" t="s">
        <v>1394</v>
      </c>
      <c r="I2035" s="2" t="s">
        <v>2212</v>
      </c>
    </row>
    <row r="2036" spans="1:9" ht="14.5" x14ac:dyDescent="0.35">
      <c r="A2036" s="2">
        <v>118609</v>
      </c>
      <c r="B2036" s="2" t="str">
        <f>"3328064709870005"</f>
        <v>3328064709870005</v>
      </c>
      <c r="C2036" s="2" t="s">
        <v>2620</v>
      </c>
      <c r="D2036" s="2" t="s">
        <v>10</v>
      </c>
      <c r="E2036" s="2" t="s">
        <v>11</v>
      </c>
      <c r="F2036" s="2" t="s">
        <v>1374</v>
      </c>
      <c r="G2036" s="2" t="s">
        <v>2551</v>
      </c>
      <c r="H2036" s="2" t="s">
        <v>2552</v>
      </c>
      <c r="I2036" s="2" t="s">
        <v>2553</v>
      </c>
    </row>
    <row r="2037" spans="1:9" ht="14.5" x14ac:dyDescent="0.35">
      <c r="A2037" s="2">
        <v>2539338</v>
      </c>
      <c r="B2037" s="2" t="str">
        <f>"3328064709870005"</f>
        <v>3328064709870005</v>
      </c>
      <c r="C2037" s="2" t="s">
        <v>2620</v>
      </c>
      <c r="D2037" s="2" t="s">
        <v>17</v>
      </c>
      <c r="E2037" s="2" t="s">
        <v>11</v>
      </c>
      <c r="F2037" s="2" t="s">
        <v>18</v>
      </c>
      <c r="G2037" s="2" t="s">
        <v>19</v>
      </c>
      <c r="H2037" s="2" t="s">
        <v>1394</v>
      </c>
      <c r="I2037" s="2" t="s">
        <v>2161</v>
      </c>
    </row>
    <row r="2038" spans="1:9" ht="14.5" x14ac:dyDescent="0.35">
      <c r="A2038" s="2">
        <v>779501</v>
      </c>
      <c r="B2038" s="2" t="str">
        <f>"3328064710950002"</f>
        <v>3328064710950002</v>
      </c>
      <c r="C2038" s="2" t="s">
        <v>2621</v>
      </c>
      <c r="D2038" s="2" t="s">
        <v>10</v>
      </c>
      <c r="E2038" s="2" t="s">
        <v>11</v>
      </c>
      <c r="F2038" s="2" t="s">
        <v>50</v>
      </c>
      <c r="G2038" s="2" t="s">
        <v>72</v>
      </c>
      <c r="H2038" s="2" t="s">
        <v>803</v>
      </c>
      <c r="I2038" s="2" t="s">
        <v>2244</v>
      </c>
    </row>
    <row r="2039" spans="1:9" ht="14.5" x14ac:dyDescent="0.35">
      <c r="A2039" s="2">
        <v>2539254</v>
      </c>
      <c r="B2039" s="2" t="str">
        <f>"3328064710950002"</f>
        <v>3328064710950002</v>
      </c>
      <c r="C2039" s="2" t="s">
        <v>2621</v>
      </c>
      <c r="D2039" s="2" t="s">
        <v>17</v>
      </c>
      <c r="E2039" s="2" t="s">
        <v>11</v>
      </c>
      <c r="F2039" s="2" t="s">
        <v>18</v>
      </c>
      <c r="G2039" s="2" t="s">
        <v>19</v>
      </c>
      <c r="H2039" s="2" t="s">
        <v>1394</v>
      </c>
      <c r="I2039" s="2" t="s">
        <v>2161</v>
      </c>
    </row>
    <row r="2040" spans="1:9" ht="14.5" x14ac:dyDescent="0.35">
      <c r="A2040" s="2">
        <v>379246</v>
      </c>
      <c r="B2040" s="2" t="str">
        <f>"3328064807880006"</f>
        <v>3328064807880006</v>
      </c>
      <c r="C2040" s="2" t="s">
        <v>2622</v>
      </c>
      <c r="D2040" s="2" t="s">
        <v>10</v>
      </c>
      <c r="E2040" s="2" t="s">
        <v>11</v>
      </c>
      <c r="F2040" s="2" t="s">
        <v>18</v>
      </c>
      <c r="G2040" s="2" t="s">
        <v>1522</v>
      </c>
      <c r="H2040" s="2" t="s">
        <v>2623</v>
      </c>
      <c r="I2040" s="2" t="s">
        <v>2624</v>
      </c>
    </row>
    <row r="2041" spans="1:9" ht="14.5" x14ac:dyDescent="0.35">
      <c r="A2041" s="2">
        <v>2539717</v>
      </c>
      <c r="B2041" s="2" t="str">
        <f>"3328064807880006"</f>
        <v>3328064807880006</v>
      </c>
      <c r="C2041" s="2" t="s">
        <v>2622</v>
      </c>
      <c r="D2041" s="2" t="s">
        <v>17</v>
      </c>
      <c r="E2041" s="2" t="s">
        <v>11</v>
      </c>
      <c r="F2041" s="2" t="s">
        <v>18</v>
      </c>
      <c r="G2041" s="2" t="s">
        <v>19</v>
      </c>
      <c r="H2041" s="2" t="s">
        <v>1394</v>
      </c>
      <c r="I2041" s="2" t="s">
        <v>2172</v>
      </c>
    </row>
    <row r="2042" spans="1:9" ht="14.5" x14ac:dyDescent="0.35">
      <c r="A2042" s="2">
        <v>1772167</v>
      </c>
      <c r="B2042" s="2" t="str">
        <f>"3328064909910012"</f>
        <v>3328064909910012</v>
      </c>
      <c r="C2042" s="2" t="s">
        <v>2625</v>
      </c>
      <c r="D2042" s="2" t="s">
        <v>10</v>
      </c>
      <c r="E2042" s="2" t="s">
        <v>11</v>
      </c>
      <c r="F2042" s="2" t="s">
        <v>18</v>
      </c>
      <c r="G2042" s="2" t="s">
        <v>19</v>
      </c>
      <c r="H2042" s="2" t="s">
        <v>1394</v>
      </c>
      <c r="I2042" s="2" t="s">
        <v>2520</v>
      </c>
    </row>
    <row r="2043" spans="1:9" ht="14.5" x14ac:dyDescent="0.35">
      <c r="A2043" s="2">
        <v>776109</v>
      </c>
      <c r="B2043" s="2" t="str">
        <f>"3328064909910012"</f>
        <v>3328064909910012</v>
      </c>
      <c r="C2043" s="2" t="s">
        <v>2626</v>
      </c>
      <c r="D2043" s="2" t="s">
        <v>17</v>
      </c>
      <c r="E2043" s="2" t="s">
        <v>11</v>
      </c>
      <c r="F2043" s="2" t="s">
        <v>379</v>
      </c>
      <c r="G2043" s="2" t="s">
        <v>711</v>
      </c>
      <c r="H2043" s="2" t="s">
        <v>2627</v>
      </c>
      <c r="I2043" s="2" t="s">
        <v>2628</v>
      </c>
    </row>
    <row r="2044" spans="1:9" ht="14.5" x14ac:dyDescent="0.35">
      <c r="A2044" s="2">
        <v>752902</v>
      </c>
      <c r="B2044" s="2" t="str">
        <f>"3328065103950016"</f>
        <v>3328065103950016</v>
      </c>
      <c r="C2044" s="2" t="s">
        <v>2629</v>
      </c>
      <c r="D2044" s="2" t="s">
        <v>10</v>
      </c>
      <c r="E2044" s="2" t="s">
        <v>11</v>
      </c>
      <c r="F2044" s="2" t="s">
        <v>91</v>
      </c>
      <c r="G2044" s="2" t="s">
        <v>903</v>
      </c>
      <c r="H2044" s="2" t="s">
        <v>2371</v>
      </c>
      <c r="I2044" s="2" t="s">
        <v>2372</v>
      </c>
    </row>
    <row r="2045" spans="1:9" ht="14.5" x14ac:dyDescent="0.35">
      <c r="A2045" s="2">
        <v>2539601</v>
      </c>
      <c r="B2045" s="2" t="str">
        <f>"3328065103950016"</f>
        <v>3328065103950016</v>
      </c>
      <c r="C2045" s="2" t="s">
        <v>2629</v>
      </c>
      <c r="D2045" s="2" t="s">
        <v>17</v>
      </c>
      <c r="E2045" s="2" t="s">
        <v>11</v>
      </c>
      <c r="F2045" s="2" t="s">
        <v>18</v>
      </c>
      <c r="G2045" s="2" t="s">
        <v>19</v>
      </c>
      <c r="H2045" s="2" t="s">
        <v>1394</v>
      </c>
      <c r="I2045" s="2" t="s">
        <v>2212</v>
      </c>
    </row>
    <row r="2046" spans="1:9" ht="14.5" x14ac:dyDescent="0.35">
      <c r="A2046" s="2">
        <v>1851794</v>
      </c>
      <c r="B2046" s="2" t="str">
        <f>"3328065207980008"</f>
        <v>3328065207980008</v>
      </c>
      <c r="C2046" s="2" t="s">
        <v>2630</v>
      </c>
      <c r="D2046" s="2" t="s">
        <v>10</v>
      </c>
      <c r="E2046" s="2" t="s">
        <v>11</v>
      </c>
      <c r="F2046" s="2" t="s">
        <v>18</v>
      </c>
      <c r="G2046" s="2" t="s">
        <v>19</v>
      </c>
      <c r="H2046" s="2" t="s">
        <v>1394</v>
      </c>
      <c r="I2046" s="2" t="s">
        <v>2235</v>
      </c>
    </row>
    <row r="2047" spans="1:9" ht="14.5" x14ac:dyDescent="0.35">
      <c r="A2047" s="2">
        <v>1862381</v>
      </c>
      <c r="B2047" s="2" t="str">
        <f>"3328065207980008"</f>
        <v>3328065207980008</v>
      </c>
      <c r="C2047" s="2" t="s">
        <v>2631</v>
      </c>
      <c r="D2047" s="2" t="s">
        <v>10</v>
      </c>
      <c r="E2047" s="2" t="s">
        <v>57</v>
      </c>
      <c r="F2047" s="2" t="s">
        <v>18</v>
      </c>
      <c r="G2047" s="2" t="s">
        <v>733</v>
      </c>
      <c r="H2047" s="2" t="s">
        <v>733</v>
      </c>
      <c r="I2047" s="2" t="s">
        <v>734</v>
      </c>
    </row>
    <row r="2048" spans="1:9" ht="14.5" x14ac:dyDescent="0.35">
      <c r="A2048" s="2">
        <v>1770761</v>
      </c>
      <c r="B2048" s="2" t="str">
        <f>"3328065607700002"</f>
        <v>3328065607700002</v>
      </c>
      <c r="C2048" s="2" t="s">
        <v>2632</v>
      </c>
      <c r="D2048" s="2" t="s">
        <v>10</v>
      </c>
      <c r="E2048" s="2" t="s">
        <v>11</v>
      </c>
      <c r="F2048" s="2" t="s">
        <v>18</v>
      </c>
      <c r="G2048" s="2" t="s">
        <v>19</v>
      </c>
      <c r="H2048" s="2" t="s">
        <v>1394</v>
      </c>
      <c r="I2048" s="2" t="s">
        <v>2520</v>
      </c>
    </row>
    <row r="2049" spans="1:9" ht="14.5" x14ac:dyDescent="0.35">
      <c r="A2049" s="2">
        <v>1805529</v>
      </c>
      <c r="B2049" s="2" t="str">
        <f>"3328065607700002"</f>
        <v>3328065607700002</v>
      </c>
      <c r="C2049" s="2" t="s">
        <v>2632</v>
      </c>
      <c r="D2049" s="2" t="s">
        <v>17</v>
      </c>
      <c r="E2049" s="2" t="s">
        <v>11</v>
      </c>
      <c r="F2049" s="2" t="s">
        <v>50</v>
      </c>
      <c r="G2049" s="2" t="s">
        <v>72</v>
      </c>
      <c r="H2049" s="2" t="s">
        <v>628</v>
      </c>
      <c r="I2049" s="2" t="s">
        <v>1469</v>
      </c>
    </row>
    <row r="2050" spans="1:9" ht="14.5" x14ac:dyDescent="0.35">
      <c r="A2050" s="2">
        <v>1844983</v>
      </c>
      <c r="B2050" s="2" t="str">
        <f>"3328065607980005"</f>
        <v>3328065607980005</v>
      </c>
      <c r="C2050" s="2" t="s">
        <v>2633</v>
      </c>
      <c r="D2050" s="2" t="s">
        <v>189</v>
      </c>
      <c r="E2050" s="2" t="s">
        <v>11</v>
      </c>
      <c r="F2050" s="2" t="s">
        <v>18</v>
      </c>
      <c r="G2050" s="2" t="s">
        <v>19</v>
      </c>
      <c r="H2050" s="2" t="s">
        <v>1394</v>
      </c>
      <c r="I2050" s="2" t="s">
        <v>2235</v>
      </c>
    </row>
    <row r="2051" spans="1:9" ht="14.5" x14ac:dyDescent="0.35">
      <c r="A2051" s="2">
        <v>1628724</v>
      </c>
      <c r="B2051" s="2" t="str">
        <f>"3328065607980005"</f>
        <v>3328065607980005</v>
      </c>
      <c r="C2051" s="2" t="s">
        <v>2633</v>
      </c>
      <c r="D2051" s="2" t="s">
        <v>17</v>
      </c>
      <c r="E2051" s="2" t="s">
        <v>11</v>
      </c>
      <c r="F2051" s="2" t="s">
        <v>18</v>
      </c>
      <c r="G2051" s="2" t="s">
        <v>264</v>
      </c>
      <c r="H2051" s="2" t="s">
        <v>248</v>
      </c>
      <c r="I2051" s="2" t="s">
        <v>472</v>
      </c>
    </row>
    <row r="2052" spans="1:9" ht="14.5" x14ac:dyDescent="0.35">
      <c r="A2052" s="2">
        <v>1856519</v>
      </c>
      <c r="B2052" s="2" t="str">
        <f>"3328065804940005"</f>
        <v>3328065804940005</v>
      </c>
      <c r="C2052" s="2" t="s">
        <v>2634</v>
      </c>
      <c r="D2052" s="2" t="s">
        <v>10</v>
      </c>
      <c r="E2052" s="2" t="s">
        <v>11</v>
      </c>
      <c r="F2052" s="2" t="s">
        <v>18</v>
      </c>
      <c r="G2052" s="2" t="s">
        <v>19</v>
      </c>
      <c r="H2052" s="2" t="s">
        <v>1394</v>
      </c>
      <c r="I2052" s="2" t="s">
        <v>2194</v>
      </c>
    </row>
    <row r="2053" spans="1:9" ht="14.5" x14ac:dyDescent="0.35">
      <c r="A2053" s="2">
        <v>1943042</v>
      </c>
      <c r="B2053" s="2" t="str">
        <f>"3328065804940005"</f>
        <v>3328065804940005</v>
      </c>
      <c r="C2053" s="2" t="s">
        <v>2634</v>
      </c>
      <c r="D2053" s="2" t="s">
        <v>17</v>
      </c>
      <c r="E2053" s="2" t="s">
        <v>11</v>
      </c>
      <c r="F2053" s="2" t="s">
        <v>50</v>
      </c>
      <c r="G2053" s="2" t="s">
        <v>86</v>
      </c>
      <c r="H2053" s="2" t="s">
        <v>205</v>
      </c>
      <c r="I2053" s="2" t="s">
        <v>2635</v>
      </c>
    </row>
    <row r="2054" spans="1:9" ht="14.5" x14ac:dyDescent="0.35">
      <c r="A2054" s="2">
        <v>1776320</v>
      </c>
      <c r="B2054" s="2" t="str">
        <f>"3328065806790005"</f>
        <v>3328065806790005</v>
      </c>
      <c r="C2054" s="2" t="s">
        <v>2636</v>
      </c>
      <c r="D2054" s="2" t="s">
        <v>10</v>
      </c>
      <c r="E2054" s="2" t="s">
        <v>11</v>
      </c>
      <c r="F2054" s="2" t="s">
        <v>18</v>
      </c>
      <c r="G2054" s="2" t="s">
        <v>19</v>
      </c>
      <c r="H2054" s="2" t="s">
        <v>1394</v>
      </c>
      <c r="I2054" s="2" t="s">
        <v>2238</v>
      </c>
    </row>
    <row r="2055" spans="1:9" ht="14.5" x14ac:dyDescent="0.35">
      <c r="A2055" s="2">
        <v>2073401</v>
      </c>
      <c r="B2055" s="2" t="str">
        <f>"3328065806790005"</f>
        <v>3328065806790005</v>
      </c>
      <c r="C2055" s="2" t="s">
        <v>2637</v>
      </c>
      <c r="D2055" s="2" t="s">
        <v>17</v>
      </c>
      <c r="E2055" s="2" t="s">
        <v>11</v>
      </c>
      <c r="F2055" s="2" t="s">
        <v>18</v>
      </c>
      <c r="G2055" s="2" t="s">
        <v>962</v>
      </c>
      <c r="H2055" s="2" t="s">
        <v>568</v>
      </c>
      <c r="I2055" s="2" t="s">
        <v>364</v>
      </c>
    </row>
    <row r="2056" spans="1:9" ht="14.5" x14ac:dyDescent="0.35">
      <c r="A2056" s="2">
        <v>1420047</v>
      </c>
      <c r="B2056" s="2" t="str">
        <f>"3328065811950001"</f>
        <v>3328065811950001</v>
      </c>
      <c r="C2056" s="2" t="s">
        <v>2638</v>
      </c>
      <c r="D2056" s="2" t="s">
        <v>17</v>
      </c>
      <c r="E2056" s="2" t="s">
        <v>11</v>
      </c>
      <c r="F2056" s="2" t="s">
        <v>18</v>
      </c>
      <c r="G2056" s="2" t="s">
        <v>2416</v>
      </c>
      <c r="H2056" s="2" t="s">
        <v>2639</v>
      </c>
      <c r="I2056" s="2" t="s">
        <v>2640</v>
      </c>
    </row>
    <row r="2057" spans="1:9" ht="14.5" x14ac:dyDescent="0.35">
      <c r="A2057" s="2">
        <v>1852119</v>
      </c>
      <c r="B2057" s="2" t="str">
        <f>"3328065811950001"</f>
        <v>3328065811950001</v>
      </c>
      <c r="C2057" s="2" t="s">
        <v>2638</v>
      </c>
      <c r="D2057" s="2" t="s">
        <v>189</v>
      </c>
      <c r="E2057" s="2" t="s">
        <v>11</v>
      </c>
      <c r="F2057" s="2" t="s">
        <v>18</v>
      </c>
      <c r="G2057" s="2" t="s">
        <v>19</v>
      </c>
      <c r="H2057" s="2" t="s">
        <v>1394</v>
      </c>
      <c r="I2057" s="2" t="s">
        <v>2235</v>
      </c>
    </row>
    <row r="2058" spans="1:9" ht="14.5" x14ac:dyDescent="0.35">
      <c r="A2058" s="2">
        <v>1604140</v>
      </c>
      <c r="B2058" s="2" t="str">
        <f>"3328065912860003"</f>
        <v>3328065912860003</v>
      </c>
      <c r="C2058" s="2" t="s">
        <v>2641</v>
      </c>
      <c r="D2058" s="2" t="s">
        <v>10</v>
      </c>
      <c r="E2058" s="2" t="s">
        <v>11</v>
      </c>
      <c r="F2058" s="2" t="s">
        <v>50</v>
      </c>
      <c r="G2058" s="2" t="s">
        <v>86</v>
      </c>
      <c r="H2058" s="2" t="s">
        <v>445</v>
      </c>
      <c r="I2058" s="2" t="s">
        <v>1739</v>
      </c>
    </row>
    <row r="2059" spans="1:9" ht="14.5" x14ac:dyDescent="0.35">
      <c r="A2059" s="2">
        <v>2539314</v>
      </c>
      <c r="B2059" s="2" t="str">
        <f>"3328065912860003"</f>
        <v>3328065912860003</v>
      </c>
      <c r="C2059" s="2" t="s">
        <v>2641</v>
      </c>
      <c r="D2059" s="2" t="s">
        <v>17</v>
      </c>
      <c r="E2059" s="2" t="s">
        <v>11</v>
      </c>
      <c r="F2059" s="2" t="s">
        <v>18</v>
      </c>
      <c r="G2059" s="2" t="s">
        <v>19</v>
      </c>
      <c r="H2059" s="2" t="s">
        <v>1394</v>
      </c>
      <c r="I2059" s="2" t="s">
        <v>2161</v>
      </c>
    </row>
    <row r="2060" spans="1:9" ht="14.5" x14ac:dyDescent="0.35">
      <c r="A2060" s="2">
        <v>109393</v>
      </c>
      <c r="B2060" s="2" t="str">
        <f>"3328066005930003"</f>
        <v>3328066005930003</v>
      </c>
      <c r="C2060" s="2" t="s">
        <v>2642</v>
      </c>
      <c r="D2060" s="2" t="s">
        <v>10</v>
      </c>
      <c r="E2060" s="2" t="s">
        <v>11</v>
      </c>
      <c r="F2060" s="2" t="s">
        <v>91</v>
      </c>
      <c r="G2060" s="2" t="s">
        <v>159</v>
      </c>
      <c r="H2060" s="2" t="s">
        <v>685</v>
      </c>
      <c r="I2060" s="2" t="s">
        <v>686</v>
      </c>
    </row>
    <row r="2061" spans="1:9" ht="14.5" x14ac:dyDescent="0.35">
      <c r="A2061" s="2">
        <v>2538640</v>
      </c>
      <c r="B2061" s="2" t="str">
        <f>"3328066005930003"</f>
        <v>3328066005930003</v>
      </c>
      <c r="C2061" s="2" t="s">
        <v>2642</v>
      </c>
      <c r="D2061" s="2" t="s">
        <v>17</v>
      </c>
      <c r="E2061" s="2" t="s">
        <v>11</v>
      </c>
      <c r="F2061" s="2" t="s">
        <v>18</v>
      </c>
      <c r="G2061" s="2" t="s">
        <v>19</v>
      </c>
      <c r="H2061" s="2" t="s">
        <v>1394</v>
      </c>
      <c r="I2061" s="2" t="s">
        <v>2520</v>
      </c>
    </row>
    <row r="2062" spans="1:9" ht="14.5" x14ac:dyDescent="0.35">
      <c r="A2062" s="2">
        <v>1768619</v>
      </c>
      <c r="B2062" s="2" t="str">
        <f>"3328066006860005"</f>
        <v>3328066006860005</v>
      </c>
      <c r="C2062" s="2" t="s">
        <v>2643</v>
      </c>
      <c r="D2062" s="2" t="s">
        <v>10</v>
      </c>
      <c r="E2062" s="2" t="s">
        <v>11</v>
      </c>
      <c r="F2062" s="2" t="s">
        <v>18</v>
      </c>
      <c r="G2062" s="2" t="s">
        <v>19</v>
      </c>
      <c r="H2062" s="2" t="s">
        <v>1394</v>
      </c>
      <c r="I2062" s="2" t="s">
        <v>2189</v>
      </c>
    </row>
    <row r="2063" spans="1:9" ht="14.5" x14ac:dyDescent="0.35">
      <c r="A2063" s="2">
        <v>965610</v>
      </c>
      <c r="B2063" s="2" t="str">
        <f>"3328066006860005"</f>
        <v>3328066006860005</v>
      </c>
      <c r="C2063" s="2" t="s">
        <v>2643</v>
      </c>
      <c r="D2063" s="2" t="s">
        <v>17</v>
      </c>
      <c r="E2063" s="2" t="s">
        <v>11</v>
      </c>
      <c r="F2063" s="2" t="s">
        <v>18</v>
      </c>
      <c r="G2063" s="2" t="s">
        <v>2644</v>
      </c>
      <c r="H2063" s="2" t="s">
        <v>2645</v>
      </c>
      <c r="I2063" s="2" t="s">
        <v>2646</v>
      </c>
    </row>
    <row r="2064" spans="1:9" ht="14.5" x14ac:dyDescent="0.35">
      <c r="A2064" s="2">
        <v>1765606</v>
      </c>
      <c r="B2064" s="2" t="str">
        <f>"3328066205930002"</f>
        <v>3328066205930002</v>
      </c>
      <c r="C2064" s="2" t="s">
        <v>2647</v>
      </c>
      <c r="D2064" s="2" t="s">
        <v>189</v>
      </c>
      <c r="E2064" s="2" t="s">
        <v>11</v>
      </c>
      <c r="F2064" s="2" t="s">
        <v>18</v>
      </c>
      <c r="G2064" s="2" t="s">
        <v>19</v>
      </c>
      <c r="H2064" s="2" t="s">
        <v>1394</v>
      </c>
      <c r="I2064" s="2" t="s">
        <v>2189</v>
      </c>
    </row>
    <row r="2065" spans="1:9" ht="14.5" x14ac:dyDescent="0.35">
      <c r="A2065" s="2">
        <v>851792</v>
      </c>
      <c r="B2065" s="2" t="str">
        <f>"3328066205930002"</f>
        <v>3328066205930002</v>
      </c>
      <c r="C2065" s="2" t="s">
        <v>2647</v>
      </c>
      <c r="D2065" s="2" t="s">
        <v>17</v>
      </c>
      <c r="E2065" s="2" t="s">
        <v>11</v>
      </c>
      <c r="F2065" s="2" t="s">
        <v>50</v>
      </c>
      <c r="G2065" s="2" t="s">
        <v>280</v>
      </c>
      <c r="H2065" s="2" t="s">
        <v>402</v>
      </c>
      <c r="I2065" s="2" t="s">
        <v>2648</v>
      </c>
    </row>
    <row r="2066" spans="1:9" ht="14.5" x14ac:dyDescent="0.35">
      <c r="A2066" s="2">
        <v>485425</v>
      </c>
      <c r="B2066" s="2" t="str">
        <f>"3328066603770005"</f>
        <v>3328066603770005</v>
      </c>
      <c r="C2066" s="2" t="s">
        <v>2649</v>
      </c>
      <c r="D2066" s="2" t="s">
        <v>10</v>
      </c>
      <c r="E2066" s="2" t="s">
        <v>11</v>
      </c>
      <c r="F2066" s="2" t="s">
        <v>50</v>
      </c>
      <c r="G2066" s="2" t="s">
        <v>51</v>
      </c>
      <c r="H2066" s="2" t="s">
        <v>62</v>
      </c>
      <c r="I2066" s="2" t="s">
        <v>2193</v>
      </c>
    </row>
    <row r="2067" spans="1:9" ht="14.5" x14ac:dyDescent="0.35">
      <c r="A2067" s="2">
        <v>2540443</v>
      </c>
      <c r="B2067" s="2" t="str">
        <f>"3328066603770005"</f>
        <v>3328066603770005</v>
      </c>
      <c r="C2067" s="2" t="s">
        <v>2649</v>
      </c>
      <c r="D2067" s="2" t="s">
        <v>17</v>
      </c>
      <c r="E2067" s="2" t="s">
        <v>11</v>
      </c>
      <c r="F2067" s="2" t="s">
        <v>18</v>
      </c>
      <c r="G2067" s="2" t="s">
        <v>19</v>
      </c>
      <c r="H2067" s="2" t="s">
        <v>1394</v>
      </c>
      <c r="I2067" s="2" t="s">
        <v>2194</v>
      </c>
    </row>
    <row r="2068" spans="1:9" ht="14.5" x14ac:dyDescent="0.35">
      <c r="A2068" s="2">
        <v>1812167</v>
      </c>
      <c r="B2068" s="2" t="str">
        <f>"3328066701790005"</f>
        <v>3328066701790005</v>
      </c>
      <c r="C2068" s="2" t="s">
        <v>2650</v>
      </c>
      <c r="D2068" s="2" t="s">
        <v>10</v>
      </c>
      <c r="E2068" s="2" t="s">
        <v>11</v>
      </c>
      <c r="F2068" s="2" t="s">
        <v>18</v>
      </c>
      <c r="G2068" s="2" t="s">
        <v>19</v>
      </c>
      <c r="H2068" s="2" t="s">
        <v>1394</v>
      </c>
      <c r="I2068" s="2" t="s">
        <v>2212</v>
      </c>
    </row>
    <row r="2069" spans="1:9" ht="14.5" x14ac:dyDescent="0.35">
      <c r="A2069" s="2">
        <v>651439</v>
      </c>
      <c r="B2069" s="2" t="str">
        <f>"3328066701790005"</f>
        <v>3328066701790005</v>
      </c>
      <c r="C2069" s="2" t="s">
        <v>2650</v>
      </c>
      <c r="D2069" s="2" t="s">
        <v>17</v>
      </c>
      <c r="E2069" s="2" t="s">
        <v>11</v>
      </c>
      <c r="F2069" s="2" t="s">
        <v>18</v>
      </c>
      <c r="G2069" s="2" t="s">
        <v>190</v>
      </c>
      <c r="H2069" s="2" t="s">
        <v>2651</v>
      </c>
      <c r="I2069" s="2" t="s">
        <v>2652</v>
      </c>
    </row>
    <row r="2070" spans="1:9" ht="14.5" x14ac:dyDescent="0.35">
      <c r="A2070" s="2">
        <v>84062</v>
      </c>
      <c r="B2070" s="2" t="str">
        <f>"3328066702040004"</f>
        <v>3328066702040004</v>
      </c>
      <c r="C2070" s="2" t="s">
        <v>2653</v>
      </c>
      <c r="D2070" s="2" t="s">
        <v>10</v>
      </c>
      <c r="E2070" s="2" t="s">
        <v>11</v>
      </c>
      <c r="F2070" s="2" t="s">
        <v>225</v>
      </c>
      <c r="G2070" s="2" t="s">
        <v>226</v>
      </c>
      <c r="H2070" s="2" t="s">
        <v>2654</v>
      </c>
      <c r="I2070" s="2" t="s">
        <v>2655</v>
      </c>
    </row>
    <row r="2071" spans="1:9" ht="14.5" x14ac:dyDescent="0.35">
      <c r="A2071" s="2">
        <v>2540247</v>
      </c>
      <c r="B2071" s="2" t="str">
        <f>"3328066702040004"</f>
        <v>3328066702040004</v>
      </c>
      <c r="C2071" s="2" t="s">
        <v>2653</v>
      </c>
      <c r="D2071" s="2" t="s">
        <v>17</v>
      </c>
      <c r="E2071" s="2" t="s">
        <v>11</v>
      </c>
      <c r="F2071" s="2" t="s">
        <v>18</v>
      </c>
      <c r="G2071" s="2" t="s">
        <v>19</v>
      </c>
      <c r="H2071" s="2" t="s">
        <v>1394</v>
      </c>
      <c r="I2071" s="2" t="s">
        <v>2235</v>
      </c>
    </row>
    <row r="2072" spans="1:9" ht="14.5" x14ac:dyDescent="0.35">
      <c r="A2072" s="2">
        <v>1819412</v>
      </c>
      <c r="B2072" s="2" t="str">
        <f>"3328066805010005"</f>
        <v>3328066805010005</v>
      </c>
      <c r="C2072" s="2" t="s">
        <v>2656</v>
      </c>
      <c r="D2072" s="2" t="s">
        <v>10</v>
      </c>
      <c r="E2072" s="2" t="s">
        <v>11</v>
      </c>
      <c r="F2072" s="2" t="s">
        <v>18</v>
      </c>
      <c r="G2072" s="2" t="s">
        <v>19</v>
      </c>
      <c r="H2072" s="2" t="s">
        <v>1394</v>
      </c>
      <c r="I2072" s="2" t="s">
        <v>2212</v>
      </c>
    </row>
    <row r="2073" spans="1:9" ht="14.5" x14ac:dyDescent="0.35">
      <c r="A2073" s="2">
        <v>1687156</v>
      </c>
      <c r="B2073" s="2" t="str">
        <f>"3328066805010005"</f>
        <v>3328066805010005</v>
      </c>
      <c r="C2073" s="2" t="s">
        <v>2656</v>
      </c>
      <c r="D2073" s="2" t="s">
        <v>17</v>
      </c>
      <c r="E2073" s="2" t="s">
        <v>11</v>
      </c>
      <c r="F2073" s="2" t="s">
        <v>18</v>
      </c>
      <c r="G2073" s="2" t="s">
        <v>264</v>
      </c>
      <c r="H2073" s="2" t="s">
        <v>265</v>
      </c>
      <c r="I2073" s="2" t="s">
        <v>2053</v>
      </c>
    </row>
    <row r="2074" spans="1:9" ht="14.5" x14ac:dyDescent="0.35">
      <c r="A2074" s="2">
        <v>444703</v>
      </c>
      <c r="B2074" s="2" t="str">
        <f>"3328066902040002"</f>
        <v>3328066902040002</v>
      </c>
      <c r="C2074" s="2" t="s">
        <v>2657</v>
      </c>
      <c r="D2074" s="2" t="s">
        <v>10</v>
      </c>
      <c r="E2074" s="2" t="s">
        <v>11</v>
      </c>
      <c r="F2074" s="2" t="s">
        <v>379</v>
      </c>
      <c r="G2074" s="2" t="s">
        <v>1206</v>
      </c>
      <c r="H2074" s="2" t="s">
        <v>1207</v>
      </c>
      <c r="I2074" s="2" t="s">
        <v>1208</v>
      </c>
    </row>
    <row r="2075" spans="1:9" ht="14.5" x14ac:dyDescent="0.35">
      <c r="A2075" s="2">
        <v>2540579</v>
      </c>
      <c r="B2075" s="2" t="str">
        <f>"3328066902040002"</f>
        <v>3328066902040002</v>
      </c>
      <c r="C2075" s="2" t="s">
        <v>2658</v>
      </c>
      <c r="D2075" s="2" t="s">
        <v>17</v>
      </c>
      <c r="E2075" s="2" t="s">
        <v>11</v>
      </c>
      <c r="F2075" s="2" t="s">
        <v>18</v>
      </c>
      <c r="G2075" s="2" t="s">
        <v>19</v>
      </c>
      <c r="H2075" s="2" t="s">
        <v>1394</v>
      </c>
      <c r="I2075" s="2" t="s">
        <v>1395</v>
      </c>
    </row>
    <row r="2076" spans="1:9" ht="14.5" x14ac:dyDescent="0.35">
      <c r="A2076" s="2">
        <v>2540673</v>
      </c>
      <c r="B2076" s="2" t="str">
        <f>"3328100308760004"</f>
        <v>3328100308760004</v>
      </c>
      <c r="C2076" s="2" t="s">
        <v>2659</v>
      </c>
      <c r="D2076" s="2" t="s">
        <v>10</v>
      </c>
      <c r="E2076" s="2" t="s">
        <v>11</v>
      </c>
      <c r="F2076" s="2" t="s">
        <v>18</v>
      </c>
      <c r="G2076" s="2" t="s">
        <v>19</v>
      </c>
      <c r="H2076" s="2" t="s">
        <v>1394</v>
      </c>
      <c r="I2076" s="2" t="s">
        <v>1395</v>
      </c>
    </row>
    <row r="2077" spans="1:9" ht="14.5" x14ac:dyDescent="0.35">
      <c r="A2077" s="2">
        <v>2567011</v>
      </c>
      <c r="B2077" s="2" t="str">
        <f>"3328100308760004"</f>
        <v>3328100308760004</v>
      </c>
      <c r="C2077" s="2" t="s">
        <v>2660</v>
      </c>
      <c r="D2077" s="2" t="s">
        <v>10</v>
      </c>
      <c r="E2077" s="2" t="s">
        <v>57</v>
      </c>
      <c r="F2077" s="2" t="s">
        <v>18</v>
      </c>
      <c r="G2077" s="2" t="s">
        <v>19</v>
      </c>
      <c r="H2077" s="2" t="s">
        <v>1394</v>
      </c>
      <c r="I2077" s="2" t="s">
        <v>1395</v>
      </c>
    </row>
    <row r="2078" spans="1:9" ht="14.5" x14ac:dyDescent="0.35">
      <c r="A2078" s="2">
        <v>1779395</v>
      </c>
      <c r="B2078" s="2" t="str">
        <f>"3328104101900012"</f>
        <v>3328104101900012</v>
      </c>
      <c r="C2078" s="2" t="s">
        <v>2661</v>
      </c>
      <c r="D2078" s="2" t="s">
        <v>10</v>
      </c>
      <c r="E2078" s="2" t="s">
        <v>11</v>
      </c>
      <c r="F2078" s="2" t="s">
        <v>18</v>
      </c>
      <c r="G2078" s="2" t="s">
        <v>19</v>
      </c>
      <c r="H2078" s="2" t="s">
        <v>1394</v>
      </c>
      <c r="I2078" s="2" t="s">
        <v>2238</v>
      </c>
    </row>
    <row r="2079" spans="1:9" ht="14.5" x14ac:dyDescent="0.35">
      <c r="A2079" s="2">
        <v>1882328</v>
      </c>
      <c r="B2079" s="2" t="str">
        <f>"3328104101900012"</f>
        <v>3328104101900012</v>
      </c>
      <c r="C2079" s="2" t="s">
        <v>2661</v>
      </c>
      <c r="D2079" s="2" t="s">
        <v>17</v>
      </c>
      <c r="E2079" s="2" t="s">
        <v>11</v>
      </c>
      <c r="F2079" s="2" t="s">
        <v>91</v>
      </c>
      <c r="G2079" s="2" t="s">
        <v>320</v>
      </c>
      <c r="H2079" s="2" t="s">
        <v>2523</v>
      </c>
      <c r="I2079" s="2" t="s">
        <v>2524</v>
      </c>
    </row>
    <row r="2080" spans="1:9" ht="14.5" x14ac:dyDescent="0.35">
      <c r="A2080" s="2">
        <v>348782</v>
      </c>
      <c r="B2080" s="2" t="str">
        <f>"3328131802950002"</f>
        <v>3328131802950002</v>
      </c>
      <c r="C2080" s="2" t="s">
        <v>2662</v>
      </c>
      <c r="D2080" s="2" t="s">
        <v>10</v>
      </c>
      <c r="E2080" s="2" t="s">
        <v>11</v>
      </c>
      <c r="F2080" s="2" t="s">
        <v>18</v>
      </c>
      <c r="G2080" s="2" t="s">
        <v>268</v>
      </c>
      <c r="H2080" s="2" t="s">
        <v>269</v>
      </c>
      <c r="I2080" s="2" t="s">
        <v>270</v>
      </c>
    </row>
    <row r="2081" spans="1:9" ht="14.5" x14ac:dyDescent="0.35">
      <c r="A2081" s="2">
        <v>2540689</v>
      </c>
      <c r="B2081" s="2" t="str">
        <f>"3328131802950002"</f>
        <v>3328131802950002</v>
      </c>
      <c r="C2081" s="2" t="s">
        <v>2663</v>
      </c>
      <c r="D2081" s="2" t="s">
        <v>10</v>
      </c>
      <c r="E2081" s="2" t="s">
        <v>57</v>
      </c>
      <c r="F2081" s="2" t="s">
        <v>18</v>
      </c>
      <c r="G2081" s="2" t="s">
        <v>19</v>
      </c>
      <c r="H2081" s="2" t="s">
        <v>1394</v>
      </c>
      <c r="I2081" s="2" t="s">
        <v>1395</v>
      </c>
    </row>
    <row r="2082" spans="1:9" ht="14.5" x14ac:dyDescent="0.35">
      <c r="A2082" s="2">
        <v>289200</v>
      </c>
      <c r="B2082" s="2" t="str">
        <f>"3328160204790004"</f>
        <v>3328160204790004</v>
      </c>
      <c r="C2082" s="2" t="s">
        <v>2664</v>
      </c>
      <c r="D2082" s="2" t="s">
        <v>10</v>
      </c>
      <c r="E2082" s="2" t="s">
        <v>11</v>
      </c>
      <c r="F2082" s="2" t="s">
        <v>18</v>
      </c>
      <c r="G2082" s="2" t="s">
        <v>268</v>
      </c>
      <c r="H2082" s="2" t="s">
        <v>277</v>
      </c>
      <c r="I2082" s="2" t="s">
        <v>2665</v>
      </c>
    </row>
    <row r="2083" spans="1:9" ht="14.5" x14ac:dyDescent="0.35">
      <c r="A2083" s="2">
        <v>2540774</v>
      </c>
      <c r="B2083" s="2" t="str">
        <f>"3328160204790004"</f>
        <v>3328160204790004</v>
      </c>
      <c r="C2083" s="2" t="s">
        <v>2666</v>
      </c>
      <c r="D2083" s="2" t="s">
        <v>10</v>
      </c>
      <c r="E2083" s="2" t="s">
        <v>57</v>
      </c>
      <c r="F2083" s="2" t="s">
        <v>18</v>
      </c>
      <c r="G2083" s="2" t="s">
        <v>19</v>
      </c>
      <c r="H2083" s="2" t="s">
        <v>1394</v>
      </c>
      <c r="I2083" s="2" t="s">
        <v>1395</v>
      </c>
    </row>
    <row r="2084" spans="1:9" ht="14.5" x14ac:dyDescent="0.35">
      <c r="A2084" s="2">
        <v>1454675</v>
      </c>
      <c r="B2084" s="2" t="str">
        <f>"3329051904980001"</f>
        <v>3329051904980001</v>
      </c>
      <c r="C2084" s="2" t="s">
        <v>2667</v>
      </c>
      <c r="D2084" s="2" t="s">
        <v>10</v>
      </c>
      <c r="E2084" s="2" t="s">
        <v>11</v>
      </c>
      <c r="F2084" s="2" t="s">
        <v>18</v>
      </c>
      <c r="G2084" s="2" t="s">
        <v>264</v>
      </c>
      <c r="H2084" s="2" t="s">
        <v>289</v>
      </c>
      <c r="I2084" s="2" t="s">
        <v>2668</v>
      </c>
    </row>
    <row r="2085" spans="1:9" ht="14.5" x14ac:dyDescent="0.35">
      <c r="A2085" s="2">
        <v>2540911</v>
      </c>
      <c r="B2085" s="2" t="str">
        <f>"3329051904980001"</f>
        <v>3329051904980001</v>
      </c>
      <c r="C2085" s="2" t="s">
        <v>2669</v>
      </c>
      <c r="D2085" s="2" t="s">
        <v>10</v>
      </c>
      <c r="E2085" s="2" t="s">
        <v>11</v>
      </c>
      <c r="F2085" s="2" t="s">
        <v>18</v>
      </c>
      <c r="G2085" s="2" t="s">
        <v>19</v>
      </c>
      <c r="H2085" s="2" t="s">
        <v>1394</v>
      </c>
      <c r="I2085" s="2" t="s">
        <v>1395</v>
      </c>
    </row>
    <row r="2086" spans="1:9" ht="14.5" x14ac:dyDescent="0.35">
      <c r="A2086" s="2">
        <v>1494756</v>
      </c>
      <c r="B2086" s="2" t="str">
        <f>"3329052406720006"</f>
        <v>3329052406720006</v>
      </c>
      <c r="C2086" s="2" t="s">
        <v>1622</v>
      </c>
      <c r="D2086" s="2" t="s">
        <v>10</v>
      </c>
      <c r="E2086" s="2" t="s">
        <v>11</v>
      </c>
      <c r="F2086" s="2" t="s">
        <v>18</v>
      </c>
      <c r="G2086" s="2" t="s">
        <v>264</v>
      </c>
      <c r="H2086" s="2" t="s">
        <v>289</v>
      </c>
      <c r="I2086" s="2" t="s">
        <v>853</v>
      </c>
    </row>
    <row r="2087" spans="1:9" ht="14.5" x14ac:dyDescent="0.35">
      <c r="A2087" s="2">
        <v>2540501</v>
      </c>
      <c r="B2087" s="2" t="str">
        <f>"3329052406720006"</f>
        <v>3329052406720006</v>
      </c>
      <c r="C2087" s="2" t="s">
        <v>1622</v>
      </c>
      <c r="D2087" s="2" t="s">
        <v>17</v>
      </c>
      <c r="E2087" s="2" t="s">
        <v>11</v>
      </c>
      <c r="F2087" s="2" t="s">
        <v>18</v>
      </c>
      <c r="G2087" s="2" t="s">
        <v>19</v>
      </c>
      <c r="H2087" s="2" t="s">
        <v>1394</v>
      </c>
      <c r="I2087" s="2" t="s">
        <v>2194</v>
      </c>
    </row>
    <row r="2088" spans="1:9" ht="14.5" x14ac:dyDescent="0.35">
      <c r="A2088" s="2">
        <v>241026</v>
      </c>
      <c r="B2088" s="2" t="str">
        <f>"3329061002900002"</f>
        <v>3329061002900002</v>
      </c>
      <c r="C2088" s="2" t="s">
        <v>2670</v>
      </c>
      <c r="D2088" s="2" t="s">
        <v>10</v>
      </c>
      <c r="E2088" s="2" t="s">
        <v>11</v>
      </c>
      <c r="F2088" s="2" t="s">
        <v>18</v>
      </c>
      <c r="G2088" s="2" t="s">
        <v>264</v>
      </c>
      <c r="H2088" s="2" t="s">
        <v>468</v>
      </c>
      <c r="I2088" s="2" t="s">
        <v>2671</v>
      </c>
    </row>
    <row r="2089" spans="1:9" ht="14.5" x14ac:dyDescent="0.35">
      <c r="A2089" s="2">
        <v>2540846</v>
      </c>
      <c r="B2089" s="2" t="str">
        <f>"3329061002900002"</f>
        <v>3329061002900002</v>
      </c>
      <c r="C2089" s="2" t="s">
        <v>2672</v>
      </c>
      <c r="D2089" s="2" t="s">
        <v>10</v>
      </c>
      <c r="E2089" s="2" t="s">
        <v>57</v>
      </c>
      <c r="F2089" s="2" t="s">
        <v>18</v>
      </c>
      <c r="G2089" s="2" t="s">
        <v>19</v>
      </c>
      <c r="H2089" s="2" t="s">
        <v>1394</v>
      </c>
      <c r="I2089" s="2" t="s">
        <v>1395</v>
      </c>
    </row>
    <row r="2090" spans="1:9" ht="14.5" x14ac:dyDescent="0.35">
      <c r="A2090" s="2">
        <v>264360</v>
      </c>
      <c r="B2090" s="2" t="str">
        <f>"3329061802930003"</f>
        <v>3329061802930003</v>
      </c>
      <c r="C2090" s="2" t="s">
        <v>2673</v>
      </c>
      <c r="D2090" s="2" t="s">
        <v>10</v>
      </c>
      <c r="E2090" s="2" t="s">
        <v>11</v>
      </c>
      <c r="F2090" s="2" t="s">
        <v>18</v>
      </c>
      <c r="G2090" s="2" t="s">
        <v>264</v>
      </c>
      <c r="H2090" s="2" t="s">
        <v>468</v>
      </c>
      <c r="I2090" s="2" t="s">
        <v>468</v>
      </c>
    </row>
    <row r="2091" spans="1:9" ht="14.5" x14ac:dyDescent="0.35">
      <c r="A2091" s="2">
        <v>2540248</v>
      </c>
      <c r="B2091" s="2" t="str">
        <f>"3329061802930003"</f>
        <v>3329061802930003</v>
      </c>
      <c r="C2091" s="2" t="s">
        <v>2673</v>
      </c>
      <c r="D2091" s="2" t="s">
        <v>17</v>
      </c>
      <c r="E2091" s="2" t="s">
        <v>11</v>
      </c>
      <c r="F2091" s="2" t="s">
        <v>18</v>
      </c>
      <c r="G2091" s="2" t="s">
        <v>19</v>
      </c>
      <c r="H2091" s="2" t="s">
        <v>1394</v>
      </c>
      <c r="I2091" s="2" t="s">
        <v>2235</v>
      </c>
    </row>
    <row r="2092" spans="1:9" ht="14.5" x14ac:dyDescent="0.35">
      <c r="A2092" s="2">
        <v>274937</v>
      </c>
      <c r="B2092" s="2" t="str">
        <f>"3329062210780003"</f>
        <v>3329062210780003</v>
      </c>
      <c r="C2092" s="2" t="s">
        <v>2674</v>
      </c>
      <c r="D2092" s="2" t="s">
        <v>10</v>
      </c>
      <c r="E2092" s="2" t="s">
        <v>11</v>
      </c>
      <c r="F2092" s="2" t="s">
        <v>18</v>
      </c>
      <c r="G2092" s="2" t="s">
        <v>264</v>
      </c>
      <c r="H2092" s="2" t="s">
        <v>468</v>
      </c>
      <c r="I2092" s="2" t="s">
        <v>2675</v>
      </c>
    </row>
    <row r="2093" spans="1:9" ht="14.5" x14ac:dyDescent="0.35">
      <c r="A2093" s="2">
        <v>2540831</v>
      </c>
      <c r="B2093" s="2" t="str">
        <f>"3329062210780003"</f>
        <v>3329062210780003</v>
      </c>
      <c r="C2093" s="2" t="s">
        <v>2676</v>
      </c>
      <c r="D2093" s="2" t="s">
        <v>10</v>
      </c>
      <c r="E2093" s="2" t="s">
        <v>57</v>
      </c>
      <c r="F2093" s="2" t="s">
        <v>18</v>
      </c>
      <c r="G2093" s="2" t="s">
        <v>19</v>
      </c>
      <c r="H2093" s="2" t="s">
        <v>1394</v>
      </c>
      <c r="I2093" s="2" t="s">
        <v>1395</v>
      </c>
    </row>
    <row r="2094" spans="1:9" ht="14.5" x14ac:dyDescent="0.35">
      <c r="A2094" s="2">
        <v>247748</v>
      </c>
      <c r="B2094" s="2" t="str">
        <f>"3329064909910003"</f>
        <v>3329064909910003</v>
      </c>
      <c r="C2094" s="2" t="s">
        <v>2677</v>
      </c>
      <c r="D2094" s="2" t="s">
        <v>10</v>
      </c>
      <c r="E2094" s="2" t="s">
        <v>11</v>
      </c>
      <c r="F2094" s="2" t="s">
        <v>18</v>
      </c>
      <c r="G2094" s="2" t="s">
        <v>264</v>
      </c>
      <c r="H2094" s="2" t="s">
        <v>468</v>
      </c>
      <c r="I2094" s="2" t="s">
        <v>861</v>
      </c>
    </row>
    <row r="2095" spans="1:9" ht="14.5" x14ac:dyDescent="0.35">
      <c r="A2095" s="2">
        <v>2540437</v>
      </c>
      <c r="B2095" s="2" t="str">
        <f>"3329064909910003"</f>
        <v>3329064909910003</v>
      </c>
      <c r="C2095" s="2" t="s">
        <v>2677</v>
      </c>
      <c r="D2095" s="2" t="s">
        <v>17</v>
      </c>
      <c r="E2095" s="2" t="s">
        <v>11</v>
      </c>
      <c r="F2095" s="2" t="s">
        <v>18</v>
      </c>
      <c r="G2095" s="2" t="s">
        <v>19</v>
      </c>
      <c r="H2095" s="2" t="s">
        <v>1394</v>
      </c>
      <c r="I2095" s="2" t="s">
        <v>2194</v>
      </c>
    </row>
    <row r="2096" spans="1:9" ht="14.5" x14ac:dyDescent="0.35">
      <c r="A2096" s="2">
        <v>1254804</v>
      </c>
      <c r="B2096" s="2" t="str">
        <f>"3329070107020029"</f>
        <v>3329070107020029</v>
      </c>
      <c r="C2096" s="2" t="s">
        <v>2678</v>
      </c>
      <c r="D2096" s="2" t="s">
        <v>10</v>
      </c>
      <c r="E2096" s="2" t="s">
        <v>11</v>
      </c>
      <c r="F2096" s="2" t="s">
        <v>18</v>
      </c>
      <c r="G2096" s="2" t="s">
        <v>264</v>
      </c>
      <c r="H2096" s="2" t="s">
        <v>265</v>
      </c>
      <c r="I2096" s="2" t="s">
        <v>266</v>
      </c>
    </row>
    <row r="2097" spans="1:9" ht="14.5" x14ac:dyDescent="0.35">
      <c r="A2097" s="2">
        <v>2540737</v>
      </c>
      <c r="B2097" s="2" t="str">
        <f>"3329070107020029"</f>
        <v>3329070107020029</v>
      </c>
      <c r="C2097" s="2" t="s">
        <v>2679</v>
      </c>
      <c r="D2097" s="2" t="s">
        <v>10</v>
      </c>
      <c r="E2097" s="2" t="s">
        <v>57</v>
      </c>
      <c r="F2097" s="2" t="s">
        <v>18</v>
      </c>
      <c r="G2097" s="2" t="s">
        <v>19</v>
      </c>
      <c r="H2097" s="2" t="s">
        <v>1394</v>
      </c>
      <c r="I2097" s="2" t="s">
        <v>1395</v>
      </c>
    </row>
    <row r="2098" spans="1:9" ht="14.5" x14ac:dyDescent="0.35">
      <c r="A2098" s="2">
        <v>1868363</v>
      </c>
      <c r="B2098" s="2" t="str">
        <f>"3329070305780004"</f>
        <v>3329070305780004</v>
      </c>
      <c r="C2098" s="2" t="s">
        <v>2680</v>
      </c>
      <c r="D2098" s="2" t="s">
        <v>10</v>
      </c>
      <c r="E2098" s="2" t="s">
        <v>11</v>
      </c>
      <c r="F2098" s="2" t="s">
        <v>18</v>
      </c>
      <c r="G2098" s="2" t="s">
        <v>19</v>
      </c>
      <c r="H2098" s="2" t="s">
        <v>1394</v>
      </c>
      <c r="I2098" s="2" t="s">
        <v>2280</v>
      </c>
    </row>
    <row r="2099" spans="1:9" ht="14.5" x14ac:dyDescent="0.35">
      <c r="A2099" s="2">
        <v>1692672</v>
      </c>
      <c r="B2099" s="2" t="str">
        <f>"3329070305780004"</f>
        <v>3329070305780004</v>
      </c>
      <c r="C2099" s="2" t="s">
        <v>2680</v>
      </c>
      <c r="D2099" s="2" t="s">
        <v>17</v>
      </c>
      <c r="E2099" s="2" t="s">
        <v>11</v>
      </c>
      <c r="F2099" s="2" t="s">
        <v>18</v>
      </c>
      <c r="G2099" s="2" t="s">
        <v>264</v>
      </c>
      <c r="H2099" s="2" t="s">
        <v>265</v>
      </c>
      <c r="I2099" s="2" t="s">
        <v>1869</v>
      </c>
    </row>
    <row r="2100" spans="1:9" ht="14.5" x14ac:dyDescent="0.35">
      <c r="A2100" s="2">
        <v>1254781</v>
      </c>
      <c r="B2100" s="2" t="str">
        <f>"3329072302000002"</f>
        <v>3329072302000002</v>
      </c>
      <c r="C2100" s="2" t="s">
        <v>2681</v>
      </c>
      <c r="D2100" s="2" t="s">
        <v>10</v>
      </c>
      <c r="E2100" s="2" t="s">
        <v>11</v>
      </c>
      <c r="F2100" s="2" t="s">
        <v>18</v>
      </c>
      <c r="G2100" s="2" t="s">
        <v>264</v>
      </c>
      <c r="H2100" s="2" t="s">
        <v>265</v>
      </c>
      <c r="I2100" s="2" t="s">
        <v>266</v>
      </c>
    </row>
    <row r="2101" spans="1:9" ht="14.5" x14ac:dyDescent="0.35">
      <c r="A2101" s="2">
        <v>2540675</v>
      </c>
      <c r="B2101" s="2" t="str">
        <f>"3329072302000002"</f>
        <v>3329072302000002</v>
      </c>
      <c r="C2101" s="2" t="s">
        <v>2682</v>
      </c>
      <c r="D2101" s="2" t="s">
        <v>10</v>
      </c>
      <c r="E2101" s="2" t="s">
        <v>57</v>
      </c>
      <c r="F2101" s="2" t="s">
        <v>18</v>
      </c>
      <c r="G2101" s="2" t="s">
        <v>19</v>
      </c>
      <c r="H2101" s="2" t="s">
        <v>1394</v>
      </c>
      <c r="I2101" s="2" t="s">
        <v>1395</v>
      </c>
    </row>
    <row r="2102" spans="1:9" ht="14.5" x14ac:dyDescent="0.35">
      <c r="A2102" s="2">
        <v>1868362</v>
      </c>
      <c r="B2102" s="2" t="str">
        <f>"3329073107990002"</f>
        <v>3329073107990002</v>
      </c>
      <c r="C2102" s="2" t="s">
        <v>1843</v>
      </c>
      <c r="D2102" s="2" t="s">
        <v>10</v>
      </c>
      <c r="E2102" s="2" t="s">
        <v>11</v>
      </c>
      <c r="F2102" s="2" t="s">
        <v>18</v>
      </c>
      <c r="G2102" s="2" t="s">
        <v>19</v>
      </c>
      <c r="H2102" s="2" t="s">
        <v>1394</v>
      </c>
      <c r="I2102" s="2" t="s">
        <v>2280</v>
      </c>
    </row>
    <row r="2103" spans="1:9" ht="14.5" x14ac:dyDescent="0.35">
      <c r="A2103" s="2">
        <v>1692685</v>
      </c>
      <c r="B2103" s="2" t="str">
        <f>"3329073107990002"</f>
        <v>3329073107990002</v>
      </c>
      <c r="C2103" s="2" t="s">
        <v>1843</v>
      </c>
      <c r="D2103" s="2" t="s">
        <v>17</v>
      </c>
      <c r="E2103" s="2" t="s">
        <v>11</v>
      </c>
      <c r="F2103" s="2" t="s">
        <v>18</v>
      </c>
      <c r="G2103" s="2" t="s">
        <v>264</v>
      </c>
      <c r="H2103" s="2" t="s">
        <v>265</v>
      </c>
      <c r="I2103" s="2" t="s">
        <v>1869</v>
      </c>
    </row>
    <row r="2104" spans="1:9" ht="14.5" x14ac:dyDescent="0.35">
      <c r="A2104" s="2">
        <v>1868360</v>
      </c>
      <c r="B2104" s="2" t="str">
        <f>"3329074408060002"</f>
        <v>3329074408060002</v>
      </c>
      <c r="C2104" s="2" t="s">
        <v>2683</v>
      </c>
      <c r="D2104" s="2" t="s">
        <v>10</v>
      </c>
      <c r="E2104" s="2" t="s">
        <v>11</v>
      </c>
      <c r="F2104" s="2" t="s">
        <v>18</v>
      </c>
      <c r="G2104" s="2" t="s">
        <v>19</v>
      </c>
      <c r="H2104" s="2" t="s">
        <v>1394</v>
      </c>
      <c r="I2104" s="2" t="s">
        <v>2280</v>
      </c>
    </row>
    <row r="2105" spans="1:9" ht="14.5" x14ac:dyDescent="0.35">
      <c r="A2105" s="2">
        <v>1692452</v>
      </c>
      <c r="B2105" s="2" t="str">
        <f>"3329074408060002"</f>
        <v>3329074408060002</v>
      </c>
      <c r="C2105" s="2" t="s">
        <v>2683</v>
      </c>
      <c r="D2105" s="2" t="s">
        <v>17</v>
      </c>
      <c r="E2105" s="2" t="s">
        <v>11</v>
      </c>
      <c r="F2105" s="2" t="s">
        <v>18</v>
      </c>
      <c r="G2105" s="2" t="s">
        <v>264</v>
      </c>
      <c r="H2105" s="2" t="s">
        <v>265</v>
      </c>
      <c r="I2105" s="2" t="s">
        <v>1869</v>
      </c>
    </row>
    <row r="2106" spans="1:9" ht="14.5" x14ac:dyDescent="0.35">
      <c r="A2106" s="2">
        <v>779272</v>
      </c>
      <c r="B2106" s="2" t="str">
        <f>"3329080506810011"</f>
        <v>3329080506810011</v>
      </c>
      <c r="C2106" s="2" t="s">
        <v>2684</v>
      </c>
      <c r="D2106" s="2" t="s">
        <v>10</v>
      </c>
      <c r="E2106" s="2" t="s">
        <v>11</v>
      </c>
      <c r="F2106" s="2" t="s">
        <v>18</v>
      </c>
      <c r="G2106" s="2" t="s">
        <v>264</v>
      </c>
      <c r="H2106" s="2" t="s">
        <v>248</v>
      </c>
      <c r="I2106" s="2" t="s">
        <v>2513</v>
      </c>
    </row>
    <row r="2107" spans="1:9" ht="14.5" x14ac:dyDescent="0.35">
      <c r="A2107" s="2">
        <v>2540836</v>
      </c>
      <c r="B2107" s="2" t="str">
        <f>"3329080506810011"</f>
        <v>3329080506810011</v>
      </c>
      <c r="C2107" s="2" t="s">
        <v>2685</v>
      </c>
      <c r="D2107" s="2" t="s">
        <v>10</v>
      </c>
      <c r="E2107" s="2" t="s">
        <v>57</v>
      </c>
      <c r="F2107" s="2" t="s">
        <v>18</v>
      </c>
      <c r="G2107" s="2" t="s">
        <v>19</v>
      </c>
      <c r="H2107" s="2" t="s">
        <v>1394</v>
      </c>
      <c r="I2107" s="2" t="s">
        <v>1395</v>
      </c>
    </row>
    <row r="2108" spans="1:9" ht="14.5" x14ac:dyDescent="0.35">
      <c r="A2108" s="2">
        <v>52260</v>
      </c>
      <c r="B2108" s="2" t="str">
        <f>"3329081706000008"</f>
        <v>3329081706000008</v>
      </c>
      <c r="C2108" s="2" t="s">
        <v>2686</v>
      </c>
      <c r="D2108" s="2" t="s">
        <v>10</v>
      </c>
      <c r="E2108" s="2" t="s">
        <v>11</v>
      </c>
      <c r="F2108" s="2" t="s">
        <v>18</v>
      </c>
      <c r="G2108" s="2" t="s">
        <v>264</v>
      </c>
      <c r="H2108" s="2" t="s">
        <v>248</v>
      </c>
      <c r="I2108" s="2" t="s">
        <v>1142</v>
      </c>
    </row>
    <row r="2109" spans="1:9" ht="14.5" x14ac:dyDescent="0.35">
      <c r="A2109" s="2">
        <v>2540725</v>
      </c>
      <c r="B2109" s="2" t="str">
        <f>"3329081706000008"</f>
        <v>3329081706000008</v>
      </c>
      <c r="C2109" s="2" t="s">
        <v>2687</v>
      </c>
      <c r="D2109" s="2" t="s">
        <v>10</v>
      </c>
      <c r="E2109" s="2" t="s">
        <v>57</v>
      </c>
      <c r="F2109" s="2" t="s">
        <v>18</v>
      </c>
      <c r="G2109" s="2" t="s">
        <v>19</v>
      </c>
      <c r="H2109" s="2" t="s">
        <v>1394</v>
      </c>
      <c r="I2109" s="2" t="s">
        <v>1395</v>
      </c>
    </row>
    <row r="2110" spans="1:9" ht="14.5" x14ac:dyDescent="0.35">
      <c r="A2110" s="2">
        <v>1002266</v>
      </c>
      <c r="B2110" s="2" t="str">
        <f>"3329082205940006"</f>
        <v>3329082205940006</v>
      </c>
      <c r="C2110" s="2" t="s">
        <v>2688</v>
      </c>
      <c r="D2110" s="2" t="s">
        <v>10</v>
      </c>
      <c r="E2110" s="2" t="s">
        <v>11</v>
      </c>
      <c r="F2110" s="2" t="s">
        <v>18</v>
      </c>
      <c r="G2110" s="2" t="s">
        <v>264</v>
      </c>
      <c r="H2110" s="2" t="s">
        <v>248</v>
      </c>
      <c r="I2110" s="2" t="s">
        <v>2689</v>
      </c>
    </row>
    <row r="2111" spans="1:9" ht="14.5" x14ac:dyDescent="0.35">
      <c r="A2111" s="2">
        <v>2540713</v>
      </c>
      <c r="B2111" s="2" t="str">
        <f>"3329082205940006"</f>
        <v>3329082205940006</v>
      </c>
      <c r="C2111" s="2" t="s">
        <v>2690</v>
      </c>
      <c r="D2111" s="2" t="s">
        <v>10</v>
      </c>
      <c r="E2111" s="2" t="s">
        <v>57</v>
      </c>
      <c r="F2111" s="2" t="s">
        <v>18</v>
      </c>
      <c r="G2111" s="2" t="s">
        <v>19</v>
      </c>
      <c r="H2111" s="2" t="s">
        <v>1394</v>
      </c>
      <c r="I2111" s="2" t="s">
        <v>1395</v>
      </c>
    </row>
    <row r="2112" spans="1:9" ht="14.5" x14ac:dyDescent="0.35">
      <c r="A2112" s="2">
        <v>769719</v>
      </c>
      <c r="B2112" s="2" t="str">
        <f>"3329084802970006"</f>
        <v>3329084802970006</v>
      </c>
      <c r="C2112" s="2" t="s">
        <v>2691</v>
      </c>
      <c r="D2112" s="2" t="s">
        <v>10</v>
      </c>
      <c r="E2112" s="2" t="s">
        <v>11</v>
      </c>
      <c r="F2112" s="2" t="s">
        <v>18</v>
      </c>
      <c r="G2112" s="2" t="s">
        <v>264</v>
      </c>
      <c r="H2112" s="2" t="s">
        <v>248</v>
      </c>
      <c r="I2112" s="2" t="s">
        <v>2513</v>
      </c>
    </row>
    <row r="2113" spans="1:9" ht="14.5" x14ac:dyDescent="0.35">
      <c r="A2113" s="2">
        <v>2540266</v>
      </c>
      <c r="B2113" s="2" t="str">
        <f>"3329084802970006"</f>
        <v>3329084802970006</v>
      </c>
      <c r="C2113" s="2" t="s">
        <v>2691</v>
      </c>
      <c r="D2113" s="2" t="s">
        <v>17</v>
      </c>
      <c r="E2113" s="2" t="s">
        <v>11</v>
      </c>
      <c r="F2113" s="2" t="s">
        <v>18</v>
      </c>
      <c r="G2113" s="2" t="s">
        <v>19</v>
      </c>
      <c r="H2113" s="2" t="s">
        <v>1394</v>
      </c>
      <c r="I2113" s="2" t="s">
        <v>2235</v>
      </c>
    </row>
    <row r="2114" spans="1:9" ht="14.5" x14ac:dyDescent="0.35">
      <c r="A2114" s="2">
        <v>1609660</v>
      </c>
      <c r="B2114" s="2" t="str">
        <f>"3329090304890002"</f>
        <v>3329090304890002</v>
      </c>
      <c r="C2114" s="2" t="s">
        <v>2692</v>
      </c>
      <c r="D2114" s="2" t="s">
        <v>17</v>
      </c>
      <c r="E2114" s="2" t="s">
        <v>11</v>
      </c>
      <c r="F2114" s="2" t="s">
        <v>18</v>
      </c>
      <c r="G2114" s="2" t="s">
        <v>264</v>
      </c>
      <c r="H2114" s="2" t="s">
        <v>264</v>
      </c>
      <c r="I2114" s="2" t="s">
        <v>2591</v>
      </c>
    </row>
    <row r="2115" spans="1:9" ht="14.5" x14ac:dyDescent="0.35">
      <c r="A2115" s="2">
        <v>2540665</v>
      </c>
      <c r="B2115" s="2" t="str">
        <f>"3329090304890002"</f>
        <v>3329090304890002</v>
      </c>
      <c r="C2115" s="2" t="s">
        <v>2693</v>
      </c>
      <c r="D2115" s="2" t="s">
        <v>10</v>
      </c>
      <c r="E2115" s="2" t="s">
        <v>57</v>
      </c>
      <c r="F2115" s="2" t="s">
        <v>18</v>
      </c>
      <c r="G2115" s="2" t="s">
        <v>19</v>
      </c>
      <c r="H2115" s="2" t="s">
        <v>1394</v>
      </c>
      <c r="I2115" s="2" t="s">
        <v>1395</v>
      </c>
    </row>
    <row r="2116" spans="1:9" ht="14.5" x14ac:dyDescent="0.35">
      <c r="A2116" s="2">
        <v>1144890</v>
      </c>
      <c r="B2116" s="2" t="str">
        <f>"3329091010740023"</f>
        <v>3329091010740023</v>
      </c>
      <c r="C2116" s="2" t="s">
        <v>2694</v>
      </c>
      <c r="D2116" s="2" t="s">
        <v>10</v>
      </c>
      <c r="E2116" s="2" t="s">
        <v>11</v>
      </c>
      <c r="F2116" s="2" t="s">
        <v>18</v>
      </c>
      <c r="G2116" s="2" t="s">
        <v>264</v>
      </c>
      <c r="H2116" s="2" t="s">
        <v>264</v>
      </c>
      <c r="I2116" s="2" t="s">
        <v>2695</v>
      </c>
    </row>
    <row r="2117" spans="1:9" ht="14.5" x14ac:dyDescent="0.35">
      <c r="A2117" s="2">
        <v>2540816</v>
      </c>
      <c r="B2117" s="2" t="str">
        <f>"3329091010740023"</f>
        <v>3329091010740023</v>
      </c>
      <c r="C2117" s="2" t="s">
        <v>2696</v>
      </c>
      <c r="D2117" s="2" t="s">
        <v>10</v>
      </c>
      <c r="E2117" s="2" t="s">
        <v>57</v>
      </c>
      <c r="F2117" s="2" t="s">
        <v>18</v>
      </c>
      <c r="G2117" s="2" t="s">
        <v>19</v>
      </c>
      <c r="H2117" s="2" t="s">
        <v>1394</v>
      </c>
      <c r="I2117" s="2" t="s">
        <v>1395</v>
      </c>
    </row>
    <row r="2118" spans="1:9" ht="14.5" x14ac:dyDescent="0.35">
      <c r="A2118" s="2">
        <v>579409</v>
      </c>
      <c r="B2118" s="2" t="str">
        <f>"3329091602860010"</f>
        <v>3329091602860010</v>
      </c>
      <c r="C2118" s="2" t="s">
        <v>2697</v>
      </c>
      <c r="D2118" s="2" t="s">
        <v>10</v>
      </c>
      <c r="E2118" s="2" t="s">
        <v>11</v>
      </c>
      <c r="F2118" s="2" t="s">
        <v>18</v>
      </c>
      <c r="G2118" s="2" t="s">
        <v>264</v>
      </c>
      <c r="H2118" s="2" t="s">
        <v>264</v>
      </c>
      <c r="I2118" s="2" t="s">
        <v>2698</v>
      </c>
    </row>
    <row r="2119" spans="1:9" ht="14.5" x14ac:dyDescent="0.35">
      <c r="A2119" s="2">
        <v>2540762</v>
      </c>
      <c r="B2119" s="2" t="str">
        <f>"3329091602860010"</f>
        <v>3329091602860010</v>
      </c>
      <c r="C2119" s="2" t="s">
        <v>2699</v>
      </c>
      <c r="D2119" s="2" t="s">
        <v>10</v>
      </c>
      <c r="E2119" s="2" t="s">
        <v>57</v>
      </c>
      <c r="F2119" s="2" t="s">
        <v>18</v>
      </c>
      <c r="G2119" s="2" t="s">
        <v>19</v>
      </c>
      <c r="H2119" s="2" t="s">
        <v>1394</v>
      </c>
      <c r="I2119" s="2" t="s">
        <v>1395</v>
      </c>
    </row>
    <row r="2120" spans="1:9" ht="14.5" x14ac:dyDescent="0.35">
      <c r="A2120" s="2">
        <v>570591</v>
      </c>
      <c r="B2120" s="2" t="str">
        <f>"3329092008950007"</f>
        <v>3329092008950007</v>
      </c>
      <c r="C2120" s="2" t="s">
        <v>2700</v>
      </c>
      <c r="D2120" s="2" t="s">
        <v>10</v>
      </c>
      <c r="E2120" s="2" t="s">
        <v>11</v>
      </c>
      <c r="F2120" s="2" t="s">
        <v>18</v>
      </c>
      <c r="G2120" s="2" t="s">
        <v>264</v>
      </c>
      <c r="H2120" s="2" t="s">
        <v>264</v>
      </c>
      <c r="I2120" s="2" t="s">
        <v>1406</v>
      </c>
    </row>
    <row r="2121" spans="1:9" ht="14.5" x14ac:dyDescent="0.35">
      <c r="A2121" s="2">
        <v>2540729</v>
      </c>
      <c r="B2121" s="2" t="str">
        <f>"3329092008950007"</f>
        <v>3329092008950007</v>
      </c>
      <c r="C2121" s="2" t="s">
        <v>2701</v>
      </c>
      <c r="D2121" s="2" t="s">
        <v>10</v>
      </c>
      <c r="E2121" s="2" t="s">
        <v>57</v>
      </c>
      <c r="F2121" s="2" t="s">
        <v>18</v>
      </c>
      <c r="G2121" s="2" t="s">
        <v>19</v>
      </c>
      <c r="H2121" s="2" t="s">
        <v>1394</v>
      </c>
      <c r="I2121" s="2" t="s">
        <v>1395</v>
      </c>
    </row>
    <row r="2122" spans="1:9" ht="14.5" x14ac:dyDescent="0.35">
      <c r="A2122" s="2">
        <v>1146702</v>
      </c>
      <c r="B2122" s="2" t="str">
        <f>"3329092508000005"</f>
        <v>3329092508000005</v>
      </c>
      <c r="C2122" s="2" t="s">
        <v>2702</v>
      </c>
      <c r="D2122" s="2" t="s">
        <v>10</v>
      </c>
      <c r="E2122" s="2" t="s">
        <v>11</v>
      </c>
      <c r="F2122" s="2" t="s">
        <v>18</v>
      </c>
      <c r="G2122" s="2" t="s">
        <v>264</v>
      </c>
      <c r="H2122" s="2" t="s">
        <v>264</v>
      </c>
      <c r="I2122" s="2" t="s">
        <v>2695</v>
      </c>
    </row>
    <row r="2123" spans="1:9" ht="14.5" x14ac:dyDescent="0.35">
      <c r="A2123" s="2">
        <v>2540829</v>
      </c>
      <c r="B2123" s="2" t="str">
        <f>"3329092508000005"</f>
        <v>3329092508000005</v>
      </c>
      <c r="C2123" s="2" t="s">
        <v>2703</v>
      </c>
      <c r="D2123" s="2" t="s">
        <v>10</v>
      </c>
      <c r="E2123" s="2" t="s">
        <v>57</v>
      </c>
      <c r="F2123" s="2" t="s">
        <v>18</v>
      </c>
      <c r="G2123" s="2" t="s">
        <v>19</v>
      </c>
      <c r="H2123" s="2" t="s">
        <v>1394</v>
      </c>
      <c r="I2123" s="2" t="s">
        <v>1395</v>
      </c>
    </row>
    <row r="2124" spans="1:9" ht="14.5" x14ac:dyDescent="0.35">
      <c r="A2124" s="2">
        <v>1609658</v>
      </c>
      <c r="B2124" s="2" t="str">
        <f>"3329092709930001"</f>
        <v>3329092709930001</v>
      </c>
      <c r="C2124" s="2" t="s">
        <v>2704</v>
      </c>
      <c r="D2124" s="2" t="s">
        <v>17</v>
      </c>
      <c r="E2124" s="2" t="s">
        <v>11</v>
      </c>
      <c r="F2124" s="2" t="s">
        <v>18</v>
      </c>
      <c r="G2124" s="2" t="s">
        <v>264</v>
      </c>
      <c r="H2124" s="2" t="s">
        <v>264</v>
      </c>
      <c r="I2124" s="2" t="s">
        <v>2591</v>
      </c>
    </row>
    <row r="2125" spans="1:9" ht="14.5" x14ac:dyDescent="0.35">
      <c r="A2125" s="2">
        <v>2540912</v>
      </c>
      <c r="B2125" s="2" t="str">
        <f>"3329092709930001"</f>
        <v>3329092709930001</v>
      </c>
      <c r="C2125" s="2" t="s">
        <v>2705</v>
      </c>
      <c r="D2125" s="2" t="s">
        <v>10</v>
      </c>
      <c r="E2125" s="2" t="s">
        <v>57</v>
      </c>
      <c r="F2125" s="2" t="s">
        <v>18</v>
      </c>
      <c r="G2125" s="2" t="s">
        <v>19</v>
      </c>
      <c r="H2125" s="2" t="s">
        <v>1394</v>
      </c>
      <c r="I2125" s="2" t="s">
        <v>1395</v>
      </c>
    </row>
    <row r="2126" spans="1:9" ht="14.5" x14ac:dyDescent="0.35">
      <c r="A2126" s="2">
        <v>1467775</v>
      </c>
      <c r="B2126" s="2" t="str">
        <f>"3329101710880009"</f>
        <v>3329101710880009</v>
      </c>
      <c r="C2126" s="2" t="s">
        <v>2706</v>
      </c>
      <c r="D2126" s="2" t="s">
        <v>10</v>
      </c>
      <c r="E2126" s="2" t="s">
        <v>11</v>
      </c>
      <c r="F2126" s="2" t="s">
        <v>18</v>
      </c>
      <c r="G2126" s="2" t="s">
        <v>264</v>
      </c>
      <c r="H2126" s="2" t="s">
        <v>273</v>
      </c>
      <c r="I2126" s="2" t="s">
        <v>2080</v>
      </c>
    </row>
    <row r="2127" spans="1:9" ht="14.5" x14ac:dyDescent="0.35">
      <c r="A2127" s="2">
        <v>2540772</v>
      </c>
      <c r="B2127" s="2" t="str">
        <f>"3329101710880009"</f>
        <v>3329101710880009</v>
      </c>
      <c r="C2127" s="2" t="s">
        <v>2707</v>
      </c>
      <c r="D2127" s="2" t="s">
        <v>10</v>
      </c>
      <c r="E2127" s="2" t="s">
        <v>57</v>
      </c>
      <c r="F2127" s="2" t="s">
        <v>18</v>
      </c>
      <c r="G2127" s="2" t="s">
        <v>19</v>
      </c>
      <c r="H2127" s="2" t="s">
        <v>1394</v>
      </c>
      <c r="I2127" s="2" t="s">
        <v>1395</v>
      </c>
    </row>
    <row r="2128" spans="1:9" ht="14.5" x14ac:dyDescent="0.35">
      <c r="A2128" s="2">
        <v>1519797</v>
      </c>
      <c r="B2128" s="2" t="str">
        <f>"3329102812900003"</f>
        <v>3329102812900003</v>
      </c>
      <c r="C2128" s="2" t="s">
        <v>2708</v>
      </c>
      <c r="D2128" s="2" t="s">
        <v>10</v>
      </c>
      <c r="E2128" s="2" t="s">
        <v>11</v>
      </c>
      <c r="F2128" s="2" t="s">
        <v>18</v>
      </c>
      <c r="G2128" s="2" t="s">
        <v>264</v>
      </c>
      <c r="H2128" s="2" t="s">
        <v>273</v>
      </c>
      <c r="I2128" s="2" t="s">
        <v>2709</v>
      </c>
    </row>
    <row r="2129" spans="1:9" ht="14.5" x14ac:dyDescent="0.35">
      <c r="A2129" s="2">
        <v>2540842</v>
      </c>
      <c r="B2129" s="2" t="str">
        <f>"3329102812900003"</f>
        <v>3329102812900003</v>
      </c>
      <c r="C2129" s="2" t="s">
        <v>2710</v>
      </c>
      <c r="D2129" s="2" t="s">
        <v>10</v>
      </c>
      <c r="E2129" s="2" t="s">
        <v>57</v>
      </c>
      <c r="F2129" s="2" t="s">
        <v>18</v>
      </c>
      <c r="G2129" s="2" t="s">
        <v>19</v>
      </c>
      <c r="H2129" s="2" t="s">
        <v>1394</v>
      </c>
      <c r="I2129" s="2" t="s">
        <v>1395</v>
      </c>
    </row>
    <row r="2130" spans="1:9" ht="14.5" x14ac:dyDescent="0.35">
      <c r="A2130" s="2">
        <v>1461214</v>
      </c>
      <c r="B2130" s="2" t="str">
        <f>"3329104703890008"</f>
        <v>3329104703890008</v>
      </c>
      <c r="C2130" s="2" t="s">
        <v>2711</v>
      </c>
      <c r="D2130" s="2" t="s">
        <v>10</v>
      </c>
      <c r="E2130" s="2" t="s">
        <v>11</v>
      </c>
      <c r="F2130" s="2" t="s">
        <v>18</v>
      </c>
      <c r="G2130" s="2" t="s">
        <v>264</v>
      </c>
      <c r="H2130" s="2" t="s">
        <v>273</v>
      </c>
      <c r="I2130" s="2" t="s">
        <v>2083</v>
      </c>
    </row>
    <row r="2131" spans="1:9" ht="14.5" x14ac:dyDescent="0.35">
      <c r="A2131" s="2">
        <v>2540355</v>
      </c>
      <c r="B2131" s="2" t="str">
        <f>"3329104703890008"</f>
        <v>3329104703890008</v>
      </c>
      <c r="C2131" s="2" t="s">
        <v>2711</v>
      </c>
      <c r="D2131" s="2" t="s">
        <v>17</v>
      </c>
      <c r="E2131" s="2" t="s">
        <v>11</v>
      </c>
      <c r="F2131" s="2" t="s">
        <v>18</v>
      </c>
      <c r="G2131" s="2" t="s">
        <v>19</v>
      </c>
      <c r="H2131" s="2" t="s">
        <v>1394</v>
      </c>
      <c r="I2131" s="2" t="s">
        <v>2235</v>
      </c>
    </row>
    <row r="2132" spans="1:9" ht="14.5" x14ac:dyDescent="0.35">
      <c r="A2132" s="2">
        <v>409597</v>
      </c>
      <c r="B2132" s="2" t="str">
        <f>"3329140107750392"</f>
        <v>3329140107750392</v>
      </c>
      <c r="C2132" s="2" t="s">
        <v>2712</v>
      </c>
      <c r="D2132" s="2" t="s">
        <v>10</v>
      </c>
      <c r="E2132" s="2" t="s">
        <v>11</v>
      </c>
      <c r="F2132" s="2" t="s">
        <v>18</v>
      </c>
      <c r="G2132" s="2" t="s">
        <v>264</v>
      </c>
      <c r="H2132" s="2" t="s">
        <v>477</v>
      </c>
      <c r="I2132" s="2" t="s">
        <v>2091</v>
      </c>
    </row>
    <row r="2133" spans="1:9" ht="14.5" x14ac:dyDescent="0.35">
      <c r="A2133" s="2">
        <v>2540461</v>
      </c>
      <c r="B2133" s="2" t="str">
        <f>"3329140107750392"</f>
        <v>3329140107750392</v>
      </c>
      <c r="C2133" s="2" t="s">
        <v>2712</v>
      </c>
      <c r="D2133" s="2" t="s">
        <v>17</v>
      </c>
      <c r="E2133" s="2" t="s">
        <v>11</v>
      </c>
      <c r="F2133" s="2" t="s">
        <v>18</v>
      </c>
      <c r="G2133" s="2" t="s">
        <v>19</v>
      </c>
      <c r="H2133" s="2" t="s">
        <v>1394</v>
      </c>
      <c r="I2133" s="2" t="s">
        <v>2194</v>
      </c>
    </row>
    <row r="2134" spans="1:9" ht="14.5" x14ac:dyDescent="0.35">
      <c r="A2134" s="2">
        <v>389522</v>
      </c>
      <c r="B2134" s="2" t="str">
        <f>"3329141208970004"</f>
        <v>3329141208970004</v>
      </c>
      <c r="C2134" s="2" t="s">
        <v>2713</v>
      </c>
      <c r="D2134" s="2" t="s">
        <v>10</v>
      </c>
      <c r="E2134" s="2" t="s">
        <v>11</v>
      </c>
      <c r="F2134" s="2" t="s">
        <v>18</v>
      </c>
      <c r="G2134" s="2" t="s">
        <v>264</v>
      </c>
      <c r="H2134" s="2" t="s">
        <v>477</v>
      </c>
      <c r="I2134" s="2" t="s">
        <v>2714</v>
      </c>
    </row>
    <row r="2135" spans="1:9" ht="14.5" x14ac:dyDescent="0.35">
      <c r="A2135" s="2">
        <v>2539882</v>
      </c>
      <c r="B2135" s="2" t="str">
        <f>"3329141208970004"</f>
        <v>3329141208970004</v>
      </c>
      <c r="C2135" s="2" t="s">
        <v>2713</v>
      </c>
      <c r="D2135" s="2" t="s">
        <v>17</v>
      </c>
      <c r="E2135" s="2" t="s">
        <v>11</v>
      </c>
      <c r="F2135" s="2" t="s">
        <v>18</v>
      </c>
      <c r="G2135" s="2" t="s">
        <v>19</v>
      </c>
      <c r="H2135" s="2" t="s">
        <v>1394</v>
      </c>
      <c r="I2135" s="2" t="s">
        <v>2187</v>
      </c>
    </row>
    <row r="2136" spans="1:9" ht="14.5" x14ac:dyDescent="0.35">
      <c r="A2136" s="2">
        <v>718970</v>
      </c>
      <c r="B2136" s="2" t="str">
        <f>"3329151007940021"</f>
        <v>3329151007940021</v>
      </c>
      <c r="C2136" s="2" t="s">
        <v>2715</v>
      </c>
      <c r="D2136" s="2" t="s">
        <v>10</v>
      </c>
      <c r="E2136" s="2" t="s">
        <v>11</v>
      </c>
      <c r="F2136" s="2" t="s">
        <v>18</v>
      </c>
      <c r="G2136" s="2" t="s">
        <v>264</v>
      </c>
      <c r="H2136" s="2" t="s">
        <v>330</v>
      </c>
      <c r="I2136" s="2" t="s">
        <v>2093</v>
      </c>
    </row>
    <row r="2137" spans="1:9" ht="14.5" x14ac:dyDescent="0.35">
      <c r="A2137" s="2">
        <v>2540891</v>
      </c>
      <c r="B2137" s="2" t="str">
        <f>"3329151007940021"</f>
        <v>3329151007940021</v>
      </c>
      <c r="C2137" s="2" t="s">
        <v>2716</v>
      </c>
      <c r="D2137" s="2" t="s">
        <v>10</v>
      </c>
      <c r="E2137" s="2" t="s">
        <v>57</v>
      </c>
      <c r="F2137" s="2" t="s">
        <v>18</v>
      </c>
      <c r="G2137" s="2" t="s">
        <v>19</v>
      </c>
      <c r="H2137" s="2" t="s">
        <v>1394</v>
      </c>
      <c r="I2137" s="2" t="s">
        <v>1395</v>
      </c>
    </row>
    <row r="2138" spans="1:9" ht="14.5" x14ac:dyDescent="0.35">
      <c r="A2138" s="2">
        <v>719011</v>
      </c>
      <c r="B2138" s="2" t="str">
        <f>"3329151210920003"</f>
        <v>3329151210920003</v>
      </c>
      <c r="C2138" s="2" t="s">
        <v>2717</v>
      </c>
      <c r="D2138" s="2" t="s">
        <v>10</v>
      </c>
      <c r="E2138" s="2" t="s">
        <v>11</v>
      </c>
      <c r="F2138" s="2" t="s">
        <v>18</v>
      </c>
      <c r="G2138" s="2" t="s">
        <v>264</v>
      </c>
      <c r="H2138" s="2" t="s">
        <v>330</v>
      </c>
      <c r="I2138" s="2" t="s">
        <v>2093</v>
      </c>
    </row>
    <row r="2139" spans="1:9" ht="14.5" x14ac:dyDescent="0.35">
      <c r="A2139" s="2">
        <v>2540906</v>
      </c>
      <c r="B2139" s="2" t="str">
        <f>"3329151210920003"</f>
        <v>3329151210920003</v>
      </c>
      <c r="C2139" s="2" t="s">
        <v>2718</v>
      </c>
      <c r="D2139" s="2" t="s">
        <v>10</v>
      </c>
      <c r="E2139" s="2" t="s">
        <v>57</v>
      </c>
      <c r="F2139" s="2" t="s">
        <v>18</v>
      </c>
      <c r="G2139" s="2" t="s">
        <v>19</v>
      </c>
      <c r="H2139" s="2" t="s">
        <v>1394</v>
      </c>
      <c r="I2139" s="2" t="s">
        <v>1395</v>
      </c>
    </row>
    <row r="2140" spans="1:9" ht="14.5" x14ac:dyDescent="0.35">
      <c r="A2140" s="2">
        <v>907250</v>
      </c>
      <c r="B2140" s="2" t="str">
        <f>"3329151507930005"</f>
        <v>3329151507930005</v>
      </c>
      <c r="C2140" s="2" t="s">
        <v>2719</v>
      </c>
      <c r="D2140" s="2" t="s">
        <v>10</v>
      </c>
      <c r="E2140" s="2" t="s">
        <v>11</v>
      </c>
      <c r="F2140" s="2" t="s">
        <v>18</v>
      </c>
      <c r="G2140" s="2" t="s">
        <v>264</v>
      </c>
      <c r="H2140" s="2" t="s">
        <v>330</v>
      </c>
      <c r="I2140" s="2" t="s">
        <v>2720</v>
      </c>
    </row>
    <row r="2141" spans="1:9" ht="14.5" x14ac:dyDescent="0.35">
      <c r="A2141" s="2">
        <v>2540678</v>
      </c>
      <c r="B2141" s="2" t="str">
        <f>"3329151507930005"</f>
        <v>3329151507930005</v>
      </c>
      <c r="C2141" s="2" t="s">
        <v>2721</v>
      </c>
      <c r="D2141" s="2" t="s">
        <v>10</v>
      </c>
      <c r="E2141" s="2" t="s">
        <v>57</v>
      </c>
      <c r="F2141" s="2" t="s">
        <v>18</v>
      </c>
      <c r="G2141" s="2" t="s">
        <v>19</v>
      </c>
      <c r="H2141" s="2" t="s">
        <v>1394</v>
      </c>
      <c r="I2141" s="2" t="s">
        <v>1395</v>
      </c>
    </row>
    <row r="2142" spans="1:9" ht="14.5" x14ac:dyDescent="0.35">
      <c r="A2142" s="2">
        <v>805703</v>
      </c>
      <c r="B2142" s="2" t="str">
        <f>"3329162707810004"</f>
        <v>3329162707810004</v>
      </c>
      <c r="C2142" s="2" t="s">
        <v>71</v>
      </c>
      <c r="D2142" s="2" t="s">
        <v>10</v>
      </c>
      <c r="E2142" s="2" t="s">
        <v>11</v>
      </c>
      <c r="F2142" s="2" t="s">
        <v>18</v>
      </c>
      <c r="G2142" s="2" t="s">
        <v>264</v>
      </c>
      <c r="H2142" s="2" t="s">
        <v>344</v>
      </c>
      <c r="I2142" s="2" t="s">
        <v>344</v>
      </c>
    </row>
    <row r="2143" spans="1:9" ht="14.5" x14ac:dyDescent="0.35">
      <c r="A2143" s="2">
        <v>2540913</v>
      </c>
      <c r="B2143" s="2" t="str">
        <f>"3329162707810004"</f>
        <v>3329162707810004</v>
      </c>
      <c r="C2143" s="2" t="s">
        <v>2722</v>
      </c>
      <c r="D2143" s="2" t="s">
        <v>10</v>
      </c>
      <c r="E2143" s="2" t="s">
        <v>57</v>
      </c>
      <c r="F2143" s="2" t="s">
        <v>18</v>
      </c>
      <c r="G2143" s="2" t="s">
        <v>19</v>
      </c>
      <c r="H2143" s="2" t="s">
        <v>1394</v>
      </c>
      <c r="I2143" s="2" t="s">
        <v>1395</v>
      </c>
    </row>
    <row r="2144" spans="1:9" ht="14.5" x14ac:dyDescent="0.35">
      <c r="A2144" s="2">
        <v>175100</v>
      </c>
      <c r="B2144" s="2" t="str">
        <f>"3371022606710003"</f>
        <v>3371022606710003</v>
      </c>
      <c r="C2144" s="2" t="s">
        <v>2723</v>
      </c>
      <c r="D2144" s="2" t="s">
        <v>10</v>
      </c>
      <c r="E2144" s="2" t="s">
        <v>11</v>
      </c>
      <c r="F2144" s="2" t="s">
        <v>18</v>
      </c>
      <c r="G2144" s="2" t="s">
        <v>298</v>
      </c>
      <c r="H2144" s="2" t="s">
        <v>2724</v>
      </c>
      <c r="I2144" s="2" t="s">
        <v>2725</v>
      </c>
    </row>
    <row r="2145" spans="1:9" ht="14.5" x14ac:dyDescent="0.35">
      <c r="A2145" s="2">
        <v>2539444</v>
      </c>
      <c r="B2145" s="2" t="str">
        <f>"3371022606710003"</f>
        <v>3371022606710003</v>
      </c>
      <c r="C2145" s="2" t="s">
        <v>2726</v>
      </c>
      <c r="D2145" s="2" t="s">
        <v>17</v>
      </c>
      <c r="E2145" s="2" t="s">
        <v>11</v>
      </c>
      <c r="F2145" s="2" t="s">
        <v>18</v>
      </c>
      <c r="G2145" s="2" t="s">
        <v>19</v>
      </c>
      <c r="H2145" s="2" t="s">
        <v>1394</v>
      </c>
      <c r="I2145" s="2" t="s">
        <v>2161</v>
      </c>
    </row>
    <row r="2146" spans="1:9" ht="14.5" x14ac:dyDescent="0.35">
      <c r="A2146" s="2">
        <v>352401</v>
      </c>
      <c r="B2146" s="2" t="str">
        <f>"3372042201970004"</f>
        <v>3372042201970004</v>
      </c>
      <c r="C2146" s="2" t="s">
        <v>2727</v>
      </c>
      <c r="D2146" s="2" t="s">
        <v>10</v>
      </c>
      <c r="E2146" s="2" t="s">
        <v>11</v>
      </c>
      <c r="F2146" s="2" t="s">
        <v>18</v>
      </c>
      <c r="G2146" s="2" t="s">
        <v>2389</v>
      </c>
      <c r="H2146" s="2" t="s">
        <v>2728</v>
      </c>
      <c r="I2146" s="2" t="s">
        <v>2729</v>
      </c>
    </row>
    <row r="2147" spans="1:9" ht="14.5" x14ac:dyDescent="0.35">
      <c r="A2147" s="2">
        <v>2540775</v>
      </c>
      <c r="B2147" s="2" t="str">
        <f>"3372042201970004"</f>
        <v>3372042201970004</v>
      </c>
      <c r="C2147" s="2" t="s">
        <v>2730</v>
      </c>
      <c r="D2147" s="2" t="s">
        <v>10</v>
      </c>
      <c r="E2147" s="2" t="s">
        <v>57</v>
      </c>
      <c r="F2147" s="2" t="s">
        <v>18</v>
      </c>
      <c r="G2147" s="2" t="s">
        <v>19</v>
      </c>
      <c r="H2147" s="2" t="s">
        <v>1394</v>
      </c>
      <c r="I2147" s="2" t="s">
        <v>1395</v>
      </c>
    </row>
    <row r="2148" spans="1:9" ht="14.5" x14ac:dyDescent="0.35">
      <c r="A2148" s="2">
        <v>1860271</v>
      </c>
      <c r="B2148" s="2" t="str">
        <f>"3374050204850005"</f>
        <v>3374050204850005</v>
      </c>
      <c r="C2148" s="2" t="s">
        <v>2731</v>
      </c>
      <c r="D2148" s="2" t="s">
        <v>10</v>
      </c>
      <c r="E2148" s="2" t="s">
        <v>11</v>
      </c>
      <c r="F2148" s="2" t="s">
        <v>18</v>
      </c>
      <c r="G2148" s="2" t="s">
        <v>1438</v>
      </c>
      <c r="H2148" s="2" t="s">
        <v>2732</v>
      </c>
      <c r="I2148" s="2" t="s">
        <v>2733</v>
      </c>
    </row>
    <row r="2149" spans="1:9" ht="14.5" x14ac:dyDescent="0.35">
      <c r="A2149" s="2">
        <v>2540672</v>
      </c>
      <c r="B2149" s="2" t="str">
        <f>"3374050204850005"</f>
        <v>3374050204850005</v>
      </c>
      <c r="C2149" s="2" t="s">
        <v>2734</v>
      </c>
      <c r="D2149" s="2" t="s">
        <v>10</v>
      </c>
      <c r="E2149" s="2" t="s">
        <v>57</v>
      </c>
      <c r="F2149" s="2" t="s">
        <v>18</v>
      </c>
      <c r="G2149" s="2" t="s">
        <v>19</v>
      </c>
      <c r="H2149" s="2" t="s">
        <v>1394</v>
      </c>
      <c r="I2149" s="2" t="s">
        <v>1395</v>
      </c>
    </row>
    <row r="2150" spans="1:9" ht="14.5" x14ac:dyDescent="0.35">
      <c r="A2150" s="2">
        <v>1860641</v>
      </c>
      <c r="B2150" s="2" t="str">
        <f>"3374050703690001"</f>
        <v>3374050703690001</v>
      </c>
      <c r="C2150" s="2" t="s">
        <v>2735</v>
      </c>
      <c r="D2150" s="2" t="s">
        <v>10</v>
      </c>
      <c r="E2150" s="2" t="s">
        <v>11</v>
      </c>
      <c r="F2150" s="2" t="s">
        <v>18</v>
      </c>
      <c r="G2150" s="2" t="s">
        <v>1438</v>
      </c>
      <c r="H2150" s="2" t="s">
        <v>2732</v>
      </c>
      <c r="I2150" s="2" t="s">
        <v>2733</v>
      </c>
    </row>
    <row r="2151" spans="1:9" ht="14.5" x14ac:dyDescent="0.35">
      <c r="A2151" s="2">
        <v>2540932</v>
      </c>
      <c r="B2151" s="2" t="str">
        <f>"3374050703690001"</f>
        <v>3374050703690001</v>
      </c>
      <c r="C2151" s="2" t="s">
        <v>2736</v>
      </c>
      <c r="D2151" s="2" t="s">
        <v>17</v>
      </c>
      <c r="E2151" s="2" t="s">
        <v>11</v>
      </c>
      <c r="F2151" s="2" t="s">
        <v>18</v>
      </c>
      <c r="G2151" s="2" t="s">
        <v>19</v>
      </c>
      <c r="H2151" s="2" t="s">
        <v>1394</v>
      </c>
      <c r="I2151" s="2" t="s">
        <v>2280</v>
      </c>
    </row>
    <row r="2152" spans="1:9" ht="14.5" x14ac:dyDescent="0.35">
      <c r="A2152" s="2">
        <v>1904015</v>
      </c>
      <c r="B2152" s="2" t="str">
        <f>"3374061003630007"</f>
        <v>3374061003630007</v>
      </c>
      <c r="C2152" s="2" t="s">
        <v>2737</v>
      </c>
      <c r="D2152" s="2" t="s">
        <v>10</v>
      </c>
      <c r="E2152" s="2" t="s">
        <v>11</v>
      </c>
      <c r="F2152" s="2" t="s">
        <v>18</v>
      </c>
      <c r="G2152" s="2" t="s">
        <v>1438</v>
      </c>
      <c r="H2152" s="2" t="s">
        <v>2738</v>
      </c>
      <c r="I2152" s="2" t="s">
        <v>2739</v>
      </c>
    </row>
    <row r="2153" spans="1:9" ht="14.5" x14ac:dyDescent="0.35">
      <c r="A2153" s="2">
        <v>2540722</v>
      </c>
      <c r="B2153" s="2" t="str">
        <f>"3374061003630007"</f>
        <v>3374061003630007</v>
      </c>
      <c r="C2153" s="2" t="s">
        <v>2740</v>
      </c>
      <c r="D2153" s="2" t="s">
        <v>10</v>
      </c>
      <c r="E2153" s="2" t="s">
        <v>57</v>
      </c>
      <c r="F2153" s="2" t="s">
        <v>18</v>
      </c>
      <c r="G2153" s="2" t="s">
        <v>19</v>
      </c>
      <c r="H2153" s="2" t="s">
        <v>1394</v>
      </c>
      <c r="I2153" s="2" t="s">
        <v>1395</v>
      </c>
    </row>
    <row r="2154" spans="1:9" ht="14.5" x14ac:dyDescent="0.35">
      <c r="A2154" s="2">
        <v>2280530</v>
      </c>
      <c r="B2154" s="2" t="str">
        <f>"3374061904700004"</f>
        <v>3374061904700004</v>
      </c>
      <c r="C2154" s="2" t="s">
        <v>2741</v>
      </c>
      <c r="D2154" s="2" t="s">
        <v>10</v>
      </c>
      <c r="E2154" s="2" t="s">
        <v>11</v>
      </c>
      <c r="F2154" s="2" t="s">
        <v>18</v>
      </c>
      <c r="G2154" s="2" t="s">
        <v>1438</v>
      </c>
      <c r="H2154" s="2" t="s">
        <v>2732</v>
      </c>
      <c r="I2154" s="2" t="s">
        <v>2742</v>
      </c>
    </row>
    <row r="2155" spans="1:9" ht="14.5" x14ac:dyDescent="0.35">
      <c r="A2155" s="2">
        <v>2540814</v>
      </c>
      <c r="B2155" s="2" t="str">
        <f>"3374061904700004"</f>
        <v>3374061904700004</v>
      </c>
      <c r="C2155" s="2" t="s">
        <v>2743</v>
      </c>
      <c r="D2155" s="2" t="s">
        <v>10</v>
      </c>
      <c r="E2155" s="2" t="s">
        <v>57</v>
      </c>
      <c r="F2155" s="2" t="s">
        <v>18</v>
      </c>
      <c r="G2155" s="2" t="s">
        <v>19</v>
      </c>
      <c r="H2155" s="2" t="s">
        <v>1394</v>
      </c>
      <c r="I2155" s="2" t="s">
        <v>1395</v>
      </c>
    </row>
    <row r="2156" spans="1:9" ht="14.5" x14ac:dyDescent="0.35">
      <c r="A2156" s="2">
        <v>2511913</v>
      </c>
      <c r="B2156" s="2" t="str">
        <f>"3374063101910001"</f>
        <v>3374063101910001</v>
      </c>
      <c r="C2156" s="2" t="s">
        <v>2744</v>
      </c>
      <c r="D2156" s="2" t="s">
        <v>10</v>
      </c>
      <c r="E2156" s="2" t="s">
        <v>11</v>
      </c>
      <c r="F2156" s="2" t="s">
        <v>18</v>
      </c>
      <c r="G2156" s="2" t="s">
        <v>1438</v>
      </c>
      <c r="H2156" s="2" t="s">
        <v>2738</v>
      </c>
      <c r="I2156" s="2" t="s">
        <v>2745</v>
      </c>
    </row>
    <row r="2157" spans="1:9" ht="14.5" x14ac:dyDescent="0.35">
      <c r="A2157" s="2">
        <v>2540876</v>
      </c>
      <c r="B2157" s="2" t="str">
        <f>"3374063101910001"</f>
        <v>3374063101910001</v>
      </c>
      <c r="C2157" s="2" t="s">
        <v>2746</v>
      </c>
      <c r="D2157" s="2" t="s">
        <v>10</v>
      </c>
      <c r="E2157" s="2" t="s">
        <v>57</v>
      </c>
      <c r="F2157" s="2" t="s">
        <v>18</v>
      </c>
      <c r="G2157" s="2" t="s">
        <v>19</v>
      </c>
      <c r="H2157" s="2" t="s">
        <v>1394</v>
      </c>
      <c r="I2157" s="2" t="s">
        <v>1395</v>
      </c>
    </row>
    <row r="2158" spans="1:9" ht="14.5" x14ac:dyDescent="0.35">
      <c r="A2158" s="2">
        <v>1636325</v>
      </c>
      <c r="B2158" s="2" t="str">
        <f>"3374071704720002"</f>
        <v>3374071704720002</v>
      </c>
      <c r="C2158" s="2" t="s">
        <v>2747</v>
      </c>
      <c r="D2158" s="2" t="s">
        <v>10</v>
      </c>
      <c r="E2158" s="2" t="s">
        <v>11</v>
      </c>
      <c r="F2158" s="2" t="s">
        <v>18</v>
      </c>
      <c r="G2158" s="2" t="s">
        <v>1438</v>
      </c>
      <c r="H2158" s="2" t="s">
        <v>2748</v>
      </c>
      <c r="I2158" s="2" t="s">
        <v>2748</v>
      </c>
    </row>
    <row r="2159" spans="1:9" ht="14.5" x14ac:dyDescent="0.35">
      <c r="A2159" s="2">
        <v>2540818</v>
      </c>
      <c r="B2159" s="2" t="str">
        <f>"3374071704720002"</f>
        <v>3374071704720002</v>
      </c>
      <c r="C2159" s="2" t="s">
        <v>2749</v>
      </c>
      <c r="D2159" s="2" t="s">
        <v>10</v>
      </c>
      <c r="E2159" s="2" t="s">
        <v>57</v>
      </c>
      <c r="F2159" s="2" t="s">
        <v>18</v>
      </c>
      <c r="G2159" s="2" t="s">
        <v>19</v>
      </c>
      <c r="H2159" s="2" t="s">
        <v>1394</v>
      </c>
      <c r="I2159" s="2" t="s">
        <v>1395</v>
      </c>
    </row>
    <row r="2160" spans="1:9" ht="14.5" x14ac:dyDescent="0.35">
      <c r="A2160" s="2">
        <v>1641230</v>
      </c>
      <c r="B2160" s="2" t="str">
        <f>"3374092005870001"</f>
        <v>3374092005870001</v>
      </c>
      <c r="C2160" s="2" t="s">
        <v>2750</v>
      </c>
      <c r="D2160" s="2" t="s">
        <v>10</v>
      </c>
      <c r="E2160" s="2" t="s">
        <v>11</v>
      </c>
      <c r="F2160" s="2" t="s">
        <v>18</v>
      </c>
      <c r="G2160" s="2" t="s">
        <v>1438</v>
      </c>
      <c r="H2160" s="2" t="s">
        <v>2748</v>
      </c>
      <c r="I2160" s="2" t="s">
        <v>2748</v>
      </c>
    </row>
    <row r="2161" spans="1:9" ht="14.5" x14ac:dyDescent="0.35">
      <c r="A2161" s="2">
        <v>2540670</v>
      </c>
      <c r="B2161" s="2" t="str">
        <f>"3374092005870001"</f>
        <v>3374092005870001</v>
      </c>
      <c r="C2161" s="2" t="s">
        <v>2751</v>
      </c>
      <c r="D2161" s="2" t="s">
        <v>10</v>
      </c>
      <c r="E2161" s="2" t="s">
        <v>57</v>
      </c>
      <c r="F2161" s="2" t="s">
        <v>18</v>
      </c>
      <c r="G2161" s="2" t="s">
        <v>19</v>
      </c>
      <c r="H2161" s="2" t="s">
        <v>1394</v>
      </c>
      <c r="I2161" s="2" t="s">
        <v>1395</v>
      </c>
    </row>
    <row r="2162" spans="1:9" ht="14.5" x14ac:dyDescent="0.35">
      <c r="A2162" s="2">
        <v>426013</v>
      </c>
      <c r="B2162" s="2" t="str">
        <f>"3375043003880004"</f>
        <v>3375043003880004</v>
      </c>
      <c r="C2162" s="2" t="s">
        <v>2752</v>
      </c>
      <c r="D2162" s="2" t="s">
        <v>189</v>
      </c>
      <c r="E2162" s="2" t="s">
        <v>11</v>
      </c>
      <c r="F2162" s="2" t="s">
        <v>18</v>
      </c>
      <c r="G2162" s="2" t="s">
        <v>2753</v>
      </c>
      <c r="H2162" s="2" t="s">
        <v>2754</v>
      </c>
      <c r="I2162" s="2" t="s">
        <v>2755</v>
      </c>
    </row>
    <row r="2163" spans="1:9" ht="14.5" x14ac:dyDescent="0.35">
      <c r="A2163" s="2">
        <v>2540687</v>
      </c>
      <c r="B2163" s="2" t="str">
        <f>"3375043003880004"</f>
        <v>3375043003880004</v>
      </c>
      <c r="C2163" s="2" t="s">
        <v>2756</v>
      </c>
      <c r="D2163" s="2" t="s">
        <v>10</v>
      </c>
      <c r="E2163" s="2" t="s">
        <v>57</v>
      </c>
      <c r="F2163" s="2" t="s">
        <v>18</v>
      </c>
      <c r="G2163" s="2" t="s">
        <v>19</v>
      </c>
      <c r="H2163" s="2" t="s">
        <v>1394</v>
      </c>
      <c r="I2163" s="2" t="s">
        <v>1395</v>
      </c>
    </row>
    <row r="2164" spans="1:9" ht="14.5" x14ac:dyDescent="0.35">
      <c r="A2164" s="2">
        <v>338328</v>
      </c>
      <c r="B2164" s="2" t="str">
        <f>"3376010206820008"</f>
        <v>3376010206820008</v>
      </c>
      <c r="C2164" s="2" t="s">
        <v>2757</v>
      </c>
      <c r="D2164" s="2" t="s">
        <v>10</v>
      </c>
      <c r="E2164" s="2" t="s">
        <v>11</v>
      </c>
      <c r="F2164" s="2" t="s">
        <v>18</v>
      </c>
      <c r="G2164" s="2" t="s">
        <v>268</v>
      </c>
      <c r="H2164" s="2" t="s">
        <v>277</v>
      </c>
      <c r="I2164" s="2" t="s">
        <v>278</v>
      </c>
    </row>
    <row r="2165" spans="1:9" ht="14.5" x14ac:dyDescent="0.35">
      <c r="A2165" s="2">
        <v>2540853</v>
      </c>
      <c r="B2165" s="2" t="str">
        <f>"3376010206820008"</f>
        <v>3376010206820008</v>
      </c>
      <c r="C2165" s="2" t="s">
        <v>2758</v>
      </c>
      <c r="D2165" s="2" t="s">
        <v>10</v>
      </c>
      <c r="E2165" s="2" t="s">
        <v>57</v>
      </c>
      <c r="F2165" s="2" t="s">
        <v>18</v>
      </c>
      <c r="G2165" s="2" t="s">
        <v>19</v>
      </c>
      <c r="H2165" s="2" t="s">
        <v>1394</v>
      </c>
      <c r="I2165" s="2" t="s">
        <v>1395</v>
      </c>
    </row>
    <row r="2166" spans="1:9" ht="14.5" x14ac:dyDescent="0.35">
      <c r="A2166" s="2">
        <v>284829</v>
      </c>
      <c r="B2166" s="2" t="str">
        <f>"3376011105810001"</f>
        <v>3376011105810001</v>
      </c>
      <c r="C2166" s="2" t="s">
        <v>2759</v>
      </c>
      <c r="D2166" s="2" t="s">
        <v>10</v>
      </c>
      <c r="E2166" s="2" t="s">
        <v>11</v>
      </c>
      <c r="F2166" s="2" t="s">
        <v>18</v>
      </c>
      <c r="G2166" s="2" t="s">
        <v>268</v>
      </c>
      <c r="H2166" s="2" t="s">
        <v>277</v>
      </c>
      <c r="I2166" s="2" t="s">
        <v>884</v>
      </c>
    </row>
    <row r="2167" spans="1:9" ht="14.5" x14ac:dyDescent="0.35">
      <c r="A2167" s="2">
        <v>2540776</v>
      </c>
      <c r="B2167" s="2" t="str">
        <f>"3376011105810001"</f>
        <v>3376011105810001</v>
      </c>
      <c r="C2167" s="2" t="s">
        <v>2760</v>
      </c>
      <c r="D2167" s="2" t="s">
        <v>10</v>
      </c>
      <c r="E2167" s="2" t="s">
        <v>57</v>
      </c>
      <c r="F2167" s="2" t="s">
        <v>18</v>
      </c>
      <c r="G2167" s="2" t="s">
        <v>19</v>
      </c>
      <c r="H2167" s="2" t="s">
        <v>1394</v>
      </c>
      <c r="I2167" s="2" t="s">
        <v>1395</v>
      </c>
    </row>
    <row r="2168" spans="1:9" ht="14.5" x14ac:dyDescent="0.35">
      <c r="A2168" s="2">
        <v>294054</v>
      </c>
      <c r="B2168" s="2" t="str">
        <f>"3376012803780002"</f>
        <v>3376012803780002</v>
      </c>
      <c r="C2168" s="2" t="s">
        <v>2761</v>
      </c>
      <c r="D2168" s="2" t="s">
        <v>10</v>
      </c>
      <c r="E2168" s="2" t="s">
        <v>11</v>
      </c>
      <c r="F2168" s="2" t="s">
        <v>18</v>
      </c>
      <c r="G2168" s="2" t="s">
        <v>268</v>
      </c>
      <c r="H2168" s="2" t="s">
        <v>277</v>
      </c>
      <c r="I2168" s="2" t="s">
        <v>2762</v>
      </c>
    </row>
    <row r="2169" spans="1:9" ht="14.5" x14ac:dyDescent="0.35">
      <c r="A2169" s="2">
        <v>2540724</v>
      </c>
      <c r="B2169" s="2" t="str">
        <f>"3376012803780002"</f>
        <v>3376012803780002</v>
      </c>
      <c r="C2169" s="2" t="s">
        <v>2763</v>
      </c>
      <c r="D2169" s="2" t="s">
        <v>10</v>
      </c>
      <c r="E2169" s="2" t="s">
        <v>57</v>
      </c>
      <c r="F2169" s="2" t="s">
        <v>18</v>
      </c>
      <c r="G2169" s="2" t="s">
        <v>19</v>
      </c>
      <c r="H2169" s="2" t="s">
        <v>1394</v>
      </c>
      <c r="I2169" s="2" t="s">
        <v>1395</v>
      </c>
    </row>
    <row r="2170" spans="1:9" ht="14.5" x14ac:dyDescent="0.35">
      <c r="A2170" s="2">
        <v>238980</v>
      </c>
      <c r="B2170" s="2" t="str">
        <f>"3376020102940007"</f>
        <v>3376020102940007</v>
      </c>
      <c r="C2170" s="2" t="s">
        <v>2764</v>
      </c>
      <c r="D2170" s="2" t="s">
        <v>10</v>
      </c>
      <c r="E2170" s="2" t="s">
        <v>11</v>
      </c>
      <c r="F2170" s="2" t="s">
        <v>18</v>
      </c>
      <c r="G2170" s="2" t="s">
        <v>268</v>
      </c>
      <c r="H2170" s="2" t="s">
        <v>371</v>
      </c>
      <c r="I2170" s="2" t="s">
        <v>372</v>
      </c>
    </row>
    <row r="2171" spans="1:9" ht="14.5" x14ac:dyDescent="0.35">
      <c r="A2171" s="2">
        <v>2540797</v>
      </c>
      <c r="B2171" s="2" t="str">
        <f>"3376020102940007"</f>
        <v>3376020102940007</v>
      </c>
      <c r="C2171" s="2" t="s">
        <v>2765</v>
      </c>
      <c r="D2171" s="2" t="s">
        <v>10</v>
      </c>
      <c r="E2171" s="2" t="s">
        <v>57</v>
      </c>
      <c r="F2171" s="2" t="s">
        <v>18</v>
      </c>
      <c r="G2171" s="2" t="s">
        <v>19</v>
      </c>
      <c r="H2171" s="2" t="s">
        <v>1394</v>
      </c>
      <c r="I2171" s="2" t="s">
        <v>1395</v>
      </c>
    </row>
    <row r="2172" spans="1:9" ht="14.5" x14ac:dyDescent="0.35">
      <c r="A2172" s="2">
        <v>237929</v>
      </c>
      <c r="B2172" s="2" t="str">
        <f>"3376020103960003"</f>
        <v>3376020103960003</v>
      </c>
      <c r="C2172" s="2" t="s">
        <v>2766</v>
      </c>
      <c r="D2172" s="2" t="s">
        <v>10</v>
      </c>
      <c r="E2172" s="2" t="s">
        <v>11</v>
      </c>
      <c r="F2172" s="2" t="s">
        <v>18</v>
      </c>
      <c r="G2172" s="2" t="s">
        <v>268</v>
      </c>
      <c r="H2172" s="2" t="s">
        <v>371</v>
      </c>
      <c r="I2172" s="2" t="s">
        <v>372</v>
      </c>
    </row>
    <row r="2173" spans="1:9" ht="14.5" x14ac:dyDescent="0.35">
      <c r="A2173" s="2">
        <v>2540863</v>
      </c>
      <c r="B2173" s="2" t="str">
        <f>"3376020103960003"</f>
        <v>3376020103960003</v>
      </c>
      <c r="C2173" s="2" t="s">
        <v>2767</v>
      </c>
      <c r="D2173" s="2" t="s">
        <v>10</v>
      </c>
      <c r="E2173" s="2" t="s">
        <v>57</v>
      </c>
      <c r="F2173" s="2" t="s">
        <v>18</v>
      </c>
      <c r="G2173" s="2" t="s">
        <v>19</v>
      </c>
      <c r="H2173" s="2" t="s">
        <v>1394</v>
      </c>
      <c r="I2173" s="2" t="s">
        <v>1395</v>
      </c>
    </row>
    <row r="2174" spans="1:9" ht="14.5" x14ac:dyDescent="0.35">
      <c r="A2174" s="2">
        <v>207395</v>
      </c>
      <c r="B2174" s="2" t="str">
        <f>"3376020504780004"</f>
        <v>3376020504780004</v>
      </c>
      <c r="C2174" s="2" t="s">
        <v>2768</v>
      </c>
      <c r="D2174" s="2" t="s">
        <v>10</v>
      </c>
      <c r="E2174" s="2" t="s">
        <v>11</v>
      </c>
      <c r="F2174" s="2" t="s">
        <v>18</v>
      </c>
      <c r="G2174" s="2" t="s">
        <v>268</v>
      </c>
      <c r="H2174" s="2" t="s">
        <v>371</v>
      </c>
      <c r="I2174" s="2" t="s">
        <v>2769</v>
      </c>
    </row>
    <row r="2175" spans="1:9" ht="14.5" x14ac:dyDescent="0.35">
      <c r="A2175" s="2">
        <v>2540800</v>
      </c>
      <c r="B2175" s="2" t="str">
        <f>"3376020504780004"</f>
        <v>3376020504780004</v>
      </c>
      <c r="C2175" s="2" t="s">
        <v>2770</v>
      </c>
      <c r="D2175" s="2" t="s">
        <v>10</v>
      </c>
      <c r="E2175" s="2" t="s">
        <v>57</v>
      </c>
      <c r="F2175" s="2" t="s">
        <v>18</v>
      </c>
      <c r="G2175" s="2" t="s">
        <v>19</v>
      </c>
      <c r="H2175" s="2" t="s">
        <v>1394</v>
      </c>
      <c r="I2175" s="2" t="s">
        <v>1395</v>
      </c>
    </row>
    <row r="2176" spans="1:9" ht="14.5" x14ac:dyDescent="0.35">
      <c r="A2176" s="2">
        <v>213736</v>
      </c>
      <c r="B2176" s="2" t="str">
        <f>"3376021410950002"</f>
        <v>3376021410950002</v>
      </c>
      <c r="C2176" s="2" t="s">
        <v>2771</v>
      </c>
      <c r="D2176" s="2" t="s">
        <v>10</v>
      </c>
      <c r="E2176" s="2" t="s">
        <v>11</v>
      </c>
      <c r="F2176" s="2" t="s">
        <v>18</v>
      </c>
      <c r="G2176" s="2" t="s">
        <v>268</v>
      </c>
      <c r="H2176" s="2" t="s">
        <v>371</v>
      </c>
      <c r="I2176" s="2" t="s">
        <v>2772</v>
      </c>
    </row>
    <row r="2177" spans="1:9" ht="14.5" x14ac:dyDescent="0.35">
      <c r="A2177" s="2">
        <v>2538700</v>
      </c>
      <c r="B2177" s="2" t="str">
        <f>"3376021410950002"</f>
        <v>3376021410950002</v>
      </c>
      <c r="C2177" s="2" t="s">
        <v>2771</v>
      </c>
      <c r="D2177" s="2" t="s">
        <v>17</v>
      </c>
      <c r="E2177" s="2" t="s">
        <v>11</v>
      </c>
      <c r="F2177" s="2" t="s">
        <v>18</v>
      </c>
      <c r="G2177" s="2" t="s">
        <v>19</v>
      </c>
      <c r="H2177" s="2" t="s">
        <v>1394</v>
      </c>
      <c r="I2177" s="2" t="s">
        <v>2520</v>
      </c>
    </row>
    <row r="2178" spans="1:9" ht="14.5" x14ac:dyDescent="0.35">
      <c r="A2178" s="2">
        <v>233533</v>
      </c>
      <c r="B2178" s="2" t="str">
        <f>"3376022604990001"</f>
        <v>3376022604990001</v>
      </c>
      <c r="C2178" s="2" t="s">
        <v>2773</v>
      </c>
      <c r="D2178" s="2" t="s">
        <v>10</v>
      </c>
      <c r="E2178" s="2" t="s">
        <v>11</v>
      </c>
      <c r="F2178" s="2" t="s">
        <v>18</v>
      </c>
      <c r="G2178" s="2" t="s">
        <v>268</v>
      </c>
      <c r="H2178" s="2" t="s">
        <v>371</v>
      </c>
      <c r="I2178" s="2" t="s">
        <v>372</v>
      </c>
    </row>
    <row r="2179" spans="1:9" ht="14.5" x14ac:dyDescent="0.35">
      <c r="A2179" s="2">
        <v>2540894</v>
      </c>
      <c r="B2179" s="2" t="str">
        <f>"3376022604990001"</f>
        <v>3376022604990001</v>
      </c>
      <c r="C2179" s="2" t="s">
        <v>2774</v>
      </c>
      <c r="D2179" s="2" t="s">
        <v>10</v>
      </c>
      <c r="E2179" s="2" t="s">
        <v>57</v>
      </c>
      <c r="F2179" s="2" t="s">
        <v>18</v>
      </c>
      <c r="G2179" s="2" t="s">
        <v>19</v>
      </c>
      <c r="H2179" s="2" t="s">
        <v>1394</v>
      </c>
      <c r="I2179" s="2" t="s">
        <v>1395</v>
      </c>
    </row>
    <row r="2180" spans="1:9" ht="14.5" x14ac:dyDescent="0.35">
      <c r="A2180" s="2">
        <v>315099</v>
      </c>
      <c r="B2180" s="2" t="str">
        <f>"3376031209870002"</f>
        <v>3376031209870002</v>
      </c>
      <c r="C2180" s="2" t="s">
        <v>2775</v>
      </c>
      <c r="D2180" s="2" t="s">
        <v>10</v>
      </c>
      <c r="E2180" s="2" t="s">
        <v>11</v>
      </c>
      <c r="F2180" s="2" t="s">
        <v>18</v>
      </c>
      <c r="G2180" s="2" t="s">
        <v>268</v>
      </c>
      <c r="H2180" s="2" t="s">
        <v>269</v>
      </c>
      <c r="I2180" s="2" t="s">
        <v>1662</v>
      </c>
    </row>
    <row r="2181" spans="1:9" ht="14.5" x14ac:dyDescent="0.35">
      <c r="A2181" s="2">
        <v>2538489</v>
      </c>
      <c r="B2181" s="2" t="str">
        <f>"3376031209870002"</f>
        <v>3376031209870002</v>
      </c>
      <c r="C2181" s="2" t="s">
        <v>2775</v>
      </c>
      <c r="D2181" s="2" t="s">
        <v>17</v>
      </c>
      <c r="E2181" s="2" t="s">
        <v>11</v>
      </c>
      <c r="F2181" s="2" t="s">
        <v>18</v>
      </c>
      <c r="G2181" s="2" t="s">
        <v>19</v>
      </c>
      <c r="H2181" s="2" t="s">
        <v>1394</v>
      </c>
      <c r="I2181" s="2" t="s">
        <v>2189</v>
      </c>
    </row>
    <row r="2182" spans="1:9" ht="14.5" x14ac:dyDescent="0.35">
      <c r="A2182" s="2">
        <v>384484</v>
      </c>
      <c r="B2182" s="2" t="str">
        <f>"3376041012970001"</f>
        <v>3376041012970001</v>
      </c>
      <c r="C2182" s="2" t="s">
        <v>2776</v>
      </c>
      <c r="D2182" s="2" t="s">
        <v>10</v>
      </c>
      <c r="E2182" s="2" t="s">
        <v>11</v>
      </c>
      <c r="F2182" s="2" t="s">
        <v>18</v>
      </c>
      <c r="G2182" s="2" t="s">
        <v>268</v>
      </c>
      <c r="H2182" s="2" t="s">
        <v>448</v>
      </c>
      <c r="I2182" s="2" t="s">
        <v>2777</v>
      </c>
    </row>
    <row r="2183" spans="1:9" ht="14.5" x14ac:dyDescent="0.35">
      <c r="A2183" s="2">
        <v>2540907</v>
      </c>
      <c r="B2183" s="2" t="str">
        <f>"3376041012970001"</f>
        <v>3376041012970001</v>
      </c>
      <c r="C2183" s="2" t="s">
        <v>2778</v>
      </c>
      <c r="D2183" s="2" t="s">
        <v>10</v>
      </c>
      <c r="E2183" s="2" t="s">
        <v>57</v>
      </c>
      <c r="F2183" s="2" t="s">
        <v>18</v>
      </c>
      <c r="G2183" s="2" t="s">
        <v>19</v>
      </c>
      <c r="H2183" s="2" t="s">
        <v>1394</v>
      </c>
      <c r="I2183" s="2" t="s">
        <v>1395</v>
      </c>
    </row>
    <row r="2184" spans="1:9" ht="14.5" x14ac:dyDescent="0.35">
      <c r="A2184" s="2">
        <v>379393</v>
      </c>
      <c r="B2184" s="2" t="str">
        <f>"3376041207960001"</f>
        <v>3376041207960001</v>
      </c>
      <c r="C2184" s="2" t="s">
        <v>1292</v>
      </c>
      <c r="D2184" s="2" t="s">
        <v>10</v>
      </c>
      <c r="E2184" s="2" t="s">
        <v>11</v>
      </c>
      <c r="F2184" s="2" t="s">
        <v>18</v>
      </c>
      <c r="G2184" s="2" t="s">
        <v>268</v>
      </c>
      <c r="H2184" s="2" t="s">
        <v>448</v>
      </c>
      <c r="I2184" s="2" t="s">
        <v>449</v>
      </c>
    </row>
    <row r="2185" spans="1:9" ht="14.5" x14ac:dyDescent="0.35">
      <c r="A2185" s="2">
        <v>2539949</v>
      </c>
      <c r="B2185" s="2" t="str">
        <f>"3376041207960001"</f>
        <v>3376041207960001</v>
      </c>
      <c r="C2185" s="2" t="s">
        <v>1292</v>
      </c>
      <c r="D2185" s="2" t="s">
        <v>17</v>
      </c>
      <c r="E2185" s="2" t="s">
        <v>11</v>
      </c>
      <c r="F2185" s="2" t="s">
        <v>18</v>
      </c>
      <c r="G2185" s="2" t="s">
        <v>19</v>
      </c>
      <c r="H2185" s="2" t="s">
        <v>1394</v>
      </c>
      <c r="I2185" s="2" t="s">
        <v>2261</v>
      </c>
    </row>
    <row r="2186" spans="1:9" ht="14.5" x14ac:dyDescent="0.35">
      <c r="A2186" s="2">
        <v>402673</v>
      </c>
      <c r="B2186" s="2" t="str">
        <f>"3376041906930001"</f>
        <v>3376041906930001</v>
      </c>
      <c r="C2186" s="2" t="s">
        <v>2779</v>
      </c>
      <c r="D2186" s="2" t="s">
        <v>10</v>
      </c>
      <c r="E2186" s="2" t="s">
        <v>11</v>
      </c>
      <c r="F2186" s="2" t="s">
        <v>18</v>
      </c>
      <c r="G2186" s="2" t="s">
        <v>268</v>
      </c>
      <c r="H2186" s="2" t="s">
        <v>448</v>
      </c>
      <c r="I2186" s="2" t="s">
        <v>448</v>
      </c>
    </row>
    <row r="2187" spans="1:9" ht="14.5" x14ac:dyDescent="0.35">
      <c r="A2187" s="2">
        <v>2540908</v>
      </c>
      <c r="B2187" s="2" t="str">
        <f>"3376041906930001"</f>
        <v>3376041906930001</v>
      </c>
      <c r="C2187" s="2" t="s">
        <v>2780</v>
      </c>
      <c r="D2187" s="2" t="s">
        <v>10</v>
      </c>
      <c r="E2187" s="2" t="s">
        <v>57</v>
      </c>
      <c r="F2187" s="2" t="s">
        <v>18</v>
      </c>
      <c r="G2187" s="2" t="s">
        <v>19</v>
      </c>
      <c r="H2187" s="2" t="s">
        <v>1394</v>
      </c>
      <c r="I2187" s="2" t="s">
        <v>1395</v>
      </c>
    </row>
    <row r="2188" spans="1:9" ht="14.5" x14ac:dyDescent="0.35">
      <c r="A2188" s="2">
        <v>379749</v>
      </c>
      <c r="B2188" s="2" t="str">
        <f>"3376043012940005"</f>
        <v>3376043012940005</v>
      </c>
      <c r="C2188" s="2" t="s">
        <v>2781</v>
      </c>
      <c r="D2188" s="2" t="s">
        <v>10</v>
      </c>
      <c r="E2188" s="2" t="s">
        <v>11</v>
      </c>
      <c r="F2188" s="2" t="s">
        <v>18</v>
      </c>
      <c r="G2188" s="2" t="s">
        <v>268</v>
      </c>
      <c r="H2188" s="2" t="s">
        <v>448</v>
      </c>
      <c r="I2188" s="2" t="s">
        <v>449</v>
      </c>
    </row>
    <row r="2189" spans="1:9" ht="14.5" x14ac:dyDescent="0.35">
      <c r="A2189" s="2">
        <v>2539805</v>
      </c>
      <c r="B2189" s="2" t="str">
        <f>"3376043012940005"</f>
        <v>3376043012940005</v>
      </c>
      <c r="C2189" s="2" t="s">
        <v>2781</v>
      </c>
      <c r="D2189" s="2" t="s">
        <v>17</v>
      </c>
      <c r="E2189" s="2" t="s">
        <v>11</v>
      </c>
      <c r="F2189" s="2" t="s">
        <v>18</v>
      </c>
      <c r="G2189" s="2" t="s">
        <v>19</v>
      </c>
      <c r="H2189" s="2" t="s">
        <v>1394</v>
      </c>
      <c r="I2189" s="2" t="s">
        <v>2172</v>
      </c>
    </row>
    <row r="2190" spans="1:9" ht="14.5" x14ac:dyDescent="0.35">
      <c r="A2190" s="2">
        <v>2540683</v>
      </c>
      <c r="B2190" s="2" t="str">
        <f>"3516011110790001"</f>
        <v>3516011110790001</v>
      </c>
      <c r="C2190" s="2" t="s">
        <v>2782</v>
      </c>
      <c r="D2190" s="2" t="s">
        <v>10</v>
      </c>
      <c r="E2190" s="2" t="s">
        <v>57</v>
      </c>
      <c r="F2190" s="2" t="s">
        <v>18</v>
      </c>
      <c r="G2190" s="2" t="s">
        <v>19</v>
      </c>
      <c r="H2190" s="2" t="s">
        <v>1394</v>
      </c>
      <c r="I2190" s="2" t="s">
        <v>1395</v>
      </c>
    </row>
    <row r="2191" spans="1:9" ht="14.5" x14ac:dyDescent="0.35">
      <c r="A2191" s="2">
        <v>617166</v>
      </c>
      <c r="B2191" s="2" t="str">
        <f>"3516011110790001"</f>
        <v>3516011110790001</v>
      </c>
      <c r="C2191" s="2" t="s">
        <v>2783</v>
      </c>
      <c r="D2191" s="2" t="s">
        <v>10</v>
      </c>
      <c r="E2191" s="2" t="s">
        <v>11</v>
      </c>
      <c r="F2191" s="2" t="s">
        <v>303</v>
      </c>
      <c r="G2191" s="2" t="s">
        <v>2784</v>
      </c>
      <c r="H2191" s="2" t="s">
        <v>2785</v>
      </c>
      <c r="I2191" s="2" t="s">
        <v>2786</v>
      </c>
    </row>
    <row r="2192" spans="1:9" ht="14.5" x14ac:dyDescent="0.35">
      <c r="A2192" s="2">
        <v>2165860</v>
      </c>
      <c r="B2192" s="2" t="str">
        <f>"3524091604760005"</f>
        <v>3524091604760005</v>
      </c>
      <c r="C2192" s="2" t="s">
        <v>2787</v>
      </c>
      <c r="D2192" s="2" t="s">
        <v>10</v>
      </c>
      <c r="E2192" s="2" t="s">
        <v>11</v>
      </c>
      <c r="F2192" s="2" t="s">
        <v>303</v>
      </c>
      <c r="G2192" s="2" t="s">
        <v>1987</v>
      </c>
      <c r="H2192" s="2" t="s">
        <v>2108</v>
      </c>
      <c r="I2192" s="2" t="s">
        <v>2788</v>
      </c>
    </row>
    <row r="2193" spans="1:9" ht="14.5" x14ac:dyDescent="0.35">
      <c r="A2193" s="2">
        <v>2540752</v>
      </c>
      <c r="B2193" s="2" t="str">
        <f>"3524091604760005"</f>
        <v>3524091604760005</v>
      </c>
      <c r="C2193" s="2" t="s">
        <v>2789</v>
      </c>
      <c r="D2193" s="2" t="s">
        <v>10</v>
      </c>
      <c r="E2193" s="2" t="s">
        <v>57</v>
      </c>
      <c r="F2193" s="2" t="s">
        <v>18</v>
      </c>
      <c r="G2193" s="2" t="s">
        <v>19</v>
      </c>
      <c r="H2193" s="2" t="s">
        <v>1394</v>
      </c>
      <c r="I2193" s="2" t="s">
        <v>1395</v>
      </c>
    </row>
    <row r="2194" spans="1:9" ht="14.5" x14ac:dyDescent="0.35">
      <c r="A2194" s="2">
        <v>477626</v>
      </c>
      <c r="B2194" s="2" t="str">
        <f>"3528020102730004"</f>
        <v>3528020102730004</v>
      </c>
      <c r="C2194" s="2" t="s">
        <v>2790</v>
      </c>
      <c r="D2194" s="2" t="s">
        <v>10</v>
      </c>
      <c r="E2194" s="2" t="s">
        <v>11</v>
      </c>
      <c r="F2194" s="2" t="s">
        <v>303</v>
      </c>
      <c r="G2194" s="2" t="s">
        <v>2791</v>
      </c>
      <c r="H2194" s="2" t="s">
        <v>2792</v>
      </c>
      <c r="I2194" s="2" t="s">
        <v>2793</v>
      </c>
    </row>
    <row r="2195" spans="1:9" ht="14.5" x14ac:dyDescent="0.35">
      <c r="A2195" s="2">
        <v>2540904</v>
      </c>
      <c r="B2195" s="2" t="str">
        <f>"3528020102730004"</f>
        <v>3528020102730004</v>
      </c>
      <c r="C2195" s="2" t="s">
        <v>2794</v>
      </c>
      <c r="D2195" s="2" t="s">
        <v>10</v>
      </c>
      <c r="E2195" s="2" t="s">
        <v>57</v>
      </c>
      <c r="F2195" s="2" t="s">
        <v>18</v>
      </c>
      <c r="G2195" s="2" t="s">
        <v>19</v>
      </c>
      <c r="H2195" s="2" t="s">
        <v>1394</v>
      </c>
      <c r="I2195" s="2" t="s">
        <v>1395</v>
      </c>
    </row>
    <row r="2196" spans="1:9" ht="14.5" x14ac:dyDescent="0.35">
      <c r="A2196" s="2">
        <v>788755</v>
      </c>
      <c r="B2196" s="2" t="str">
        <f>"3578062008780006"</f>
        <v>3578062008780006</v>
      </c>
      <c r="C2196" s="2" t="s">
        <v>2795</v>
      </c>
      <c r="D2196" s="2" t="s">
        <v>10</v>
      </c>
      <c r="E2196" s="2" t="s">
        <v>11</v>
      </c>
      <c r="F2196" s="2" t="s">
        <v>303</v>
      </c>
      <c r="G2196" s="2" t="s">
        <v>2796</v>
      </c>
      <c r="H2196" s="2" t="s">
        <v>2797</v>
      </c>
      <c r="I2196" s="2" t="s">
        <v>2798</v>
      </c>
    </row>
    <row r="2197" spans="1:9" ht="14.5" x14ac:dyDescent="0.35">
      <c r="A2197" s="2">
        <v>2540695</v>
      </c>
      <c r="B2197" s="2" t="str">
        <f>"3578062008780006"</f>
        <v>3578062008780006</v>
      </c>
      <c r="C2197" s="2" t="s">
        <v>2799</v>
      </c>
      <c r="D2197" s="2" t="s">
        <v>10</v>
      </c>
      <c r="E2197" s="2" t="s">
        <v>57</v>
      </c>
      <c r="F2197" s="2" t="s">
        <v>18</v>
      </c>
      <c r="G2197" s="2" t="s">
        <v>19</v>
      </c>
      <c r="H2197" s="2" t="s">
        <v>1394</v>
      </c>
      <c r="I2197" s="2" t="s">
        <v>1395</v>
      </c>
    </row>
    <row r="2198" spans="1:9" ht="14.5" x14ac:dyDescent="0.35">
      <c r="A2198" s="2">
        <v>2563493</v>
      </c>
      <c r="B2198" s="2" t="str">
        <f>"3601244704870005"</f>
        <v>3601244704870005</v>
      </c>
      <c r="C2198" s="2" t="s">
        <v>2800</v>
      </c>
      <c r="D2198" s="2" t="s">
        <v>17</v>
      </c>
      <c r="E2198" s="2" t="s">
        <v>11</v>
      </c>
      <c r="F2198" s="2" t="s">
        <v>67</v>
      </c>
      <c r="G2198" s="2" t="s">
        <v>375</v>
      </c>
      <c r="H2198" s="2" t="s">
        <v>2801</v>
      </c>
      <c r="I2198" s="2" t="s">
        <v>2802</v>
      </c>
    </row>
    <row r="2199" spans="1:9" ht="14.5" x14ac:dyDescent="0.35">
      <c r="A2199" s="2">
        <v>1833912</v>
      </c>
      <c r="B2199" s="2" t="str">
        <f>"3601244704870005"</f>
        <v>3601244704870005</v>
      </c>
      <c r="C2199" s="2" t="s">
        <v>2800</v>
      </c>
      <c r="D2199" s="2" t="s">
        <v>189</v>
      </c>
      <c r="E2199" s="2" t="s">
        <v>11</v>
      </c>
      <c r="F2199" s="2" t="s">
        <v>18</v>
      </c>
      <c r="G2199" s="2" t="s">
        <v>19</v>
      </c>
      <c r="H2199" s="2" t="s">
        <v>1394</v>
      </c>
      <c r="I2199" s="2" t="s">
        <v>2261</v>
      </c>
    </row>
    <row r="2200" spans="1:9" ht="14.5" x14ac:dyDescent="0.35">
      <c r="A2200" s="2">
        <v>361837</v>
      </c>
      <c r="B2200" s="2" t="str">
        <f>"3603070711880004"</f>
        <v>3603070711880004</v>
      </c>
      <c r="C2200" s="2" t="s">
        <v>2803</v>
      </c>
      <c r="D2200" s="2" t="s">
        <v>10</v>
      </c>
      <c r="E2200" s="2" t="s">
        <v>11</v>
      </c>
      <c r="F2200" s="2" t="s">
        <v>67</v>
      </c>
      <c r="G2200" s="2" t="s">
        <v>791</v>
      </c>
      <c r="H2200" s="2" t="s">
        <v>2804</v>
      </c>
      <c r="I2200" s="2" t="s">
        <v>2805</v>
      </c>
    </row>
    <row r="2201" spans="1:9" ht="14.5" x14ac:dyDescent="0.35">
      <c r="A2201" s="2">
        <v>2538943</v>
      </c>
      <c r="B2201" s="2" t="str">
        <f>"3603070711880004"</f>
        <v>3603070711880004</v>
      </c>
      <c r="C2201" s="2" t="s">
        <v>2806</v>
      </c>
      <c r="D2201" s="2" t="s">
        <v>17</v>
      </c>
      <c r="E2201" s="2" t="s">
        <v>11</v>
      </c>
      <c r="F2201" s="2" t="s">
        <v>18</v>
      </c>
      <c r="G2201" s="2" t="s">
        <v>19</v>
      </c>
      <c r="H2201" s="2" t="s">
        <v>1394</v>
      </c>
      <c r="I2201" s="2" t="s">
        <v>2161</v>
      </c>
    </row>
    <row r="2202" spans="1:9" ht="14.5" x14ac:dyDescent="0.35">
      <c r="A2202" s="2">
        <v>2508303</v>
      </c>
      <c r="B2202" s="2" t="str">
        <f>"3671051207730001"</f>
        <v>3671051207730001</v>
      </c>
      <c r="C2202" s="2" t="s">
        <v>2807</v>
      </c>
      <c r="D2202" s="2" t="s">
        <v>10</v>
      </c>
      <c r="E2202" s="2" t="s">
        <v>11</v>
      </c>
      <c r="F2202" s="2" t="s">
        <v>67</v>
      </c>
      <c r="G2202" s="2" t="s">
        <v>512</v>
      </c>
      <c r="H2202" s="2" t="s">
        <v>2808</v>
      </c>
      <c r="I2202" s="2" t="s">
        <v>2809</v>
      </c>
    </row>
    <row r="2203" spans="1:9" ht="14.5" x14ac:dyDescent="0.35">
      <c r="A2203" s="2">
        <v>2540777</v>
      </c>
      <c r="B2203" s="2" t="str">
        <f>"3671051207730001"</f>
        <v>3671051207730001</v>
      </c>
      <c r="C2203" s="2" t="s">
        <v>2810</v>
      </c>
      <c r="D2203" s="2" t="s">
        <v>10</v>
      </c>
      <c r="E2203" s="2" t="s">
        <v>57</v>
      </c>
      <c r="F2203" s="2" t="s">
        <v>18</v>
      </c>
      <c r="G2203" s="2" t="s">
        <v>19</v>
      </c>
      <c r="H2203" s="2" t="s">
        <v>1394</v>
      </c>
      <c r="I2203" s="2" t="s">
        <v>1395</v>
      </c>
    </row>
    <row r="2204" spans="1:9" ht="14.5" x14ac:dyDescent="0.35">
      <c r="A2204" s="2">
        <v>1205861</v>
      </c>
      <c r="B2204" s="2" t="str">
        <f>"3671090607750006"</f>
        <v>3671090607750006</v>
      </c>
      <c r="C2204" s="2" t="s">
        <v>2811</v>
      </c>
      <c r="D2204" s="2" t="s">
        <v>10</v>
      </c>
      <c r="E2204" s="2" t="s">
        <v>11</v>
      </c>
      <c r="F2204" s="2" t="s">
        <v>91</v>
      </c>
      <c r="G2204" s="2" t="s">
        <v>650</v>
      </c>
      <c r="H2204" s="2" t="s">
        <v>688</v>
      </c>
      <c r="I2204" s="2" t="s">
        <v>689</v>
      </c>
    </row>
    <row r="2205" spans="1:9" ht="14.5" x14ac:dyDescent="0.35">
      <c r="A2205" s="2">
        <v>2540757</v>
      </c>
      <c r="B2205" s="2" t="str">
        <f>"3671090607750006"</f>
        <v>3671090607750006</v>
      </c>
      <c r="C2205" s="2" t="s">
        <v>2812</v>
      </c>
      <c r="D2205" s="2" t="s">
        <v>10</v>
      </c>
      <c r="E2205" s="2" t="s">
        <v>57</v>
      </c>
      <c r="F2205" s="2" t="s">
        <v>18</v>
      </c>
      <c r="G2205" s="2" t="s">
        <v>19</v>
      </c>
      <c r="H2205" s="2" t="s">
        <v>1394</v>
      </c>
      <c r="I2205" s="2" t="s">
        <v>1395</v>
      </c>
    </row>
    <row r="2206" spans="1:9" ht="14.5" x14ac:dyDescent="0.35">
      <c r="A2206" s="2">
        <v>1453469</v>
      </c>
      <c r="B2206" s="2" t="str">
        <f>"3671091104770005"</f>
        <v>3671091104770005</v>
      </c>
      <c r="C2206" s="2" t="s">
        <v>2757</v>
      </c>
      <c r="D2206" s="2" t="s">
        <v>10</v>
      </c>
      <c r="E2206" s="2" t="s">
        <v>11</v>
      </c>
      <c r="F2206" s="2" t="s">
        <v>67</v>
      </c>
      <c r="G2206" s="2" t="s">
        <v>512</v>
      </c>
      <c r="H2206" s="2" t="s">
        <v>219</v>
      </c>
      <c r="I2206" s="2" t="s">
        <v>2813</v>
      </c>
    </row>
    <row r="2207" spans="1:9" ht="14.5" x14ac:dyDescent="0.35">
      <c r="A2207" s="2">
        <v>2540698</v>
      </c>
      <c r="B2207" s="2" t="str">
        <f>"3671091104770005"</f>
        <v>3671091104770005</v>
      </c>
      <c r="C2207" s="2" t="s">
        <v>2814</v>
      </c>
      <c r="D2207" s="2" t="s">
        <v>10</v>
      </c>
      <c r="E2207" s="2" t="s">
        <v>57</v>
      </c>
      <c r="F2207" s="2" t="s">
        <v>18</v>
      </c>
      <c r="G2207" s="2" t="s">
        <v>19</v>
      </c>
      <c r="H2207" s="2" t="s">
        <v>1394</v>
      </c>
      <c r="I2207" s="2" t="s">
        <v>1395</v>
      </c>
    </row>
    <row r="2208" spans="1:9" ht="14.5" x14ac:dyDescent="0.35">
      <c r="A2208" s="2">
        <v>1822175</v>
      </c>
      <c r="B2208" s="2" t="str">
        <f>"3674066006840014"</f>
        <v>3674066006840014</v>
      </c>
      <c r="C2208" s="2" t="s">
        <v>2815</v>
      </c>
      <c r="D2208" s="2" t="s">
        <v>10</v>
      </c>
      <c r="E2208" s="2" t="s">
        <v>11</v>
      </c>
      <c r="F2208" s="2" t="s">
        <v>18</v>
      </c>
      <c r="G2208" s="2" t="s">
        <v>19</v>
      </c>
      <c r="H2208" s="2" t="s">
        <v>1394</v>
      </c>
      <c r="I2208" s="2" t="s">
        <v>2212</v>
      </c>
    </row>
    <row r="2209" spans="1:9" ht="14.5" x14ac:dyDescent="0.35">
      <c r="A2209" s="2">
        <v>2087859</v>
      </c>
      <c r="B2209" s="2" t="str">
        <f>"3674066006840014"</f>
        <v>3674066006840014</v>
      </c>
      <c r="C2209" s="2" t="s">
        <v>2816</v>
      </c>
      <c r="D2209" s="2" t="s">
        <v>17</v>
      </c>
      <c r="E2209" s="2" t="s">
        <v>11</v>
      </c>
      <c r="F2209" s="2" t="s">
        <v>67</v>
      </c>
      <c r="G2209" s="2" t="s">
        <v>68</v>
      </c>
      <c r="H2209" s="2" t="s">
        <v>2817</v>
      </c>
      <c r="I2209" s="2" t="s">
        <v>2818</v>
      </c>
    </row>
    <row r="2210" spans="1:9" ht="14.5" x14ac:dyDescent="0.35">
      <c r="A2210" s="2">
        <v>90701</v>
      </c>
      <c r="B2210" s="2" t="str">
        <f>"5201013112730026"</f>
        <v>5201013112730026</v>
      </c>
      <c r="C2210" s="2" t="s">
        <v>2819</v>
      </c>
      <c r="D2210" s="2" t="s">
        <v>10</v>
      </c>
      <c r="E2210" s="2" t="s">
        <v>11</v>
      </c>
      <c r="F2210" s="2" t="s">
        <v>2820</v>
      </c>
      <c r="G2210" s="2" t="s">
        <v>2821</v>
      </c>
      <c r="H2210" s="2" t="s">
        <v>2822</v>
      </c>
      <c r="I2210" s="2" t="s">
        <v>2823</v>
      </c>
    </row>
    <row r="2211" spans="1:9" ht="14.5" x14ac:dyDescent="0.35">
      <c r="A2211" s="2">
        <v>2540760</v>
      </c>
      <c r="B2211" s="2" t="str">
        <f>"5201013112730026"</f>
        <v>5201013112730026</v>
      </c>
      <c r="C2211" s="2" t="s">
        <v>2824</v>
      </c>
      <c r="D2211" s="2" t="s">
        <v>10</v>
      </c>
      <c r="E2211" s="2" t="s">
        <v>57</v>
      </c>
      <c r="F2211" s="2" t="s">
        <v>18</v>
      </c>
      <c r="G2211" s="2" t="s">
        <v>19</v>
      </c>
      <c r="H2211" s="2" t="s">
        <v>1394</v>
      </c>
      <c r="I2211" s="2" t="s">
        <v>1395</v>
      </c>
    </row>
    <row r="2212" spans="1:9" ht="14.5" x14ac:dyDescent="0.35">
      <c r="A2212" s="2">
        <v>34786</v>
      </c>
      <c r="B2212" s="2" t="str">
        <f>"5311012408820002"</f>
        <v>5311012408820002</v>
      </c>
      <c r="C2212" s="2" t="s">
        <v>2825</v>
      </c>
      <c r="D2212" s="2" t="s">
        <v>10</v>
      </c>
      <c r="E2212" s="2" t="s">
        <v>11</v>
      </c>
      <c r="F2212" s="2" t="s">
        <v>2122</v>
      </c>
      <c r="G2212" s="2" t="s">
        <v>2123</v>
      </c>
      <c r="H2212" s="2" t="s">
        <v>2826</v>
      </c>
      <c r="I2212" s="2" t="s">
        <v>2827</v>
      </c>
    </row>
    <row r="2213" spans="1:9" ht="14.5" x14ac:dyDescent="0.35">
      <c r="A2213" s="2">
        <v>2538819</v>
      </c>
      <c r="B2213" s="2" t="str">
        <f>"5311012408820002"</f>
        <v>5311012408820002</v>
      </c>
      <c r="C2213" s="2" t="s">
        <v>2825</v>
      </c>
      <c r="D2213" s="2" t="s">
        <v>17</v>
      </c>
      <c r="E2213" s="2" t="s">
        <v>11</v>
      </c>
      <c r="F2213" s="2" t="s">
        <v>18</v>
      </c>
      <c r="G2213" s="2" t="s">
        <v>19</v>
      </c>
      <c r="H2213" s="2" t="s">
        <v>1394</v>
      </c>
      <c r="I2213" s="2" t="s">
        <v>2238</v>
      </c>
    </row>
    <row r="2214" spans="1:9" ht="14.5" x14ac:dyDescent="0.35">
      <c r="A2214" s="2">
        <v>438146</v>
      </c>
      <c r="B2214" s="2" t="str">
        <f>"6471032211790004"</f>
        <v>6471032211790004</v>
      </c>
      <c r="C2214" s="2" t="s">
        <v>2828</v>
      </c>
      <c r="D2214" s="2" t="s">
        <v>10</v>
      </c>
      <c r="E2214" s="2" t="s">
        <v>11</v>
      </c>
      <c r="F2214" s="2" t="s">
        <v>232</v>
      </c>
      <c r="G2214" s="2" t="s">
        <v>233</v>
      </c>
      <c r="H2214" s="2" t="s">
        <v>234</v>
      </c>
      <c r="I2214" s="2" t="s">
        <v>2829</v>
      </c>
    </row>
    <row r="2215" spans="1:9" ht="14.5" x14ac:dyDescent="0.35">
      <c r="A2215" s="2">
        <v>2538641</v>
      </c>
      <c r="B2215" s="2" t="str">
        <f>"6471032211790004"</f>
        <v>6471032211790004</v>
      </c>
      <c r="C2215" s="2" t="s">
        <v>2830</v>
      </c>
      <c r="D2215" s="2" t="s">
        <v>17</v>
      </c>
      <c r="E2215" s="2" t="s">
        <v>11</v>
      </c>
      <c r="F2215" s="2" t="s">
        <v>18</v>
      </c>
      <c r="G2215" s="2" t="s">
        <v>19</v>
      </c>
      <c r="H2215" s="2" t="s">
        <v>1394</v>
      </c>
      <c r="I2215" s="2" t="s">
        <v>2520</v>
      </c>
    </row>
    <row r="2216" spans="1:9" ht="14.5" x14ac:dyDescent="0.35">
      <c r="A2216" s="2">
        <v>438147</v>
      </c>
      <c r="B2216" s="2" t="str">
        <f>"6471034808900005"</f>
        <v>6471034808900005</v>
      </c>
      <c r="C2216" s="2" t="s">
        <v>2831</v>
      </c>
      <c r="D2216" s="2" t="s">
        <v>10</v>
      </c>
      <c r="E2216" s="2" t="s">
        <v>11</v>
      </c>
      <c r="F2216" s="2" t="s">
        <v>232</v>
      </c>
      <c r="G2216" s="2" t="s">
        <v>233</v>
      </c>
      <c r="H2216" s="2" t="s">
        <v>234</v>
      </c>
      <c r="I2216" s="2" t="s">
        <v>2829</v>
      </c>
    </row>
    <row r="2217" spans="1:9" ht="14.5" x14ac:dyDescent="0.35">
      <c r="A2217" s="2">
        <v>2538642</v>
      </c>
      <c r="B2217" s="2" t="str">
        <f>"6471034808900005"</f>
        <v>6471034808900005</v>
      </c>
      <c r="C2217" s="2" t="s">
        <v>2832</v>
      </c>
      <c r="D2217" s="2" t="s">
        <v>17</v>
      </c>
      <c r="E2217" s="2" t="s">
        <v>11</v>
      </c>
      <c r="F2217" s="2" t="s">
        <v>18</v>
      </c>
      <c r="G2217" s="2" t="s">
        <v>19</v>
      </c>
      <c r="H2217" s="2" t="s">
        <v>1394</v>
      </c>
      <c r="I2217" s="2" t="s">
        <v>2520</v>
      </c>
    </row>
    <row r="2218" spans="1:9" ht="14.5" x14ac:dyDescent="0.35">
      <c r="A2218" s="2">
        <v>76080</v>
      </c>
      <c r="B2218" s="2" t="str">
        <f>"8205021005980002"</f>
        <v>8205021005980002</v>
      </c>
      <c r="C2218" s="2" t="s">
        <v>2833</v>
      </c>
      <c r="D2218" s="2" t="s">
        <v>10</v>
      </c>
      <c r="E2218" s="2" t="s">
        <v>11</v>
      </c>
      <c r="F2218" s="2" t="s">
        <v>2545</v>
      </c>
      <c r="G2218" s="2" t="s">
        <v>2546</v>
      </c>
      <c r="H2218" s="2" t="s">
        <v>2834</v>
      </c>
      <c r="I2218" s="2" t="s">
        <v>2835</v>
      </c>
    </row>
    <row r="2219" spans="1:9" ht="14.5" x14ac:dyDescent="0.35">
      <c r="A2219" s="2">
        <v>2540121</v>
      </c>
      <c r="B2219" s="2" t="str">
        <f>"8205021005980002"</f>
        <v>8205021005980002</v>
      </c>
      <c r="C2219" s="2" t="s">
        <v>2833</v>
      </c>
      <c r="D2219" s="2" t="s">
        <v>17</v>
      </c>
      <c r="E2219" s="2" t="s">
        <v>11</v>
      </c>
      <c r="F2219" s="2" t="s">
        <v>18</v>
      </c>
      <c r="G2219" s="2" t="s">
        <v>19</v>
      </c>
      <c r="H2219" s="2" t="s">
        <v>1394</v>
      </c>
      <c r="I2219" s="2" t="s">
        <v>2165</v>
      </c>
    </row>
    <row r="2220" spans="1:9" ht="14.5" x14ac:dyDescent="0.35">
      <c r="A2220" s="2">
        <v>491011</v>
      </c>
      <c r="B2220" s="2" t="str">
        <f>"9171051010850009"</f>
        <v>9171051010850009</v>
      </c>
      <c r="C2220" s="2" t="s">
        <v>2836</v>
      </c>
      <c r="D2220" s="2" t="s">
        <v>10</v>
      </c>
      <c r="E2220" s="2" t="s">
        <v>11</v>
      </c>
      <c r="F2220" s="2" t="s">
        <v>783</v>
      </c>
      <c r="G2220" s="2" t="s">
        <v>1112</v>
      </c>
      <c r="H2220" s="2" t="s">
        <v>2563</v>
      </c>
      <c r="I2220" s="2" t="s">
        <v>2837</v>
      </c>
    </row>
    <row r="2221" spans="1:9" ht="14.5" x14ac:dyDescent="0.35">
      <c r="A2221" s="2">
        <v>2538573</v>
      </c>
      <c r="B2221" s="2" t="str">
        <f>"9171051010850009"</f>
        <v>9171051010850009</v>
      </c>
      <c r="C2221" s="2" t="s">
        <v>2836</v>
      </c>
      <c r="D2221" s="2" t="s">
        <v>17</v>
      </c>
      <c r="E2221" s="2" t="s">
        <v>11</v>
      </c>
      <c r="F2221" s="2" t="s">
        <v>18</v>
      </c>
      <c r="G2221" s="2" t="s">
        <v>19</v>
      </c>
      <c r="H2221" s="2" t="s">
        <v>1394</v>
      </c>
      <c r="I2221" s="2" t="s">
        <v>2189</v>
      </c>
    </row>
    <row r="2222" spans="1:9" ht="14.5" x14ac:dyDescent="0.35">
      <c r="A2222" s="2">
        <v>1721733</v>
      </c>
      <c r="B2222" s="2" t="str">
        <f>"3174033011880008"</f>
        <v>3174033011880008</v>
      </c>
      <c r="C2222" s="2" t="s">
        <v>2838</v>
      </c>
      <c r="D2222" s="2" t="s">
        <v>10</v>
      </c>
      <c r="E2222" s="2" t="s">
        <v>11</v>
      </c>
      <c r="F2222" s="2" t="s">
        <v>50</v>
      </c>
      <c r="G2222" s="2" t="s">
        <v>72</v>
      </c>
      <c r="H2222" s="2" t="s">
        <v>1172</v>
      </c>
      <c r="I2222" s="2" t="s">
        <v>226</v>
      </c>
    </row>
    <row r="2223" spans="1:9" ht="14.5" x14ac:dyDescent="0.35">
      <c r="A2223" s="2">
        <v>2540915</v>
      </c>
      <c r="B2223" s="2" t="str">
        <f>"3174033011880008"</f>
        <v>3174033011880008</v>
      </c>
      <c r="C2223" s="2" t="s">
        <v>2839</v>
      </c>
      <c r="D2223" s="2" t="s">
        <v>10</v>
      </c>
      <c r="E2223" s="2" t="s">
        <v>57</v>
      </c>
      <c r="F2223" s="2" t="s">
        <v>18</v>
      </c>
      <c r="G2223" s="2" t="s">
        <v>19</v>
      </c>
      <c r="H2223" s="2" t="s">
        <v>1394</v>
      </c>
      <c r="I2223" s="2" t="s">
        <v>1395</v>
      </c>
    </row>
    <row r="2224" spans="1:9" ht="14.5" x14ac:dyDescent="0.35">
      <c r="A2224" s="2">
        <v>687363</v>
      </c>
      <c r="B2224" s="2" t="str">
        <f>"3174033011880008"</f>
        <v>3174033011880008</v>
      </c>
      <c r="C2224" s="2" t="s">
        <v>2839</v>
      </c>
      <c r="D2224" s="2" t="s">
        <v>10</v>
      </c>
      <c r="E2224" s="2" t="s">
        <v>57</v>
      </c>
      <c r="F2224" s="2" t="s">
        <v>18</v>
      </c>
      <c r="G2224" s="2" t="s">
        <v>190</v>
      </c>
      <c r="H2224" s="2" t="s">
        <v>190</v>
      </c>
      <c r="I2224" s="2" t="s">
        <v>2413</v>
      </c>
    </row>
    <row r="2225" spans="1:9" ht="14.5" x14ac:dyDescent="0.35">
      <c r="A2225" s="2">
        <v>969841</v>
      </c>
      <c r="B2225" s="2" t="str">
        <f>"3375040101780003"</f>
        <v>3375040101780003</v>
      </c>
      <c r="C2225" s="2" t="s">
        <v>2840</v>
      </c>
      <c r="D2225" s="2" t="s">
        <v>10</v>
      </c>
      <c r="E2225" s="2" t="s">
        <v>11</v>
      </c>
      <c r="F2225" s="2" t="s">
        <v>18</v>
      </c>
      <c r="G2225" s="2" t="s">
        <v>195</v>
      </c>
      <c r="H2225" s="2" t="s">
        <v>1434</v>
      </c>
      <c r="I2225" s="2" t="s">
        <v>2841</v>
      </c>
    </row>
    <row r="2226" spans="1:9" ht="14.5" x14ac:dyDescent="0.35">
      <c r="A2226" s="2">
        <v>2540784</v>
      </c>
      <c r="B2226" s="2" t="str">
        <f>"3375040101780003"</f>
        <v>3375040101780003</v>
      </c>
      <c r="C2226" s="2" t="s">
        <v>2842</v>
      </c>
      <c r="D2226" s="2" t="s">
        <v>10</v>
      </c>
      <c r="E2226" s="2" t="s">
        <v>57</v>
      </c>
      <c r="F2226" s="2" t="s">
        <v>18</v>
      </c>
      <c r="G2226" s="2" t="s">
        <v>19</v>
      </c>
      <c r="H2226" s="2" t="s">
        <v>1394</v>
      </c>
      <c r="I2226" s="2" t="s">
        <v>1395</v>
      </c>
    </row>
    <row r="2227" spans="1:9" ht="14.5" x14ac:dyDescent="0.35">
      <c r="A2227" s="2">
        <v>687375</v>
      </c>
      <c r="B2227" s="2" t="str">
        <f>"3375040101780003"</f>
        <v>3375040101780003</v>
      </c>
      <c r="C2227" s="2" t="s">
        <v>2843</v>
      </c>
      <c r="D2227" s="2" t="s">
        <v>10</v>
      </c>
      <c r="E2227" s="2" t="s">
        <v>57</v>
      </c>
      <c r="F2227" s="2" t="s">
        <v>18</v>
      </c>
      <c r="G2227" s="2" t="s">
        <v>190</v>
      </c>
      <c r="H2227" s="2" t="s">
        <v>190</v>
      </c>
      <c r="I2227" s="2" t="s">
        <v>2413</v>
      </c>
    </row>
    <row r="2228" spans="1:9" ht="14.5" x14ac:dyDescent="0.35">
      <c r="A2228" s="2">
        <v>74255</v>
      </c>
      <c r="B2228" s="2" t="str">
        <f>"1801040112970009"</f>
        <v>1801040112970009</v>
      </c>
      <c r="C2228" s="2" t="s">
        <v>2844</v>
      </c>
      <c r="D2228" s="2" t="s">
        <v>10</v>
      </c>
      <c r="E2228" s="2" t="s">
        <v>11</v>
      </c>
      <c r="F2228" s="2" t="s">
        <v>44</v>
      </c>
      <c r="G2228" s="2" t="s">
        <v>909</v>
      </c>
      <c r="H2228" s="2" t="s">
        <v>2167</v>
      </c>
      <c r="I2228" s="2" t="s">
        <v>2845</v>
      </c>
    </row>
    <row r="2229" spans="1:9" ht="14.5" x14ac:dyDescent="0.35">
      <c r="A2229" s="2">
        <v>2542599</v>
      </c>
      <c r="B2229" s="2" t="str">
        <f>"1801040112970009"</f>
        <v>1801040112970009</v>
      </c>
      <c r="C2229" s="2" t="s">
        <v>2846</v>
      </c>
      <c r="D2229" s="2" t="s">
        <v>17</v>
      </c>
      <c r="E2229" s="2" t="s">
        <v>11</v>
      </c>
      <c r="F2229" s="2" t="s">
        <v>18</v>
      </c>
      <c r="G2229" s="2" t="s">
        <v>19</v>
      </c>
      <c r="H2229" s="2" t="s">
        <v>59</v>
      </c>
      <c r="I2229" s="2" t="s">
        <v>110</v>
      </c>
    </row>
    <row r="2230" spans="1:9" ht="14.5" x14ac:dyDescent="0.35">
      <c r="A2230" s="2">
        <v>777480</v>
      </c>
      <c r="B2230" s="2" t="str">
        <f>"1801231111920001"</f>
        <v>1801231111920001</v>
      </c>
      <c r="C2230" s="2" t="s">
        <v>2847</v>
      </c>
      <c r="D2230" s="2" t="s">
        <v>10</v>
      </c>
      <c r="E2230" s="2" t="s">
        <v>11</v>
      </c>
      <c r="F2230" s="2" t="s">
        <v>50</v>
      </c>
      <c r="G2230" s="2" t="s">
        <v>86</v>
      </c>
      <c r="H2230" s="2" t="s">
        <v>530</v>
      </c>
      <c r="I2230" s="2" t="s">
        <v>789</v>
      </c>
    </row>
    <row r="2231" spans="1:9" ht="14.5" x14ac:dyDescent="0.35">
      <c r="A2231" s="2">
        <v>2542777</v>
      </c>
      <c r="B2231" s="2" t="str">
        <f>"1801231111920001"</f>
        <v>1801231111920001</v>
      </c>
      <c r="C2231" s="2" t="s">
        <v>2848</v>
      </c>
      <c r="D2231" s="2" t="s">
        <v>17</v>
      </c>
      <c r="E2231" s="2" t="s">
        <v>11</v>
      </c>
      <c r="F2231" s="2" t="s">
        <v>18</v>
      </c>
      <c r="G2231" s="2" t="s">
        <v>19</v>
      </c>
      <c r="H2231" s="2" t="s">
        <v>59</v>
      </c>
      <c r="I2231" s="2" t="s">
        <v>2849</v>
      </c>
    </row>
    <row r="2232" spans="1:9" ht="14.5" x14ac:dyDescent="0.35">
      <c r="A2232" s="2">
        <v>119077</v>
      </c>
      <c r="B2232" s="2" t="str">
        <f>"1802021004720003"</f>
        <v>1802021004720003</v>
      </c>
      <c r="C2232" s="2" t="s">
        <v>2850</v>
      </c>
      <c r="D2232" s="2" t="s">
        <v>10</v>
      </c>
      <c r="E2232" s="2" t="s">
        <v>11</v>
      </c>
      <c r="F2232" s="2" t="s">
        <v>44</v>
      </c>
      <c r="G2232" s="2" t="s">
        <v>1040</v>
      </c>
      <c r="H2232" s="2" t="s">
        <v>2851</v>
      </c>
      <c r="I2232" s="2" t="s">
        <v>2852</v>
      </c>
    </row>
    <row r="2233" spans="1:9" ht="14.5" x14ac:dyDescent="0.35">
      <c r="A2233" s="2">
        <v>2542862</v>
      </c>
      <c r="B2233" s="2" t="str">
        <f>"1802021004720003"</f>
        <v>1802021004720003</v>
      </c>
      <c r="C2233" s="2" t="s">
        <v>2850</v>
      </c>
      <c r="D2233" s="2" t="s">
        <v>17</v>
      </c>
      <c r="E2233" s="2" t="s">
        <v>11</v>
      </c>
      <c r="F2233" s="2" t="s">
        <v>18</v>
      </c>
      <c r="G2233" s="2" t="s">
        <v>19</v>
      </c>
      <c r="H2233" s="2" t="s">
        <v>59</v>
      </c>
      <c r="I2233" s="2" t="s">
        <v>59</v>
      </c>
    </row>
    <row r="2234" spans="1:9" ht="14.5" x14ac:dyDescent="0.35">
      <c r="A2234" s="2">
        <v>433462</v>
      </c>
      <c r="B2234" s="2" t="str">
        <f>"3172064409901001"</f>
        <v>3172064409901001</v>
      </c>
      <c r="C2234" s="2" t="s">
        <v>2853</v>
      </c>
      <c r="D2234" s="2" t="s">
        <v>10</v>
      </c>
      <c r="E2234" s="2" t="s">
        <v>11</v>
      </c>
      <c r="F2234" s="2" t="s">
        <v>50</v>
      </c>
      <c r="G2234" s="2" t="s">
        <v>51</v>
      </c>
      <c r="H2234" s="2" t="s">
        <v>425</v>
      </c>
      <c r="I2234" s="2" t="s">
        <v>426</v>
      </c>
    </row>
    <row r="2235" spans="1:9" ht="14.5" x14ac:dyDescent="0.35">
      <c r="A2235" s="2">
        <v>2542566</v>
      </c>
      <c r="B2235" s="2" t="str">
        <f>"3172064409901001"</f>
        <v>3172064409901001</v>
      </c>
      <c r="C2235" s="2" t="s">
        <v>2853</v>
      </c>
      <c r="D2235" s="2" t="s">
        <v>17</v>
      </c>
      <c r="E2235" s="2" t="s">
        <v>11</v>
      </c>
      <c r="F2235" s="2" t="s">
        <v>18</v>
      </c>
      <c r="G2235" s="2" t="s">
        <v>19</v>
      </c>
      <c r="H2235" s="2" t="s">
        <v>59</v>
      </c>
      <c r="I2235" s="2" t="s">
        <v>2854</v>
      </c>
    </row>
    <row r="2236" spans="1:9" ht="14.5" x14ac:dyDescent="0.35">
      <c r="A2236" s="2">
        <v>1304561</v>
      </c>
      <c r="B2236" s="2" t="str">
        <f>"3173011004710019"</f>
        <v>3173011004710019</v>
      </c>
      <c r="C2236" s="2" t="s">
        <v>2855</v>
      </c>
      <c r="D2236" s="2" t="s">
        <v>10</v>
      </c>
      <c r="E2236" s="2" t="s">
        <v>11</v>
      </c>
      <c r="F2236" s="2" t="s">
        <v>50</v>
      </c>
      <c r="G2236" s="2" t="s">
        <v>86</v>
      </c>
      <c r="H2236" s="2" t="s">
        <v>1268</v>
      </c>
      <c r="I2236" s="2" t="s">
        <v>2203</v>
      </c>
    </row>
    <row r="2237" spans="1:9" ht="14.5" x14ac:dyDescent="0.35">
      <c r="A2237" s="2">
        <v>2541349</v>
      </c>
      <c r="B2237" s="2" t="str">
        <f>"3173011004710019"</f>
        <v>3173011004710019</v>
      </c>
      <c r="C2237" s="2" t="s">
        <v>744</v>
      </c>
      <c r="D2237" s="2" t="s">
        <v>17</v>
      </c>
      <c r="E2237" s="2" t="s">
        <v>11</v>
      </c>
      <c r="F2237" s="2" t="s">
        <v>18</v>
      </c>
      <c r="G2237" s="2" t="s">
        <v>19</v>
      </c>
      <c r="H2237" s="2" t="s">
        <v>59</v>
      </c>
      <c r="I2237" s="2" t="s">
        <v>2856</v>
      </c>
    </row>
    <row r="2238" spans="1:9" ht="14.5" x14ac:dyDescent="0.35">
      <c r="A2238" s="2">
        <v>970431</v>
      </c>
      <c r="B2238" s="2" t="str">
        <f>"3173014901051002"</f>
        <v>3173014901051002</v>
      </c>
      <c r="C2238" s="2" t="s">
        <v>2857</v>
      </c>
      <c r="D2238" s="2" t="s">
        <v>10</v>
      </c>
      <c r="E2238" s="2" t="s">
        <v>11</v>
      </c>
      <c r="F2238" s="2" t="s">
        <v>303</v>
      </c>
      <c r="G2238" s="2" t="s">
        <v>2858</v>
      </c>
      <c r="H2238" s="2" t="s">
        <v>2859</v>
      </c>
      <c r="I2238" s="2" t="s">
        <v>2860</v>
      </c>
    </row>
    <row r="2239" spans="1:9" ht="14.5" x14ac:dyDescent="0.35">
      <c r="A2239" s="2">
        <v>2541490</v>
      </c>
      <c r="B2239" s="2" t="str">
        <f>"3173014901051002"</f>
        <v>3173014901051002</v>
      </c>
      <c r="C2239" s="2" t="s">
        <v>2861</v>
      </c>
      <c r="D2239" s="2" t="s">
        <v>17</v>
      </c>
      <c r="E2239" s="2" t="s">
        <v>11</v>
      </c>
      <c r="F2239" s="2" t="s">
        <v>18</v>
      </c>
      <c r="G2239" s="2" t="s">
        <v>19</v>
      </c>
      <c r="H2239" s="2" t="s">
        <v>59</v>
      </c>
      <c r="I2239" s="2" t="s">
        <v>2862</v>
      </c>
    </row>
    <row r="2240" spans="1:9" ht="14.5" x14ac:dyDescent="0.35">
      <c r="A2240" s="2">
        <v>1212515</v>
      </c>
      <c r="B2240" s="2" t="str">
        <f>"3174050506480006"</f>
        <v>3174050506480006</v>
      </c>
      <c r="C2240" s="2" t="s">
        <v>2863</v>
      </c>
      <c r="D2240" s="2" t="s">
        <v>10</v>
      </c>
      <c r="E2240" s="2" t="s">
        <v>11</v>
      </c>
      <c r="F2240" s="2" t="s">
        <v>50</v>
      </c>
      <c r="G2240" s="2" t="s">
        <v>72</v>
      </c>
      <c r="H2240" s="2" t="s">
        <v>803</v>
      </c>
      <c r="I2240" s="2" t="s">
        <v>2864</v>
      </c>
    </row>
    <row r="2241" spans="1:9" ht="14.5" x14ac:dyDescent="0.35">
      <c r="A2241" s="2">
        <v>2542784</v>
      </c>
      <c r="B2241" s="2" t="str">
        <f>"3174050506480006"</f>
        <v>3174050506480006</v>
      </c>
      <c r="C2241" s="2" t="s">
        <v>2863</v>
      </c>
      <c r="D2241" s="2" t="s">
        <v>17</v>
      </c>
      <c r="E2241" s="2" t="s">
        <v>11</v>
      </c>
      <c r="F2241" s="2" t="s">
        <v>18</v>
      </c>
      <c r="G2241" s="2" t="s">
        <v>19</v>
      </c>
      <c r="H2241" s="2" t="s">
        <v>59</v>
      </c>
      <c r="I2241" s="2" t="s">
        <v>2849</v>
      </c>
    </row>
    <row r="2242" spans="1:9" ht="14.5" x14ac:dyDescent="0.35">
      <c r="A2242" s="2">
        <v>949558</v>
      </c>
      <c r="B2242" s="2" t="str">
        <f>"3174050707600012"</f>
        <v>3174050707600012</v>
      </c>
      <c r="C2242" s="2" t="s">
        <v>2865</v>
      </c>
      <c r="D2242" s="2" t="s">
        <v>10</v>
      </c>
      <c r="E2242" s="2" t="s">
        <v>11</v>
      </c>
      <c r="F2242" s="2" t="s">
        <v>50</v>
      </c>
      <c r="G2242" s="2" t="s">
        <v>72</v>
      </c>
      <c r="H2242" s="2" t="s">
        <v>803</v>
      </c>
      <c r="I2242" s="2" t="s">
        <v>2866</v>
      </c>
    </row>
    <row r="2243" spans="1:9" ht="14.5" x14ac:dyDescent="0.35">
      <c r="A2243" s="2">
        <v>2543229</v>
      </c>
      <c r="B2243" s="2" t="str">
        <f>"3174050707600012"</f>
        <v>3174050707600012</v>
      </c>
      <c r="C2243" s="2" t="s">
        <v>2865</v>
      </c>
      <c r="D2243" s="2" t="s">
        <v>17</v>
      </c>
      <c r="E2243" s="2" t="s">
        <v>11</v>
      </c>
      <c r="F2243" s="2" t="s">
        <v>18</v>
      </c>
      <c r="G2243" s="2" t="s">
        <v>19</v>
      </c>
      <c r="H2243" s="2" t="s">
        <v>59</v>
      </c>
      <c r="I2243" s="2" t="s">
        <v>222</v>
      </c>
    </row>
    <row r="2244" spans="1:9" ht="14.5" x14ac:dyDescent="0.35">
      <c r="A2244" s="2">
        <v>1212518</v>
      </c>
      <c r="B2244" s="2" t="str">
        <f>"3174054101540007"</f>
        <v>3174054101540007</v>
      </c>
      <c r="C2244" s="2" t="s">
        <v>2867</v>
      </c>
      <c r="D2244" s="2" t="s">
        <v>10</v>
      </c>
      <c r="E2244" s="2" t="s">
        <v>11</v>
      </c>
      <c r="F2244" s="2" t="s">
        <v>50</v>
      </c>
      <c r="G2244" s="2" t="s">
        <v>72</v>
      </c>
      <c r="H2244" s="2" t="s">
        <v>803</v>
      </c>
      <c r="I2244" s="2" t="s">
        <v>2864</v>
      </c>
    </row>
    <row r="2245" spans="1:9" ht="14.5" x14ac:dyDescent="0.35">
      <c r="A2245" s="2">
        <v>2542783</v>
      </c>
      <c r="B2245" s="2" t="str">
        <f>"3174054101540007"</f>
        <v>3174054101540007</v>
      </c>
      <c r="C2245" s="2" t="s">
        <v>2867</v>
      </c>
      <c r="D2245" s="2" t="s">
        <v>17</v>
      </c>
      <c r="E2245" s="2" t="s">
        <v>11</v>
      </c>
      <c r="F2245" s="2" t="s">
        <v>18</v>
      </c>
      <c r="G2245" s="2" t="s">
        <v>19</v>
      </c>
      <c r="H2245" s="2" t="s">
        <v>59</v>
      </c>
      <c r="I2245" s="2" t="s">
        <v>2849</v>
      </c>
    </row>
    <row r="2246" spans="1:9" ht="14.5" x14ac:dyDescent="0.35">
      <c r="A2246" s="2">
        <v>623411</v>
      </c>
      <c r="B2246" s="2" t="str">
        <f>"3174102404760007"</f>
        <v>3174102404760007</v>
      </c>
      <c r="C2246" s="2" t="s">
        <v>2868</v>
      </c>
      <c r="D2246" s="2" t="s">
        <v>10</v>
      </c>
      <c r="E2246" s="2" t="s">
        <v>11</v>
      </c>
      <c r="F2246" s="2" t="s">
        <v>50</v>
      </c>
      <c r="G2246" s="2" t="s">
        <v>72</v>
      </c>
      <c r="H2246" s="2" t="s">
        <v>541</v>
      </c>
      <c r="I2246" s="2" t="s">
        <v>2869</v>
      </c>
    </row>
    <row r="2247" spans="1:9" ht="14.5" x14ac:dyDescent="0.35">
      <c r="A2247" s="2">
        <v>2543214</v>
      </c>
      <c r="B2247" s="2" t="str">
        <f>"3174102404760007"</f>
        <v>3174102404760007</v>
      </c>
      <c r="C2247" s="2" t="s">
        <v>2868</v>
      </c>
      <c r="D2247" s="2" t="s">
        <v>17</v>
      </c>
      <c r="E2247" s="2" t="s">
        <v>11</v>
      </c>
      <c r="F2247" s="2" t="s">
        <v>18</v>
      </c>
      <c r="G2247" s="2" t="s">
        <v>19</v>
      </c>
      <c r="H2247" s="2" t="s">
        <v>59</v>
      </c>
      <c r="I2247" s="2" t="s">
        <v>222</v>
      </c>
    </row>
    <row r="2248" spans="1:9" ht="14.5" x14ac:dyDescent="0.35">
      <c r="A2248" s="2">
        <v>623407</v>
      </c>
      <c r="B2248" s="2" t="str">
        <f>"3174104505810017"</f>
        <v>3174104505810017</v>
      </c>
      <c r="C2248" s="2" t="s">
        <v>2870</v>
      </c>
      <c r="D2248" s="2" t="s">
        <v>10</v>
      </c>
      <c r="E2248" s="2" t="s">
        <v>11</v>
      </c>
      <c r="F2248" s="2" t="s">
        <v>50</v>
      </c>
      <c r="G2248" s="2" t="s">
        <v>72</v>
      </c>
      <c r="H2248" s="2" t="s">
        <v>541</v>
      </c>
      <c r="I2248" s="2" t="s">
        <v>2869</v>
      </c>
    </row>
    <row r="2249" spans="1:9" ht="14.5" x14ac:dyDescent="0.35">
      <c r="A2249" s="2">
        <v>2543215</v>
      </c>
      <c r="B2249" s="2" t="str">
        <f>"3174104505810017"</f>
        <v>3174104505810017</v>
      </c>
      <c r="C2249" s="2" t="s">
        <v>2870</v>
      </c>
      <c r="D2249" s="2" t="s">
        <v>17</v>
      </c>
      <c r="E2249" s="2" t="s">
        <v>11</v>
      </c>
      <c r="F2249" s="2" t="s">
        <v>18</v>
      </c>
      <c r="G2249" s="2" t="s">
        <v>19</v>
      </c>
      <c r="H2249" s="2" t="s">
        <v>59</v>
      </c>
      <c r="I2249" s="2" t="s">
        <v>222</v>
      </c>
    </row>
    <row r="2250" spans="1:9" ht="14.5" x14ac:dyDescent="0.35">
      <c r="A2250" s="2">
        <v>480081</v>
      </c>
      <c r="B2250" s="2" t="str">
        <f>"3174105508380002"</f>
        <v>3174105508380002</v>
      </c>
      <c r="C2250" s="2" t="s">
        <v>2871</v>
      </c>
      <c r="D2250" s="2" t="s">
        <v>10</v>
      </c>
      <c r="E2250" s="2" t="s">
        <v>11</v>
      </c>
      <c r="F2250" s="2" t="s">
        <v>50</v>
      </c>
      <c r="G2250" s="2" t="s">
        <v>72</v>
      </c>
      <c r="H2250" s="2" t="s">
        <v>541</v>
      </c>
      <c r="I2250" s="2" t="s">
        <v>2869</v>
      </c>
    </row>
    <row r="2251" spans="1:9" ht="14.5" x14ac:dyDescent="0.35">
      <c r="A2251" s="2">
        <v>2543052</v>
      </c>
      <c r="B2251" s="2" t="str">
        <f>"3174105508380002"</f>
        <v>3174105508380002</v>
      </c>
      <c r="C2251" s="2" t="s">
        <v>2872</v>
      </c>
      <c r="D2251" s="2" t="s">
        <v>17</v>
      </c>
      <c r="E2251" s="2" t="s">
        <v>11</v>
      </c>
      <c r="F2251" s="2" t="s">
        <v>18</v>
      </c>
      <c r="G2251" s="2" t="s">
        <v>19</v>
      </c>
      <c r="H2251" s="2" t="s">
        <v>59</v>
      </c>
      <c r="I2251" s="2" t="s">
        <v>2873</v>
      </c>
    </row>
    <row r="2252" spans="1:9" ht="14.5" x14ac:dyDescent="0.35">
      <c r="A2252" s="2">
        <v>623409</v>
      </c>
      <c r="B2252" s="2" t="str">
        <f>"3174105705030010"</f>
        <v>3174105705030010</v>
      </c>
      <c r="C2252" s="2" t="s">
        <v>2874</v>
      </c>
      <c r="D2252" s="2" t="s">
        <v>10</v>
      </c>
      <c r="E2252" s="2" t="s">
        <v>11</v>
      </c>
      <c r="F2252" s="2" t="s">
        <v>50</v>
      </c>
      <c r="G2252" s="2" t="s">
        <v>72</v>
      </c>
      <c r="H2252" s="2" t="s">
        <v>541</v>
      </c>
      <c r="I2252" s="2" t="s">
        <v>2869</v>
      </c>
    </row>
    <row r="2253" spans="1:9" ht="14.5" x14ac:dyDescent="0.35">
      <c r="A2253" s="2">
        <v>2543212</v>
      </c>
      <c r="B2253" s="2" t="str">
        <f>"3174105705030010"</f>
        <v>3174105705030010</v>
      </c>
      <c r="C2253" s="2" t="s">
        <v>2874</v>
      </c>
      <c r="D2253" s="2" t="s">
        <v>17</v>
      </c>
      <c r="E2253" s="2" t="s">
        <v>11</v>
      </c>
      <c r="F2253" s="2" t="s">
        <v>18</v>
      </c>
      <c r="G2253" s="2" t="s">
        <v>19</v>
      </c>
      <c r="H2253" s="2" t="s">
        <v>59</v>
      </c>
      <c r="I2253" s="2" t="s">
        <v>222</v>
      </c>
    </row>
    <row r="2254" spans="1:9" ht="14.5" x14ac:dyDescent="0.35">
      <c r="A2254" s="2">
        <v>2358480</v>
      </c>
      <c r="B2254" s="2" t="str">
        <f>"3175065910980009"</f>
        <v>3175065910980009</v>
      </c>
      <c r="C2254" s="2" t="s">
        <v>2875</v>
      </c>
      <c r="D2254" s="2" t="s">
        <v>10</v>
      </c>
      <c r="E2254" s="2" t="s">
        <v>11</v>
      </c>
      <c r="F2254" s="2" t="s">
        <v>50</v>
      </c>
      <c r="G2254" s="2" t="s">
        <v>58</v>
      </c>
      <c r="H2254" s="2" t="s">
        <v>417</v>
      </c>
      <c r="I2254" s="2" t="s">
        <v>59</v>
      </c>
    </row>
    <row r="2255" spans="1:9" ht="14.5" x14ac:dyDescent="0.35">
      <c r="A2255" s="2">
        <v>2542394</v>
      </c>
      <c r="B2255" s="2" t="str">
        <f>"3175065910980009"</f>
        <v>3175065910980009</v>
      </c>
      <c r="C2255" s="2" t="s">
        <v>2875</v>
      </c>
      <c r="D2255" s="2" t="s">
        <v>17</v>
      </c>
      <c r="E2255" s="2" t="s">
        <v>11</v>
      </c>
      <c r="F2255" s="2" t="s">
        <v>18</v>
      </c>
      <c r="G2255" s="2" t="s">
        <v>19</v>
      </c>
      <c r="H2255" s="2" t="s">
        <v>59</v>
      </c>
      <c r="I2255" s="2" t="s">
        <v>2876</v>
      </c>
    </row>
    <row r="2256" spans="1:9" ht="14.5" x14ac:dyDescent="0.35">
      <c r="A2256" s="2">
        <v>597325</v>
      </c>
      <c r="B2256" s="2" t="str">
        <f>"3175105206861004"</f>
        <v>3175105206861004</v>
      </c>
      <c r="C2256" s="2" t="s">
        <v>2877</v>
      </c>
      <c r="D2256" s="2" t="s">
        <v>10</v>
      </c>
      <c r="E2256" s="2" t="s">
        <v>11</v>
      </c>
      <c r="F2256" s="2" t="s">
        <v>50</v>
      </c>
      <c r="G2256" s="2" t="s">
        <v>58</v>
      </c>
      <c r="H2256" s="2" t="s">
        <v>316</v>
      </c>
      <c r="I2256" s="2" t="s">
        <v>2878</v>
      </c>
    </row>
    <row r="2257" spans="1:9" ht="14.5" x14ac:dyDescent="0.35">
      <c r="A2257" s="2">
        <v>2542926</v>
      </c>
      <c r="B2257" s="2" t="str">
        <f>"3175105206861004"</f>
        <v>3175105206861004</v>
      </c>
      <c r="C2257" s="2" t="s">
        <v>2879</v>
      </c>
      <c r="D2257" s="2" t="s">
        <v>17</v>
      </c>
      <c r="E2257" s="2" t="s">
        <v>11</v>
      </c>
      <c r="F2257" s="2" t="s">
        <v>18</v>
      </c>
      <c r="G2257" s="2" t="s">
        <v>19</v>
      </c>
      <c r="H2257" s="2" t="s">
        <v>59</v>
      </c>
      <c r="I2257" s="2" t="s">
        <v>2880</v>
      </c>
    </row>
    <row r="2258" spans="1:9" ht="14.5" x14ac:dyDescent="0.35">
      <c r="A2258" s="2">
        <v>875910</v>
      </c>
      <c r="B2258" s="2" t="str">
        <f>"3212192309900001"</f>
        <v>3212192309900001</v>
      </c>
      <c r="C2258" s="2" t="s">
        <v>2881</v>
      </c>
      <c r="D2258" s="2" t="s">
        <v>10</v>
      </c>
      <c r="E2258" s="2" t="s">
        <v>11</v>
      </c>
      <c r="F2258" s="2" t="s">
        <v>91</v>
      </c>
      <c r="G2258" s="2" t="s">
        <v>114</v>
      </c>
      <c r="H2258" s="2" t="s">
        <v>2580</v>
      </c>
      <c r="I2258" s="2" t="s">
        <v>2581</v>
      </c>
    </row>
    <row r="2259" spans="1:9" ht="14.5" x14ac:dyDescent="0.35">
      <c r="A2259" s="2">
        <v>2543006</v>
      </c>
      <c r="B2259" s="2" t="str">
        <f>"3212192309900001"</f>
        <v>3212192309900001</v>
      </c>
      <c r="C2259" s="2" t="s">
        <v>2882</v>
      </c>
      <c r="D2259" s="2" t="s">
        <v>17</v>
      </c>
      <c r="E2259" s="2" t="s">
        <v>11</v>
      </c>
      <c r="F2259" s="2" t="s">
        <v>18</v>
      </c>
      <c r="G2259" s="2" t="s">
        <v>19</v>
      </c>
      <c r="H2259" s="2" t="s">
        <v>59</v>
      </c>
      <c r="I2259" s="2" t="s">
        <v>2880</v>
      </c>
    </row>
    <row r="2260" spans="1:9" ht="14.5" x14ac:dyDescent="0.35">
      <c r="A2260" s="2">
        <v>1330924</v>
      </c>
      <c r="B2260" s="2" t="str">
        <f>"3275052509970011"</f>
        <v>3275052509970011</v>
      </c>
      <c r="C2260" s="2" t="s">
        <v>2883</v>
      </c>
      <c r="D2260" s="2" t="s">
        <v>10</v>
      </c>
      <c r="E2260" s="2" t="s">
        <v>11</v>
      </c>
      <c r="F2260" s="2" t="s">
        <v>91</v>
      </c>
      <c r="G2260" s="2" t="s">
        <v>159</v>
      </c>
      <c r="H2260" s="2" t="s">
        <v>160</v>
      </c>
      <c r="I2260" s="2" t="s">
        <v>161</v>
      </c>
    </row>
    <row r="2261" spans="1:9" ht="14.5" x14ac:dyDescent="0.35">
      <c r="A2261" s="2">
        <v>2542142</v>
      </c>
      <c r="B2261" s="2" t="str">
        <f>"3275052509970011"</f>
        <v>3275052509970011</v>
      </c>
      <c r="C2261" s="2" t="s">
        <v>2883</v>
      </c>
      <c r="D2261" s="2" t="s">
        <v>17</v>
      </c>
      <c r="E2261" s="2" t="s">
        <v>11</v>
      </c>
      <c r="F2261" s="2" t="s">
        <v>18</v>
      </c>
      <c r="G2261" s="2" t="s">
        <v>19</v>
      </c>
      <c r="H2261" s="2" t="s">
        <v>59</v>
      </c>
      <c r="I2261" s="2" t="s">
        <v>2884</v>
      </c>
    </row>
    <row r="2262" spans="1:9" ht="14.5" x14ac:dyDescent="0.35">
      <c r="A2262" s="2">
        <v>431953</v>
      </c>
      <c r="B2262" s="2" t="str">
        <f>"3324014711870003"</f>
        <v>3324014711870003</v>
      </c>
      <c r="C2262" s="2" t="s">
        <v>2885</v>
      </c>
      <c r="D2262" s="2" t="s">
        <v>10</v>
      </c>
      <c r="E2262" s="2" t="s">
        <v>11</v>
      </c>
      <c r="F2262" s="2" t="s">
        <v>50</v>
      </c>
      <c r="G2262" s="2" t="s">
        <v>51</v>
      </c>
      <c r="H2262" s="2" t="s">
        <v>425</v>
      </c>
      <c r="I2262" s="2" t="s">
        <v>426</v>
      </c>
    </row>
    <row r="2263" spans="1:9" ht="14.5" x14ac:dyDescent="0.35">
      <c r="A2263" s="2">
        <v>2542560</v>
      </c>
      <c r="B2263" s="2" t="str">
        <f>"3324014711870003"</f>
        <v>3324014711870003</v>
      </c>
      <c r="C2263" s="2" t="s">
        <v>2885</v>
      </c>
      <c r="D2263" s="2" t="s">
        <v>17</v>
      </c>
      <c r="E2263" s="2" t="s">
        <v>11</v>
      </c>
      <c r="F2263" s="2" t="s">
        <v>18</v>
      </c>
      <c r="G2263" s="2" t="s">
        <v>19</v>
      </c>
      <c r="H2263" s="2" t="s">
        <v>59</v>
      </c>
      <c r="I2263" s="2" t="s">
        <v>2854</v>
      </c>
    </row>
    <row r="2264" spans="1:9" ht="14.5" x14ac:dyDescent="0.35">
      <c r="A2264" s="2">
        <v>2542308</v>
      </c>
      <c r="B2264" s="2" t="str">
        <f>"3325144405900001"</f>
        <v>3325144405900001</v>
      </c>
      <c r="C2264" s="2" t="s">
        <v>2886</v>
      </c>
      <c r="D2264" s="2" t="s">
        <v>17</v>
      </c>
      <c r="E2264" s="2" t="s">
        <v>11</v>
      </c>
      <c r="F2264" s="2" t="s">
        <v>18</v>
      </c>
      <c r="G2264" s="2" t="s">
        <v>19</v>
      </c>
      <c r="H2264" s="2" t="s">
        <v>59</v>
      </c>
      <c r="I2264" s="2" t="s">
        <v>2887</v>
      </c>
    </row>
    <row r="2265" spans="1:9" ht="14.5" x14ac:dyDescent="0.35">
      <c r="A2265" s="2">
        <v>704546</v>
      </c>
      <c r="B2265" s="2" t="str">
        <f>"3325144405900001"</f>
        <v>3325144405900001</v>
      </c>
      <c r="C2265" s="2" t="s">
        <v>2886</v>
      </c>
      <c r="D2265" s="2" t="s">
        <v>17</v>
      </c>
      <c r="E2265" s="2" t="s">
        <v>11</v>
      </c>
      <c r="F2265" s="2" t="s">
        <v>18</v>
      </c>
      <c r="G2265" s="2" t="s">
        <v>190</v>
      </c>
      <c r="H2265" s="2" t="s">
        <v>2888</v>
      </c>
      <c r="I2265" s="2" t="s">
        <v>2888</v>
      </c>
    </row>
    <row r="2266" spans="1:9" ht="14.5" x14ac:dyDescent="0.35">
      <c r="A2266" s="2">
        <v>242227</v>
      </c>
      <c r="B2266" s="2" t="str">
        <f>"3328070104840006"</f>
        <v>3328070104840006</v>
      </c>
      <c r="C2266" s="2" t="s">
        <v>1622</v>
      </c>
      <c r="D2266" s="2" t="s">
        <v>10</v>
      </c>
      <c r="E2266" s="2" t="s">
        <v>11</v>
      </c>
      <c r="F2266" s="2" t="s">
        <v>2889</v>
      </c>
      <c r="G2266" s="2" t="s">
        <v>2890</v>
      </c>
      <c r="H2266" s="2" t="s">
        <v>2891</v>
      </c>
      <c r="I2266" s="2" t="s">
        <v>2892</v>
      </c>
    </row>
    <row r="2267" spans="1:9" ht="14.5" x14ac:dyDescent="0.35">
      <c r="A2267" s="2">
        <v>2542437</v>
      </c>
      <c r="B2267" s="2" t="str">
        <f>"3328070104840006"</f>
        <v>3328070104840006</v>
      </c>
      <c r="C2267" s="2" t="s">
        <v>1622</v>
      </c>
      <c r="D2267" s="2" t="s">
        <v>17</v>
      </c>
      <c r="E2267" s="2" t="s">
        <v>11</v>
      </c>
      <c r="F2267" s="2" t="s">
        <v>18</v>
      </c>
      <c r="G2267" s="2" t="s">
        <v>19</v>
      </c>
      <c r="H2267" s="2" t="s">
        <v>59</v>
      </c>
      <c r="I2267" s="2" t="s">
        <v>2893</v>
      </c>
    </row>
    <row r="2268" spans="1:9" ht="14.5" x14ac:dyDescent="0.35">
      <c r="A2268" s="2">
        <v>285299</v>
      </c>
      <c r="B2268" s="2" t="str">
        <f>"3328070107940014"</f>
        <v>3328070107940014</v>
      </c>
      <c r="C2268" s="2" t="s">
        <v>2894</v>
      </c>
      <c r="D2268" s="2" t="s">
        <v>10</v>
      </c>
      <c r="E2268" s="2" t="s">
        <v>11</v>
      </c>
      <c r="F2268" s="2" t="s">
        <v>50</v>
      </c>
      <c r="G2268" s="2" t="s">
        <v>58</v>
      </c>
      <c r="H2268" s="2" t="s">
        <v>316</v>
      </c>
      <c r="I2268" s="2" t="s">
        <v>2895</v>
      </c>
    </row>
    <row r="2269" spans="1:9" ht="14.5" x14ac:dyDescent="0.35">
      <c r="A2269" s="2">
        <v>2543322</v>
      </c>
      <c r="B2269" s="2" t="str">
        <f>"3328070107940014"</f>
        <v>3328070107940014</v>
      </c>
      <c r="C2269" s="2" t="s">
        <v>2894</v>
      </c>
      <c r="D2269" s="2" t="s">
        <v>17</v>
      </c>
      <c r="E2269" s="2" t="s">
        <v>11</v>
      </c>
      <c r="F2269" s="2" t="s">
        <v>18</v>
      </c>
      <c r="G2269" s="2" t="s">
        <v>19</v>
      </c>
      <c r="H2269" s="2" t="s">
        <v>59</v>
      </c>
      <c r="I2269" s="2" t="s">
        <v>222</v>
      </c>
    </row>
    <row r="2270" spans="1:9" ht="14.5" x14ac:dyDescent="0.35">
      <c r="A2270" s="2">
        <v>187497</v>
      </c>
      <c r="B2270" s="2" t="str">
        <f>"3328070206000009"</f>
        <v>3328070206000009</v>
      </c>
      <c r="C2270" s="2" t="s">
        <v>2896</v>
      </c>
      <c r="D2270" s="2" t="s">
        <v>10</v>
      </c>
      <c r="E2270" s="2" t="s">
        <v>11</v>
      </c>
      <c r="F2270" s="2" t="s">
        <v>232</v>
      </c>
      <c r="G2270" s="2" t="s">
        <v>233</v>
      </c>
      <c r="H2270" s="2" t="s">
        <v>2897</v>
      </c>
      <c r="I2270" s="2" t="s">
        <v>2898</v>
      </c>
    </row>
    <row r="2271" spans="1:9" ht="14.5" x14ac:dyDescent="0.35">
      <c r="A2271" s="2">
        <v>2542849</v>
      </c>
      <c r="B2271" s="2" t="str">
        <f>"3328070206000009"</f>
        <v>3328070206000009</v>
      </c>
      <c r="C2271" s="2" t="s">
        <v>2896</v>
      </c>
      <c r="D2271" s="2" t="s">
        <v>17</v>
      </c>
      <c r="E2271" s="2" t="s">
        <v>11</v>
      </c>
      <c r="F2271" s="2" t="s">
        <v>18</v>
      </c>
      <c r="G2271" s="2" t="s">
        <v>19</v>
      </c>
      <c r="H2271" s="2" t="s">
        <v>59</v>
      </c>
      <c r="I2271" s="2" t="s">
        <v>59</v>
      </c>
    </row>
    <row r="2272" spans="1:9" ht="14.5" x14ac:dyDescent="0.35">
      <c r="A2272" s="2">
        <v>1669935</v>
      </c>
      <c r="B2272" s="2" t="str">
        <f>"3328070311890001"</f>
        <v>3328070311890001</v>
      </c>
      <c r="C2272" s="2" t="s">
        <v>2899</v>
      </c>
      <c r="D2272" s="2" t="s">
        <v>10</v>
      </c>
      <c r="E2272" s="2" t="s">
        <v>11</v>
      </c>
      <c r="F2272" s="2" t="s">
        <v>18</v>
      </c>
      <c r="G2272" s="2" t="s">
        <v>19</v>
      </c>
      <c r="H2272" s="2" t="s">
        <v>59</v>
      </c>
      <c r="I2272" s="2" t="s">
        <v>2856</v>
      </c>
    </row>
    <row r="2273" spans="1:9" ht="14.5" x14ac:dyDescent="0.35">
      <c r="A2273" s="2">
        <v>251515</v>
      </c>
      <c r="B2273" s="2" t="str">
        <f>"3328070311890001"</f>
        <v>3328070311890001</v>
      </c>
      <c r="C2273" s="2" t="s">
        <v>2899</v>
      </c>
      <c r="D2273" s="2" t="s">
        <v>10</v>
      </c>
      <c r="E2273" s="2" t="s">
        <v>57</v>
      </c>
      <c r="F2273" s="2" t="s">
        <v>521</v>
      </c>
      <c r="G2273" s="2" t="s">
        <v>657</v>
      </c>
      <c r="H2273" s="2" t="s">
        <v>658</v>
      </c>
      <c r="I2273" s="2" t="s">
        <v>871</v>
      </c>
    </row>
    <row r="2274" spans="1:9" ht="14.5" x14ac:dyDescent="0.35">
      <c r="A2274" s="2">
        <v>99549</v>
      </c>
      <c r="B2274" s="2" t="str">
        <f>"3328070404040001"</f>
        <v>3328070404040001</v>
      </c>
      <c r="C2274" s="2" t="s">
        <v>2900</v>
      </c>
      <c r="D2274" s="2" t="s">
        <v>10</v>
      </c>
      <c r="E2274" s="2" t="s">
        <v>11</v>
      </c>
      <c r="F2274" s="2" t="s">
        <v>50</v>
      </c>
      <c r="G2274" s="2" t="s">
        <v>72</v>
      </c>
      <c r="H2274" s="2" t="s">
        <v>541</v>
      </c>
      <c r="I2274" s="2" t="s">
        <v>2901</v>
      </c>
    </row>
    <row r="2275" spans="1:9" ht="14.5" x14ac:dyDescent="0.35">
      <c r="A2275" s="2">
        <v>2543068</v>
      </c>
      <c r="B2275" s="2" t="str">
        <f>"3328070404040001"</f>
        <v>3328070404040001</v>
      </c>
      <c r="C2275" s="2" t="s">
        <v>2902</v>
      </c>
      <c r="D2275" s="2" t="s">
        <v>17</v>
      </c>
      <c r="E2275" s="2" t="s">
        <v>11</v>
      </c>
      <c r="F2275" s="2" t="s">
        <v>18</v>
      </c>
      <c r="G2275" s="2" t="s">
        <v>19</v>
      </c>
      <c r="H2275" s="2" t="s">
        <v>59</v>
      </c>
      <c r="I2275" s="2" t="s">
        <v>2873</v>
      </c>
    </row>
    <row r="2276" spans="1:9" ht="14.5" x14ac:dyDescent="0.35">
      <c r="A2276" s="2">
        <v>641430</v>
      </c>
      <c r="B2276" s="2" t="str">
        <f>"3328070706820002"</f>
        <v>3328070706820002</v>
      </c>
      <c r="C2276" s="2" t="s">
        <v>2903</v>
      </c>
      <c r="D2276" s="2" t="s">
        <v>10</v>
      </c>
      <c r="E2276" s="2" t="s">
        <v>11</v>
      </c>
      <c r="F2276" s="2" t="s">
        <v>50</v>
      </c>
      <c r="G2276" s="2" t="s">
        <v>280</v>
      </c>
      <c r="H2276" s="2" t="s">
        <v>281</v>
      </c>
      <c r="I2276" s="2" t="s">
        <v>282</v>
      </c>
    </row>
    <row r="2277" spans="1:9" ht="14.5" x14ac:dyDescent="0.35">
      <c r="A2277" s="2">
        <v>2541700</v>
      </c>
      <c r="B2277" s="2" t="str">
        <f>"3328070706820002"</f>
        <v>3328070706820002</v>
      </c>
      <c r="C2277" s="2" t="s">
        <v>2314</v>
      </c>
      <c r="D2277" s="2" t="s">
        <v>17</v>
      </c>
      <c r="E2277" s="2" t="s">
        <v>11</v>
      </c>
      <c r="F2277" s="2" t="s">
        <v>18</v>
      </c>
      <c r="G2277" s="2" t="s">
        <v>19</v>
      </c>
      <c r="H2277" s="2" t="s">
        <v>59</v>
      </c>
      <c r="I2277" s="2" t="s">
        <v>2904</v>
      </c>
    </row>
    <row r="2278" spans="1:9" ht="14.5" x14ac:dyDescent="0.35">
      <c r="A2278" s="2">
        <v>1842362</v>
      </c>
      <c r="B2278" s="2" t="str">
        <f>"3328070807720003"</f>
        <v>3328070807720003</v>
      </c>
      <c r="C2278" s="2" t="s">
        <v>2905</v>
      </c>
      <c r="D2278" s="2" t="s">
        <v>10</v>
      </c>
      <c r="E2278" s="2" t="s">
        <v>11</v>
      </c>
      <c r="F2278" s="2" t="s">
        <v>91</v>
      </c>
      <c r="G2278" s="2" t="s">
        <v>159</v>
      </c>
      <c r="H2278" s="2" t="s">
        <v>1332</v>
      </c>
      <c r="I2278" s="2" t="s">
        <v>2358</v>
      </c>
    </row>
    <row r="2279" spans="1:9" ht="14.5" x14ac:dyDescent="0.35">
      <c r="A2279" s="2">
        <v>2542091</v>
      </c>
      <c r="B2279" s="2" t="str">
        <f>"3328070807720003"</f>
        <v>3328070807720003</v>
      </c>
      <c r="C2279" s="2" t="s">
        <v>2905</v>
      </c>
      <c r="D2279" s="2" t="s">
        <v>17</v>
      </c>
      <c r="E2279" s="2" t="s">
        <v>11</v>
      </c>
      <c r="F2279" s="2" t="s">
        <v>18</v>
      </c>
      <c r="G2279" s="2" t="s">
        <v>19</v>
      </c>
      <c r="H2279" s="2" t="s">
        <v>59</v>
      </c>
      <c r="I2279" s="2" t="s">
        <v>2884</v>
      </c>
    </row>
    <row r="2280" spans="1:9" ht="14.5" x14ac:dyDescent="0.35">
      <c r="A2280" s="2">
        <v>22803</v>
      </c>
      <c r="B2280" s="2" t="str">
        <f>"3328070812870007"</f>
        <v>3328070812870007</v>
      </c>
      <c r="C2280" s="2" t="s">
        <v>2906</v>
      </c>
      <c r="D2280" s="2" t="s">
        <v>10</v>
      </c>
      <c r="E2280" s="2" t="s">
        <v>11</v>
      </c>
      <c r="F2280" s="2" t="s">
        <v>2907</v>
      </c>
      <c r="G2280" s="2" t="s">
        <v>2908</v>
      </c>
      <c r="H2280" s="2" t="s">
        <v>2909</v>
      </c>
      <c r="I2280" s="2" t="s">
        <v>2910</v>
      </c>
    </row>
    <row r="2281" spans="1:9" ht="14.5" x14ac:dyDescent="0.35">
      <c r="A2281" s="2">
        <v>2541595</v>
      </c>
      <c r="B2281" s="2" t="str">
        <f>"3328070812870007"</f>
        <v>3328070812870007</v>
      </c>
      <c r="C2281" s="2" t="s">
        <v>2906</v>
      </c>
      <c r="D2281" s="2" t="s">
        <v>17</v>
      </c>
      <c r="E2281" s="2" t="s">
        <v>11</v>
      </c>
      <c r="F2281" s="2" t="s">
        <v>18</v>
      </c>
      <c r="G2281" s="2" t="s">
        <v>19</v>
      </c>
      <c r="H2281" s="2" t="s">
        <v>59</v>
      </c>
      <c r="I2281" s="2" t="s">
        <v>2904</v>
      </c>
    </row>
    <row r="2282" spans="1:9" ht="14.5" x14ac:dyDescent="0.35">
      <c r="A2282" s="2">
        <v>1341669</v>
      </c>
      <c r="B2282" s="2" t="str">
        <f>"3328070905690001"</f>
        <v>3328070905690001</v>
      </c>
      <c r="C2282" s="2" t="s">
        <v>2911</v>
      </c>
      <c r="D2282" s="2" t="s">
        <v>10</v>
      </c>
      <c r="E2282" s="2" t="s">
        <v>11</v>
      </c>
      <c r="F2282" s="2" t="s">
        <v>50</v>
      </c>
      <c r="G2282" s="2" t="s">
        <v>58</v>
      </c>
      <c r="H2282" s="2" t="s">
        <v>417</v>
      </c>
      <c r="I2282" s="2" t="s">
        <v>1131</v>
      </c>
    </row>
    <row r="2283" spans="1:9" ht="14.5" x14ac:dyDescent="0.35">
      <c r="A2283" s="2">
        <v>2542458</v>
      </c>
      <c r="B2283" s="2" t="str">
        <f>"3328070905690001"</f>
        <v>3328070905690001</v>
      </c>
      <c r="C2283" s="2" t="s">
        <v>2911</v>
      </c>
      <c r="D2283" s="2" t="s">
        <v>17</v>
      </c>
      <c r="E2283" s="2" t="s">
        <v>11</v>
      </c>
      <c r="F2283" s="2" t="s">
        <v>18</v>
      </c>
      <c r="G2283" s="2" t="s">
        <v>19</v>
      </c>
      <c r="H2283" s="2" t="s">
        <v>59</v>
      </c>
      <c r="I2283" s="2" t="s">
        <v>2893</v>
      </c>
    </row>
    <row r="2284" spans="1:9" ht="14.5" x14ac:dyDescent="0.35">
      <c r="A2284" s="2">
        <v>1509565</v>
      </c>
      <c r="B2284" s="2" t="str">
        <f>"3328070908710002"</f>
        <v>3328070908710002</v>
      </c>
      <c r="C2284" s="2" t="s">
        <v>2912</v>
      </c>
      <c r="D2284" s="2" t="s">
        <v>10</v>
      </c>
      <c r="E2284" s="2" t="s">
        <v>11</v>
      </c>
      <c r="F2284" s="2" t="s">
        <v>50</v>
      </c>
      <c r="G2284" s="2" t="s">
        <v>72</v>
      </c>
      <c r="H2284" s="2" t="s">
        <v>738</v>
      </c>
      <c r="I2284" s="2" t="s">
        <v>738</v>
      </c>
    </row>
    <row r="2285" spans="1:9" ht="14.5" x14ac:dyDescent="0.35">
      <c r="A2285" s="2">
        <v>2542809</v>
      </c>
      <c r="B2285" s="2" t="str">
        <f>"3328070908710002"</f>
        <v>3328070908710002</v>
      </c>
      <c r="C2285" s="2" t="s">
        <v>979</v>
      </c>
      <c r="D2285" s="2" t="s">
        <v>17</v>
      </c>
      <c r="E2285" s="2" t="s">
        <v>11</v>
      </c>
      <c r="F2285" s="2" t="s">
        <v>18</v>
      </c>
      <c r="G2285" s="2" t="s">
        <v>19</v>
      </c>
      <c r="H2285" s="2" t="s">
        <v>59</v>
      </c>
      <c r="I2285" s="2" t="s">
        <v>2849</v>
      </c>
    </row>
    <row r="2286" spans="1:9" ht="14.5" x14ac:dyDescent="0.35">
      <c r="A2286" s="2">
        <v>1392374</v>
      </c>
      <c r="B2286" s="2" t="str">
        <f>"3328070909950003"</f>
        <v>3328070909950003</v>
      </c>
      <c r="C2286" s="2" t="s">
        <v>2913</v>
      </c>
      <c r="D2286" s="2" t="s">
        <v>10</v>
      </c>
      <c r="E2286" s="2" t="s">
        <v>11</v>
      </c>
      <c r="F2286" s="2" t="s">
        <v>67</v>
      </c>
      <c r="G2286" s="2" t="s">
        <v>68</v>
      </c>
      <c r="H2286" s="2" t="s">
        <v>69</v>
      </c>
      <c r="I2286" s="2" t="s">
        <v>2117</v>
      </c>
    </row>
    <row r="2287" spans="1:9" ht="14.5" x14ac:dyDescent="0.35">
      <c r="A2287" s="2">
        <v>2541478</v>
      </c>
      <c r="B2287" s="2" t="str">
        <f>"3328070909950003"</f>
        <v>3328070909950003</v>
      </c>
      <c r="C2287" s="2" t="s">
        <v>2913</v>
      </c>
      <c r="D2287" s="2" t="s">
        <v>17</v>
      </c>
      <c r="E2287" s="2" t="s">
        <v>11</v>
      </c>
      <c r="F2287" s="2" t="s">
        <v>18</v>
      </c>
      <c r="G2287" s="2" t="s">
        <v>19</v>
      </c>
      <c r="H2287" s="2" t="s">
        <v>59</v>
      </c>
      <c r="I2287" s="2" t="s">
        <v>2862</v>
      </c>
    </row>
    <row r="2288" spans="1:9" ht="14.5" x14ac:dyDescent="0.35">
      <c r="A2288" s="2">
        <v>1731073</v>
      </c>
      <c r="B2288" s="2" t="str">
        <f>"3328071010060006"</f>
        <v>3328071010060006</v>
      </c>
      <c r="C2288" s="2" t="s">
        <v>2914</v>
      </c>
      <c r="D2288" s="2" t="s">
        <v>10</v>
      </c>
      <c r="E2288" s="2" t="s">
        <v>11</v>
      </c>
      <c r="F2288" s="2" t="s">
        <v>18</v>
      </c>
      <c r="G2288" s="2" t="s">
        <v>19</v>
      </c>
      <c r="H2288" s="2" t="s">
        <v>59</v>
      </c>
      <c r="I2288" s="2" t="s">
        <v>2849</v>
      </c>
    </row>
    <row r="2289" spans="1:9" ht="14.5" x14ac:dyDescent="0.35">
      <c r="A2289" s="2">
        <v>2084635</v>
      </c>
      <c r="B2289" s="2" t="str">
        <f>"3328071010060006"</f>
        <v>3328071010060006</v>
      </c>
      <c r="C2289" s="2" t="s">
        <v>2914</v>
      </c>
      <c r="D2289" s="2" t="s">
        <v>17</v>
      </c>
      <c r="E2289" s="2" t="s">
        <v>57</v>
      </c>
      <c r="F2289" s="2" t="s">
        <v>18</v>
      </c>
      <c r="G2289" s="2" t="s">
        <v>962</v>
      </c>
      <c r="H2289" s="2" t="s">
        <v>1046</v>
      </c>
      <c r="I2289" s="2" t="s">
        <v>1146</v>
      </c>
    </row>
    <row r="2290" spans="1:9" ht="14.5" x14ac:dyDescent="0.35">
      <c r="A2290" s="2">
        <v>2541830</v>
      </c>
      <c r="B2290" s="2" t="str">
        <f>"3328071203020002"</f>
        <v>3328071203020002</v>
      </c>
      <c r="C2290" s="2" t="s">
        <v>2915</v>
      </c>
      <c r="D2290" s="2" t="s">
        <v>17</v>
      </c>
      <c r="E2290" s="2" t="s">
        <v>11</v>
      </c>
      <c r="F2290" s="2" t="s">
        <v>18</v>
      </c>
      <c r="G2290" s="2" t="s">
        <v>19</v>
      </c>
      <c r="H2290" s="2" t="s">
        <v>59</v>
      </c>
      <c r="I2290" s="2" t="s">
        <v>2916</v>
      </c>
    </row>
    <row r="2291" spans="1:9" ht="14.5" x14ac:dyDescent="0.35">
      <c r="A2291" s="2">
        <v>1884294</v>
      </c>
      <c r="B2291" s="2" t="str">
        <f>"3328071203020002"</f>
        <v>3328071203020002</v>
      </c>
      <c r="C2291" s="2" t="s">
        <v>2915</v>
      </c>
      <c r="D2291" s="2" t="s">
        <v>17</v>
      </c>
      <c r="E2291" s="2" t="s">
        <v>57</v>
      </c>
      <c r="F2291" s="2" t="s">
        <v>91</v>
      </c>
      <c r="G2291" s="2" t="s">
        <v>159</v>
      </c>
      <c r="H2291" s="2" t="s">
        <v>685</v>
      </c>
      <c r="I2291" s="2" t="s">
        <v>686</v>
      </c>
    </row>
    <row r="2292" spans="1:9" ht="14.5" x14ac:dyDescent="0.35">
      <c r="A2292" s="2">
        <v>243805</v>
      </c>
      <c r="B2292" s="2" t="str">
        <f>"3328071203700005"</f>
        <v>3328071203700005</v>
      </c>
      <c r="C2292" s="2" t="s">
        <v>2917</v>
      </c>
      <c r="D2292" s="2" t="s">
        <v>10</v>
      </c>
      <c r="E2292" s="2" t="s">
        <v>11</v>
      </c>
      <c r="F2292" s="2" t="s">
        <v>91</v>
      </c>
      <c r="G2292" s="2" t="s">
        <v>159</v>
      </c>
      <c r="H2292" s="2" t="s">
        <v>1288</v>
      </c>
      <c r="I2292" s="2" t="s">
        <v>2918</v>
      </c>
    </row>
    <row r="2293" spans="1:9" ht="14.5" x14ac:dyDescent="0.35">
      <c r="A2293" s="2">
        <v>2542112</v>
      </c>
      <c r="B2293" s="2" t="str">
        <f>"3328071203700005"</f>
        <v>3328071203700005</v>
      </c>
      <c r="C2293" s="2" t="s">
        <v>2919</v>
      </c>
      <c r="D2293" s="2" t="s">
        <v>17</v>
      </c>
      <c r="E2293" s="2" t="s">
        <v>11</v>
      </c>
      <c r="F2293" s="2" t="s">
        <v>18</v>
      </c>
      <c r="G2293" s="2" t="s">
        <v>19</v>
      </c>
      <c r="H2293" s="2" t="s">
        <v>59</v>
      </c>
      <c r="I2293" s="2" t="s">
        <v>2884</v>
      </c>
    </row>
    <row r="2294" spans="1:9" ht="14.5" x14ac:dyDescent="0.35">
      <c r="A2294" s="2">
        <v>939166</v>
      </c>
      <c r="B2294" s="2" t="str">
        <f>"3328071207850018"</f>
        <v>3328071207850018</v>
      </c>
      <c r="C2294" s="2" t="s">
        <v>2920</v>
      </c>
      <c r="D2294" s="2" t="s">
        <v>10</v>
      </c>
      <c r="E2294" s="2" t="s">
        <v>11</v>
      </c>
      <c r="F2294" s="2" t="s">
        <v>18</v>
      </c>
      <c r="G2294" s="2" t="s">
        <v>264</v>
      </c>
      <c r="H2294" s="2" t="s">
        <v>264</v>
      </c>
      <c r="I2294" s="2" t="s">
        <v>2921</v>
      </c>
    </row>
    <row r="2295" spans="1:9" ht="14.5" x14ac:dyDescent="0.35">
      <c r="A2295" s="2">
        <v>2543032</v>
      </c>
      <c r="B2295" s="2" t="str">
        <f>"3328071207850018"</f>
        <v>3328071207850018</v>
      </c>
      <c r="C2295" s="2" t="s">
        <v>2922</v>
      </c>
      <c r="D2295" s="2" t="s">
        <v>17</v>
      </c>
      <c r="E2295" s="2" t="s">
        <v>11</v>
      </c>
      <c r="F2295" s="2" t="s">
        <v>18</v>
      </c>
      <c r="G2295" s="2" t="s">
        <v>19</v>
      </c>
      <c r="H2295" s="2" t="s">
        <v>59</v>
      </c>
      <c r="I2295" s="2" t="s">
        <v>2873</v>
      </c>
    </row>
    <row r="2296" spans="1:9" ht="14.5" x14ac:dyDescent="0.35">
      <c r="A2296" s="2">
        <v>1593424</v>
      </c>
      <c r="B2296" s="2" t="str">
        <f>"3328071210910002"</f>
        <v>3328071210910002</v>
      </c>
      <c r="C2296" s="2" t="s">
        <v>2923</v>
      </c>
      <c r="D2296" s="2" t="s">
        <v>10</v>
      </c>
      <c r="E2296" s="2" t="s">
        <v>11</v>
      </c>
      <c r="F2296" s="2" t="s">
        <v>67</v>
      </c>
      <c r="G2296" s="2" t="s">
        <v>68</v>
      </c>
      <c r="H2296" s="2" t="s">
        <v>2924</v>
      </c>
      <c r="I2296" s="2" t="s">
        <v>2925</v>
      </c>
    </row>
    <row r="2297" spans="1:9" ht="14.5" x14ac:dyDescent="0.35">
      <c r="A2297" s="2">
        <v>1752981</v>
      </c>
      <c r="B2297" s="2" t="str">
        <f>"3328071210910002"</f>
        <v>3328071210910002</v>
      </c>
      <c r="C2297" s="2" t="s">
        <v>2926</v>
      </c>
      <c r="D2297" s="2" t="s">
        <v>189</v>
      </c>
      <c r="E2297" s="2" t="s">
        <v>11</v>
      </c>
      <c r="F2297" s="2" t="s">
        <v>18</v>
      </c>
      <c r="G2297" s="2" t="s">
        <v>19</v>
      </c>
      <c r="H2297" s="2" t="s">
        <v>59</v>
      </c>
      <c r="I2297" s="2" t="s">
        <v>222</v>
      </c>
    </row>
    <row r="2298" spans="1:9" ht="14.5" x14ac:dyDescent="0.35">
      <c r="A2298" s="2">
        <v>2541462</v>
      </c>
      <c r="B2298" s="2" t="str">
        <f>"3328071406790002"</f>
        <v>3328071406790002</v>
      </c>
      <c r="C2298" s="2" t="s">
        <v>2927</v>
      </c>
      <c r="D2298" s="2" t="s">
        <v>17</v>
      </c>
      <c r="E2298" s="2" t="s">
        <v>11</v>
      </c>
      <c r="F2298" s="2" t="s">
        <v>18</v>
      </c>
      <c r="G2298" s="2" t="s">
        <v>19</v>
      </c>
      <c r="H2298" s="2" t="s">
        <v>59</v>
      </c>
      <c r="I2298" s="2" t="s">
        <v>2862</v>
      </c>
    </row>
    <row r="2299" spans="1:9" ht="14.5" x14ac:dyDescent="0.35">
      <c r="A2299" s="2">
        <v>109235</v>
      </c>
      <c r="B2299" s="2" t="str">
        <f>"3328071406790002"</f>
        <v>3328071406790002</v>
      </c>
      <c r="C2299" s="2" t="s">
        <v>2927</v>
      </c>
      <c r="D2299" s="2" t="s">
        <v>189</v>
      </c>
      <c r="E2299" s="2" t="s">
        <v>11</v>
      </c>
      <c r="F2299" s="2" t="s">
        <v>516</v>
      </c>
      <c r="G2299" s="2" t="s">
        <v>2928</v>
      </c>
      <c r="H2299" s="2" t="s">
        <v>2929</v>
      </c>
      <c r="I2299" s="2" t="s">
        <v>2930</v>
      </c>
    </row>
    <row r="2300" spans="1:9" ht="14.5" x14ac:dyDescent="0.35">
      <c r="A2300" s="2">
        <v>1701831</v>
      </c>
      <c r="B2300" s="2" t="str">
        <f>"3328071507000006"</f>
        <v>3328071507000006</v>
      </c>
      <c r="C2300" s="2" t="s">
        <v>2931</v>
      </c>
      <c r="D2300" s="2" t="s">
        <v>189</v>
      </c>
      <c r="E2300" s="2" t="s">
        <v>11</v>
      </c>
      <c r="F2300" s="2" t="s">
        <v>18</v>
      </c>
      <c r="G2300" s="2" t="s">
        <v>19</v>
      </c>
      <c r="H2300" s="2" t="s">
        <v>59</v>
      </c>
      <c r="I2300" s="2" t="s">
        <v>2884</v>
      </c>
    </row>
    <row r="2301" spans="1:9" ht="14.5" x14ac:dyDescent="0.35">
      <c r="A2301" s="2">
        <v>1351209</v>
      </c>
      <c r="B2301" s="2" t="str">
        <f>"3328071507000006"</f>
        <v>3328071507000006</v>
      </c>
      <c r="C2301" s="2" t="s">
        <v>2931</v>
      </c>
      <c r="D2301" s="2" t="s">
        <v>10</v>
      </c>
      <c r="E2301" s="2" t="s">
        <v>57</v>
      </c>
      <c r="F2301" s="2" t="s">
        <v>303</v>
      </c>
      <c r="G2301" s="2" t="s">
        <v>608</v>
      </c>
      <c r="H2301" s="2" t="s">
        <v>609</v>
      </c>
      <c r="I2301" s="2" t="s">
        <v>610</v>
      </c>
    </row>
    <row r="2302" spans="1:9" ht="14.5" x14ac:dyDescent="0.35">
      <c r="A2302" s="2">
        <v>1672659</v>
      </c>
      <c r="B2302" s="2" t="str">
        <f>"3328071608040003"</f>
        <v>3328071608040003</v>
      </c>
      <c r="C2302" s="2" t="s">
        <v>2932</v>
      </c>
      <c r="D2302" s="2" t="s">
        <v>10</v>
      </c>
      <c r="E2302" s="2" t="s">
        <v>11</v>
      </c>
      <c r="F2302" s="2" t="s">
        <v>18</v>
      </c>
      <c r="G2302" s="2" t="s">
        <v>19</v>
      </c>
      <c r="H2302" s="2" t="s">
        <v>59</v>
      </c>
      <c r="I2302" s="2" t="s">
        <v>2862</v>
      </c>
    </row>
    <row r="2303" spans="1:9" ht="14.5" x14ac:dyDescent="0.35">
      <c r="A2303" s="2">
        <v>762447</v>
      </c>
      <c r="B2303" s="2" t="str">
        <f>"3328071608040003"</f>
        <v>3328071608040003</v>
      </c>
      <c r="C2303" s="2" t="s">
        <v>2933</v>
      </c>
      <c r="D2303" s="2" t="s">
        <v>10</v>
      </c>
      <c r="E2303" s="2" t="s">
        <v>57</v>
      </c>
      <c r="F2303" s="2" t="s">
        <v>379</v>
      </c>
      <c r="G2303" s="2" t="s">
        <v>711</v>
      </c>
      <c r="H2303" s="2" t="s">
        <v>718</v>
      </c>
      <c r="I2303" s="2" t="s">
        <v>719</v>
      </c>
    </row>
    <row r="2304" spans="1:9" ht="14.5" x14ac:dyDescent="0.35">
      <c r="A2304" s="2">
        <v>1731948</v>
      </c>
      <c r="B2304" s="2" t="str">
        <f>"3328071707810011"</f>
        <v>3328071707810011</v>
      </c>
      <c r="C2304" s="2" t="s">
        <v>2934</v>
      </c>
      <c r="D2304" s="2" t="s">
        <v>10</v>
      </c>
      <c r="E2304" s="2" t="s">
        <v>11</v>
      </c>
      <c r="F2304" s="2" t="s">
        <v>18</v>
      </c>
      <c r="G2304" s="2" t="s">
        <v>19</v>
      </c>
      <c r="H2304" s="2" t="s">
        <v>59</v>
      </c>
      <c r="I2304" s="2" t="s">
        <v>2849</v>
      </c>
    </row>
    <row r="2305" spans="1:9" ht="14.5" x14ac:dyDescent="0.35">
      <c r="A2305" s="2">
        <v>2406044</v>
      </c>
      <c r="B2305" s="2" t="str">
        <f>"3328071707810011"</f>
        <v>3328071707810011</v>
      </c>
      <c r="C2305" s="2" t="s">
        <v>2934</v>
      </c>
      <c r="D2305" s="2" t="s">
        <v>10</v>
      </c>
      <c r="E2305" s="2" t="s">
        <v>57</v>
      </c>
      <c r="F2305" s="2" t="s">
        <v>67</v>
      </c>
      <c r="G2305" s="2" t="s">
        <v>791</v>
      </c>
      <c r="H2305" s="2" t="s">
        <v>2935</v>
      </c>
      <c r="I2305" s="2" t="s">
        <v>2936</v>
      </c>
    </row>
    <row r="2306" spans="1:9" ht="14.5" x14ac:dyDescent="0.35">
      <c r="A2306" s="2">
        <v>386311</v>
      </c>
      <c r="B2306" s="2" t="str">
        <f>"3328072103970002"</f>
        <v>3328072103970002</v>
      </c>
      <c r="C2306" s="2" t="s">
        <v>2937</v>
      </c>
      <c r="D2306" s="2" t="s">
        <v>10</v>
      </c>
      <c r="E2306" s="2" t="s">
        <v>11</v>
      </c>
      <c r="F2306" s="2" t="s">
        <v>18</v>
      </c>
      <c r="G2306" s="2" t="s">
        <v>2389</v>
      </c>
      <c r="H2306" s="2" t="s">
        <v>2728</v>
      </c>
      <c r="I2306" s="2" t="s">
        <v>2938</v>
      </c>
    </row>
    <row r="2307" spans="1:9" ht="14.5" x14ac:dyDescent="0.35">
      <c r="A2307" s="2">
        <v>2542108</v>
      </c>
      <c r="B2307" s="2" t="str">
        <f>"3328072103970002"</f>
        <v>3328072103970002</v>
      </c>
      <c r="C2307" s="2" t="s">
        <v>2939</v>
      </c>
      <c r="D2307" s="2" t="s">
        <v>17</v>
      </c>
      <c r="E2307" s="2" t="s">
        <v>11</v>
      </c>
      <c r="F2307" s="2" t="s">
        <v>18</v>
      </c>
      <c r="G2307" s="2" t="s">
        <v>19</v>
      </c>
      <c r="H2307" s="2" t="s">
        <v>59</v>
      </c>
      <c r="I2307" s="2" t="s">
        <v>2884</v>
      </c>
    </row>
    <row r="2308" spans="1:9" ht="14.5" x14ac:dyDescent="0.35">
      <c r="A2308" s="2">
        <v>22802</v>
      </c>
      <c r="B2308" s="2" t="str">
        <f>"3328072707000001"</f>
        <v>3328072707000001</v>
      </c>
      <c r="C2308" s="2" t="s">
        <v>2940</v>
      </c>
      <c r="D2308" s="2" t="s">
        <v>10</v>
      </c>
      <c r="E2308" s="2" t="s">
        <v>11</v>
      </c>
      <c r="F2308" s="2" t="s">
        <v>2907</v>
      </c>
      <c r="G2308" s="2" t="s">
        <v>2908</v>
      </c>
      <c r="H2308" s="2" t="s">
        <v>2909</v>
      </c>
      <c r="I2308" s="2" t="s">
        <v>2910</v>
      </c>
    </row>
    <row r="2309" spans="1:9" ht="14.5" x14ac:dyDescent="0.35">
      <c r="A2309" s="2">
        <v>2541702</v>
      </c>
      <c r="B2309" s="2" t="str">
        <f>"3328072707000001"</f>
        <v>3328072707000001</v>
      </c>
      <c r="C2309" s="2" t="s">
        <v>2940</v>
      </c>
      <c r="D2309" s="2" t="s">
        <v>17</v>
      </c>
      <c r="E2309" s="2" t="s">
        <v>11</v>
      </c>
      <c r="F2309" s="2" t="s">
        <v>18</v>
      </c>
      <c r="G2309" s="2" t="s">
        <v>19</v>
      </c>
      <c r="H2309" s="2" t="s">
        <v>59</v>
      </c>
      <c r="I2309" s="2" t="s">
        <v>2941</v>
      </c>
    </row>
    <row r="2310" spans="1:9" ht="14.5" x14ac:dyDescent="0.35">
      <c r="A2310" s="2">
        <v>60957</v>
      </c>
      <c r="B2310" s="2" t="str">
        <f>"3328072808030003"</f>
        <v>3328072808030003</v>
      </c>
      <c r="C2310" s="2" t="s">
        <v>2942</v>
      </c>
      <c r="D2310" s="2" t="s">
        <v>10</v>
      </c>
      <c r="E2310" s="2" t="s">
        <v>11</v>
      </c>
      <c r="F2310" s="2" t="s">
        <v>811</v>
      </c>
      <c r="G2310" s="2" t="s">
        <v>2943</v>
      </c>
      <c r="H2310" s="2" t="s">
        <v>2943</v>
      </c>
      <c r="I2310" s="2" t="s">
        <v>2944</v>
      </c>
    </row>
    <row r="2311" spans="1:9" ht="14.5" x14ac:dyDescent="0.35">
      <c r="A2311" s="2">
        <v>2542945</v>
      </c>
      <c r="B2311" s="2" t="str">
        <f>"3328072808030003"</f>
        <v>3328072808030003</v>
      </c>
      <c r="C2311" s="2" t="s">
        <v>2945</v>
      </c>
      <c r="D2311" s="2" t="s">
        <v>17</v>
      </c>
      <c r="E2311" s="2" t="s">
        <v>11</v>
      </c>
      <c r="F2311" s="2" t="s">
        <v>18</v>
      </c>
      <c r="G2311" s="2" t="s">
        <v>19</v>
      </c>
      <c r="H2311" s="2" t="s">
        <v>59</v>
      </c>
      <c r="I2311" s="2" t="s">
        <v>2880</v>
      </c>
    </row>
    <row r="2312" spans="1:9" ht="14.5" x14ac:dyDescent="0.35">
      <c r="A2312" s="2">
        <v>910844</v>
      </c>
      <c r="B2312" s="2" t="str">
        <f>"3328073007690002"</f>
        <v>3328073007690002</v>
      </c>
      <c r="C2312" s="2" t="s">
        <v>2946</v>
      </c>
      <c r="D2312" s="2" t="s">
        <v>10</v>
      </c>
      <c r="E2312" s="2" t="s">
        <v>11</v>
      </c>
      <c r="F2312" s="2" t="s">
        <v>91</v>
      </c>
      <c r="G2312" s="2" t="s">
        <v>92</v>
      </c>
      <c r="H2312" s="2" t="s">
        <v>128</v>
      </c>
      <c r="I2312" s="2" t="s">
        <v>2947</v>
      </c>
    </row>
    <row r="2313" spans="1:9" ht="14.5" x14ac:dyDescent="0.35">
      <c r="A2313" s="2">
        <v>2542021</v>
      </c>
      <c r="B2313" s="2" t="str">
        <f>"3328073007690002"</f>
        <v>3328073007690002</v>
      </c>
      <c r="C2313" s="2" t="s">
        <v>2948</v>
      </c>
      <c r="D2313" s="2" t="s">
        <v>17</v>
      </c>
      <c r="E2313" s="2" t="s">
        <v>11</v>
      </c>
      <c r="F2313" s="2" t="s">
        <v>18</v>
      </c>
      <c r="G2313" s="2" t="s">
        <v>19</v>
      </c>
      <c r="H2313" s="2" t="s">
        <v>59</v>
      </c>
      <c r="I2313" s="2" t="s">
        <v>2884</v>
      </c>
    </row>
    <row r="2314" spans="1:9" ht="14.5" x14ac:dyDescent="0.35">
      <c r="A2314" s="2">
        <v>1684387</v>
      </c>
      <c r="B2314" s="2" t="str">
        <f>"3328073101070003"</f>
        <v>3328073101070003</v>
      </c>
      <c r="C2314" s="2" t="s">
        <v>2949</v>
      </c>
      <c r="D2314" s="2" t="s">
        <v>10</v>
      </c>
      <c r="E2314" s="2" t="s">
        <v>57</v>
      </c>
      <c r="F2314" s="2" t="s">
        <v>18</v>
      </c>
      <c r="G2314" s="2" t="s">
        <v>184</v>
      </c>
      <c r="H2314" s="2" t="s">
        <v>1085</v>
      </c>
      <c r="I2314" s="2" t="s">
        <v>1086</v>
      </c>
    </row>
    <row r="2315" spans="1:9" ht="14.5" x14ac:dyDescent="0.35">
      <c r="A2315" s="2">
        <v>1721595</v>
      </c>
      <c r="B2315" s="2" t="str">
        <f>"3328073101070003"</f>
        <v>3328073101070003</v>
      </c>
      <c r="C2315" s="2" t="s">
        <v>2949</v>
      </c>
      <c r="D2315" s="2" t="s">
        <v>189</v>
      </c>
      <c r="E2315" s="2" t="s">
        <v>11</v>
      </c>
      <c r="F2315" s="2" t="s">
        <v>18</v>
      </c>
      <c r="G2315" s="2" t="s">
        <v>19</v>
      </c>
      <c r="H2315" s="2" t="s">
        <v>59</v>
      </c>
      <c r="I2315" s="2" t="s">
        <v>2893</v>
      </c>
    </row>
    <row r="2316" spans="1:9" ht="14.5" x14ac:dyDescent="0.35">
      <c r="A2316" s="2">
        <v>386312</v>
      </c>
      <c r="B2316" s="2" t="str">
        <f>"3328074107730070"</f>
        <v>3328074107730070</v>
      </c>
      <c r="C2316" s="2" t="s">
        <v>2950</v>
      </c>
      <c r="D2316" s="2" t="s">
        <v>10</v>
      </c>
      <c r="E2316" s="2" t="s">
        <v>11</v>
      </c>
      <c r="F2316" s="2" t="s">
        <v>18</v>
      </c>
      <c r="G2316" s="2" t="s">
        <v>2389</v>
      </c>
      <c r="H2316" s="2" t="s">
        <v>2728</v>
      </c>
      <c r="I2316" s="2" t="s">
        <v>2938</v>
      </c>
    </row>
    <row r="2317" spans="1:9" ht="14.5" x14ac:dyDescent="0.35">
      <c r="A2317" s="2">
        <v>2542113</v>
      </c>
      <c r="B2317" s="2" t="str">
        <f>"3328074107730070"</f>
        <v>3328074107730070</v>
      </c>
      <c r="C2317" s="2" t="s">
        <v>2951</v>
      </c>
      <c r="D2317" s="2" t="s">
        <v>17</v>
      </c>
      <c r="E2317" s="2" t="s">
        <v>11</v>
      </c>
      <c r="F2317" s="2" t="s">
        <v>18</v>
      </c>
      <c r="G2317" s="2" t="s">
        <v>19</v>
      </c>
      <c r="H2317" s="2" t="s">
        <v>59</v>
      </c>
      <c r="I2317" s="2" t="s">
        <v>2884</v>
      </c>
    </row>
    <row r="2318" spans="1:9" ht="14.5" x14ac:dyDescent="0.35">
      <c r="A2318" s="2">
        <v>539038</v>
      </c>
      <c r="B2318" s="2" t="str">
        <f>"3328074110020003"</f>
        <v>3328074110020003</v>
      </c>
      <c r="C2318" s="2" t="s">
        <v>2952</v>
      </c>
      <c r="D2318" s="2" t="s">
        <v>10</v>
      </c>
      <c r="E2318" s="2" t="s">
        <v>11</v>
      </c>
      <c r="F2318" s="2" t="s">
        <v>50</v>
      </c>
      <c r="G2318" s="2" t="s">
        <v>58</v>
      </c>
      <c r="H2318" s="2" t="s">
        <v>316</v>
      </c>
      <c r="I2318" s="2" t="s">
        <v>1293</v>
      </c>
    </row>
    <row r="2319" spans="1:9" ht="14.5" x14ac:dyDescent="0.35">
      <c r="A2319" s="2">
        <v>2541664</v>
      </c>
      <c r="B2319" s="2" t="str">
        <f>"3328074110020003"</f>
        <v>3328074110020003</v>
      </c>
      <c r="C2319" s="2" t="s">
        <v>2953</v>
      </c>
      <c r="D2319" s="2" t="s">
        <v>17</v>
      </c>
      <c r="E2319" s="2" t="s">
        <v>11</v>
      </c>
      <c r="F2319" s="2" t="s">
        <v>18</v>
      </c>
      <c r="G2319" s="2" t="s">
        <v>19</v>
      </c>
      <c r="H2319" s="2" t="s">
        <v>59</v>
      </c>
      <c r="I2319" s="2" t="s">
        <v>2904</v>
      </c>
    </row>
    <row r="2320" spans="1:9" ht="14.5" x14ac:dyDescent="0.35">
      <c r="A2320" s="2">
        <v>1727346</v>
      </c>
      <c r="B2320" s="2" t="str">
        <f>"3328074308860003"</f>
        <v>3328074308860003</v>
      </c>
      <c r="C2320" s="2" t="s">
        <v>2954</v>
      </c>
      <c r="D2320" s="2" t="s">
        <v>10</v>
      </c>
      <c r="E2320" s="2" t="s">
        <v>11</v>
      </c>
      <c r="F2320" s="2" t="s">
        <v>67</v>
      </c>
      <c r="G2320" s="2" t="s">
        <v>68</v>
      </c>
      <c r="H2320" s="2" t="s">
        <v>2955</v>
      </c>
      <c r="I2320" s="2" t="s">
        <v>2956</v>
      </c>
    </row>
    <row r="2321" spans="1:9" ht="14.5" x14ac:dyDescent="0.35">
      <c r="A2321" s="2">
        <v>2542937</v>
      </c>
      <c r="B2321" s="2" t="str">
        <f>"3328074308860003"</f>
        <v>3328074308860003</v>
      </c>
      <c r="C2321" s="2" t="s">
        <v>2954</v>
      </c>
      <c r="D2321" s="2" t="s">
        <v>17</v>
      </c>
      <c r="E2321" s="2" t="s">
        <v>11</v>
      </c>
      <c r="F2321" s="2" t="s">
        <v>18</v>
      </c>
      <c r="G2321" s="2" t="s">
        <v>19</v>
      </c>
      <c r="H2321" s="2" t="s">
        <v>59</v>
      </c>
      <c r="I2321" s="2" t="s">
        <v>2880</v>
      </c>
    </row>
    <row r="2322" spans="1:9" ht="14.5" x14ac:dyDescent="0.35">
      <c r="A2322" s="2">
        <v>632352</v>
      </c>
      <c r="B2322" s="2" t="str">
        <f>"3328074701960007"</f>
        <v>3328074701960007</v>
      </c>
      <c r="C2322" s="2" t="s">
        <v>2957</v>
      </c>
      <c r="D2322" s="2" t="s">
        <v>10</v>
      </c>
      <c r="E2322" s="2" t="s">
        <v>11</v>
      </c>
      <c r="F2322" s="2" t="s">
        <v>91</v>
      </c>
      <c r="G2322" s="2" t="s">
        <v>438</v>
      </c>
      <c r="H2322" s="2" t="s">
        <v>2958</v>
      </c>
      <c r="I2322" s="2" t="s">
        <v>2959</v>
      </c>
    </row>
    <row r="2323" spans="1:9" ht="14.5" x14ac:dyDescent="0.35">
      <c r="A2323" s="2">
        <v>2541541</v>
      </c>
      <c r="B2323" s="2" t="str">
        <f>"3328074701960007"</f>
        <v>3328074701960007</v>
      </c>
      <c r="C2323" s="2" t="s">
        <v>2957</v>
      </c>
      <c r="D2323" s="2" t="s">
        <v>17</v>
      </c>
      <c r="E2323" s="2" t="s">
        <v>11</v>
      </c>
      <c r="F2323" s="2" t="s">
        <v>18</v>
      </c>
      <c r="G2323" s="2" t="s">
        <v>19</v>
      </c>
      <c r="H2323" s="2" t="s">
        <v>59</v>
      </c>
      <c r="I2323" s="2" t="s">
        <v>2862</v>
      </c>
    </row>
    <row r="2324" spans="1:9" ht="14.5" x14ac:dyDescent="0.35">
      <c r="A2324" s="2">
        <v>539039</v>
      </c>
      <c r="B2324" s="2" t="str">
        <f>"3328074803980005"</f>
        <v>3328074803980005</v>
      </c>
      <c r="C2324" s="2" t="s">
        <v>2960</v>
      </c>
      <c r="D2324" s="2" t="s">
        <v>10</v>
      </c>
      <c r="E2324" s="2" t="s">
        <v>11</v>
      </c>
      <c r="F2324" s="2" t="s">
        <v>50</v>
      </c>
      <c r="G2324" s="2" t="s">
        <v>58</v>
      </c>
      <c r="H2324" s="2" t="s">
        <v>316</v>
      </c>
      <c r="I2324" s="2" t="s">
        <v>1293</v>
      </c>
    </row>
    <row r="2325" spans="1:9" ht="14.5" x14ac:dyDescent="0.35">
      <c r="A2325" s="2">
        <v>2541663</v>
      </c>
      <c r="B2325" s="2" t="str">
        <f>"3328074803980005"</f>
        <v>3328074803980005</v>
      </c>
      <c r="C2325" s="2" t="s">
        <v>2961</v>
      </c>
      <c r="D2325" s="2" t="s">
        <v>17</v>
      </c>
      <c r="E2325" s="2" t="s">
        <v>11</v>
      </c>
      <c r="F2325" s="2" t="s">
        <v>18</v>
      </c>
      <c r="G2325" s="2" t="s">
        <v>19</v>
      </c>
      <c r="H2325" s="2" t="s">
        <v>59</v>
      </c>
      <c r="I2325" s="2" t="s">
        <v>2904</v>
      </c>
    </row>
    <row r="2326" spans="1:9" ht="14.5" x14ac:dyDescent="0.35">
      <c r="A2326" s="2">
        <v>1786904</v>
      </c>
      <c r="B2326" s="2" t="str">
        <f>"3328074903870003"</f>
        <v>3328074903870003</v>
      </c>
      <c r="C2326" s="2" t="s">
        <v>2962</v>
      </c>
      <c r="D2326" s="2" t="s">
        <v>10</v>
      </c>
      <c r="E2326" s="2" t="s">
        <v>11</v>
      </c>
      <c r="F2326" s="2" t="s">
        <v>67</v>
      </c>
      <c r="G2326" s="2" t="s">
        <v>68</v>
      </c>
      <c r="H2326" s="2" t="s">
        <v>2955</v>
      </c>
      <c r="I2326" s="2" t="s">
        <v>776</v>
      </c>
    </row>
    <row r="2327" spans="1:9" ht="14.5" x14ac:dyDescent="0.35">
      <c r="A2327" s="2">
        <v>2542938</v>
      </c>
      <c r="B2327" s="2" t="str">
        <f>"3328074903870003"</f>
        <v>3328074903870003</v>
      </c>
      <c r="C2327" s="2" t="s">
        <v>2963</v>
      </c>
      <c r="D2327" s="2" t="s">
        <v>17</v>
      </c>
      <c r="E2327" s="2" t="s">
        <v>11</v>
      </c>
      <c r="F2327" s="2" t="s">
        <v>18</v>
      </c>
      <c r="G2327" s="2" t="s">
        <v>19</v>
      </c>
      <c r="H2327" s="2" t="s">
        <v>59</v>
      </c>
      <c r="I2327" s="2" t="s">
        <v>2880</v>
      </c>
    </row>
    <row r="2328" spans="1:9" ht="14.5" x14ac:dyDescent="0.35">
      <c r="A2328" s="2">
        <v>1341671</v>
      </c>
      <c r="B2328" s="2" t="str">
        <f>"3328075011750007"</f>
        <v>3328075011750007</v>
      </c>
      <c r="C2328" s="2" t="s">
        <v>2964</v>
      </c>
      <c r="D2328" s="2" t="s">
        <v>10</v>
      </c>
      <c r="E2328" s="2" t="s">
        <v>11</v>
      </c>
      <c r="F2328" s="2" t="s">
        <v>50</v>
      </c>
      <c r="G2328" s="2" t="s">
        <v>58</v>
      </c>
      <c r="H2328" s="2" t="s">
        <v>417</v>
      </c>
      <c r="I2328" s="2" t="s">
        <v>1131</v>
      </c>
    </row>
    <row r="2329" spans="1:9" ht="14.5" x14ac:dyDescent="0.35">
      <c r="A2329" s="2">
        <v>2542459</v>
      </c>
      <c r="B2329" s="2" t="str">
        <f>"3328075011750007"</f>
        <v>3328075011750007</v>
      </c>
      <c r="C2329" s="2" t="s">
        <v>2964</v>
      </c>
      <c r="D2329" s="2" t="s">
        <v>17</v>
      </c>
      <c r="E2329" s="2" t="s">
        <v>11</v>
      </c>
      <c r="F2329" s="2" t="s">
        <v>18</v>
      </c>
      <c r="G2329" s="2" t="s">
        <v>19</v>
      </c>
      <c r="H2329" s="2" t="s">
        <v>59</v>
      </c>
      <c r="I2329" s="2" t="s">
        <v>2893</v>
      </c>
    </row>
    <row r="2330" spans="1:9" ht="14.5" x14ac:dyDescent="0.35">
      <c r="A2330" s="2">
        <v>158728</v>
      </c>
      <c r="B2330" s="2" t="str">
        <f>"3328075302010002"</f>
        <v>3328075302010002</v>
      </c>
      <c r="C2330" s="2" t="s">
        <v>2965</v>
      </c>
      <c r="D2330" s="2" t="s">
        <v>10</v>
      </c>
      <c r="E2330" s="2" t="s">
        <v>11</v>
      </c>
      <c r="F2330" s="2" t="s">
        <v>50</v>
      </c>
      <c r="G2330" s="2" t="s">
        <v>72</v>
      </c>
      <c r="H2330" s="2" t="s">
        <v>246</v>
      </c>
      <c r="I2330" s="2" t="s">
        <v>247</v>
      </c>
    </row>
    <row r="2331" spans="1:9" ht="14.5" x14ac:dyDescent="0.35">
      <c r="A2331" s="2">
        <v>2542187</v>
      </c>
      <c r="B2331" s="2" t="str">
        <f>"3328075302010002"</f>
        <v>3328075302010002</v>
      </c>
      <c r="C2331" s="2" t="s">
        <v>2965</v>
      </c>
      <c r="D2331" s="2" t="s">
        <v>17</v>
      </c>
      <c r="E2331" s="2" t="s">
        <v>11</v>
      </c>
      <c r="F2331" s="2" t="s">
        <v>18</v>
      </c>
      <c r="G2331" s="2" t="s">
        <v>19</v>
      </c>
      <c r="H2331" s="2" t="s">
        <v>59</v>
      </c>
      <c r="I2331" s="2" t="s">
        <v>2884</v>
      </c>
    </row>
    <row r="2332" spans="1:9" ht="14.5" x14ac:dyDescent="0.35">
      <c r="A2332" s="2">
        <v>2241451</v>
      </c>
      <c r="B2332" s="2" t="str">
        <f>"3328075603900002"</f>
        <v>3328075603900002</v>
      </c>
      <c r="C2332" s="2" t="s">
        <v>2966</v>
      </c>
      <c r="D2332" s="2" t="s">
        <v>10</v>
      </c>
      <c r="E2332" s="2" t="s">
        <v>11</v>
      </c>
      <c r="F2332" s="2" t="s">
        <v>18</v>
      </c>
      <c r="G2332" s="2" t="s">
        <v>199</v>
      </c>
      <c r="H2332" s="2" t="s">
        <v>706</v>
      </c>
      <c r="I2332" s="2" t="s">
        <v>2967</v>
      </c>
    </row>
    <row r="2333" spans="1:9" ht="14.5" x14ac:dyDescent="0.35">
      <c r="A2333" s="2">
        <v>2542475</v>
      </c>
      <c r="B2333" s="2" t="str">
        <f>"3328075603900002"</f>
        <v>3328075603900002</v>
      </c>
      <c r="C2333" s="2" t="s">
        <v>2968</v>
      </c>
      <c r="D2333" s="2" t="s">
        <v>17</v>
      </c>
      <c r="E2333" s="2" t="s">
        <v>11</v>
      </c>
      <c r="F2333" s="2" t="s">
        <v>18</v>
      </c>
      <c r="G2333" s="2" t="s">
        <v>19</v>
      </c>
      <c r="H2333" s="2" t="s">
        <v>59</v>
      </c>
      <c r="I2333" s="2" t="s">
        <v>2893</v>
      </c>
    </row>
    <row r="2334" spans="1:9" ht="14.5" x14ac:dyDescent="0.35">
      <c r="A2334" s="2">
        <v>1620468</v>
      </c>
      <c r="B2334" s="2" t="str">
        <f>"3328075710990001"</f>
        <v>3328075710990001</v>
      </c>
      <c r="C2334" s="2" t="s">
        <v>1536</v>
      </c>
      <c r="D2334" s="2" t="s">
        <v>10</v>
      </c>
      <c r="E2334" s="2" t="s">
        <v>11</v>
      </c>
      <c r="F2334" s="2" t="s">
        <v>67</v>
      </c>
      <c r="G2334" s="2" t="s">
        <v>512</v>
      </c>
      <c r="H2334" s="2" t="s">
        <v>791</v>
      </c>
      <c r="I2334" s="2" t="s">
        <v>2969</v>
      </c>
    </row>
    <row r="2335" spans="1:9" ht="14.5" x14ac:dyDescent="0.35">
      <c r="A2335" s="2">
        <v>2541673</v>
      </c>
      <c r="B2335" s="2" t="str">
        <f>"3328075710990001"</f>
        <v>3328075710990001</v>
      </c>
      <c r="C2335" s="2" t="s">
        <v>1536</v>
      </c>
      <c r="D2335" s="2" t="s">
        <v>17</v>
      </c>
      <c r="E2335" s="2" t="s">
        <v>11</v>
      </c>
      <c r="F2335" s="2" t="s">
        <v>18</v>
      </c>
      <c r="G2335" s="2" t="s">
        <v>19</v>
      </c>
      <c r="H2335" s="2" t="s">
        <v>59</v>
      </c>
      <c r="I2335" s="2" t="s">
        <v>2904</v>
      </c>
    </row>
    <row r="2336" spans="1:9" ht="14.5" x14ac:dyDescent="0.35">
      <c r="A2336" s="2">
        <v>2541621</v>
      </c>
      <c r="B2336" s="2" t="str">
        <f>"3328075809950001"</f>
        <v>3328075809950001</v>
      </c>
      <c r="C2336" s="2" t="s">
        <v>2970</v>
      </c>
      <c r="D2336" s="2" t="s">
        <v>17</v>
      </c>
      <c r="E2336" s="2" t="s">
        <v>11</v>
      </c>
      <c r="F2336" s="2" t="s">
        <v>18</v>
      </c>
      <c r="G2336" s="2" t="s">
        <v>19</v>
      </c>
      <c r="H2336" s="2" t="s">
        <v>59</v>
      </c>
      <c r="I2336" s="2" t="s">
        <v>2904</v>
      </c>
    </row>
    <row r="2337" spans="1:9" ht="14.5" x14ac:dyDescent="0.35">
      <c r="A2337" s="2">
        <v>1966030</v>
      </c>
      <c r="B2337" s="2" t="str">
        <f>"3328075809950001"</f>
        <v>3328075809950001</v>
      </c>
      <c r="C2337" s="2" t="s">
        <v>2970</v>
      </c>
      <c r="D2337" s="2" t="s">
        <v>189</v>
      </c>
      <c r="E2337" s="2" t="s">
        <v>11</v>
      </c>
      <c r="F2337" s="2" t="s">
        <v>50</v>
      </c>
      <c r="G2337" s="2" t="s">
        <v>58</v>
      </c>
      <c r="H2337" s="2" t="s">
        <v>1283</v>
      </c>
      <c r="I2337" s="2" t="s">
        <v>2971</v>
      </c>
    </row>
    <row r="2338" spans="1:9" ht="14.5" x14ac:dyDescent="0.35">
      <c r="A2338" s="2">
        <v>1703027</v>
      </c>
      <c r="B2338" s="2" t="str">
        <f>"3328076203030003"</f>
        <v>3328076203030003</v>
      </c>
      <c r="C2338" s="2" t="s">
        <v>2972</v>
      </c>
      <c r="D2338" s="2" t="s">
        <v>10</v>
      </c>
      <c r="E2338" s="2" t="s">
        <v>11</v>
      </c>
      <c r="F2338" s="2" t="s">
        <v>18</v>
      </c>
      <c r="G2338" s="2" t="s">
        <v>19</v>
      </c>
      <c r="H2338" s="2" t="s">
        <v>59</v>
      </c>
      <c r="I2338" s="2" t="s">
        <v>2887</v>
      </c>
    </row>
    <row r="2339" spans="1:9" ht="14.5" x14ac:dyDescent="0.35">
      <c r="A2339" s="2">
        <v>1863010</v>
      </c>
      <c r="B2339" s="2" t="str">
        <f>"3328076203030003"</f>
        <v>3328076203030003</v>
      </c>
      <c r="C2339" s="2" t="s">
        <v>2972</v>
      </c>
      <c r="D2339" s="2" t="s">
        <v>10</v>
      </c>
      <c r="E2339" s="2" t="s">
        <v>57</v>
      </c>
      <c r="F2339" s="2" t="s">
        <v>18</v>
      </c>
      <c r="G2339" s="2" t="s">
        <v>733</v>
      </c>
      <c r="H2339" s="2" t="s">
        <v>1127</v>
      </c>
      <c r="I2339" s="2" t="s">
        <v>1127</v>
      </c>
    </row>
    <row r="2340" spans="1:9" ht="14.5" x14ac:dyDescent="0.35">
      <c r="A2340" s="2">
        <v>539040</v>
      </c>
      <c r="B2340" s="2" t="str">
        <f>"3328076212600001"</f>
        <v>3328076212600001</v>
      </c>
      <c r="C2340" s="2" t="s">
        <v>2973</v>
      </c>
      <c r="D2340" s="2" t="s">
        <v>10</v>
      </c>
      <c r="E2340" s="2" t="s">
        <v>11</v>
      </c>
      <c r="F2340" s="2" t="s">
        <v>50</v>
      </c>
      <c r="G2340" s="2" t="s">
        <v>58</v>
      </c>
      <c r="H2340" s="2" t="s">
        <v>316</v>
      </c>
      <c r="I2340" s="2" t="s">
        <v>1293</v>
      </c>
    </row>
    <row r="2341" spans="1:9" ht="14.5" x14ac:dyDescent="0.35">
      <c r="A2341" s="2">
        <v>2541670</v>
      </c>
      <c r="B2341" s="2" t="str">
        <f>"3328076212600001"</f>
        <v>3328076212600001</v>
      </c>
      <c r="C2341" s="2" t="s">
        <v>2973</v>
      </c>
      <c r="D2341" s="2" t="s">
        <v>17</v>
      </c>
      <c r="E2341" s="2" t="s">
        <v>11</v>
      </c>
      <c r="F2341" s="2" t="s">
        <v>18</v>
      </c>
      <c r="G2341" s="2" t="s">
        <v>19</v>
      </c>
      <c r="H2341" s="2" t="s">
        <v>59</v>
      </c>
      <c r="I2341" s="2" t="s">
        <v>2904</v>
      </c>
    </row>
    <row r="2342" spans="1:9" ht="14.5" x14ac:dyDescent="0.35">
      <c r="A2342" s="2">
        <v>1724926</v>
      </c>
      <c r="B2342" s="2" t="str">
        <f>"3328076212830002"</f>
        <v>3328076212830002</v>
      </c>
      <c r="C2342" s="2" t="s">
        <v>2974</v>
      </c>
      <c r="D2342" s="2" t="s">
        <v>10</v>
      </c>
      <c r="E2342" s="2" t="s">
        <v>11</v>
      </c>
      <c r="F2342" s="2" t="s">
        <v>18</v>
      </c>
      <c r="G2342" s="2" t="s">
        <v>19</v>
      </c>
      <c r="H2342" s="2" t="s">
        <v>59</v>
      </c>
      <c r="I2342" s="2" t="s">
        <v>110</v>
      </c>
    </row>
    <row r="2343" spans="1:9" ht="14.5" x14ac:dyDescent="0.35">
      <c r="A2343" s="2">
        <v>2618366</v>
      </c>
      <c r="B2343" s="2" t="str">
        <f>"3328076212830002"</f>
        <v>3328076212830002</v>
      </c>
      <c r="C2343" s="2" t="s">
        <v>2975</v>
      </c>
      <c r="D2343" s="2" t="s">
        <v>10</v>
      </c>
      <c r="E2343" s="2" t="s">
        <v>57</v>
      </c>
      <c r="F2343" s="2" t="s">
        <v>18</v>
      </c>
      <c r="G2343" s="2" t="s">
        <v>1438</v>
      </c>
      <c r="H2343" s="2" t="s">
        <v>2976</v>
      </c>
      <c r="I2343" s="2" t="s">
        <v>2977</v>
      </c>
    </row>
    <row r="2344" spans="1:9" ht="14.5" x14ac:dyDescent="0.35">
      <c r="A2344" s="2">
        <v>1670210</v>
      </c>
      <c r="B2344" s="2" t="str">
        <f>"3328076911040007"</f>
        <v>3328076911040007</v>
      </c>
      <c r="C2344" s="2" t="s">
        <v>2978</v>
      </c>
      <c r="D2344" s="2" t="s">
        <v>189</v>
      </c>
      <c r="E2344" s="2" t="s">
        <v>11</v>
      </c>
      <c r="F2344" s="2" t="s">
        <v>18</v>
      </c>
      <c r="G2344" s="2" t="s">
        <v>19</v>
      </c>
      <c r="H2344" s="2" t="s">
        <v>59</v>
      </c>
      <c r="I2344" s="2" t="s">
        <v>2856</v>
      </c>
    </row>
    <row r="2345" spans="1:9" ht="14.5" x14ac:dyDescent="0.35">
      <c r="A2345" s="2">
        <v>1352902</v>
      </c>
      <c r="B2345" s="2" t="str">
        <f>"3328076911040007"</f>
        <v>3328076911040007</v>
      </c>
      <c r="C2345" s="2" t="s">
        <v>2978</v>
      </c>
      <c r="D2345" s="2" t="s">
        <v>10</v>
      </c>
      <c r="E2345" s="2" t="s">
        <v>57</v>
      </c>
      <c r="F2345" s="2" t="s">
        <v>303</v>
      </c>
      <c r="G2345" s="2" t="s">
        <v>608</v>
      </c>
      <c r="H2345" s="2" t="s">
        <v>609</v>
      </c>
      <c r="I2345" s="2" t="s">
        <v>610</v>
      </c>
    </row>
    <row r="2346" spans="1:9" ht="14.5" x14ac:dyDescent="0.35">
      <c r="A2346" s="2">
        <v>597326</v>
      </c>
      <c r="B2346" s="2" t="str">
        <f>"3328131201796287"</f>
        <v>3328131201796287</v>
      </c>
      <c r="C2346" s="2" t="s">
        <v>2979</v>
      </c>
      <c r="D2346" s="2" t="s">
        <v>10</v>
      </c>
      <c r="E2346" s="2" t="s">
        <v>11</v>
      </c>
      <c r="F2346" s="2" t="s">
        <v>50</v>
      </c>
      <c r="G2346" s="2" t="s">
        <v>58</v>
      </c>
      <c r="H2346" s="2" t="s">
        <v>316</v>
      </c>
      <c r="I2346" s="2" t="s">
        <v>2878</v>
      </c>
    </row>
    <row r="2347" spans="1:9" ht="14.5" x14ac:dyDescent="0.35">
      <c r="A2347" s="2">
        <v>2542941</v>
      </c>
      <c r="B2347" s="2" t="str">
        <f>"3328131201796287"</f>
        <v>3328131201796287</v>
      </c>
      <c r="C2347" s="2" t="s">
        <v>2979</v>
      </c>
      <c r="D2347" s="2" t="s">
        <v>17</v>
      </c>
      <c r="E2347" s="2" t="s">
        <v>11</v>
      </c>
      <c r="F2347" s="2" t="s">
        <v>18</v>
      </c>
      <c r="G2347" s="2" t="s">
        <v>19</v>
      </c>
      <c r="H2347" s="2" t="s">
        <v>59</v>
      </c>
      <c r="I2347" s="2" t="s">
        <v>2880</v>
      </c>
    </row>
    <row r="2348" spans="1:9" ht="14.5" x14ac:dyDescent="0.35">
      <c r="A2348" s="2">
        <v>2542705</v>
      </c>
      <c r="B2348" s="2" t="str">
        <f>"3329072010010002"</f>
        <v>3329072010010002</v>
      </c>
      <c r="C2348" s="2" t="s">
        <v>2980</v>
      </c>
      <c r="D2348" s="2" t="s">
        <v>17</v>
      </c>
      <c r="E2348" s="2" t="s">
        <v>11</v>
      </c>
      <c r="F2348" s="2" t="s">
        <v>18</v>
      </c>
      <c r="G2348" s="2" t="s">
        <v>19</v>
      </c>
      <c r="H2348" s="2" t="s">
        <v>59</v>
      </c>
      <c r="I2348" s="2" t="s">
        <v>110</v>
      </c>
    </row>
    <row r="2349" spans="1:9" ht="14.5" x14ac:dyDescent="0.35">
      <c r="A2349" s="2">
        <v>1220677</v>
      </c>
      <c r="B2349" s="2" t="str">
        <f>"3329072010010002"</f>
        <v>3329072010010002</v>
      </c>
      <c r="C2349" s="2" t="s">
        <v>2980</v>
      </c>
      <c r="D2349" s="2" t="s">
        <v>189</v>
      </c>
      <c r="E2349" s="2" t="s">
        <v>11</v>
      </c>
      <c r="F2349" s="2" t="s">
        <v>18</v>
      </c>
      <c r="G2349" s="2" t="s">
        <v>264</v>
      </c>
      <c r="H2349" s="2" t="s">
        <v>265</v>
      </c>
      <c r="I2349" s="2" t="s">
        <v>863</v>
      </c>
    </row>
    <row r="2350" spans="1:9" ht="14.5" x14ac:dyDescent="0.35">
      <c r="A2350" s="2">
        <v>651368</v>
      </c>
      <c r="B2350" s="2" t="str">
        <f>"3329091903660007"</f>
        <v>3329091903660007</v>
      </c>
      <c r="C2350" s="2" t="s">
        <v>2981</v>
      </c>
      <c r="D2350" s="2" t="s">
        <v>10</v>
      </c>
      <c r="E2350" s="2" t="s">
        <v>11</v>
      </c>
      <c r="F2350" s="2" t="s">
        <v>18</v>
      </c>
      <c r="G2350" s="2" t="s">
        <v>264</v>
      </c>
      <c r="H2350" s="2" t="s">
        <v>264</v>
      </c>
      <c r="I2350" s="2" t="s">
        <v>2982</v>
      </c>
    </row>
    <row r="2351" spans="1:9" ht="14.5" x14ac:dyDescent="0.35">
      <c r="A2351" s="2">
        <v>2541484</v>
      </c>
      <c r="B2351" s="2" t="str">
        <f>"3329091903660007"</f>
        <v>3329091903660007</v>
      </c>
      <c r="C2351" s="2" t="s">
        <v>2917</v>
      </c>
      <c r="D2351" s="2" t="s">
        <v>17</v>
      </c>
      <c r="E2351" s="2" t="s">
        <v>11</v>
      </c>
      <c r="F2351" s="2" t="s">
        <v>18</v>
      </c>
      <c r="G2351" s="2" t="s">
        <v>19</v>
      </c>
      <c r="H2351" s="2" t="s">
        <v>59</v>
      </c>
      <c r="I2351" s="2" t="s">
        <v>2862</v>
      </c>
    </row>
    <row r="2352" spans="1:9" ht="14.5" x14ac:dyDescent="0.35">
      <c r="A2352" s="2">
        <v>939163</v>
      </c>
      <c r="B2352" s="2" t="str">
        <f>"3329096803750007"</f>
        <v>3329096803750007</v>
      </c>
      <c r="C2352" s="2" t="s">
        <v>2983</v>
      </c>
      <c r="D2352" s="2" t="s">
        <v>10</v>
      </c>
      <c r="E2352" s="2" t="s">
        <v>11</v>
      </c>
      <c r="F2352" s="2" t="s">
        <v>18</v>
      </c>
      <c r="G2352" s="2" t="s">
        <v>264</v>
      </c>
      <c r="H2352" s="2" t="s">
        <v>264</v>
      </c>
      <c r="I2352" s="2" t="s">
        <v>2921</v>
      </c>
    </row>
    <row r="2353" spans="1:9" ht="14.5" x14ac:dyDescent="0.35">
      <c r="A2353" s="2">
        <v>2543031</v>
      </c>
      <c r="B2353" s="2" t="str">
        <f>"3329096803750007"</f>
        <v>3329096803750007</v>
      </c>
      <c r="C2353" s="2" t="s">
        <v>2984</v>
      </c>
      <c r="D2353" s="2" t="s">
        <v>17</v>
      </c>
      <c r="E2353" s="2" t="s">
        <v>11</v>
      </c>
      <c r="F2353" s="2" t="s">
        <v>18</v>
      </c>
      <c r="G2353" s="2" t="s">
        <v>19</v>
      </c>
      <c r="H2353" s="2" t="s">
        <v>59</v>
      </c>
      <c r="I2353" s="2" t="s">
        <v>2873</v>
      </c>
    </row>
    <row r="2354" spans="1:9" ht="14.5" x14ac:dyDescent="0.35">
      <c r="A2354" s="2">
        <v>2543336</v>
      </c>
      <c r="B2354" s="2" t="str">
        <f>"3329136503040003"</f>
        <v>3329136503040003</v>
      </c>
      <c r="C2354" s="2" t="s">
        <v>2985</v>
      </c>
      <c r="D2354" s="2" t="s">
        <v>17</v>
      </c>
      <c r="E2354" s="2" t="s">
        <v>11</v>
      </c>
      <c r="F2354" s="2" t="s">
        <v>18</v>
      </c>
      <c r="G2354" s="2" t="s">
        <v>19</v>
      </c>
      <c r="H2354" s="2" t="s">
        <v>59</v>
      </c>
      <c r="I2354" s="2" t="s">
        <v>222</v>
      </c>
    </row>
    <row r="2355" spans="1:9" ht="14.5" x14ac:dyDescent="0.35">
      <c r="A2355" s="2">
        <v>1617465</v>
      </c>
      <c r="B2355" s="2" t="str">
        <f>"3329136503040003"</f>
        <v>3329136503040003</v>
      </c>
      <c r="C2355" s="2" t="s">
        <v>2986</v>
      </c>
      <c r="D2355" s="2" t="s">
        <v>17</v>
      </c>
      <c r="E2355" s="2" t="s">
        <v>11</v>
      </c>
      <c r="F2355" s="2" t="s">
        <v>18</v>
      </c>
      <c r="G2355" s="2" t="s">
        <v>264</v>
      </c>
      <c r="H2355" s="2" t="s">
        <v>773</v>
      </c>
      <c r="I2355" s="2" t="s">
        <v>1454</v>
      </c>
    </row>
    <row r="2356" spans="1:9" ht="14.5" x14ac:dyDescent="0.35">
      <c r="A2356" s="2">
        <v>658665</v>
      </c>
      <c r="B2356" s="2" t="str">
        <f>"3501112711830001"</f>
        <v>3501112711830001</v>
      </c>
      <c r="C2356" s="2" t="s">
        <v>2987</v>
      </c>
      <c r="D2356" s="2" t="s">
        <v>10</v>
      </c>
      <c r="E2356" s="2" t="s">
        <v>11</v>
      </c>
      <c r="F2356" s="2" t="s">
        <v>303</v>
      </c>
      <c r="G2356" s="2" t="s">
        <v>1855</v>
      </c>
      <c r="H2356" s="2" t="s">
        <v>2988</v>
      </c>
      <c r="I2356" s="2" t="s">
        <v>2989</v>
      </c>
    </row>
    <row r="2357" spans="1:9" ht="14.5" x14ac:dyDescent="0.35">
      <c r="A2357" s="2">
        <v>2541347</v>
      </c>
      <c r="B2357" s="2" t="str">
        <f>"3501112711830001"</f>
        <v>3501112711830001</v>
      </c>
      <c r="C2357" s="2" t="s">
        <v>2987</v>
      </c>
      <c r="D2357" s="2" t="s">
        <v>17</v>
      </c>
      <c r="E2357" s="2" t="s">
        <v>11</v>
      </c>
      <c r="F2357" s="2" t="s">
        <v>18</v>
      </c>
      <c r="G2357" s="2" t="s">
        <v>19</v>
      </c>
      <c r="H2357" s="2" t="s">
        <v>59</v>
      </c>
      <c r="I2357" s="2" t="s">
        <v>2856</v>
      </c>
    </row>
    <row r="2358" spans="1:9" ht="14.5" x14ac:dyDescent="0.35">
      <c r="A2358" s="2">
        <v>1104900</v>
      </c>
      <c r="B2358" s="2" t="str">
        <f>"3602126911060002"</f>
        <v>3602126911060002</v>
      </c>
      <c r="C2358" s="2" t="s">
        <v>2990</v>
      </c>
      <c r="D2358" s="2" t="s">
        <v>189</v>
      </c>
      <c r="E2358" s="2" t="s">
        <v>11</v>
      </c>
      <c r="F2358" s="2" t="s">
        <v>67</v>
      </c>
      <c r="G2358" s="2" t="s">
        <v>638</v>
      </c>
      <c r="H2358" s="2" t="s">
        <v>2991</v>
      </c>
      <c r="I2358" s="2" t="s">
        <v>2992</v>
      </c>
    </row>
    <row r="2359" spans="1:9" ht="14.5" x14ac:dyDescent="0.35">
      <c r="A2359" s="2">
        <v>2542555</v>
      </c>
      <c r="B2359" s="2" t="str">
        <f>"3602126911060002"</f>
        <v>3602126911060002</v>
      </c>
      <c r="C2359" s="2" t="s">
        <v>2993</v>
      </c>
      <c r="D2359" s="2" t="s">
        <v>17</v>
      </c>
      <c r="E2359" s="2" t="s">
        <v>11</v>
      </c>
      <c r="F2359" s="2" t="s">
        <v>18</v>
      </c>
      <c r="G2359" s="2" t="s">
        <v>19</v>
      </c>
      <c r="H2359" s="2" t="s">
        <v>59</v>
      </c>
      <c r="I2359" s="2" t="s">
        <v>2893</v>
      </c>
    </row>
    <row r="2360" spans="1:9" ht="14.5" x14ac:dyDescent="0.35">
      <c r="A2360" s="2">
        <v>769307</v>
      </c>
      <c r="B2360" s="2" t="str">
        <f>"3604031509060001"</f>
        <v>3604031509060001</v>
      </c>
      <c r="C2360" s="2" t="s">
        <v>2994</v>
      </c>
      <c r="D2360" s="2" t="s">
        <v>10</v>
      </c>
      <c r="E2360" s="2" t="s">
        <v>11</v>
      </c>
      <c r="F2360" s="2" t="s">
        <v>67</v>
      </c>
      <c r="G2360" s="2" t="s">
        <v>696</v>
      </c>
      <c r="H2360" s="2" t="s">
        <v>697</v>
      </c>
      <c r="I2360" s="2" t="s">
        <v>2995</v>
      </c>
    </row>
    <row r="2361" spans="1:9" ht="14.5" x14ac:dyDescent="0.35">
      <c r="A2361" s="2">
        <v>2542371</v>
      </c>
      <c r="B2361" s="2" t="str">
        <f>"3604031509060001"</f>
        <v>3604031509060001</v>
      </c>
      <c r="C2361" s="2" t="s">
        <v>2994</v>
      </c>
      <c r="D2361" s="2" t="s">
        <v>17</v>
      </c>
      <c r="E2361" s="2" t="s">
        <v>11</v>
      </c>
      <c r="F2361" s="2" t="s">
        <v>18</v>
      </c>
      <c r="G2361" s="2" t="s">
        <v>19</v>
      </c>
      <c r="H2361" s="2" t="s">
        <v>59</v>
      </c>
      <c r="I2361" s="2" t="s">
        <v>2876</v>
      </c>
    </row>
    <row r="2362" spans="1:9" ht="14.5" x14ac:dyDescent="0.35">
      <c r="A2362" s="2">
        <v>769354</v>
      </c>
      <c r="B2362" s="2" t="str">
        <f>"3604035710790217"</f>
        <v>3604035710790217</v>
      </c>
      <c r="C2362" s="2" t="s">
        <v>2613</v>
      </c>
      <c r="D2362" s="2" t="s">
        <v>10</v>
      </c>
      <c r="E2362" s="2" t="s">
        <v>11</v>
      </c>
      <c r="F2362" s="2" t="s">
        <v>67</v>
      </c>
      <c r="G2362" s="2" t="s">
        <v>696</v>
      </c>
      <c r="H2362" s="2" t="s">
        <v>697</v>
      </c>
      <c r="I2362" s="2" t="s">
        <v>2995</v>
      </c>
    </row>
    <row r="2363" spans="1:9" ht="14.5" x14ac:dyDescent="0.35">
      <c r="A2363" s="2">
        <v>2542365</v>
      </c>
      <c r="B2363" s="2" t="str">
        <f>"3604035710790217"</f>
        <v>3604035710790217</v>
      </c>
      <c r="C2363" s="2" t="s">
        <v>2996</v>
      </c>
      <c r="D2363" s="2" t="s">
        <v>17</v>
      </c>
      <c r="E2363" s="2" t="s">
        <v>11</v>
      </c>
      <c r="F2363" s="2" t="s">
        <v>18</v>
      </c>
      <c r="G2363" s="2" t="s">
        <v>19</v>
      </c>
      <c r="H2363" s="2" t="s">
        <v>59</v>
      </c>
      <c r="I2363" s="2" t="s">
        <v>2876</v>
      </c>
    </row>
    <row r="2364" spans="1:9" ht="14.5" x14ac:dyDescent="0.35">
      <c r="A2364" s="2">
        <v>2541485</v>
      </c>
      <c r="B2364" s="2" t="str">
        <f>"3671052009740003"</f>
        <v>3671052009740003</v>
      </c>
      <c r="C2364" s="2" t="s">
        <v>2997</v>
      </c>
      <c r="D2364" s="2" t="s">
        <v>17</v>
      </c>
      <c r="E2364" s="2" t="s">
        <v>11</v>
      </c>
      <c r="F2364" s="2" t="s">
        <v>18</v>
      </c>
      <c r="G2364" s="2" t="s">
        <v>19</v>
      </c>
      <c r="H2364" s="2" t="s">
        <v>59</v>
      </c>
      <c r="I2364" s="2" t="s">
        <v>2862</v>
      </c>
    </row>
    <row r="2365" spans="1:9" ht="14.5" x14ac:dyDescent="0.35">
      <c r="A2365" s="2">
        <v>265643</v>
      </c>
      <c r="B2365" s="2" t="str">
        <f>"3671052009740003"</f>
        <v>3671052009740003</v>
      </c>
      <c r="C2365" s="2" t="s">
        <v>2998</v>
      </c>
      <c r="D2365" s="2" t="s">
        <v>189</v>
      </c>
      <c r="E2365" s="2" t="s">
        <v>11</v>
      </c>
      <c r="F2365" s="2" t="s">
        <v>2889</v>
      </c>
      <c r="G2365" s="2" t="s">
        <v>2999</v>
      </c>
      <c r="H2365" s="2" t="s">
        <v>3000</v>
      </c>
      <c r="I2365" s="2" t="s">
        <v>3001</v>
      </c>
    </row>
    <row r="2366" spans="1:9" ht="14.5" x14ac:dyDescent="0.35">
      <c r="A2366" s="2">
        <v>2556382</v>
      </c>
      <c r="B2366" s="2" t="str">
        <f>"3671062410610003"</f>
        <v>3671062410610003</v>
      </c>
      <c r="C2366" s="2" t="s">
        <v>3002</v>
      </c>
      <c r="D2366" s="2" t="s">
        <v>10</v>
      </c>
      <c r="E2366" s="2" t="s">
        <v>11</v>
      </c>
      <c r="F2366" s="2" t="s">
        <v>67</v>
      </c>
      <c r="G2366" s="2" t="s">
        <v>512</v>
      </c>
      <c r="H2366" s="2" t="s">
        <v>513</v>
      </c>
      <c r="I2366" s="2" t="s">
        <v>514</v>
      </c>
    </row>
    <row r="2367" spans="1:9" ht="14.5" x14ac:dyDescent="0.35">
      <c r="A2367" s="2">
        <v>2542796</v>
      </c>
      <c r="B2367" s="2" t="str">
        <f>"3671062410610003"</f>
        <v>3671062410610003</v>
      </c>
      <c r="C2367" s="2" t="s">
        <v>3002</v>
      </c>
      <c r="D2367" s="2" t="s">
        <v>17</v>
      </c>
      <c r="E2367" s="2" t="s">
        <v>11</v>
      </c>
      <c r="F2367" s="2" t="s">
        <v>18</v>
      </c>
      <c r="G2367" s="2" t="s">
        <v>19</v>
      </c>
      <c r="H2367" s="2" t="s">
        <v>59</v>
      </c>
      <c r="I2367" s="2" t="s">
        <v>2849</v>
      </c>
    </row>
    <row r="2368" spans="1:9" ht="14.5" x14ac:dyDescent="0.35">
      <c r="A2368" s="2">
        <v>1639540</v>
      </c>
      <c r="B2368" s="2" t="str">
        <f>"3674031508740003"</f>
        <v>3674031508740003</v>
      </c>
      <c r="C2368" s="2" t="s">
        <v>3003</v>
      </c>
      <c r="D2368" s="2" t="s">
        <v>10</v>
      </c>
      <c r="E2368" s="2" t="s">
        <v>11</v>
      </c>
      <c r="F2368" s="2" t="s">
        <v>67</v>
      </c>
      <c r="G2368" s="2" t="s">
        <v>68</v>
      </c>
      <c r="H2368" s="2" t="s">
        <v>2924</v>
      </c>
      <c r="I2368" s="2" t="s">
        <v>3004</v>
      </c>
    </row>
    <row r="2369" spans="1:9" ht="14.5" x14ac:dyDescent="0.35">
      <c r="A2369" s="2">
        <v>2543202</v>
      </c>
      <c r="B2369" s="2" t="str">
        <f>"3674031508740003"</f>
        <v>3674031508740003</v>
      </c>
      <c r="C2369" s="2" t="s">
        <v>3005</v>
      </c>
      <c r="D2369" s="2" t="s">
        <v>17</v>
      </c>
      <c r="E2369" s="2" t="s">
        <v>11</v>
      </c>
      <c r="F2369" s="2" t="s">
        <v>18</v>
      </c>
      <c r="G2369" s="2" t="s">
        <v>19</v>
      </c>
      <c r="H2369" s="2" t="s">
        <v>59</v>
      </c>
      <c r="I2369" s="2" t="s">
        <v>2873</v>
      </c>
    </row>
    <row r="2370" spans="1:9" ht="14.5" x14ac:dyDescent="0.35">
      <c r="A2370" s="2">
        <v>1392375</v>
      </c>
      <c r="B2370" s="2" t="str">
        <f>"3674044806900002"</f>
        <v>3674044806900002</v>
      </c>
      <c r="C2370" s="2" t="s">
        <v>3006</v>
      </c>
      <c r="D2370" s="2" t="s">
        <v>10</v>
      </c>
      <c r="E2370" s="2" t="s">
        <v>11</v>
      </c>
      <c r="F2370" s="2" t="s">
        <v>67</v>
      </c>
      <c r="G2370" s="2" t="s">
        <v>68</v>
      </c>
      <c r="H2370" s="2" t="s">
        <v>69</v>
      </c>
      <c r="I2370" s="2" t="s">
        <v>2117</v>
      </c>
    </row>
    <row r="2371" spans="1:9" ht="14.5" x14ac:dyDescent="0.35">
      <c r="A2371" s="2">
        <v>2541479</v>
      </c>
      <c r="B2371" s="2" t="str">
        <f>"3674044806900002"</f>
        <v>3674044806900002</v>
      </c>
      <c r="C2371" s="2" t="s">
        <v>3006</v>
      </c>
      <c r="D2371" s="2" t="s">
        <v>17</v>
      </c>
      <c r="E2371" s="2" t="s">
        <v>11</v>
      </c>
      <c r="F2371" s="2" t="s">
        <v>18</v>
      </c>
      <c r="G2371" s="2" t="s">
        <v>19</v>
      </c>
      <c r="H2371" s="2" t="s">
        <v>59</v>
      </c>
      <c r="I2371" s="2" t="s">
        <v>2862</v>
      </c>
    </row>
    <row r="2372" spans="1:9" ht="14.5" x14ac:dyDescent="0.35">
      <c r="A2372" s="2">
        <v>1727341</v>
      </c>
      <c r="B2372" s="2" t="str">
        <f>"3674052703910002"</f>
        <v>3674052703910002</v>
      </c>
      <c r="C2372" s="2" t="s">
        <v>3007</v>
      </c>
      <c r="D2372" s="2" t="s">
        <v>10</v>
      </c>
      <c r="E2372" s="2" t="s">
        <v>11</v>
      </c>
      <c r="F2372" s="2" t="s">
        <v>67</v>
      </c>
      <c r="G2372" s="2" t="s">
        <v>68</v>
      </c>
      <c r="H2372" s="2" t="s">
        <v>2955</v>
      </c>
      <c r="I2372" s="2" t="s">
        <v>2956</v>
      </c>
    </row>
    <row r="2373" spans="1:9" ht="14.5" x14ac:dyDescent="0.35">
      <c r="A2373" s="2">
        <v>2542942</v>
      </c>
      <c r="B2373" s="2" t="str">
        <f>"3674052703910002"</f>
        <v>3674052703910002</v>
      </c>
      <c r="C2373" s="2" t="s">
        <v>3007</v>
      </c>
      <c r="D2373" s="2" t="s">
        <v>17</v>
      </c>
      <c r="E2373" s="2" t="s">
        <v>11</v>
      </c>
      <c r="F2373" s="2" t="s">
        <v>18</v>
      </c>
      <c r="G2373" s="2" t="s">
        <v>19</v>
      </c>
      <c r="H2373" s="2" t="s">
        <v>59</v>
      </c>
      <c r="I2373" s="2" t="s">
        <v>2880</v>
      </c>
    </row>
    <row r="2374" spans="1:9" ht="14.5" x14ac:dyDescent="0.35">
      <c r="A2374" s="2">
        <v>1285369</v>
      </c>
      <c r="B2374" s="2" t="str">
        <f>"3674064410760002"</f>
        <v>3674064410760002</v>
      </c>
      <c r="C2374" s="2" t="s">
        <v>3008</v>
      </c>
      <c r="D2374" s="2" t="s">
        <v>10</v>
      </c>
      <c r="E2374" s="2" t="s">
        <v>11</v>
      </c>
      <c r="F2374" s="2" t="s">
        <v>67</v>
      </c>
      <c r="G2374" s="2" t="s">
        <v>68</v>
      </c>
      <c r="H2374" s="2" t="s">
        <v>2817</v>
      </c>
      <c r="I2374" s="2" t="s">
        <v>3009</v>
      </c>
    </row>
    <row r="2375" spans="1:9" ht="14.5" x14ac:dyDescent="0.35">
      <c r="A2375" s="2">
        <v>2543203</v>
      </c>
      <c r="B2375" s="2" t="str">
        <f>"3674064410760002"</f>
        <v>3674064410760002</v>
      </c>
      <c r="C2375" s="2" t="s">
        <v>3010</v>
      </c>
      <c r="D2375" s="2" t="s">
        <v>17</v>
      </c>
      <c r="E2375" s="2" t="s">
        <v>11</v>
      </c>
      <c r="F2375" s="2" t="s">
        <v>18</v>
      </c>
      <c r="G2375" s="2" t="s">
        <v>19</v>
      </c>
      <c r="H2375" s="2" t="s">
        <v>59</v>
      </c>
      <c r="I2375" s="2" t="s">
        <v>2873</v>
      </c>
    </row>
    <row r="2376" spans="1:9" ht="14.5" x14ac:dyDescent="0.35">
      <c r="A2376" s="2">
        <v>1810846</v>
      </c>
      <c r="B2376" s="2" t="str">
        <f>"1801154203000002"</f>
        <v>1801154203000002</v>
      </c>
      <c r="C2376" s="2" t="s">
        <v>3011</v>
      </c>
      <c r="D2376" s="2" t="s">
        <v>10</v>
      </c>
      <c r="E2376" s="2" t="s">
        <v>11</v>
      </c>
      <c r="F2376" s="2" t="s">
        <v>67</v>
      </c>
      <c r="G2376" s="2" t="s">
        <v>375</v>
      </c>
      <c r="H2376" s="2" t="s">
        <v>3012</v>
      </c>
      <c r="I2376" s="2" t="s">
        <v>3013</v>
      </c>
    </row>
    <row r="2377" spans="1:9" ht="14.5" x14ac:dyDescent="0.35">
      <c r="A2377" s="2">
        <v>2544411</v>
      </c>
      <c r="B2377" s="2" t="str">
        <f>"1801154203000002"</f>
        <v>1801154203000002</v>
      </c>
      <c r="C2377" s="2" t="s">
        <v>3011</v>
      </c>
      <c r="D2377" s="2" t="s">
        <v>17</v>
      </c>
      <c r="E2377" s="2" t="s">
        <v>11</v>
      </c>
      <c r="F2377" s="2" t="s">
        <v>18</v>
      </c>
      <c r="G2377" s="2" t="s">
        <v>19</v>
      </c>
      <c r="H2377" s="2" t="s">
        <v>3014</v>
      </c>
      <c r="I2377" s="2" t="s">
        <v>3015</v>
      </c>
    </row>
    <row r="2378" spans="1:9" ht="14.5" x14ac:dyDescent="0.35">
      <c r="A2378" s="2">
        <v>87178</v>
      </c>
      <c r="B2378" s="2" t="str">
        <f>"3171020206810006"</f>
        <v>3171020206810006</v>
      </c>
      <c r="C2378" s="2" t="s">
        <v>3016</v>
      </c>
      <c r="D2378" s="2" t="s">
        <v>10</v>
      </c>
      <c r="E2378" s="2" t="s">
        <v>11</v>
      </c>
      <c r="F2378" s="2" t="s">
        <v>50</v>
      </c>
      <c r="G2378" s="2" t="s">
        <v>280</v>
      </c>
      <c r="H2378" s="2" t="s">
        <v>455</v>
      </c>
      <c r="I2378" s="2" t="s">
        <v>456</v>
      </c>
    </row>
    <row r="2379" spans="1:9" ht="14.5" x14ac:dyDescent="0.35">
      <c r="A2379" s="2">
        <v>2544040</v>
      </c>
      <c r="B2379" s="2" t="str">
        <f>"3171020206810006"</f>
        <v>3171020206810006</v>
      </c>
      <c r="C2379" s="2" t="s">
        <v>3017</v>
      </c>
      <c r="D2379" s="2" t="s">
        <v>17</v>
      </c>
      <c r="E2379" s="2" t="s">
        <v>11</v>
      </c>
      <c r="F2379" s="2" t="s">
        <v>18</v>
      </c>
      <c r="G2379" s="2" t="s">
        <v>19</v>
      </c>
      <c r="H2379" s="2" t="s">
        <v>3014</v>
      </c>
      <c r="I2379" s="2" t="s">
        <v>3018</v>
      </c>
    </row>
    <row r="2380" spans="1:9" ht="14.5" x14ac:dyDescent="0.35">
      <c r="A2380" s="2">
        <v>170535</v>
      </c>
      <c r="B2380" s="2" t="str">
        <f>"3172020205660011"</f>
        <v>3172020205660011</v>
      </c>
      <c r="C2380" s="2" t="s">
        <v>943</v>
      </c>
      <c r="D2380" s="2" t="s">
        <v>10</v>
      </c>
      <c r="E2380" s="2" t="s">
        <v>11</v>
      </c>
      <c r="F2380" s="2" t="s">
        <v>50</v>
      </c>
      <c r="G2380" s="2" t="s">
        <v>51</v>
      </c>
      <c r="H2380" s="2" t="s">
        <v>62</v>
      </c>
      <c r="I2380" s="2" t="s">
        <v>63</v>
      </c>
    </row>
    <row r="2381" spans="1:9" ht="14.5" x14ac:dyDescent="0.35">
      <c r="A2381" s="2">
        <v>2544239</v>
      </c>
      <c r="B2381" s="2" t="str">
        <f>"3172020205660011"</f>
        <v>3172020205660011</v>
      </c>
      <c r="C2381" s="2" t="s">
        <v>943</v>
      </c>
      <c r="D2381" s="2" t="s">
        <v>17</v>
      </c>
      <c r="E2381" s="2" t="s">
        <v>11</v>
      </c>
      <c r="F2381" s="2" t="s">
        <v>18</v>
      </c>
      <c r="G2381" s="2" t="s">
        <v>19</v>
      </c>
      <c r="H2381" s="2" t="s">
        <v>3014</v>
      </c>
      <c r="I2381" s="2" t="s">
        <v>3014</v>
      </c>
    </row>
    <row r="2382" spans="1:9" ht="14.5" x14ac:dyDescent="0.35">
      <c r="A2382" s="2">
        <v>482134</v>
      </c>
      <c r="B2382" s="2" t="str">
        <f>"3172026206061003"</f>
        <v>3172026206061003</v>
      </c>
      <c r="C2382" s="2" t="s">
        <v>3019</v>
      </c>
      <c r="D2382" s="2" t="s">
        <v>10</v>
      </c>
      <c r="E2382" s="2" t="s">
        <v>11</v>
      </c>
      <c r="F2382" s="2" t="s">
        <v>50</v>
      </c>
      <c r="G2382" s="2" t="s">
        <v>51</v>
      </c>
      <c r="H2382" s="2" t="s">
        <v>62</v>
      </c>
      <c r="I2382" s="2" t="s">
        <v>2193</v>
      </c>
    </row>
    <row r="2383" spans="1:9" ht="14.5" x14ac:dyDescent="0.35">
      <c r="A2383" s="2">
        <v>2544387</v>
      </c>
      <c r="B2383" s="2" t="str">
        <f>"3172026206061003"</f>
        <v>3172026206061003</v>
      </c>
      <c r="C2383" s="2" t="s">
        <v>3020</v>
      </c>
      <c r="D2383" s="2" t="s">
        <v>17</v>
      </c>
      <c r="E2383" s="2" t="s">
        <v>11</v>
      </c>
      <c r="F2383" s="2" t="s">
        <v>18</v>
      </c>
      <c r="G2383" s="2" t="s">
        <v>19</v>
      </c>
      <c r="H2383" s="2" t="s">
        <v>3014</v>
      </c>
      <c r="I2383" s="2" t="s">
        <v>3015</v>
      </c>
    </row>
    <row r="2384" spans="1:9" ht="14.5" x14ac:dyDescent="0.35">
      <c r="A2384" s="2">
        <v>482133</v>
      </c>
      <c r="B2384" s="2" t="str">
        <f>"3172026304850021"</f>
        <v>3172026304850021</v>
      </c>
      <c r="C2384" s="2" t="s">
        <v>3021</v>
      </c>
      <c r="D2384" s="2" t="s">
        <v>10</v>
      </c>
      <c r="E2384" s="2" t="s">
        <v>11</v>
      </c>
      <c r="F2384" s="2" t="s">
        <v>50</v>
      </c>
      <c r="G2384" s="2" t="s">
        <v>51</v>
      </c>
      <c r="H2384" s="2" t="s">
        <v>62</v>
      </c>
      <c r="I2384" s="2" t="s">
        <v>2193</v>
      </c>
    </row>
    <row r="2385" spans="1:9" ht="14.5" x14ac:dyDescent="0.35">
      <c r="A2385" s="2">
        <v>2544386</v>
      </c>
      <c r="B2385" s="2" t="str">
        <f>"3172026304850021"</f>
        <v>3172026304850021</v>
      </c>
      <c r="C2385" s="2" t="s">
        <v>3022</v>
      </c>
      <c r="D2385" s="2" t="s">
        <v>17</v>
      </c>
      <c r="E2385" s="2" t="s">
        <v>11</v>
      </c>
      <c r="F2385" s="2" t="s">
        <v>18</v>
      </c>
      <c r="G2385" s="2" t="s">
        <v>19</v>
      </c>
      <c r="H2385" s="2" t="s">
        <v>3014</v>
      </c>
      <c r="I2385" s="2" t="s">
        <v>3015</v>
      </c>
    </row>
    <row r="2386" spans="1:9" ht="14.5" x14ac:dyDescent="0.35">
      <c r="A2386" s="2">
        <v>170536</v>
      </c>
      <c r="B2386" s="2" t="str">
        <f>"3172027112740016"</f>
        <v>3172027112740016</v>
      </c>
      <c r="C2386" s="2" t="s">
        <v>3023</v>
      </c>
      <c r="D2386" s="2" t="s">
        <v>10</v>
      </c>
      <c r="E2386" s="2" t="s">
        <v>11</v>
      </c>
      <c r="F2386" s="2" t="s">
        <v>50</v>
      </c>
      <c r="G2386" s="2" t="s">
        <v>51</v>
      </c>
      <c r="H2386" s="2" t="s">
        <v>62</v>
      </c>
      <c r="I2386" s="2" t="s">
        <v>63</v>
      </c>
    </row>
    <row r="2387" spans="1:9" ht="14.5" x14ac:dyDescent="0.35">
      <c r="A2387" s="2">
        <v>2544238</v>
      </c>
      <c r="B2387" s="2" t="str">
        <f>"3172027112740016"</f>
        <v>3172027112740016</v>
      </c>
      <c r="C2387" s="2" t="s">
        <v>3023</v>
      </c>
      <c r="D2387" s="2" t="s">
        <v>17</v>
      </c>
      <c r="E2387" s="2" t="s">
        <v>11</v>
      </c>
      <c r="F2387" s="2" t="s">
        <v>18</v>
      </c>
      <c r="G2387" s="2" t="s">
        <v>19</v>
      </c>
      <c r="H2387" s="2" t="s">
        <v>3014</v>
      </c>
      <c r="I2387" s="2" t="s">
        <v>3014</v>
      </c>
    </row>
    <row r="2388" spans="1:9" ht="14.5" x14ac:dyDescent="0.35">
      <c r="A2388" s="2">
        <v>431001</v>
      </c>
      <c r="B2388" s="2" t="str">
        <f>"3172060404740007"</f>
        <v>3172060404740007</v>
      </c>
      <c r="C2388" s="2" t="s">
        <v>3024</v>
      </c>
      <c r="D2388" s="2" t="s">
        <v>10</v>
      </c>
      <c r="E2388" s="2" t="s">
        <v>11</v>
      </c>
      <c r="F2388" s="2" t="s">
        <v>50</v>
      </c>
      <c r="G2388" s="2" t="s">
        <v>51</v>
      </c>
      <c r="H2388" s="2" t="s">
        <v>425</v>
      </c>
      <c r="I2388" s="2" t="s">
        <v>426</v>
      </c>
    </row>
    <row r="2389" spans="1:9" ht="14.5" x14ac:dyDescent="0.35">
      <c r="A2389" s="2">
        <v>2543986</v>
      </c>
      <c r="B2389" s="2" t="str">
        <f>"3172060404740007"</f>
        <v>3172060404740007</v>
      </c>
      <c r="C2389" s="2" t="s">
        <v>3024</v>
      </c>
      <c r="D2389" s="2" t="s">
        <v>17</v>
      </c>
      <c r="E2389" s="2" t="s">
        <v>11</v>
      </c>
      <c r="F2389" s="2" t="s">
        <v>18</v>
      </c>
      <c r="G2389" s="2" t="s">
        <v>19</v>
      </c>
      <c r="H2389" s="2" t="s">
        <v>3014</v>
      </c>
      <c r="I2389" s="2" t="s">
        <v>1381</v>
      </c>
    </row>
    <row r="2390" spans="1:9" ht="14.5" x14ac:dyDescent="0.35">
      <c r="A2390" s="2">
        <v>1197224</v>
      </c>
      <c r="B2390" s="2" t="str">
        <f>"3173012105870016"</f>
        <v>3173012105870016</v>
      </c>
      <c r="C2390" s="2" t="s">
        <v>3025</v>
      </c>
      <c r="D2390" s="2" t="s">
        <v>10</v>
      </c>
      <c r="E2390" s="2" t="s">
        <v>11</v>
      </c>
      <c r="F2390" s="2" t="s">
        <v>50</v>
      </c>
      <c r="G2390" s="2" t="s">
        <v>86</v>
      </c>
      <c r="H2390" s="2" t="s">
        <v>1268</v>
      </c>
      <c r="I2390" s="2" t="s">
        <v>2503</v>
      </c>
    </row>
    <row r="2391" spans="1:9" ht="14.5" x14ac:dyDescent="0.35">
      <c r="A2391" s="2">
        <v>2544329</v>
      </c>
      <c r="B2391" s="2" t="str">
        <f>"3173012105870016"</f>
        <v>3173012105870016</v>
      </c>
      <c r="C2391" s="2" t="s">
        <v>3025</v>
      </c>
      <c r="D2391" s="2" t="s">
        <v>17</v>
      </c>
      <c r="E2391" s="2" t="s">
        <v>11</v>
      </c>
      <c r="F2391" s="2" t="s">
        <v>18</v>
      </c>
      <c r="G2391" s="2" t="s">
        <v>19</v>
      </c>
      <c r="H2391" s="2" t="s">
        <v>3014</v>
      </c>
      <c r="I2391" s="2" t="s">
        <v>3026</v>
      </c>
    </row>
    <row r="2392" spans="1:9" ht="14.5" x14ac:dyDescent="0.35">
      <c r="A2392" s="2">
        <v>1197227</v>
      </c>
      <c r="B2392" s="2" t="str">
        <f>"3173015809931001"</f>
        <v>3173015809931001</v>
      </c>
      <c r="C2392" s="2" t="s">
        <v>3027</v>
      </c>
      <c r="D2392" s="2" t="s">
        <v>10</v>
      </c>
      <c r="E2392" s="2" t="s">
        <v>11</v>
      </c>
      <c r="F2392" s="2" t="s">
        <v>50</v>
      </c>
      <c r="G2392" s="2" t="s">
        <v>86</v>
      </c>
      <c r="H2392" s="2" t="s">
        <v>1268</v>
      </c>
      <c r="I2392" s="2" t="s">
        <v>2503</v>
      </c>
    </row>
    <row r="2393" spans="1:9" ht="14.5" x14ac:dyDescent="0.35">
      <c r="A2393" s="2">
        <v>2544330</v>
      </c>
      <c r="B2393" s="2" t="str">
        <f>"3173015809931001"</f>
        <v>3173015809931001</v>
      </c>
      <c r="C2393" s="2" t="s">
        <v>3027</v>
      </c>
      <c r="D2393" s="2" t="s">
        <v>17</v>
      </c>
      <c r="E2393" s="2" t="s">
        <v>11</v>
      </c>
      <c r="F2393" s="2" t="s">
        <v>18</v>
      </c>
      <c r="G2393" s="2" t="s">
        <v>19</v>
      </c>
      <c r="H2393" s="2" t="s">
        <v>3014</v>
      </c>
      <c r="I2393" s="2" t="s">
        <v>3026</v>
      </c>
    </row>
    <row r="2394" spans="1:9" ht="14.5" x14ac:dyDescent="0.35">
      <c r="A2394" s="2">
        <v>268043</v>
      </c>
      <c r="B2394" s="2" t="str">
        <f>"3173020411981002"</f>
        <v>3173020411981002</v>
      </c>
      <c r="C2394" s="2" t="s">
        <v>3028</v>
      </c>
      <c r="D2394" s="2" t="s">
        <v>10</v>
      </c>
      <c r="E2394" s="2" t="s">
        <v>11</v>
      </c>
      <c r="F2394" s="2" t="s">
        <v>50</v>
      </c>
      <c r="G2394" s="2" t="s">
        <v>86</v>
      </c>
      <c r="H2394" s="2" t="s">
        <v>205</v>
      </c>
      <c r="I2394" s="2" t="s">
        <v>2635</v>
      </c>
    </row>
    <row r="2395" spans="1:9" ht="14.5" x14ac:dyDescent="0.35">
      <c r="A2395" s="2">
        <v>2544605</v>
      </c>
      <c r="B2395" s="2" t="str">
        <f>"3173020411981002"</f>
        <v>3173020411981002</v>
      </c>
      <c r="C2395" s="2" t="s">
        <v>3028</v>
      </c>
      <c r="D2395" s="2" t="s">
        <v>17</v>
      </c>
      <c r="E2395" s="2" t="s">
        <v>11</v>
      </c>
      <c r="F2395" s="2" t="s">
        <v>18</v>
      </c>
      <c r="G2395" s="2" t="s">
        <v>19</v>
      </c>
      <c r="H2395" s="2" t="s">
        <v>3014</v>
      </c>
      <c r="I2395" s="2" t="s">
        <v>492</v>
      </c>
    </row>
    <row r="2396" spans="1:9" ht="14.5" x14ac:dyDescent="0.35">
      <c r="A2396" s="2">
        <v>544074</v>
      </c>
      <c r="B2396" s="2" t="str">
        <f>"3173071705820004"</f>
        <v>3173071705820004</v>
      </c>
      <c r="C2396" s="2" t="s">
        <v>3029</v>
      </c>
      <c r="D2396" s="2" t="s">
        <v>10</v>
      </c>
      <c r="E2396" s="2" t="s">
        <v>11</v>
      </c>
      <c r="F2396" s="2" t="s">
        <v>50</v>
      </c>
      <c r="G2396" s="2" t="s">
        <v>72</v>
      </c>
      <c r="H2396" s="2" t="s">
        <v>803</v>
      </c>
      <c r="I2396" s="2" t="s">
        <v>3030</v>
      </c>
    </row>
    <row r="2397" spans="1:9" ht="14.5" x14ac:dyDescent="0.35">
      <c r="A2397" s="2">
        <v>2544034</v>
      </c>
      <c r="B2397" s="2" t="str">
        <f>"3173071705820004"</f>
        <v>3173071705820004</v>
      </c>
      <c r="C2397" s="2" t="s">
        <v>3031</v>
      </c>
      <c r="D2397" s="2" t="s">
        <v>17</v>
      </c>
      <c r="E2397" s="2" t="s">
        <v>11</v>
      </c>
      <c r="F2397" s="2" t="s">
        <v>18</v>
      </c>
      <c r="G2397" s="2" t="s">
        <v>19</v>
      </c>
      <c r="H2397" s="2" t="s">
        <v>3014</v>
      </c>
      <c r="I2397" s="2" t="s">
        <v>3018</v>
      </c>
    </row>
    <row r="2398" spans="1:9" ht="14.5" x14ac:dyDescent="0.35">
      <c r="A2398" s="2">
        <v>1636708</v>
      </c>
      <c r="B2398" s="2" t="str">
        <f>"3174030112700011"</f>
        <v>3174030112700011</v>
      </c>
      <c r="C2398" s="2" t="s">
        <v>3032</v>
      </c>
      <c r="D2398" s="2" t="s">
        <v>10</v>
      </c>
      <c r="E2398" s="2" t="s">
        <v>11</v>
      </c>
      <c r="F2398" s="2" t="s">
        <v>50</v>
      </c>
      <c r="G2398" s="2" t="s">
        <v>72</v>
      </c>
      <c r="H2398" s="2" t="s">
        <v>1172</v>
      </c>
      <c r="I2398" s="2" t="s">
        <v>1173</v>
      </c>
    </row>
    <row r="2399" spans="1:9" ht="14.5" x14ac:dyDescent="0.35">
      <c r="A2399" s="2">
        <v>2543904</v>
      </c>
      <c r="B2399" s="2" t="str">
        <f>"3174030112700011"</f>
        <v>3174030112700011</v>
      </c>
      <c r="C2399" s="2" t="s">
        <v>3032</v>
      </c>
      <c r="D2399" s="2" t="s">
        <v>17</v>
      </c>
      <c r="E2399" s="2" t="s">
        <v>11</v>
      </c>
      <c r="F2399" s="2" t="s">
        <v>18</v>
      </c>
      <c r="G2399" s="2" t="s">
        <v>19</v>
      </c>
      <c r="H2399" s="2" t="s">
        <v>3014</v>
      </c>
      <c r="I2399" s="2" t="s">
        <v>1381</v>
      </c>
    </row>
    <row r="2400" spans="1:9" ht="14.5" x14ac:dyDescent="0.35">
      <c r="A2400" s="2">
        <v>1620214</v>
      </c>
      <c r="B2400" s="2" t="str">
        <f>"3174035010700007"</f>
        <v>3174035010700007</v>
      </c>
      <c r="C2400" s="2" t="s">
        <v>3033</v>
      </c>
      <c r="D2400" s="2" t="s">
        <v>10</v>
      </c>
      <c r="E2400" s="2" t="s">
        <v>11</v>
      </c>
      <c r="F2400" s="2" t="s">
        <v>50</v>
      </c>
      <c r="G2400" s="2" t="s">
        <v>72</v>
      </c>
      <c r="H2400" s="2" t="s">
        <v>1172</v>
      </c>
      <c r="I2400" s="2" t="s">
        <v>1173</v>
      </c>
    </row>
    <row r="2401" spans="1:9" ht="14.5" x14ac:dyDescent="0.35">
      <c r="A2401" s="2">
        <v>2543781</v>
      </c>
      <c r="B2401" s="2" t="str">
        <f>"3174035010700007"</f>
        <v>3174035010700007</v>
      </c>
      <c r="C2401" s="2" t="s">
        <v>3034</v>
      </c>
      <c r="D2401" s="2" t="s">
        <v>17</v>
      </c>
      <c r="E2401" s="2" t="s">
        <v>11</v>
      </c>
      <c r="F2401" s="2" t="s">
        <v>18</v>
      </c>
      <c r="G2401" s="2" t="s">
        <v>19</v>
      </c>
      <c r="H2401" s="2" t="s">
        <v>3014</v>
      </c>
      <c r="I2401" s="2" t="s">
        <v>3035</v>
      </c>
    </row>
    <row r="2402" spans="1:9" ht="14.5" x14ac:dyDescent="0.35">
      <c r="A2402" s="2">
        <v>1366975</v>
      </c>
      <c r="B2402" s="2" t="str">
        <f>"3174071402830008"</f>
        <v>3174071402830008</v>
      </c>
      <c r="C2402" s="2" t="s">
        <v>3036</v>
      </c>
      <c r="D2402" s="2" t="s">
        <v>10</v>
      </c>
      <c r="E2402" s="2" t="s">
        <v>11</v>
      </c>
      <c r="F2402" s="2" t="s">
        <v>50</v>
      </c>
      <c r="G2402" s="2" t="s">
        <v>72</v>
      </c>
      <c r="H2402" s="2" t="s">
        <v>628</v>
      </c>
      <c r="I2402" s="2" t="s">
        <v>2252</v>
      </c>
    </row>
    <row r="2403" spans="1:9" ht="14.5" x14ac:dyDescent="0.35">
      <c r="A2403" s="2">
        <v>2543777</v>
      </c>
      <c r="B2403" s="2" t="str">
        <f>"3174071402830008"</f>
        <v>3174071402830008</v>
      </c>
      <c r="C2403" s="2" t="s">
        <v>3037</v>
      </c>
      <c r="D2403" s="2" t="s">
        <v>17</v>
      </c>
      <c r="E2403" s="2" t="s">
        <v>11</v>
      </c>
      <c r="F2403" s="2" t="s">
        <v>18</v>
      </c>
      <c r="G2403" s="2" t="s">
        <v>19</v>
      </c>
      <c r="H2403" s="2" t="s">
        <v>3014</v>
      </c>
      <c r="I2403" s="2" t="s">
        <v>3035</v>
      </c>
    </row>
    <row r="2404" spans="1:9" ht="14.5" x14ac:dyDescent="0.35">
      <c r="A2404" s="2">
        <v>2090120</v>
      </c>
      <c r="B2404" s="2" t="str">
        <f>"3175080611920003"</f>
        <v>3175080611920003</v>
      </c>
      <c r="C2404" s="2" t="s">
        <v>3038</v>
      </c>
      <c r="D2404" s="2" t="s">
        <v>10</v>
      </c>
      <c r="E2404" s="2" t="s">
        <v>11</v>
      </c>
      <c r="F2404" s="2" t="s">
        <v>50</v>
      </c>
      <c r="G2404" s="2" t="s">
        <v>58</v>
      </c>
      <c r="H2404" s="2" t="s">
        <v>1742</v>
      </c>
      <c r="I2404" s="2" t="s">
        <v>3039</v>
      </c>
    </row>
    <row r="2405" spans="1:9" ht="14.5" x14ac:dyDescent="0.35">
      <c r="A2405" s="2">
        <v>2544676</v>
      </c>
      <c r="B2405" s="2" t="str">
        <f>"3175080611920003"</f>
        <v>3175080611920003</v>
      </c>
      <c r="C2405" s="2" t="s">
        <v>3038</v>
      </c>
      <c r="D2405" s="2" t="s">
        <v>17</v>
      </c>
      <c r="E2405" s="2" t="s">
        <v>11</v>
      </c>
      <c r="F2405" s="2" t="s">
        <v>18</v>
      </c>
      <c r="G2405" s="2" t="s">
        <v>19</v>
      </c>
      <c r="H2405" s="2" t="s">
        <v>3014</v>
      </c>
      <c r="I2405" s="2" t="s">
        <v>3040</v>
      </c>
    </row>
    <row r="2406" spans="1:9" ht="14.5" x14ac:dyDescent="0.35">
      <c r="A2406" s="2">
        <v>1182623</v>
      </c>
      <c r="B2406" s="2" t="str">
        <f>"3175082507610005"</f>
        <v>3175082507610005</v>
      </c>
      <c r="C2406" s="2" t="s">
        <v>3041</v>
      </c>
      <c r="D2406" s="2" t="s">
        <v>10</v>
      </c>
      <c r="E2406" s="2" t="s">
        <v>11</v>
      </c>
      <c r="F2406" s="2" t="s">
        <v>50</v>
      </c>
      <c r="G2406" s="2" t="s">
        <v>58</v>
      </c>
      <c r="H2406" s="2" t="s">
        <v>1742</v>
      </c>
      <c r="I2406" s="2" t="s">
        <v>3042</v>
      </c>
    </row>
    <row r="2407" spans="1:9" ht="14.5" x14ac:dyDescent="0.35">
      <c r="A2407" s="2">
        <v>2544191</v>
      </c>
      <c r="B2407" s="2" t="str">
        <f>"3175082507610005"</f>
        <v>3175082507610005</v>
      </c>
      <c r="C2407" s="2" t="s">
        <v>3043</v>
      </c>
      <c r="D2407" s="2" t="s">
        <v>17</v>
      </c>
      <c r="E2407" s="2" t="s">
        <v>11</v>
      </c>
      <c r="F2407" s="2" t="s">
        <v>18</v>
      </c>
      <c r="G2407" s="2" t="s">
        <v>19</v>
      </c>
      <c r="H2407" s="2" t="s">
        <v>3014</v>
      </c>
      <c r="I2407" s="2" t="s">
        <v>3014</v>
      </c>
    </row>
    <row r="2408" spans="1:9" ht="14.5" x14ac:dyDescent="0.35">
      <c r="A2408" s="2">
        <v>1182624</v>
      </c>
      <c r="B2408" s="2" t="str">
        <f>"3175104605740008"</f>
        <v>3175104605740008</v>
      </c>
      <c r="C2408" s="2" t="s">
        <v>3044</v>
      </c>
      <c r="D2408" s="2" t="s">
        <v>10</v>
      </c>
      <c r="E2408" s="2" t="s">
        <v>11</v>
      </c>
      <c r="F2408" s="2" t="s">
        <v>50</v>
      </c>
      <c r="G2408" s="2" t="s">
        <v>58</v>
      </c>
      <c r="H2408" s="2" t="s">
        <v>1742</v>
      </c>
      <c r="I2408" s="2" t="s">
        <v>3042</v>
      </c>
    </row>
    <row r="2409" spans="1:9" ht="14.5" x14ac:dyDescent="0.35">
      <c r="A2409" s="2">
        <v>2544192</v>
      </c>
      <c r="B2409" s="2" t="str">
        <f>"3175104605740008"</f>
        <v>3175104605740008</v>
      </c>
      <c r="C2409" s="2" t="s">
        <v>3045</v>
      </c>
      <c r="D2409" s="2" t="s">
        <v>17</v>
      </c>
      <c r="E2409" s="2" t="s">
        <v>11</v>
      </c>
      <c r="F2409" s="2" t="s">
        <v>18</v>
      </c>
      <c r="G2409" s="2" t="s">
        <v>19</v>
      </c>
      <c r="H2409" s="2" t="s">
        <v>3014</v>
      </c>
      <c r="I2409" s="2" t="s">
        <v>3014</v>
      </c>
    </row>
    <row r="2410" spans="1:9" ht="14.5" x14ac:dyDescent="0.35">
      <c r="A2410" s="2">
        <v>470135</v>
      </c>
      <c r="B2410" s="2" t="str">
        <f>"3203205602900004"</f>
        <v>3203205602900004</v>
      </c>
      <c r="C2410" s="2" t="s">
        <v>3046</v>
      </c>
      <c r="D2410" s="2" t="s">
        <v>10</v>
      </c>
      <c r="E2410" s="2" t="s">
        <v>11</v>
      </c>
      <c r="F2410" s="2" t="s">
        <v>91</v>
      </c>
      <c r="G2410" s="2" t="s">
        <v>159</v>
      </c>
      <c r="H2410" s="2" t="s">
        <v>685</v>
      </c>
      <c r="I2410" s="2" t="s">
        <v>1632</v>
      </c>
    </row>
    <row r="2411" spans="1:9" ht="14.5" x14ac:dyDescent="0.35">
      <c r="A2411" s="2">
        <v>2544415</v>
      </c>
      <c r="B2411" s="2" t="str">
        <f>"3203205602900004"</f>
        <v>3203205602900004</v>
      </c>
      <c r="C2411" s="2" t="s">
        <v>3046</v>
      </c>
      <c r="D2411" s="2" t="s">
        <v>17</v>
      </c>
      <c r="E2411" s="2" t="s">
        <v>11</v>
      </c>
      <c r="F2411" s="2" t="s">
        <v>18</v>
      </c>
      <c r="G2411" s="2" t="s">
        <v>19</v>
      </c>
      <c r="H2411" s="2" t="s">
        <v>3014</v>
      </c>
      <c r="I2411" s="2" t="s">
        <v>3015</v>
      </c>
    </row>
    <row r="2412" spans="1:9" ht="14.5" x14ac:dyDescent="0.35">
      <c r="A2412" s="2">
        <v>815041</v>
      </c>
      <c r="B2412" s="2" t="str">
        <f>"3275031805060015"</f>
        <v>3275031805060015</v>
      </c>
      <c r="C2412" s="2" t="s">
        <v>3047</v>
      </c>
      <c r="D2412" s="2" t="s">
        <v>10</v>
      </c>
      <c r="E2412" s="2" t="s">
        <v>11</v>
      </c>
      <c r="F2412" s="2" t="s">
        <v>91</v>
      </c>
      <c r="G2412" s="2" t="s">
        <v>159</v>
      </c>
      <c r="H2412" s="2" t="s">
        <v>1828</v>
      </c>
      <c r="I2412" s="2" t="s">
        <v>1829</v>
      </c>
    </row>
    <row r="2413" spans="1:9" ht="14.5" x14ac:dyDescent="0.35">
      <c r="A2413" s="2">
        <v>2544061</v>
      </c>
      <c r="B2413" s="2" t="str">
        <f>"3275031805060015"</f>
        <v>3275031805060015</v>
      </c>
      <c r="C2413" s="2" t="s">
        <v>3048</v>
      </c>
      <c r="D2413" s="2" t="s">
        <v>17</v>
      </c>
      <c r="E2413" s="2" t="s">
        <v>11</v>
      </c>
      <c r="F2413" s="2" t="s">
        <v>18</v>
      </c>
      <c r="G2413" s="2" t="s">
        <v>19</v>
      </c>
      <c r="H2413" s="2" t="s">
        <v>3014</v>
      </c>
      <c r="I2413" s="2" t="s">
        <v>3018</v>
      </c>
    </row>
    <row r="2414" spans="1:9" ht="14.5" x14ac:dyDescent="0.35">
      <c r="A2414" s="2">
        <v>1428869</v>
      </c>
      <c r="B2414" s="2" t="str">
        <f>"3308082004900003"</f>
        <v>3308082004900003</v>
      </c>
      <c r="C2414" s="2" t="s">
        <v>3049</v>
      </c>
      <c r="D2414" s="2" t="s">
        <v>10</v>
      </c>
      <c r="E2414" s="2" t="s">
        <v>11</v>
      </c>
      <c r="F2414" s="2" t="s">
        <v>18</v>
      </c>
      <c r="G2414" s="2" t="s">
        <v>962</v>
      </c>
      <c r="H2414" s="2" t="s">
        <v>3050</v>
      </c>
      <c r="I2414" s="2" t="s">
        <v>3051</v>
      </c>
    </row>
    <row r="2415" spans="1:9" ht="14.5" x14ac:dyDescent="0.35">
      <c r="A2415" s="2">
        <v>2544261</v>
      </c>
      <c r="B2415" s="2" t="str">
        <f>"3308082004900003"</f>
        <v>3308082004900003</v>
      </c>
      <c r="C2415" s="2" t="s">
        <v>3052</v>
      </c>
      <c r="D2415" s="2" t="s">
        <v>17</v>
      </c>
      <c r="E2415" s="2" t="s">
        <v>11</v>
      </c>
      <c r="F2415" s="2" t="s">
        <v>18</v>
      </c>
      <c r="G2415" s="2" t="s">
        <v>19</v>
      </c>
      <c r="H2415" s="2" t="s">
        <v>3014</v>
      </c>
      <c r="I2415" s="2" t="s">
        <v>3014</v>
      </c>
    </row>
    <row r="2416" spans="1:9" ht="14.5" x14ac:dyDescent="0.35">
      <c r="A2416" s="2">
        <v>2042527</v>
      </c>
      <c r="B2416" s="2" t="str">
        <f>"3308132111960001"</f>
        <v>3308132111960001</v>
      </c>
      <c r="C2416" s="2" t="s">
        <v>3053</v>
      </c>
      <c r="D2416" s="2" t="s">
        <v>10</v>
      </c>
      <c r="E2416" s="2" t="s">
        <v>11</v>
      </c>
      <c r="F2416" s="2" t="s">
        <v>18</v>
      </c>
      <c r="G2416" s="2" t="s">
        <v>19</v>
      </c>
      <c r="H2416" s="2" t="s">
        <v>3014</v>
      </c>
      <c r="I2416" s="2" t="s">
        <v>3014</v>
      </c>
    </row>
    <row r="2417" spans="1:9" ht="14.5" x14ac:dyDescent="0.35">
      <c r="A2417" s="2">
        <v>2071798</v>
      </c>
      <c r="B2417" s="2" t="str">
        <f>"3308132111960001"</f>
        <v>3308132111960001</v>
      </c>
      <c r="C2417" s="2" t="s">
        <v>3053</v>
      </c>
      <c r="D2417" s="2" t="s">
        <v>17</v>
      </c>
      <c r="E2417" s="2" t="s">
        <v>11</v>
      </c>
      <c r="F2417" s="2" t="s">
        <v>18</v>
      </c>
      <c r="G2417" s="2" t="s">
        <v>962</v>
      </c>
      <c r="H2417" s="2" t="s">
        <v>3054</v>
      </c>
      <c r="I2417" s="2" t="s">
        <v>3055</v>
      </c>
    </row>
    <row r="2418" spans="1:9" ht="14.5" x14ac:dyDescent="0.35">
      <c r="A2418" s="2">
        <v>835965</v>
      </c>
      <c r="B2418" s="2" t="str">
        <f>"3318161312900001"</f>
        <v>3318161312900001</v>
      </c>
      <c r="C2418" s="2" t="s">
        <v>3056</v>
      </c>
      <c r="D2418" s="2" t="s">
        <v>10</v>
      </c>
      <c r="E2418" s="2" t="s">
        <v>11</v>
      </c>
      <c r="F2418" s="2" t="s">
        <v>18</v>
      </c>
      <c r="G2418" s="2" t="s">
        <v>1787</v>
      </c>
      <c r="H2418" s="2" t="s">
        <v>3057</v>
      </c>
      <c r="I2418" s="2" t="s">
        <v>3058</v>
      </c>
    </row>
    <row r="2419" spans="1:9" ht="14.5" x14ac:dyDescent="0.35">
      <c r="A2419" s="2">
        <v>2544408</v>
      </c>
      <c r="B2419" s="2" t="str">
        <f>"3318161312900001"</f>
        <v>3318161312900001</v>
      </c>
      <c r="C2419" s="2" t="s">
        <v>3056</v>
      </c>
      <c r="D2419" s="2" t="s">
        <v>17</v>
      </c>
      <c r="E2419" s="2" t="s">
        <v>11</v>
      </c>
      <c r="F2419" s="2" t="s">
        <v>18</v>
      </c>
      <c r="G2419" s="2" t="s">
        <v>19</v>
      </c>
      <c r="H2419" s="2" t="s">
        <v>3014</v>
      </c>
      <c r="I2419" s="2" t="s">
        <v>3015</v>
      </c>
    </row>
    <row r="2420" spans="1:9" ht="14.5" x14ac:dyDescent="0.35">
      <c r="A2420" s="2">
        <v>971986</v>
      </c>
      <c r="B2420" s="2" t="str">
        <f>"3320085705050002"</f>
        <v>3320085705050002</v>
      </c>
      <c r="C2420" s="2" t="s">
        <v>3059</v>
      </c>
      <c r="D2420" s="2" t="s">
        <v>17</v>
      </c>
      <c r="E2420" s="2" t="s">
        <v>11</v>
      </c>
      <c r="F2420" s="2" t="s">
        <v>18</v>
      </c>
      <c r="G2420" s="2" t="s">
        <v>2644</v>
      </c>
      <c r="H2420" s="2" t="s">
        <v>1646</v>
      </c>
      <c r="I2420" s="2" t="s">
        <v>3060</v>
      </c>
    </row>
    <row r="2421" spans="1:9" ht="14.5" x14ac:dyDescent="0.35">
      <c r="A2421" s="2">
        <v>2543946</v>
      </c>
      <c r="B2421" s="2" t="str">
        <f>"3320085705050002"</f>
        <v>3320085705050002</v>
      </c>
      <c r="C2421" s="2" t="s">
        <v>3061</v>
      </c>
      <c r="D2421" s="2" t="s">
        <v>17</v>
      </c>
      <c r="E2421" s="2" t="s">
        <v>11</v>
      </c>
      <c r="F2421" s="2" t="s">
        <v>18</v>
      </c>
      <c r="G2421" s="2" t="s">
        <v>19</v>
      </c>
      <c r="H2421" s="2" t="s">
        <v>3014</v>
      </c>
      <c r="I2421" s="2" t="s">
        <v>1381</v>
      </c>
    </row>
    <row r="2422" spans="1:9" ht="14.5" x14ac:dyDescent="0.35">
      <c r="A2422" s="2">
        <v>671601</v>
      </c>
      <c r="B2422" s="2" t="str">
        <f>"3325080206050002"</f>
        <v>3325080206050002</v>
      </c>
      <c r="C2422" s="2" t="s">
        <v>3062</v>
      </c>
      <c r="D2422" s="2" t="s">
        <v>17</v>
      </c>
      <c r="E2422" s="2" t="s">
        <v>11</v>
      </c>
      <c r="F2422" s="2" t="s">
        <v>18</v>
      </c>
      <c r="G2422" s="2" t="s">
        <v>190</v>
      </c>
      <c r="H2422" s="2" t="s">
        <v>3063</v>
      </c>
      <c r="I2422" s="2" t="s">
        <v>3064</v>
      </c>
    </row>
    <row r="2423" spans="1:9" ht="14.5" x14ac:dyDescent="0.35">
      <c r="A2423" s="2">
        <v>2543800</v>
      </c>
      <c r="B2423" s="2" t="str">
        <f>"3325080206050002"</f>
        <v>3325080206050002</v>
      </c>
      <c r="C2423" s="2" t="s">
        <v>3065</v>
      </c>
      <c r="D2423" s="2" t="s">
        <v>17</v>
      </c>
      <c r="E2423" s="2" t="s">
        <v>11</v>
      </c>
      <c r="F2423" s="2" t="s">
        <v>18</v>
      </c>
      <c r="G2423" s="2" t="s">
        <v>19</v>
      </c>
      <c r="H2423" s="2" t="s">
        <v>3014</v>
      </c>
      <c r="I2423" s="2" t="s">
        <v>1381</v>
      </c>
    </row>
    <row r="2424" spans="1:9" ht="14.5" x14ac:dyDescent="0.35">
      <c r="A2424" s="2">
        <v>2019369</v>
      </c>
      <c r="B2424" s="2" t="str">
        <f>"3328054107920021"</f>
        <v>3328054107920021</v>
      </c>
      <c r="C2424" s="2" t="s">
        <v>3066</v>
      </c>
      <c r="D2424" s="2" t="s">
        <v>189</v>
      </c>
      <c r="E2424" s="2" t="s">
        <v>11</v>
      </c>
      <c r="F2424" s="2" t="s">
        <v>18</v>
      </c>
      <c r="G2424" s="2" t="s">
        <v>19</v>
      </c>
      <c r="H2424" s="2" t="s">
        <v>3014</v>
      </c>
      <c r="I2424" s="2" t="s">
        <v>3015</v>
      </c>
    </row>
    <row r="2425" spans="1:9" ht="14.5" x14ac:dyDescent="0.35">
      <c r="A2425" s="2">
        <v>771266</v>
      </c>
      <c r="B2425" s="2" t="str">
        <f>"3328054107920021"</f>
        <v>3328054107920021</v>
      </c>
      <c r="C2425" s="2" t="s">
        <v>3067</v>
      </c>
      <c r="D2425" s="2" t="s">
        <v>17</v>
      </c>
      <c r="E2425" s="2" t="s">
        <v>11</v>
      </c>
      <c r="F2425" s="2" t="s">
        <v>3068</v>
      </c>
      <c r="G2425" s="2" t="s">
        <v>3069</v>
      </c>
      <c r="H2425" s="2" t="s">
        <v>3070</v>
      </c>
      <c r="I2425" s="2" t="s">
        <v>3071</v>
      </c>
    </row>
    <row r="2426" spans="1:9" ht="14.5" x14ac:dyDescent="0.35">
      <c r="A2426" s="2">
        <v>205886</v>
      </c>
      <c r="B2426" s="2" t="str">
        <f>"3328062303990001"</f>
        <v>3328062303990001</v>
      </c>
      <c r="C2426" s="2" t="s">
        <v>3072</v>
      </c>
      <c r="D2426" s="2" t="s">
        <v>10</v>
      </c>
      <c r="E2426" s="2" t="s">
        <v>11</v>
      </c>
      <c r="F2426" s="2" t="s">
        <v>91</v>
      </c>
      <c r="G2426" s="2" t="s">
        <v>903</v>
      </c>
      <c r="H2426" s="2" t="s">
        <v>2368</v>
      </c>
      <c r="I2426" s="2" t="s">
        <v>2368</v>
      </c>
    </row>
    <row r="2427" spans="1:9" ht="14.5" x14ac:dyDescent="0.35">
      <c r="A2427" s="2">
        <v>2543845</v>
      </c>
      <c r="B2427" s="2" t="str">
        <f>"3328062303990001"</f>
        <v>3328062303990001</v>
      </c>
      <c r="C2427" s="2" t="s">
        <v>3072</v>
      </c>
      <c r="D2427" s="2" t="s">
        <v>17</v>
      </c>
      <c r="E2427" s="2" t="s">
        <v>11</v>
      </c>
      <c r="F2427" s="2" t="s">
        <v>18</v>
      </c>
      <c r="G2427" s="2" t="s">
        <v>19</v>
      </c>
      <c r="H2427" s="2" t="s">
        <v>3014</v>
      </c>
      <c r="I2427" s="2" t="s">
        <v>1381</v>
      </c>
    </row>
    <row r="2428" spans="1:9" ht="14.5" x14ac:dyDescent="0.35">
      <c r="A2428" s="2">
        <v>2035459</v>
      </c>
      <c r="B2428" s="2" t="str">
        <f>"3328080101060003"</f>
        <v>3328080101060003</v>
      </c>
      <c r="C2428" s="2" t="s">
        <v>3073</v>
      </c>
      <c r="D2428" s="2" t="s">
        <v>189</v>
      </c>
      <c r="E2428" s="2" t="s">
        <v>11</v>
      </c>
      <c r="F2428" s="2" t="s">
        <v>18</v>
      </c>
      <c r="G2428" s="2" t="s">
        <v>19</v>
      </c>
      <c r="H2428" s="2" t="s">
        <v>3014</v>
      </c>
      <c r="I2428" s="2" t="s">
        <v>3074</v>
      </c>
    </row>
    <row r="2429" spans="1:9" ht="14.5" x14ac:dyDescent="0.35">
      <c r="A2429" s="2">
        <v>2084636</v>
      </c>
      <c r="B2429" s="2" t="str">
        <f>"3328080101060003"</f>
        <v>3328080101060003</v>
      </c>
      <c r="C2429" s="2" t="s">
        <v>3073</v>
      </c>
      <c r="D2429" s="2" t="s">
        <v>17</v>
      </c>
      <c r="E2429" s="2" t="s">
        <v>57</v>
      </c>
      <c r="F2429" s="2" t="s">
        <v>18</v>
      </c>
      <c r="G2429" s="2" t="s">
        <v>962</v>
      </c>
      <c r="H2429" s="2" t="s">
        <v>1046</v>
      </c>
      <c r="I2429" s="2" t="s">
        <v>1146</v>
      </c>
    </row>
    <row r="2430" spans="1:9" ht="14.5" x14ac:dyDescent="0.35">
      <c r="A2430" s="2">
        <v>470136</v>
      </c>
      <c r="B2430" s="2" t="str">
        <f>"3328080105910001"</f>
        <v>3328080105910001</v>
      </c>
      <c r="C2430" s="2" t="s">
        <v>3075</v>
      </c>
      <c r="D2430" s="2" t="s">
        <v>10</v>
      </c>
      <c r="E2430" s="2" t="s">
        <v>11</v>
      </c>
      <c r="F2430" s="2" t="s">
        <v>91</v>
      </c>
      <c r="G2430" s="2" t="s">
        <v>159</v>
      </c>
      <c r="H2430" s="2" t="s">
        <v>685</v>
      </c>
      <c r="I2430" s="2" t="s">
        <v>1632</v>
      </c>
    </row>
    <row r="2431" spans="1:9" ht="14.5" x14ac:dyDescent="0.35">
      <c r="A2431" s="2">
        <v>2544414</v>
      </c>
      <c r="B2431" s="2" t="str">
        <f>"3328080105910001"</f>
        <v>3328080105910001</v>
      </c>
      <c r="C2431" s="2" t="s">
        <v>3075</v>
      </c>
      <c r="D2431" s="2" t="s">
        <v>17</v>
      </c>
      <c r="E2431" s="2" t="s">
        <v>11</v>
      </c>
      <c r="F2431" s="2" t="s">
        <v>18</v>
      </c>
      <c r="G2431" s="2" t="s">
        <v>19</v>
      </c>
      <c r="H2431" s="2" t="s">
        <v>3014</v>
      </c>
      <c r="I2431" s="2" t="s">
        <v>3015</v>
      </c>
    </row>
    <row r="2432" spans="1:9" ht="14.5" x14ac:dyDescent="0.35">
      <c r="A2432" s="2">
        <v>371132</v>
      </c>
      <c r="B2432" s="2" t="str">
        <f>"3328080107700101"</f>
        <v>3328080107700101</v>
      </c>
      <c r="C2432" s="2" t="s">
        <v>2576</v>
      </c>
      <c r="D2432" s="2" t="s">
        <v>10</v>
      </c>
      <c r="E2432" s="2" t="s">
        <v>11</v>
      </c>
      <c r="F2432" s="2" t="s">
        <v>2889</v>
      </c>
      <c r="G2432" s="2" t="s">
        <v>3076</v>
      </c>
      <c r="H2432" s="2" t="s">
        <v>3077</v>
      </c>
      <c r="I2432" s="2" t="s">
        <v>3078</v>
      </c>
    </row>
    <row r="2433" spans="1:9" ht="14.5" x14ac:dyDescent="0.35">
      <c r="A2433" s="2">
        <v>2544138</v>
      </c>
      <c r="B2433" s="2" t="str">
        <f>"3328080107700101"</f>
        <v>3328080107700101</v>
      </c>
      <c r="C2433" s="2" t="s">
        <v>2576</v>
      </c>
      <c r="D2433" s="2" t="s">
        <v>17</v>
      </c>
      <c r="E2433" s="2" t="s">
        <v>11</v>
      </c>
      <c r="F2433" s="2" t="s">
        <v>18</v>
      </c>
      <c r="G2433" s="2" t="s">
        <v>19</v>
      </c>
      <c r="H2433" s="2" t="s">
        <v>3014</v>
      </c>
      <c r="I2433" s="2" t="s">
        <v>3014</v>
      </c>
    </row>
    <row r="2434" spans="1:9" ht="14.5" x14ac:dyDescent="0.35">
      <c r="A2434" s="2">
        <v>2544434</v>
      </c>
      <c r="B2434" s="2" t="str">
        <f>"3328080204040003"</f>
        <v>3328080204040003</v>
      </c>
      <c r="C2434" s="2" t="s">
        <v>3079</v>
      </c>
      <c r="D2434" s="2" t="s">
        <v>17</v>
      </c>
      <c r="E2434" s="2" t="s">
        <v>11</v>
      </c>
      <c r="F2434" s="2" t="s">
        <v>18</v>
      </c>
      <c r="G2434" s="2" t="s">
        <v>19</v>
      </c>
      <c r="H2434" s="2" t="s">
        <v>3014</v>
      </c>
      <c r="I2434" s="2" t="s">
        <v>3074</v>
      </c>
    </row>
    <row r="2435" spans="1:9" ht="14.5" x14ac:dyDescent="0.35">
      <c r="A2435" s="2">
        <v>1351224</v>
      </c>
      <c r="B2435" s="2" t="str">
        <f>"3328080204040003"</f>
        <v>3328080204040003</v>
      </c>
      <c r="C2435" s="2" t="s">
        <v>3079</v>
      </c>
      <c r="D2435" s="2" t="s">
        <v>10</v>
      </c>
      <c r="E2435" s="2" t="s">
        <v>57</v>
      </c>
      <c r="F2435" s="2" t="s">
        <v>303</v>
      </c>
      <c r="G2435" s="2" t="s">
        <v>608</v>
      </c>
      <c r="H2435" s="2" t="s">
        <v>609</v>
      </c>
      <c r="I2435" s="2" t="s">
        <v>610</v>
      </c>
    </row>
    <row r="2436" spans="1:9" ht="14.5" x14ac:dyDescent="0.35">
      <c r="A2436" s="2">
        <v>2044421</v>
      </c>
      <c r="B2436" s="2" t="str">
        <f>"3328080509920002"</f>
        <v>3328080509920002</v>
      </c>
      <c r="C2436" s="2" t="s">
        <v>3080</v>
      </c>
      <c r="D2436" s="2" t="s">
        <v>10</v>
      </c>
      <c r="E2436" s="2" t="s">
        <v>11</v>
      </c>
      <c r="F2436" s="2" t="s">
        <v>18</v>
      </c>
      <c r="G2436" s="2" t="s">
        <v>19</v>
      </c>
      <c r="H2436" s="2" t="s">
        <v>3014</v>
      </c>
      <c r="I2436" s="2" t="s">
        <v>1381</v>
      </c>
    </row>
    <row r="2437" spans="1:9" ht="14.5" x14ac:dyDescent="0.35">
      <c r="A2437" s="2">
        <v>1683163</v>
      </c>
      <c r="B2437" s="2" t="str">
        <f>"3328080509920002"</f>
        <v>3328080509920002</v>
      </c>
      <c r="C2437" s="2" t="s">
        <v>3080</v>
      </c>
      <c r="D2437" s="2" t="s">
        <v>17</v>
      </c>
      <c r="E2437" s="2" t="s">
        <v>11</v>
      </c>
      <c r="F2437" s="2" t="s">
        <v>18</v>
      </c>
      <c r="G2437" s="2" t="s">
        <v>264</v>
      </c>
      <c r="H2437" s="2" t="s">
        <v>265</v>
      </c>
      <c r="I2437" s="2" t="s">
        <v>982</v>
      </c>
    </row>
    <row r="2438" spans="1:9" ht="14.5" x14ac:dyDescent="0.35">
      <c r="A2438" s="2">
        <v>1684308</v>
      </c>
      <c r="B2438" s="2" t="str">
        <f>"3328080802060005"</f>
        <v>3328080802060005</v>
      </c>
      <c r="C2438" s="2" t="s">
        <v>3081</v>
      </c>
      <c r="D2438" s="2" t="s">
        <v>10</v>
      </c>
      <c r="E2438" s="2" t="s">
        <v>57</v>
      </c>
      <c r="F2438" s="2" t="s">
        <v>18</v>
      </c>
      <c r="G2438" s="2" t="s">
        <v>184</v>
      </c>
      <c r="H2438" s="2" t="s">
        <v>1085</v>
      </c>
      <c r="I2438" s="2" t="s">
        <v>1086</v>
      </c>
    </row>
    <row r="2439" spans="1:9" ht="14.5" x14ac:dyDescent="0.35">
      <c r="A2439" s="2">
        <v>2006493</v>
      </c>
      <c r="B2439" s="2" t="str">
        <f>"3328080802060005"</f>
        <v>3328080802060005</v>
      </c>
      <c r="C2439" s="2" t="s">
        <v>3081</v>
      </c>
      <c r="D2439" s="2" t="s">
        <v>189</v>
      </c>
      <c r="E2439" s="2" t="s">
        <v>11</v>
      </c>
      <c r="F2439" s="2" t="s">
        <v>18</v>
      </c>
      <c r="G2439" s="2" t="s">
        <v>19</v>
      </c>
      <c r="H2439" s="2" t="s">
        <v>3014</v>
      </c>
      <c r="I2439" s="2" t="s">
        <v>3040</v>
      </c>
    </row>
    <row r="2440" spans="1:9" ht="14.5" x14ac:dyDescent="0.35">
      <c r="A2440" s="2">
        <v>1684309</v>
      </c>
      <c r="B2440" s="2" t="str">
        <f>"3328080805060004"</f>
        <v>3328080805060004</v>
      </c>
      <c r="C2440" s="2" t="s">
        <v>3082</v>
      </c>
      <c r="D2440" s="2" t="s">
        <v>10</v>
      </c>
      <c r="E2440" s="2" t="s">
        <v>57</v>
      </c>
      <c r="F2440" s="2" t="s">
        <v>18</v>
      </c>
      <c r="G2440" s="2" t="s">
        <v>184</v>
      </c>
      <c r="H2440" s="2" t="s">
        <v>1085</v>
      </c>
      <c r="I2440" s="2" t="s">
        <v>1086</v>
      </c>
    </row>
    <row r="2441" spans="1:9" ht="14.5" x14ac:dyDescent="0.35">
      <c r="A2441" s="2">
        <v>2005186</v>
      </c>
      <c r="B2441" s="2" t="str">
        <f>"3328080805060004"</f>
        <v>3328080805060004</v>
      </c>
      <c r="C2441" s="2" t="s">
        <v>3082</v>
      </c>
      <c r="D2441" s="2" t="s">
        <v>189</v>
      </c>
      <c r="E2441" s="2" t="s">
        <v>11</v>
      </c>
      <c r="F2441" s="2" t="s">
        <v>18</v>
      </c>
      <c r="G2441" s="2" t="s">
        <v>19</v>
      </c>
      <c r="H2441" s="2" t="s">
        <v>3014</v>
      </c>
      <c r="I2441" s="2" t="s">
        <v>3040</v>
      </c>
    </row>
    <row r="2442" spans="1:9" ht="14.5" x14ac:dyDescent="0.35">
      <c r="A2442" s="2">
        <v>50087</v>
      </c>
      <c r="B2442" s="2" t="str">
        <f>"3328081007930001"</f>
        <v>3328081007930001</v>
      </c>
      <c r="C2442" s="2" t="s">
        <v>3083</v>
      </c>
      <c r="D2442" s="2" t="s">
        <v>10</v>
      </c>
      <c r="E2442" s="2" t="s">
        <v>11</v>
      </c>
      <c r="F2442" s="2" t="s">
        <v>44</v>
      </c>
      <c r="G2442" s="2" t="s">
        <v>3084</v>
      </c>
      <c r="H2442" s="2" t="s">
        <v>3085</v>
      </c>
      <c r="I2442" s="2" t="s">
        <v>3086</v>
      </c>
    </row>
    <row r="2443" spans="1:9" ht="14.5" x14ac:dyDescent="0.35">
      <c r="A2443" s="2">
        <v>2543929</v>
      </c>
      <c r="B2443" s="2" t="str">
        <f>"3328081007930001"</f>
        <v>3328081007930001</v>
      </c>
      <c r="C2443" s="2" t="s">
        <v>3083</v>
      </c>
      <c r="D2443" s="2" t="s">
        <v>17</v>
      </c>
      <c r="E2443" s="2" t="s">
        <v>11</v>
      </c>
      <c r="F2443" s="2" t="s">
        <v>18</v>
      </c>
      <c r="G2443" s="2" t="s">
        <v>19</v>
      </c>
      <c r="H2443" s="2" t="s">
        <v>3014</v>
      </c>
      <c r="I2443" s="2" t="s">
        <v>1381</v>
      </c>
    </row>
    <row r="2444" spans="1:9" ht="14.5" x14ac:dyDescent="0.35">
      <c r="A2444" s="2">
        <v>852663</v>
      </c>
      <c r="B2444" s="2" t="str">
        <f>"3328081012910002"</f>
        <v>3328081012910002</v>
      </c>
      <c r="C2444" s="2" t="s">
        <v>3087</v>
      </c>
      <c r="D2444" s="2" t="s">
        <v>10</v>
      </c>
      <c r="E2444" s="2" t="s">
        <v>11</v>
      </c>
      <c r="F2444" s="2" t="s">
        <v>18</v>
      </c>
      <c r="G2444" s="2" t="s">
        <v>264</v>
      </c>
      <c r="H2444" s="2" t="s">
        <v>344</v>
      </c>
      <c r="I2444" s="2" t="s">
        <v>492</v>
      </c>
    </row>
    <row r="2445" spans="1:9" ht="14.5" x14ac:dyDescent="0.35">
      <c r="A2445" s="2">
        <v>2543905</v>
      </c>
      <c r="B2445" s="2" t="str">
        <f>"3328081012910002"</f>
        <v>3328081012910002</v>
      </c>
      <c r="C2445" s="2" t="s">
        <v>3087</v>
      </c>
      <c r="D2445" s="2" t="s">
        <v>17</v>
      </c>
      <c r="E2445" s="2" t="s">
        <v>11</v>
      </c>
      <c r="F2445" s="2" t="s">
        <v>18</v>
      </c>
      <c r="G2445" s="2" t="s">
        <v>19</v>
      </c>
      <c r="H2445" s="2" t="s">
        <v>3014</v>
      </c>
      <c r="I2445" s="2" t="s">
        <v>1381</v>
      </c>
    </row>
    <row r="2446" spans="1:9" ht="14.5" x14ac:dyDescent="0.35">
      <c r="A2446" s="2">
        <v>1427640</v>
      </c>
      <c r="B2446" s="2" t="str">
        <f>"3328081202820001"</f>
        <v>3328081202820001</v>
      </c>
      <c r="C2446" s="2" t="s">
        <v>3088</v>
      </c>
      <c r="D2446" s="2" t="s">
        <v>10</v>
      </c>
      <c r="E2446" s="2" t="s">
        <v>11</v>
      </c>
      <c r="F2446" s="2" t="s">
        <v>18</v>
      </c>
      <c r="G2446" s="2" t="s">
        <v>195</v>
      </c>
      <c r="H2446" s="2" t="s">
        <v>1381</v>
      </c>
      <c r="I2446" s="2" t="s">
        <v>3089</v>
      </c>
    </row>
    <row r="2447" spans="1:9" ht="14.5" x14ac:dyDescent="0.35">
      <c r="A2447" s="2">
        <v>2543949</v>
      </c>
      <c r="B2447" s="2" t="str">
        <f>"3328081202820001"</f>
        <v>3328081202820001</v>
      </c>
      <c r="C2447" s="2" t="s">
        <v>3088</v>
      </c>
      <c r="D2447" s="2" t="s">
        <v>17</v>
      </c>
      <c r="E2447" s="2" t="s">
        <v>11</v>
      </c>
      <c r="F2447" s="2" t="s">
        <v>18</v>
      </c>
      <c r="G2447" s="2" t="s">
        <v>19</v>
      </c>
      <c r="H2447" s="2" t="s">
        <v>3014</v>
      </c>
      <c r="I2447" s="2" t="s">
        <v>1381</v>
      </c>
    </row>
    <row r="2448" spans="1:9" ht="14.5" x14ac:dyDescent="0.35">
      <c r="A2448" s="2">
        <v>1500066</v>
      </c>
      <c r="B2448" s="2" t="str">
        <f>"3328081210930002"</f>
        <v>3328081210930002</v>
      </c>
      <c r="C2448" s="2" t="s">
        <v>3090</v>
      </c>
      <c r="D2448" s="2" t="s">
        <v>10</v>
      </c>
      <c r="E2448" s="2" t="s">
        <v>11</v>
      </c>
      <c r="F2448" s="2" t="s">
        <v>18</v>
      </c>
      <c r="G2448" s="2" t="s">
        <v>184</v>
      </c>
      <c r="H2448" s="2" t="s">
        <v>1266</v>
      </c>
      <c r="I2448" s="2" t="s">
        <v>3091</v>
      </c>
    </row>
    <row r="2449" spans="1:9" ht="14.5" x14ac:dyDescent="0.35">
      <c r="A2449" s="2">
        <v>2544325</v>
      </c>
      <c r="B2449" s="2" t="str">
        <f>"3328081210930002"</f>
        <v>3328081210930002</v>
      </c>
      <c r="C2449" s="2" t="s">
        <v>3090</v>
      </c>
      <c r="D2449" s="2" t="s">
        <v>17</v>
      </c>
      <c r="E2449" s="2" t="s">
        <v>11</v>
      </c>
      <c r="F2449" s="2" t="s">
        <v>18</v>
      </c>
      <c r="G2449" s="2" t="s">
        <v>19</v>
      </c>
      <c r="H2449" s="2" t="s">
        <v>3014</v>
      </c>
      <c r="I2449" s="2" t="s">
        <v>3026</v>
      </c>
    </row>
    <row r="2450" spans="1:9" ht="14.5" x14ac:dyDescent="0.35">
      <c r="A2450" s="2">
        <v>367803</v>
      </c>
      <c r="B2450" s="2" t="str">
        <f>"3328081507540004"</f>
        <v>3328081507540004</v>
      </c>
      <c r="C2450" s="2" t="s">
        <v>3092</v>
      </c>
      <c r="D2450" s="2" t="s">
        <v>10</v>
      </c>
      <c r="E2450" s="2" t="s">
        <v>11</v>
      </c>
      <c r="F2450" s="2" t="s">
        <v>50</v>
      </c>
      <c r="G2450" s="2" t="s">
        <v>51</v>
      </c>
      <c r="H2450" s="2" t="s">
        <v>922</v>
      </c>
      <c r="I2450" s="2" t="s">
        <v>3093</v>
      </c>
    </row>
    <row r="2451" spans="1:9" ht="14.5" x14ac:dyDescent="0.35">
      <c r="A2451" s="2">
        <v>2544521</v>
      </c>
      <c r="B2451" s="2" t="str">
        <f>"3328081507540004"</f>
        <v>3328081507540004</v>
      </c>
      <c r="C2451" s="2" t="s">
        <v>3092</v>
      </c>
      <c r="D2451" s="2" t="s">
        <v>17</v>
      </c>
      <c r="E2451" s="2" t="s">
        <v>11</v>
      </c>
      <c r="F2451" s="2" t="s">
        <v>18</v>
      </c>
      <c r="G2451" s="2" t="s">
        <v>19</v>
      </c>
      <c r="H2451" s="2" t="s">
        <v>3014</v>
      </c>
      <c r="I2451" s="2" t="s">
        <v>3074</v>
      </c>
    </row>
    <row r="2452" spans="1:9" ht="14.5" x14ac:dyDescent="0.35">
      <c r="A2452" s="2">
        <v>2023035</v>
      </c>
      <c r="B2452" s="2" t="str">
        <f>"3328081607650005"</f>
        <v>3328081607650005</v>
      </c>
      <c r="C2452" s="2" t="s">
        <v>3094</v>
      </c>
      <c r="D2452" s="2" t="s">
        <v>10</v>
      </c>
      <c r="E2452" s="2" t="s">
        <v>11</v>
      </c>
      <c r="F2452" s="2" t="s">
        <v>18</v>
      </c>
      <c r="G2452" s="2" t="s">
        <v>19</v>
      </c>
      <c r="H2452" s="2" t="s">
        <v>3014</v>
      </c>
      <c r="I2452" s="2" t="s">
        <v>492</v>
      </c>
    </row>
    <row r="2453" spans="1:9" ht="14.5" x14ac:dyDescent="0.35">
      <c r="A2453" s="2">
        <v>3124871</v>
      </c>
      <c r="B2453" s="2" t="str">
        <f>"3328081607650005"</f>
        <v>3328081607650005</v>
      </c>
      <c r="C2453" s="2" t="s">
        <v>3094</v>
      </c>
      <c r="D2453" s="2" t="s">
        <v>17</v>
      </c>
      <c r="E2453" s="2" t="s">
        <v>57</v>
      </c>
      <c r="F2453" s="2" t="s">
        <v>18</v>
      </c>
      <c r="G2453" s="2" t="s">
        <v>163</v>
      </c>
      <c r="H2453" s="2" t="s">
        <v>723</v>
      </c>
      <c r="I2453" s="2" t="s">
        <v>724</v>
      </c>
    </row>
    <row r="2454" spans="1:9" ht="14.5" x14ac:dyDescent="0.35">
      <c r="A2454" s="2">
        <v>2010838</v>
      </c>
      <c r="B2454" s="2" t="str">
        <f>"3328081812790003"</f>
        <v>3328081812790003</v>
      </c>
      <c r="C2454" s="2" t="s">
        <v>1190</v>
      </c>
      <c r="D2454" s="2" t="s">
        <v>189</v>
      </c>
      <c r="E2454" s="2" t="s">
        <v>11</v>
      </c>
      <c r="F2454" s="2" t="s">
        <v>18</v>
      </c>
      <c r="G2454" s="2" t="s">
        <v>19</v>
      </c>
      <c r="H2454" s="2" t="s">
        <v>3014</v>
      </c>
      <c r="I2454" s="2" t="s">
        <v>3095</v>
      </c>
    </row>
    <row r="2455" spans="1:9" ht="14.5" x14ac:dyDescent="0.35">
      <c r="A2455" s="2">
        <v>1627405</v>
      </c>
      <c r="B2455" s="2" t="str">
        <f>"3328081812790003"</f>
        <v>3328081812790003</v>
      </c>
      <c r="C2455" s="2" t="s">
        <v>3096</v>
      </c>
      <c r="D2455" s="2" t="s">
        <v>17</v>
      </c>
      <c r="E2455" s="2" t="s">
        <v>11</v>
      </c>
      <c r="F2455" s="2" t="s">
        <v>18</v>
      </c>
      <c r="G2455" s="2" t="s">
        <v>264</v>
      </c>
      <c r="H2455" s="2" t="s">
        <v>248</v>
      </c>
      <c r="I2455" s="2" t="s">
        <v>2689</v>
      </c>
    </row>
    <row r="2456" spans="1:9" ht="14.5" x14ac:dyDescent="0.35">
      <c r="A2456" s="2">
        <v>213236</v>
      </c>
      <c r="B2456" s="2" t="str">
        <f>"3328082004720001"</f>
        <v>3328082004720001</v>
      </c>
      <c r="C2456" s="2" t="s">
        <v>3097</v>
      </c>
      <c r="D2456" s="2" t="s">
        <v>10</v>
      </c>
      <c r="E2456" s="2" t="s">
        <v>11</v>
      </c>
      <c r="F2456" s="2" t="s">
        <v>50</v>
      </c>
      <c r="G2456" s="2" t="s">
        <v>51</v>
      </c>
      <c r="H2456" s="2" t="s">
        <v>78</v>
      </c>
      <c r="I2456" s="2" t="s">
        <v>436</v>
      </c>
    </row>
    <row r="2457" spans="1:9" ht="14.5" x14ac:dyDescent="0.35">
      <c r="A2457" s="2">
        <v>2544366</v>
      </c>
      <c r="B2457" s="2" t="str">
        <f>"3328082004720001"</f>
        <v>3328082004720001</v>
      </c>
      <c r="C2457" s="2" t="s">
        <v>3097</v>
      </c>
      <c r="D2457" s="2" t="s">
        <v>17</v>
      </c>
      <c r="E2457" s="2" t="s">
        <v>11</v>
      </c>
      <c r="F2457" s="2" t="s">
        <v>18</v>
      </c>
      <c r="G2457" s="2" t="s">
        <v>19</v>
      </c>
      <c r="H2457" s="2" t="s">
        <v>3014</v>
      </c>
      <c r="I2457" s="2" t="s">
        <v>3026</v>
      </c>
    </row>
    <row r="2458" spans="1:9" ht="14.5" x14ac:dyDescent="0.35">
      <c r="A2458" s="2">
        <v>26114</v>
      </c>
      <c r="B2458" s="2" t="str">
        <f>"3328082609990005"</f>
        <v>3328082609990005</v>
      </c>
      <c r="C2458" s="2" t="s">
        <v>3098</v>
      </c>
      <c r="D2458" s="2" t="s">
        <v>10</v>
      </c>
      <c r="E2458" s="2" t="s">
        <v>11</v>
      </c>
      <c r="F2458" s="2" t="s">
        <v>91</v>
      </c>
      <c r="G2458" s="2" t="s">
        <v>903</v>
      </c>
      <c r="H2458" s="2" t="s">
        <v>767</v>
      </c>
      <c r="I2458" s="2" t="s">
        <v>3099</v>
      </c>
    </row>
    <row r="2459" spans="1:9" ht="14.5" x14ac:dyDescent="0.35">
      <c r="A2459" s="2">
        <v>2544028</v>
      </c>
      <c r="B2459" s="2" t="str">
        <f>"3328082609990005"</f>
        <v>3328082609990005</v>
      </c>
      <c r="C2459" s="2" t="s">
        <v>3100</v>
      </c>
      <c r="D2459" s="2" t="s">
        <v>17</v>
      </c>
      <c r="E2459" s="2" t="s">
        <v>11</v>
      </c>
      <c r="F2459" s="2" t="s">
        <v>18</v>
      </c>
      <c r="G2459" s="2" t="s">
        <v>19</v>
      </c>
      <c r="H2459" s="2" t="s">
        <v>3014</v>
      </c>
      <c r="I2459" s="2" t="s">
        <v>3018</v>
      </c>
    </row>
    <row r="2460" spans="1:9" ht="14.5" x14ac:dyDescent="0.35">
      <c r="A2460" s="2">
        <v>1684312</v>
      </c>
      <c r="B2460" s="2" t="str">
        <f>"3328082701060004"</f>
        <v>3328082701060004</v>
      </c>
      <c r="C2460" s="2" t="s">
        <v>3101</v>
      </c>
      <c r="D2460" s="2" t="s">
        <v>10</v>
      </c>
      <c r="E2460" s="2" t="s">
        <v>57</v>
      </c>
      <c r="F2460" s="2" t="s">
        <v>18</v>
      </c>
      <c r="G2460" s="2" t="s">
        <v>184</v>
      </c>
      <c r="H2460" s="2" t="s">
        <v>1085</v>
      </c>
      <c r="I2460" s="2" t="s">
        <v>1086</v>
      </c>
    </row>
    <row r="2461" spans="1:9" ht="14.5" x14ac:dyDescent="0.35">
      <c r="A2461" s="2">
        <v>2005126</v>
      </c>
      <c r="B2461" s="2" t="str">
        <f>"3328082701060004"</f>
        <v>3328082701060004</v>
      </c>
      <c r="C2461" s="2" t="s">
        <v>3102</v>
      </c>
      <c r="D2461" s="2" t="s">
        <v>189</v>
      </c>
      <c r="E2461" s="2" t="s">
        <v>11</v>
      </c>
      <c r="F2461" s="2" t="s">
        <v>18</v>
      </c>
      <c r="G2461" s="2" t="s">
        <v>19</v>
      </c>
      <c r="H2461" s="2" t="s">
        <v>3014</v>
      </c>
      <c r="I2461" s="2" t="s">
        <v>3040</v>
      </c>
    </row>
    <row r="2462" spans="1:9" ht="14.5" x14ac:dyDescent="0.35">
      <c r="A2462" s="2">
        <v>1684313</v>
      </c>
      <c r="B2462" s="2" t="str">
        <f>"3328082807060002"</f>
        <v>3328082807060002</v>
      </c>
      <c r="C2462" s="2" t="s">
        <v>3103</v>
      </c>
      <c r="D2462" s="2" t="s">
        <v>10</v>
      </c>
      <c r="E2462" s="2" t="s">
        <v>57</v>
      </c>
      <c r="F2462" s="2" t="s">
        <v>18</v>
      </c>
      <c r="G2462" s="2" t="s">
        <v>184</v>
      </c>
      <c r="H2462" s="2" t="s">
        <v>1085</v>
      </c>
      <c r="I2462" s="2" t="s">
        <v>1086</v>
      </c>
    </row>
    <row r="2463" spans="1:9" ht="14.5" x14ac:dyDescent="0.35">
      <c r="A2463" s="2">
        <v>2006401</v>
      </c>
      <c r="B2463" s="2" t="str">
        <f>"3328082807060002"</f>
        <v>3328082807060002</v>
      </c>
      <c r="C2463" s="2" t="s">
        <v>3103</v>
      </c>
      <c r="D2463" s="2" t="s">
        <v>189</v>
      </c>
      <c r="E2463" s="2" t="s">
        <v>11</v>
      </c>
      <c r="F2463" s="2" t="s">
        <v>18</v>
      </c>
      <c r="G2463" s="2" t="s">
        <v>19</v>
      </c>
      <c r="H2463" s="2" t="s">
        <v>3014</v>
      </c>
      <c r="I2463" s="2" t="s">
        <v>3040</v>
      </c>
    </row>
    <row r="2464" spans="1:9" ht="14.5" x14ac:dyDescent="0.35">
      <c r="A2464" s="2">
        <v>1408764</v>
      </c>
      <c r="B2464" s="2" t="str">
        <f>"3328082812000002"</f>
        <v>3328082812000002</v>
      </c>
      <c r="C2464" s="2" t="s">
        <v>3104</v>
      </c>
      <c r="D2464" s="2" t="s">
        <v>10</v>
      </c>
      <c r="E2464" s="2" t="s">
        <v>11</v>
      </c>
      <c r="F2464" s="2" t="s">
        <v>91</v>
      </c>
      <c r="G2464" s="2" t="s">
        <v>159</v>
      </c>
      <c r="H2464" s="2" t="s">
        <v>685</v>
      </c>
      <c r="I2464" s="2" t="s">
        <v>3105</v>
      </c>
    </row>
    <row r="2465" spans="1:9" ht="14.5" x14ac:dyDescent="0.35">
      <c r="A2465" s="2">
        <v>2544524</v>
      </c>
      <c r="B2465" s="2" t="str">
        <f>"3328082812000002"</f>
        <v>3328082812000002</v>
      </c>
      <c r="C2465" s="2" t="s">
        <v>3104</v>
      </c>
      <c r="D2465" s="2" t="s">
        <v>17</v>
      </c>
      <c r="E2465" s="2" t="s">
        <v>11</v>
      </c>
      <c r="F2465" s="2" t="s">
        <v>18</v>
      </c>
      <c r="G2465" s="2" t="s">
        <v>19</v>
      </c>
      <c r="H2465" s="2" t="s">
        <v>3014</v>
      </c>
      <c r="I2465" s="2" t="s">
        <v>3074</v>
      </c>
    </row>
    <row r="2466" spans="1:9" ht="14.5" x14ac:dyDescent="0.35">
      <c r="A2466" s="2">
        <v>1268745</v>
      </c>
      <c r="B2466" s="2" t="str">
        <f>"3328083010930002"</f>
        <v>3328083010930002</v>
      </c>
      <c r="C2466" s="2" t="s">
        <v>3106</v>
      </c>
      <c r="D2466" s="2" t="s">
        <v>10</v>
      </c>
      <c r="E2466" s="2" t="s">
        <v>11</v>
      </c>
      <c r="F2466" s="2" t="s">
        <v>91</v>
      </c>
      <c r="G2466" s="2" t="s">
        <v>159</v>
      </c>
      <c r="H2466" s="2" t="s">
        <v>3107</v>
      </c>
      <c r="I2466" s="2" t="s">
        <v>680</v>
      </c>
    </row>
    <row r="2467" spans="1:9" ht="14.5" x14ac:dyDescent="0.35">
      <c r="A2467" s="2">
        <v>2544443</v>
      </c>
      <c r="B2467" s="2" t="str">
        <f>"3328083010930002"</f>
        <v>3328083010930002</v>
      </c>
      <c r="C2467" s="2" t="s">
        <v>3106</v>
      </c>
      <c r="D2467" s="2" t="s">
        <v>17</v>
      </c>
      <c r="E2467" s="2" t="s">
        <v>11</v>
      </c>
      <c r="F2467" s="2" t="s">
        <v>18</v>
      </c>
      <c r="G2467" s="2" t="s">
        <v>19</v>
      </c>
      <c r="H2467" s="2" t="s">
        <v>3014</v>
      </c>
      <c r="I2467" s="2" t="s">
        <v>3074</v>
      </c>
    </row>
    <row r="2468" spans="1:9" ht="14.5" x14ac:dyDescent="0.35">
      <c r="A2468" s="2">
        <v>849441</v>
      </c>
      <c r="B2468" s="2" t="str">
        <f>"3328083105060002"</f>
        <v>3328083105060002</v>
      </c>
      <c r="C2468" s="2" t="s">
        <v>3108</v>
      </c>
      <c r="D2468" s="2" t="s">
        <v>189</v>
      </c>
      <c r="E2468" s="2" t="s">
        <v>11</v>
      </c>
      <c r="F2468" s="2" t="s">
        <v>18</v>
      </c>
      <c r="G2468" s="2" t="s">
        <v>264</v>
      </c>
      <c r="H2468" s="2" t="s">
        <v>344</v>
      </c>
      <c r="I2468" s="2" t="s">
        <v>492</v>
      </c>
    </row>
    <row r="2469" spans="1:9" ht="14.5" x14ac:dyDescent="0.35">
      <c r="A2469" s="2">
        <v>2544544</v>
      </c>
      <c r="B2469" s="2" t="str">
        <f>"3328083105060002"</f>
        <v>3328083105060002</v>
      </c>
      <c r="C2469" s="2" t="s">
        <v>3109</v>
      </c>
      <c r="D2469" s="2" t="s">
        <v>17</v>
      </c>
      <c r="E2469" s="2" t="s">
        <v>11</v>
      </c>
      <c r="F2469" s="2" t="s">
        <v>18</v>
      </c>
      <c r="G2469" s="2" t="s">
        <v>19</v>
      </c>
      <c r="H2469" s="2" t="s">
        <v>3014</v>
      </c>
      <c r="I2469" s="2" t="s">
        <v>492</v>
      </c>
    </row>
    <row r="2470" spans="1:9" ht="14.5" x14ac:dyDescent="0.35">
      <c r="A2470" s="2">
        <v>632593</v>
      </c>
      <c r="B2470" s="2" t="str">
        <f>"3328083112060001"</f>
        <v>3328083112060001</v>
      </c>
      <c r="C2470" s="2" t="s">
        <v>3110</v>
      </c>
      <c r="D2470" s="2" t="s">
        <v>10</v>
      </c>
      <c r="E2470" s="2" t="s">
        <v>11</v>
      </c>
      <c r="F2470" s="2" t="s">
        <v>50</v>
      </c>
      <c r="G2470" s="2" t="s">
        <v>51</v>
      </c>
      <c r="H2470" s="2" t="s">
        <v>78</v>
      </c>
      <c r="I2470" s="2" t="s">
        <v>334</v>
      </c>
    </row>
    <row r="2471" spans="1:9" ht="14.5" x14ac:dyDescent="0.35">
      <c r="A2471" s="2">
        <v>2017097</v>
      </c>
      <c r="B2471" s="2" t="str">
        <f>"3328083112060001"</f>
        <v>3328083112060001</v>
      </c>
      <c r="C2471" s="2" t="s">
        <v>3111</v>
      </c>
      <c r="D2471" s="2" t="s">
        <v>189</v>
      </c>
      <c r="E2471" s="2" t="s">
        <v>11</v>
      </c>
      <c r="F2471" s="2" t="s">
        <v>18</v>
      </c>
      <c r="G2471" s="2" t="s">
        <v>19</v>
      </c>
      <c r="H2471" s="2" t="s">
        <v>3014</v>
      </c>
      <c r="I2471" s="2" t="s">
        <v>3015</v>
      </c>
    </row>
    <row r="2472" spans="1:9" ht="14.5" x14ac:dyDescent="0.35">
      <c r="A2472" s="2">
        <v>371134</v>
      </c>
      <c r="B2472" s="2" t="str">
        <f>"3328084107030037"</f>
        <v>3328084107030037</v>
      </c>
      <c r="C2472" s="2" t="s">
        <v>3112</v>
      </c>
      <c r="D2472" s="2" t="s">
        <v>10</v>
      </c>
      <c r="E2472" s="2" t="s">
        <v>11</v>
      </c>
      <c r="F2472" s="2" t="s">
        <v>2889</v>
      </c>
      <c r="G2472" s="2" t="s">
        <v>3076</v>
      </c>
      <c r="H2472" s="2" t="s">
        <v>3077</v>
      </c>
      <c r="I2472" s="2" t="s">
        <v>3078</v>
      </c>
    </row>
    <row r="2473" spans="1:9" ht="14.5" x14ac:dyDescent="0.35">
      <c r="A2473" s="2">
        <v>2544131</v>
      </c>
      <c r="B2473" s="2" t="str">
        <f>"3328084107030037"</f>
        <v>3328084107030037</v>
      </c>
      <c r="C2473" s="2" t="s">
        <v>3112</v>
      </c>
      <c r="D2473" s="2" t="s">
        <v>17</v>
      </c>
      <c r="E2473" s="2" t="s">
        <v>11</v>
      </c>
      <c r="F2473" s="2" t="s">
        <v>18</v>
      </c>
      <c r="G2473" s="2" t="s">
        <v>19</v>
      </c>
      <c r="H2473" s="2" t="s">
        <v>3014</v>
      </c>
      <c r="I2473" s="2" t="s">
        <v>3014</v>
      </c>
    </row>
    <row r="2474" spans="1:9" ht="14.5" x14ac:dyDescent="0.35">
      <c r="A2474" s="2">
        <v>371133</v>
      </c>
      <c r="B2474" s="2" t="str">
        <f>"3328084107750076"</f>
        <v>3328084107750076</v>
      </c>
      <c r="C2474" s="2" t="s">
        <v>3113</v>
      </c>
      <c r="D2474" s="2" t="s">
        <v>10</v>
      </c>
      <c r="E2474" s="2" t="s">
        <v>11</v>
      </c>
      <c r="F2474" s="2" t="s">
        <v>2889</v>
      </c>
      <c r="G2474" s="2" t="s">
        <v>3076</v>
      </c>
      <c r="H2474" s="2" t="s">
        <v>3077</v>
      </c>
      <c r="I2474" s="2" t="s">
        <v>3078</v>
      </c>
    </row>
    <row r="2475" spans="1:9" ht="14.5" x14ac:dyDescent="0.35">
      <c r="A2475" s="2">
        <v>2544139</v>
      </c>
      <c r="B2475" s="2" t="str">
        <f>"3328084107750076"</f>
        <v>3328084107750076</v>
      </c>
      <c r="C2475" s="2" t="s">
        <v>3113</v>
      </c>
      <c r="D2475" s="2" t="s">
        <v>17</v>
      </c>
      <c r="E2475" s="2" t="s">
        <v>11</v>
      </c>
      <c r="F2475" s="2" t="s">
        <v>18</v>
      </c>
      <c r="G2475" s="2" t="s">
        <v>19</v>
      </c>
      <c r="H2475" s="2" t="s">
        <v>3014</v>
      </c>
      <c r="I2475" s="2" t="s">
        <v>3014</v>
      </c>
    </row>
    <row r="2476" spans="1:9" ht="14.5" x14ac:dyDescent="0.35">
      <c r="A2476" s="2">
        <v>228636</v>
      </c>
      <c r="B2476" s="2" t="str">
        <f>"3328084107920027"</f>
        <v>3328084107920027</v>
      </c>
      <c r="C2476" s="2" t="s">
        <v>3114</v>
      </c>
      <c r="D2476" s="2" t="s">
        <v>189</v>
      </c>
      <c r="E2476" s="2" t="s">
        <v>11</v>
      </c>
      <c r="F2476" s="2" t="s">
        <v>18</v>
      </c>
      <c r="G2476" s="2" t="s">
        <v>268</v>
      </c>
      <c r="H2476" s="2" t="s">
        <v>371</v>
      </c>
      <c r="I2476" s="2" t="s">
        <v>2346</v>
      </c>
    </row>
    <row r="2477" spans="1:9" ht="14.5" x14ac:dyDescent="0.35">
      <c r="A2477" s="2">
        <v>2544203</v>
      </c>
      <c r="B2477" s="2" t="str">
        <f>"3328084107920027"</f>
        <v>3328084107920027</v>
      </c>
      <c r="C2477" s="2" t="s">
        <v>3114</v>
      </c>
      <c r="D2477" s="2" t="s">
        <v>17</v>
      </c>
      <c r="E2477" s="2" t="s">
        <v>11</v>
      </c>
      <c r="F2477" s="2" t="s">
        <v>18</v>
      </c>
      <c r="G2477" s="2" t="s">
        <v>19</v>
      </c>
      <c r="H2477" s="2" t="s">
        <v>3014</v>
      </c>
      <c r="I2477" s="2" t="s">
        <v>3014</v>
      </c>
    </row>
    <row r="2478" spans="1:9" ht="14.5" x14ac:dyDescent="0.35">
      <c r="A2478" s="2">
        <v>2415119</v>
      </c>
      <c r="B2478" s="2" t="str">
        <f>"3328084208810002"</f>
        <v>3328084208810002</v>
      </c>
      <c r="C2478" s="2" t="s">
        <v>3115</v>
      </c>
      <c r="D2478" s="2" t="s">
        <v>10</v>
      </c>
      <c r="E2478" s="2" t="s">
        <v>11</v>
      </c>
      <c r="F2478" s="2" t="s">
        <v>50</v>
      </c>
      <c r="G2478" s="2" t="s">
        <v>58</v>
      </c>
      <c r="H2478" s="2" t="s">
        <v>406</v>
      </c>
      <c r="I2478" s="2" t="s">
        <v>3116</v>
      </c>
    </row>
    <row r="2479" spans="1:9" ht="14.5" x14ac:dyDescent="0.35">
      <c r="A2479" s="2">
        <v>2544364</v>
      </c>
      <c r="B2479" s="2" t="str">
        <f>"3328084208810002"</f>
        <v>3328084208810002</v>
      </c>
      <c r="C2479" s="2" t="s">
        <v>3117</v>
      </c>
      <c r="D2479" s="2" t="s">
        <v>17</v>
      </c>
      <c r="E2479" s="2" t="s">
        <v>11</v>
      </c>
      <c r="F2479" s="2" t="s">
        <v>18</v>
      </c>
      <c r="G2479" s="2" t="s">
        <v>19</v>
      </c>
      <c r="H2479" s="2" t="s">
        <v>3014</v>
      </c>
      <c r="I2479" s="2" t="s">
        <v>3026</v>
      </c>
    </row>
    <row r="2480" spans="1:9" ht="14.5" x14ac:dyDescent="0.35">
      <c r="A2480" s="2">
        <v>2039284</v>
      </c>
      <c r="B2480" s="2" t="str">
        <f>"3328084508060001"</f>
        <v>3328084508060001</v>
      </c>
      <c r="C2480" s="2" t="s">
        <v>3118</v>
      </c>
      <c r="D2480" s="2" t="s">
        <v>189</v>
      </c>
      <c r="E2480" s="2" t="s">
        <v>11</v>
      </c>
      <c r="F2480" s="2" t="s">
        <v>18</v>
      </c>
      <c r="G2480" s="2" t="s">
        <v>19</v>
      </c>
      <c r="H2480" s="2" t="s">
        <v>3014</v>
      </c>
      <c r="I2480" s="2" t="s">
        <v>3014</v>
      </c>
    </row>
    <row r="2481" spans="1:9" ht="14.5" x14ac:dyDescent="0.35">
      <c r="A2481" s="2">
        <v>1352903</v>
      </c>
      <c r="B2481" s="2" t="str">
        <f>"3328084508060001"</f>
        <v>3328084508060001</v>
      </c>
      <c r="C2481" s="2" t="s">
        <v>3119</v>
      </c>
      <c r="D2481" s="2" t="s">
        <v>10</v>
      </c>
      <c r="E2481" s="2" t="s">
        <v>57</v>
      </c>
      <c r="F2481" s="2" t="s">
        <v>303</v>
      </c>
      <c r="G2481" s="2" t="s">
        <v>608</v>
      </c>
      <c r="H2481" s="2" t="s">
        <v>609</v>
      </c>
      <c r="I2481" s="2" t="s">
        <v>610</v>
      </c>
    </row>
    <row r="2482" spans="1:9" ht="14.5" x14ac:dyDescent="0.35">
      <c r="A2482" s="2">
        <v>2030771</v>
      </c>
      <c r="B2482" s="2" t="str">
        <f>"3328084904740002"</f>
        <v>3328084904740002</v>
      </c>
      <c r="C2482" s="2" t="s">
        <v>3120</v>
      </c>
      <c r="D2482" s="2" t="s">
        <v>10</v>
      </c>
      <c r="E2482" s="2" t="s">
        <v>11</v>
      </c>
      <c r="F2482" s="2" t="s">
        <v>18</v>
      </c>
      <c r="G2482" s="2" t="s">
        <v>19</v>
      </c>
      <c r="H2482" s="2" t="s">
        <v>3014</v>
      </c>
      <c r="I2482" s="2" t="s">
        <v>3018</v>
      </c>
    </row>
    <row r="2483" spans="1:9" ht="14.5" x14ac:dyDescent="0.35">
      <c r="A2483" s="2">
        <v>1385360</v>
      </c>
      <c r="B2483" s="2" t="str">
        <f>"3328084904740002"</f>
        <v>3328084904740002</v>
      </c>
      <c r="C2483" s="2" t="s">
        <v>3120</v>
      </c>
      <c r="D2483" s="2" t="s">
        <v>17</v>
      </c>
      <c r="E2483" s="2" t="s">
        <v>11</v>
      </c>
      <c r="F2483" s="2" t="s">
        <v>50</v>
      </c>
      <c r="G2483" s="2" t="s">
        <v>51</v>
      </c>
      <c r="H2483" s="2" t="s">
        <v>52</v>
      </c>
      <c r="I2483" s="2" t="s">
        <v>52</v>
      </c>
    </row>
    <row r="2484" spans="1:9" ht="14.5" x14ac:dyDescent="0.35">
      <c r="A2484" s="2">
        <v>1925988</v>
      </c>
      <c r="B2484" s="2" t="str">
        <f>"3328084909980004"</f>
        <v>3328084909980004</v>
      </c>
      <c r="C2484" s="2" t="s">
        <v>3121</v>
      </c>
      <c r="D2484" s="2" t="s">
        <v>10</v>
      </c>
      <c r="E2484" s="2" t="s">
        <v>11</v>
      </c>
      <c r="F2484" s="2" t="s">
        <v>18</v>
      </c>
      <c r="G2484" s="2" t="s">
        <v>19</v>
      </c>
      <c r="H2484" s="2" t="s">
        <v>3014</v>
      </c>
      <c r="I2484" s="2" t="s">
        <v>3035</v>
      </c>
    </row>
    <row r="2485" spans="1:9" ht="14.5" x14ac:dyDescent="0.35">
      <c r="A2485" s="2">
        <v>1568232</v>
      </c>
      <c r="B2485" s="2" t="str">
        <f>"3328084909980004"</f>
        <v>3328084909980004</v>
      </c>
      <c r="C2485" s="2" t="s">
        <v>3121</v>
      </c>
      <c r="D2485" s="2" t="s">
        <v>17</v>
      </c>
      <c r="E2485" s="2" t="s">
        <v>11</v>
      </c>
      <c r="F2485" s="2" t="s">
        <v>18</v>
      </c>
      <c r="G2485" s="2" t="s">
        <v>195</v>
      </c>
      <c r="H2485" s="2" t="s">
        <v>1434</v>
      </c>
      <c r="I2485" s="2" t="s">
        <v>2474</v>
      </c>
    </row>
    <row r="2486" spans="1:9" ht="14.5" x14ac:dyDescent="0.35">
      <c r="A2486" s="2">
        <v>2012595</v>
      </c>
      <c r="B2486" s="2" t="str">
        <f>"3328085003870003"</f>
        <v>3328085003870003</v>
      </c>
      <c r="C2486" s="2" t="s">
        <v>3122</v>
      </c>
      <c r="D2486" s="2" t="s">
        <v>10</v>
      </c>
      <c r="E2486" s="2" t="s">
        <v>11</v>
      </c>
      <c r="F2486" s="2" t="s">
        <v>18</v>
      </c>
      <c r="G2486" s="2" t="s">
        <v>19</v>
      </c>
      <c r="H2486" s="2" t="s">
        <v>3014</v>
      </c>
      <c r="I2486" s="2" t="s">
        <v>3095</v>
      </c>
    </row>
    <row r="2487" spans="1:9" ht="14.5" x14ac:dyDescent="0.35">
      <c r="A2487" s="2">
        <v>851712</v>
      </c>
      <c r="B2487" s="2" t="str">
        <f>"3328085003870003"</f>
        <v>3328085003870003</v>
      </c>
      <c r="C2487" s="2" t="s">
        <v>3123</v>
      </c>
      <c r="D2487" s="2" t="s">
        <v>17</v>
      </c>
      <c r="E2487" s="2" t="s">
        <v>11</v>
      </c>
      <c r="F2487" s="2" t="s">
        <v>50</v>
      </c>
      <c r="G2487" s="2" t="s">
        <v>280</v>
      </c>
      <c r="H2487" s="2" t="s">
        <v>776</v>
      </c>
      <c r="I2487" s="2" t="s">
        <v>2182</v>
      </c>
    </row>
    <row r="2488" spans="1:9" ht="14.5" x14ac:dyDescent="0.35">
      <c r="A2488" s="2">
        <v>1684946</v>
      </c>
      <c r="B2488" s="2" t="str">
        <f>"3328085103060001"</f>
        <v>3328085103060001</v>
      </c>
      <c r="C2488" s="2" t="s">
        <v>3124</v>
      </c>
      <c r="D2488" s="2" t="s">
        <v>10</v>
      </c>
      <c r="E2488" s="2" t="s">
        <v>57</v>
      </c>
      <c r="F2488" s="2" t="s">
        <v>18</v>
      </c>
      <c r="G2488" s="2" t="s">
        <v>184</v>
      </c>
      <c r="H2488" s="2" t="s">
        <v>1085</v>
      </c>
      <c r="I2488" s="2" t="s">
        <v>1086</v>
      </c>
    </row>
    <row r="2489" spans="1:9" ht="14.5" x14ac:dyDescent="0.35">
      <c r="A2489" s="2">
        <v>2005461</v>
      </c>
      <c r="B2489" s="2" t="str">
        <f>"3328085103060001"</f>
        <v>3328085103060001</v>
      </c>
      <c r="C2489" s="2" t="s">
        <v>3124</v>
      </c>
      <c r="D2489" s="2" t="s">
        <v>189</v>
      </c>
      <c r="E2489" s="2" t="s">
        <v>11</v>
      </c>
      <c r="F2489" s="2" t="s">
        <v>18</v>
      </c>
      <c r="G2489" s="2" t="s">
        <v>19</v>
      </c>
      <c r="H2489" s="2" t="s">
        <v>3014</v>
      </c>
      <c r="I2489" s="2" t="s">
        <v>3040</v>
      </c>
    </row>
    <row r="2490" spans="1:9" ht="14.5" x14ac:dyDescent="0.35">
      <c r="A2490" s="2">
        <v>1427641</v>
      </c>
      <c r="B2490" s="2" t="str">
        <f>"3328085104840002"</f>
        <v>3328085104840002</v>
      </c>
      <c r="C2490" s="2" t="s">
        <v>3125</v>
      </c>
      <c r="D2490" s="2" t="s">
        <v>10</v>
      </c>
      <c r="E2490" s="2" t="s">
        <v>11</v>
      </c>
      <c r="F2490" s="2" t="s">
        <v>18</v>
      </c>
      <c r="G2490" s="2" t="s">
        <v>195</v>
      </c>
      <c r="H2490" s="2" t="s">
        <v>1381</v>
      </c>
      <c r="I2490" s="2" t="s">
        <v>3089</v>
      </c>
    </row>
    <row r="2491" spans="1:9" ht="14.5" x14ac:dyDescent="0.35">
      <c r="A2491" s="2">
        <v>2543948</v>
      </c>
      <c r="B2491" s="2" t="str">
        <f>"3328085104840002"</f>
        <v>3328085104840002</v>
      </c>
      <c r="C2491" s="2" t="s">
        <v>3125</v>
      </c>
      <c r="D2491" s="2" t="s">
        <v>17</v>
      </c>
      <c r="E2491" s="2" t="s">
        <v>11</v>
      </c>
      <c r="F2491" s="2" t="s">
        <v>18</v>
      </c>
      <c r="G2491" s="2" t="s">
        <v>19</v>
      </c>
      <c r="H2491" s="2" t="s">
        <v>3014</v>
      </c>
      <c r="I2491" s="2" t="s">
        <v>1381</v>
      </c>
    </row>
    <row r="2492" spans="1:9" ht="14.5" x14ac:dyDescent="0.35">
      <c r="A2492" s="2">
        <v>2544141</v>
      </c>
      <c r="B2492" s="2" t="str">
        <f>"3328085409040002"</f>
        <v>3328085409040002</v>
      </c>
      <c r="C2492" s="2" t="s">
        <v>3126</v>
      </c>
      <c r="D2492" s="2" t="s">
        <v>17</v>
      </c>
      <c r="E2492" s="2" t="s">
        <v>11</v>
      </c>
      <c r="F2492" s="2" t="s">
        <v>18</v>
      </c>
      <c r="G2492" s="2" t="s">
        <v>19</v>
      </c>
      <c r="H2492" s="2" t="s">
        <v>3014</v>
      </c>
      <c r="I2492" s="2" t="s">
        <v>3014</v>
      </c>
    </row>
    <row r="2493" spans="1:9" ht="14.5" x14ac:dyDescent="0.35">
      <c r="A2493" s="2">
        <v>1352904</v>
      </c>
      <c r="B2493" s="2" t="str">
        <f>"3328085409040002"</f>
        <v>3328085409040002</v>
      </c>
      <c r="C2493" s="2" t="s">
        <v>3127</v>
      </c>
      <c r="D2493" s="2" t="s">
        <v>10</v>
      </c>
      <c r="E2493" s="2" t="s">
        <v>57</v>
      </c>
      <c r="F2493" s="2" t="s">
        <v>303</v>
      </c>
      <c r="G2493" s="2" t="s">
        <v>608</v>
      </c>
      <c r="H2493" s="2" t="s">
        <v>609</v>
      </c>
      <c r="I2493" s="2" t="s">
        <v>610</v>
      </c>
    </row>
    <row r="2494" spans="1:9" ht="14.5" x14ac:dyDescent="0.35">
      <c r="A2494" s="2">
        <v>1926159</v>
      </c>
      <c r="B2494" s="2" t="str">
        <f>"3328085804940003"</f>
        <v>3328085804940003</v>
      </c>
      <c r="C2494" s="2" t="s">
        <v>3128</v>
      </c>
      <c r="D2494" s="2" t="s">
        <v>189</v>
      </c>
      <c r="E2494" s="2" t="s">
        <v>11</v>
      </c>
      <c r="F2494" s="2" t="s">
        <v>18</v>
      </c>
      <c r="G2494" s="2" t="s">
        <v>19</v>
      </c>
      <c r="H2494" s="2" t="s">
        <v>3014</v>
      </c>
      <c r="I2494" s="2" t="s">
        <v>3035</v>
      </c>
    </row>
    <row r="2495" spans="1:9" ht="14.5" x14ac:dyDescent="0.35">
      <c r="A2495" s="2">
        <v>1651110</v>
      </c>
      <c r="B2495" s="2" t="str">
        <f>"3328085804940003"</f>
        <v>3328085804940003</v>
      </c>
      <c r="C2495" s="2" t="s">
        <v>3128</v>
      </c>
      <c r="D2495" s="2" t="s">
        <v>17</v>
      </c>
      <c r="E2495" s="2" t="s">
        <v>11</v>
      </c>
      <c r="F2495" s="2" t="s">
        <v>18</v>
      </c>
      <c r="G2495" s="2" t="s">
        <v>264</v>
      </c>
      <c r="H2495" s="2" t="s">
        <v>396</v>
      </c>
      <c r="I2495" s="2" t="s">
        <v>2036</v>
      </c>
    </row>
    <row r="2496" spans="1:9" ht="14.5" x14ac:dyDescent="0.35">
      <c r="A2496" s="2">
        <v>386142</v>
      </c>
      <c r="B2496" s="2" t="str">
        <f>"3328086305900001"</f>
        <v>3328086305900001</v>
      </c>
      <c r="C2496" s="2" t="s">
        <v>3129</v>
      </c>
      <c r="D2496" s="2" t="s">
        <v>10</v>
      </c>
      <c r="E2496" s="2" t="s">
        <v>11</v>
      </c>
      <c r="F2496" s="2" t="s">
        <v>18</v>
      </c>
      <c r="G2496" s="2" t="s">
        <v>264</v>
      </c>
      <c r="H2496" s="2" t="s">
        <v>477</v>
      </c>
      <c r="I2496" s="2" t="s">
        <v>2714</v>
      </c>
    </row>
    <row r="2497" spans="1:9" ht="14.5" x14ac:dyDescent="0.35">
      <c r="A2497" s="2">
        <v>2544314</v>
      </c>
      <c r="B2497" s="2" t="str">
        <f>"3328086305900001"</f>
        <v>3328086305900001</v>
      </c>
      <c r="C2497" s="2" t="s">
        <v>3129</v>
      </c>
      <c r="D2497" s="2" t="s">
        <v>17</v>
      </c>
      <c r="E2497" s="2" t="s">
        <v>11</v>
      </c>
      <c r="F2497" s="2" t="s">
        <v>18</v>
      </c>
      <c r="G2497" s="2" t="s">
        <v>19</v>
      </c>
      <c r="H2497" s="2" t="s">
        <v>3014</v>
      </c>
      <c r="I2497" s="2" t="s">
        <v>3095</v>
      </c>
    </row>
    <row r="2498" spans="1:9" ht="14.5" x14ac:dyDescent="0.35">
      <c r="A2498" s="2">
        <v>852664</v>
      </c>
      <c r="B2498" s="2" t="str">
        <f>"3328086409970003"</f>
        <v>3328086409970003</v>
      </c>
      <c r="C2498" s="2" t="s">
        <v>3130</v>
      </c>
      <c r="D2498" s="2" t="s">
        <v>10</v>
      </c>
      <c r="E2498" s="2" t="s">
        <v>11</v>
      </c>
      <c r="F2498" s="2" t="s">
        <v>18</v>
      </c>
      <c r="G2498" s="2" t="s">
        <v>264</v>
      </c>
      <c r="H2498" s="2" t="s">
        <v>344</v>
      </c>
      <c r="I2498" s="2" t="s">
        <v>492</v>
      </c>
    </row>
    <row r="2499" spans="1:9" ht="14.5" x14ac:dyDescent="0.35">
      <c r="A2499" s="2">
        <v>2543906</v>
      </c>
      <c r="B2499" s="2" t="str">
        <f>"3328086409970003"</f>
        <v>3328086409970003</v>
      </c>
      <c r="C2499" s="2" t="s">
        <v>3130</v>
      </c>
      <c r="D2499" s="2" t="s">
        <v>17</v>
      </c>
      <c r="E2499" s="2" t="s">
        <v>11</v>
      </c>
      <c r="F2499" s="2" t="s">
        <v>18</v>
      </c>
      <c r="G2499" s="2" t="s">
        <v>19</v>
      </c>
      <c r="H2499" s="2" t="s">
        <v>3014</v>
      </c>
      <c r="I2499" s="2" t="s">
        <v>1381</v>
      </c>
    </row>
    <row r="2500" spans="1:9" ht="14.5" x14ac:dyDescent="0.35">
      <c r="A2500" s="2">
        <v>1108904</v>
      </c>
      <c r="B2500" s="2" t="str">
        <f>"3328086603000003"</f>
        <v>3328086603000003</v>
      </c>
      <c r="C2500" s="2" t="s">
        <v>3131</v>
      </c>
      <c r="D2500" s="2" t="s">
        <v>10</v>
      </c>
      <c r="E2500" s="2" t="s">
        <v>11</v>
      </c>
      <c r="F2500" s="2" t="s">
        <v>91</v>
      </c>
      <c r="G2500" s="2" t="s">
        <v>137</v>
      </c>
      <c r="H2500" s="2" t="s">
        <v>3132</v>
      </c>
      <c r="I2500" s="2" t="s">
        <v>3133</v>
      </c>
    </row>
    <row r="2501" spans="1:9" ht="14.5" x14ac:dyDescent="0.35">
      <c r="A2501" s="2">
        <v>2544060</v>
      </c>
      <c r="B2501" s="2" t="str">
        <f>"3328086603000003"</f>
        <v>3328086603000003</v>
      </c>
      <c r="C2501" s="2" t="s">
        <v>3131</v>
      </c>
      <c r="D2501" s="2" t="s">
        <v>17</v>
      </c>
      <c r="E2501" s="2" t="s">
        <v>11</v>
      </c>
      <c r="F2501" s="2" t="s">
        <v>18</v>
      </c>
      <c r="G2501" s="2" t="s">
        <v>19</v>
      </c>
      <c r="H2501" s="2" t="s">
        <v>3014</v>
      </c>
      <c r="I2501" s="2" t="s">
        <v>3018</v>
      </c>
    </row>
    <row r="2502" spans="1:9" ht="14.5" x14ac:dyDescent="0.35">
      <c r="A2502" s="2">
        <v>2018166</v>
      </c>
      <c r="B2502" s="2" t="str">
        <f>"3328086703010004"</f>
        <v>3328086703010004</v>
      </c>
      <c r="C2502" s="2" t="s">
        <v>3134</v>
      </c>
      <c r="D2502" s="2" t="s">
        <v>189</v>
      </c>
      <c r="E2502" s="2" t="s">
        <v>11</v>
      </c>
      <c r="F2502" s="2" t="s">
        <v>18</v>
      </c>
      <c r="G2502" s="2" t="s">
        <v>19</v>
      </c>
      <c r="H2502" s="2" t="s">
        <v>3014</v>
      </c>
      <c r="I2502" s="2" t="s">
        <v>3015</v>
      </c>
    </row>
    <row r="2503" spans="1:9" ht="14.5" x14ac:dyDescent="0.35">
      <c r="A2503" s="2">
        <v>1377852</v>
      </c>
      <c r="B2503" s="2" t="str">
        <f>"3328086703010004"</f>
        <v>3328086703010004</v>
      </c>
      <c r="C2503" s="2" t="s">
        <v>3134</v>
      </c>
      <c r="D2503" s="2" t="s">
        <v>17</v>
      </c>
      <c r="E2503" s="2" t="s">
        <v>11</v>
      </c>
      <c r="F2503" s="2" t="s">
        <v>50</v>
      </c>
      <c r="G2503" s="2" t="s">
        <v>51</v>
      </c>
      <c r="H2503" s="2" t="s">
        <v>78</v>
      </c>
      <c r="I2503" s="2" t="s">
        <v>78</v>
      </c>
    </row>
    <row r="2504" spans="1:9" ht="14.5" x14ac:dyDescent="0.35">
      <c r="A2504" s="2">
        <v>466220</v>
      </c>
      <c r="B2504" s="2" t="str">
        <f>"3328150709892826"</f>
        <v>3328150709892826</v>
      </c>
      <c r="C2504" s="2" t="s">
        <v>3135</v>
      </c>
      <c r="D2504" s="2" t="s">
        <v>10</v>
      </c>
      <c r="E2504" s="2" t="s">
        <v>11</v>
      </c>
      <c r="F2504" s="2" t="s">
        <v>783</v>
      </c>
      <c r="G2504" s="2" t="s">
        <v>1112</v>
      </c>
      <c r="H2504" s="2" t="s">
        <v>2563</v>
      </c>
      <c r="I2504" s="2" t="s">
        <v>3136</v>
      </c>
    </row>
    <row r="2505" spans="1:9" ht="14.5" x14ac:dyDescent="0.35">
      <c r="A2505" s="2">
        <v>2544257</v>
      </c>
      <c r="B2505" s="2" t="str">
        <f>"3328150709892826"</f>
        <v>3328150709892826</v>
      </c>
      <c r="C2505" s="2" t="s">
        <v>3137</v>
      </c>
      <c r="D2505" s="2" t="s">
        <v>17</v>
      </c>
      <c r="E2505" s="2" t="s">
        <v>11</v>
      </c>
      <c r="F2505" s="2" t="s">
        <v>18</v>
      </c>
      <c r="G2505" s="2" t="s">
        <v>19</v>
      </c>
      <c r="H2505" s="2" t="s">
        <v>3014</v>
      </c>
      <c r="I2505" s="2" t="s">
        <v>3014</v>
      </c>
    </row>
    <row r="2506" spans="1:9" ht="14.5" x14ac:dyDescent="0.35">
      <c r="A2506" s="2">
        <v>835615</v>
      </c>
      <c r="B2506" s="2" t="str">
        <f>"3329091305830015"</f>
        <v>3329091305830015</v>
      </c>
      <c r="C2506" s="2" t="s">
        <v>3138</v>
      </c>
      <c r="D2506" s="2" t="s">
        <v>10</v>
      </c>
      <c r="E2506" s="2" t="s">
        <v>11</v>
      </c>
      <c r="F2506" s="2" t="s">
        <v>18</v>
      </c>
      <c r="G2506" s="2" t="s">
        <v>264</v>
      </c>
      <c r="H2506" s="2" t="s">
        <v>264</v>
      </c>
      <c r="I2506" s="2" t="s">
        <v>264</v>
      </c>
    </row>
    <row r="2507" spans="1:9" ht="14.5" x14ac:dyDescent="0.35">
      <c r="A2507" s="2">
        <v>2544324</v>
      </c>
      <c r="B2507" s="2" t="str">
        <f>"3329091305830015"</f>
        <v>3329091305830015</v>
      </c>
      <c r="C2507" s="2" t="s">
        <v>3138</v>
      </c>
      <c r="D2507" s="2" t="s">
        <v>17</v>
      </c>
      <c r="E2507" s="2" t="s">
        <v>11</v>
      </c>
      <c r="F2507" s="2" t="s">
        <v>18</v>
      </c>
      <c r="G2507" s="2" t="s">
        <v>19</v>
      </c>
      <c r="H2507" s="2" t="s">
        <v>3014</v>
      </c>
      <c r="I2507" s="2" t="s">
        <v>3026</v>
      </c>
    </row>
    <row r="2508" spans="1:9" ht="14.5" x14ac:dyDescent="0.35">
      <c r="A2508" s="2">
        <v>347485</v>
      </c>
      <c r="B2508" s="2" t="str">
        <f>"3376032907010003"</f>
        <v>3376032907010003</v>
      </c>
      <c r="C2508" s="2" t="s">
        <v>3139</v>
      </c>
      <c r="D2508" s="2" t="s">
        <v>10</v>
      </c>
      <c r="E2508" s="2" t="s">
        <v>11</v>
      </c>
      <c r="F2508" s="2" t="s">
        <v>18</v>
      </c>
      <c r="G2508" s="2" t="s">
        <v>268</v>
      </c>
      <c r="H2508" s="2" t="s">
        <v>269</v>
      </c>
      <c r="I2508" s="2" t="s">
        <v>3140</v>
      </c>
    </row>
    <row r="2509" spans="1:9" ht="14.5" x14ac:dyDescent="0.35">
      <c r="A2509" s="2">
        <v>2544212</v>
      </c>
      <c r="B2509" s="2" t="str">
        <f>"3376032907010003"</f>
        <v>3376032907010003</v>
      </c>
      <c r="C2509" s="2" t="s">
        <v>3139</v>
      </c>
      <c r="D2509" s="2" t="s">
        <v>17</v>
      </c>
      <c r="E2509" s="2" t="s">
        <v>11</v>
      </c>
      <c r="F2509" s="2" t="s">
        <v>18</v>
      </c>
      <c r="G2509" s="2" t="s">
        <v>19</v>
      </c>
      <c r="H2509" s="2" t="s">
        <v>3014</v>
      </c>
      <c r="I2509" s="2" t="s">
        <v>3014</v>
      </c>
    </row>
    <row r="2510" spans="1:9" ht="14.5" x14ac:dyDescent="0.35">
      <c r="A2510" s="2">
        <v>846659</v>
      </c>
      <c r="B2510" s="2" t="str">
        <f>"3527081706780001"</f>
        <v>3527081706780001</v>
      </c>
      <c r="C2510" s="2" t="s">
        <v>3141</v>
      </c>
      <c r="D2510" s="2" t="s">
        <v>10</v>
      </c>
      <c r="E2510" s="2" t="s">
        <v>11</v>
      </c>
      <c r="F2510" s="2" t="s">
        <v>303</v>
      </c>
      <c r="G2510" s="2" t="s">
        <v>509</v>
      </c>
      <c r="H2510" s="2" t="s">
        <v>3142</v>
      </c>
      <c r="I2510" s="2" t="s">
        <v>3143</v>
      </c>
    </row>
    <row r="2511" spans="1:9" ht="14.5" x14ac:dyDescent="0.35">
      <c r="A2511" s="2">
        <v>2544164</v>
      </c>
      <c r="B2511" s="2" t="str">
        <f>"3527081706780001"</f>
        <v>3527081706780001</v>
      </c>
      <c r="C2511" s="2" t="s">
        <v>3141</v>
      </c>
      <c r="D2511" s="2" t="s">
        <v>17</v>
      </c>
      <c r="E2511" s="2" t="s">
        <v>11</v>
      </c>
      <c r="F2511" s="2" t="s">
        <v>18</v>
      </c>
      <c r="G2511" s="2" t="s">
        <v>19</v>
      </c>
      <c r="H2511" s="2" t="s">
        <v>3014</v>
      </c>
      <c r="I2511" s="2" t="s">
        <v>3014</v>
      </c>
    </row>
    <row r="2512" spans="1:9" ht="14.5" x14ac:dyDescent="0.35">
      <c r="A2512" s="2">
        <v>1653118</v>
      </c>
      <c r="B2512" s="2" t="str">
        <f>"3602095512020001"</f>
        <v>3602095512020001</v>
      </c>
      <c r="C2512" s="2" t="s">
        <v>3144</v>
      </c>
      <c r="D2512" s="2" t="s">
        <v>10</v>
      </c>
      <c r="E2512" s="2" t="s">
        <v>11</v>
      </c>
      <c r="F2512" s="2" t="s">
        <v>67</v>
      </c>
      <c r="G2512" s="2" t="s">
        <v>638</v>
      </c>
      <c r="H2512" s="2" t="s">
        <v>2597</v>
      </c>
      <c r="I2512" s="2" t="s">
        <v>3145</v>
      </c>
    </row>
    <row r="2513" spans="1:9" ht="14.5" x14ac:dyDescent="0.35">
      <c r="A2513" s="2">
        <v>2544432</v>
      </c>
      <c r="B2513" s="2" t="str">
        <f>"3602095512020001"</f>
        <v>3602095512020001</v>
      </c>
      <c r="C2513" s="2" t="s">
        <v>3144</v>
      </c>
      <c r="D2513" s="2" t="s">
        <v>17</v>
      </c>
      <c r="E2513" s="2" t="s">
        <v>11</v>
      </c>
      <c r="F2513" s="2" t="s">
        <v>18</v>
      </c>
      <c r="G2513" s="2" t="s">
        <v>19</v>
      </c>
      <c r="H2513" s="2" t="s">
        <v>3014</v>
      </c>
      <c r="I2513" s="2" t="s">
        <v>3074</v>
      </c>
    </row>
    <row r="2514" spans="1:9" ht="14.5" x14ac:dyDescent="0.35">
      <c r="A2514" s="2">
        <v>1937429</v>
      </c>
      <c r="B2514" s="2" t="str">
        <f>"3603194508770003"</f>
        <v>3603194508770003</v>
      </c>
      <c r="C2514" s="2" t="s">
        <v>3146</v>
      </c>
      <c r="D2514" s="2" t="s">
        <v>10</v>
      </c>
      <c r="E2514" s="2" t="s">
        <v>11</v>
      </c>
      <c r="F2514" s="2" t="s">
        <v>67</v>
      </c>
      <c r="G2514" s="2" t="s">
        <v>791</v>
      </c>
      <c r="H2514" s="2" t="s">
        <v>3147</v>
      </c>
      <c r="I2514" s="2" t="s">
        <v>3148</v>
      </c>
    </row>
    <row r="2515" spans="1:9" ht="14.5" x14ac:dyDescent="0.35">
      <c r="A2515" s="2">
        <v>2044501</v>
      </c>
      <c r="B2515" s="2" t="str">
        <f>"3603194508770003"</f>
        <v>3603194508770003</v>
      </c>
      <c r="C2515" s="2" t="s">
        <v>3149</v>
      </c>
      <c r="D2515" s="2" t="s">
        <v>189</v>
      </c>
      <c r="E2515" s="2" t="s">
        <v>11</v>
      </c>
      <c r="F2515" s="2" t="s">
        <v>18</v>
      </c>
      <c r="G2515" s="2" t="s">
        <v>19</v>
      </c>
      <c r="H2515" s="2" t="s">
        <v>3014</v>
      </c>
      <c r="I2515" s="2" t="s">
        <v>1381</v>
      </c>
    </row>
    <row r="2516" spans="1:9" ht="14.5" x14ac:dyDescent="0.35">
      <c r="A2516" s="2">
        <v>2048979</v>
      </c>
      <c r="B2516" s="2" t="str">
        <f>"3604121211890003"</f>
        <v>3604121211890003</v>
      </c>
      <c r="C2516" s="2" t="s">
        <v>2327</v>
      </c>
      <c r="D2516" s="2" t="s">
        <v>10</v>
      </c>
      <c r="E2516" s="2" t="s">
        <v>11</v>
      </c>
      <c r="F2516" s="2" t="s">
        <v>18</v>
      </c>
      <c r="G2516" s="2" t="s">
        <v>19</v>
      </c>
      <c r="H2516" s="2" t="s">
        <v>3014</v>
      </c>
      <c r="I2516" s="2" t="s">
        <v>1381</v>
      </c>
    </row>
    <row r="2517" spans="1:9" ht="14.5" x14ac:dyDescent="0.35">
      <c r="A2517" s="2">
        <v>2568655</v>
      </c>
      <c r="B2517" s="2" t="str">
        <f>"3604121211890003"</f>
        <v>3604121211890003</v>
      </c>
      <c r="C2517" s="2" t="s">
        <v>3150</v>
      </c>
      <c r="D2517" s="2" t="s">
        <v>17</v>
      </c>
      <c r="E2517" s="2" t="s">
        <v>11</v>
      </c>
      <c r="F2517" s="2" t="s">
        <v>67</v>
      </c>
      <c r="G2517" s="2" t="s">
        <v>375</v>
      </c>
      <c r="H2517" s="2" t="s">
        <v>3151</v>
      </c>
      <c r="I2517" s="2" t="s">
        <v>3152</v>
      </c>
    </row>
    <row r="2518" spans="1:9" ht="14.5" x14ac:dyDescent="0.35">
      <c r="A2518" s="2">
        <v>2061259</v>
      </c>
      <c r="B2518" s="2" t="str">
        <f>"3674031704780014"</f>
        <v>3674031704780014</v>
      </c>
      <c r="C2518" s="2" t="s">
        <v>3153</v>
      </c>
      <c r="D2518" s="2" t="s">
        <v>10</v>
      </c>
      <c r="E2518" s="2" t="s">
        <v>11</v>
      </c>
      <c r="F2518" s="2" t="s">
        <v>67</v>
      </c>
      <c r="G2518" s="2" t="s">
        <v>68</v>
      </c>
      <c r="H2518" s="2" t="s">
        <v>2924</v>
      </c>
      <c r="I2518" s="2" t="s">
        <v>3154</v>
      </c>
    </row>
    <row r="2519" spans="1:9" ht="14.5" x14ac:dyDescent="0.35">
      <c r="A2519" s="2">
        <v>2543902</v>
      </c>
      <c r="B2519" s="2" t="str">
        <f>"3674031704780014"</f>
        <v>3674031704780014</v>
      </c>
      <c r="C2519" s="2" t="s">
        <v>3155</v>
      </c>
      <c r="D2519" s="2" t="s">
        <v>17</v>
      </c>
      <c r="E2519" s="2" t="s">
        <v>11</v>
      </c>
      <c r="F2519" s="2" t="s">
        <v>18</v>
      </c>
      <c r="G2519" s="2" t="s">
        <v>19</v>
      </c>
      <c r="H2519" s="2" t="s">
        <v>3014</v>
      </c>
      <c r="I2519" s="2" t="s">
        <v>1381</v>
      </c>
    </row>
    <row r="2520" spans="1:9" ht="14.5" x14ac:dyDescent="0.35">
      <c r="A2520" s="2">
        <v>2061380</v>
      </c>
      <c r="B2520" s="2" t="str">
        <f>"3674036109770009"</f>
        <v>3674036109770009</v>
      </c>
      <c r="C2520" s="2" t="s">
        <v>3156</v>
      </c>
      <c r="D2520" s="2" t="s">
        <v>10</v>
      </c>
      <c r="E2520" s="2" t="s">
        <v>11</v>
      </c>
      <c r="F2520" s="2" t="s">
        <v>67</v>
      </c>
      <c r="G2520" s="2" t="s">
        <v>68</v>
      </c>
      <c r="H2520" s="2" t="s">
        <v>2924</v>
      </c>
      <c r="I2520" s="2" t="s">
        <v>3154</v>
      </c>
    </row>
    <row r="2521" spans="1:9" ht="14.5" x14ac:dyDescent="0.35">
      <c r="A2521" s="2">
        <v>2543903</v>
      </c>
      <c r="B2521" s="2" t="str">
        <f>"3674036109770009"</f>
        <v>3674036109770009</v>
      </c>
      <c r="C2521" s="2" t="s">
        <v>3156</v>
      </c>
      <c r="D2521" s="2" t="s">
        <v>17</v>
      </c>
      <c r="E2521" s="2" t="s">
        <v>11</v>
      </c>
      <c r="F2521" s="2" t="s">
        <v>18</v>
      </c>
      <c r="G2521" s="2" t="s">
        <v>19</v>
      </c>
      <c r="H2521" s="2" t="s">
        <v>3014</v>
      </c>
      <c r="I2521" s="2" t="s">
        <v>1381</v>
      </c>
    </row>
    <row r="2522" spans="1:9" ht="14.5" x14ac:dyDescent="0.35">
      <c r="A2522" s="2">
        <v>403905</v>
      </c>
      <c r="B2522" s="2" t="str">
        <f>"1306024704860005"</f>
        <v>1306024704860005</v>
      </c>
      <c r="C2522" s="2" t="s">
        <v>3157</v>
      </c>
      <c r="D2522" s="2" t="s">
        <v>10</v>
      </c>
      <c r="E2522" s="2" t="s">
        <v>11</v>
      </c>
      <c r="F2522" s="2" t="s">
        <v>12</v>
      </c>
      <c r="G2522" s="2" t="s">
        <v>3158</v>
      </c>
      <c r="H2522" s="2" t="s">
        <v>3159</v>
      </c>
      <c r="I2522" s="2" t="s">
        <v>3159</v>
      </c>
    </row>
    <row r="2523" spans="1:9" ht="14.5" x14ac:dyDescent="0.35">
      <c r="A2523" s="2">
        <v>2548253</v>
      </c>
      <c r="B2523" s="2" t="str">
        <f>"1306024704860005"</f>
        <v>1306024704860005</v>
      </c>
      <c r="C2523" s="2" t="s">
        <v>3160</v>
      </c>
      <c r="D2523" s="2" t="s">
        <v>17</v>
      </c>
      <c r="E2523" s="2" t="s">
        <v>11</v>
      </c>
      <c r="F2523" s="2" t="s">
        <v>18</v>
      </c>
      <c r="G2523" s="2" t="s">
        <v>19</v>
      </c>
      <c r="H2523" s="2" t="s">
        <v>2575</v>
      </c>
      <c r="I2523" s="2" t="s">
        <v>3161</v>
      </c>
    </row>
    <row r="2524" spans="1:9" ht="14.5" x14ac:dyDescent="0.35">
      <c r="A2524" s="2">
        <v>581023</v>
      </c>
      <c r="B2524" s="2" t="str">
        <f>"3171081501810002"</f>
        <v>3171081501810002</v>
      </c>
      <c r="C2524" s="2" t="s">
        <v>3094</v>
      </c>
      <c r="D2524" s="2" t="s">
        <v>10</v>
      </c>
      <c r="E2524" s="2" t="s">
        <v>11</v>
      </c>
      <c r="F2524" s="2" t="s">
        <v>50</v>
      </c>
      <c r="G2524" s="2" t="s">
        <v>280</v>
      </c>
      <c r="H2524" s="2" t="s">
        <v>2507</v>
      </c>
      <c r="I2524" s="2" t="s">
        <v>3162</v>
      </c>
    </row>
    <row r="2525" spans="1:9" ht="14.5" x14ac:dyDescent="0.35">
      <c r="A2525" s="2">
        <v>2548289</v>
      </c>
      <c r="B2525" s="2" t="str">
        <f>"3171081501810002"</f>
        <v>3171081501810002</v>
      </c>
      <c r="C2525" s="2" t="s">
        <v>3094</v>
      </c>
      <c r="D2525" s="2" t="s">
        <v>17</v>
      </c>
      <c r="E2525" s="2" t="s">
        <v>11</v>
      </c>
      <c r="F2525" s="2" t="s">
        <v>18</v>
      </c>
      <c r="G2525" s="2" t="s">
        <v>19</v>
      </c>
      <c r="H2525" s="2" t="s">
        <v>2575</v>
      </c>
      <c r="I2525" s="2" t="s">
        <v>3161</v>
      </c>
    </row>
    <row r="2526" spans="1:9" ht="14.5" x14ac:dyDescent="0.35">
      <c r="A2526" s="2">
        <v>161738</v>
      </c>
      <c r="B2526" s="2" t="str">
        <f>"3172027110940003"</f>
        <v>3172027110940003</v>
      </c>
      <c r="C2526" s="2" t="s">
        <v>3163</v>
      </c>
      <c r="D2526" s="2" t="s">
        <v>10</v>
      </c>
      <c r="E2526" s="2" t="s">
        <v>11</v>
      </c>
      <c r="F2526" s="2" t="s">
        <v>50</v>
      </c>
      <c r="G2526" s="2" t="s">
        <v>51</v>
      </c>
      <c r="H2526" s="2" t="s">
        <v>62</v>
      </c>
      <c r="I2526" s="2" t="s">
        <v>63</v>
      </c>
    </row>
    <row r="2527" spans="1:9" ht="14.5" x14ac:dyDescent="0.35">
      <c r="A2527" s="2">
        <v>2545475</v>
      </c>
      <c r="B2527" s="2" t="str">
        <f>"3172027110940003"</f>
        <v>3172027110940003</v>
      </c>
      <c r="C2527" s="2" t="s">
        <v>3163</v>
      </c>
      <c r="D2527" s="2" t="s">
        <v>17</v>
      </c>
      <c r="E2527" s="2" t="s">
        <v>11</v>
      </c>
      <c r="F2527" s="2" t="s">
        <v>18</v>
      </c>
      <c r="G2527" s="2" t="s">
        <v>19</v>
      </c>
      <c r="H2527" s="2" t="s">
        <v>2575</v>
      </c>
      <c r="I2527" s="2" t="s">
        <v>1207</v>
      </c>
    </row>
    <row r="2528" spans="1:9" ht="14.5" x14ac:dyDescent="0.35">
      <c r="A2528" s="2">
        <v>757547</v>
      </c>
      <c r="B2528" s="2" t="str">
        <f>"3172034302740003"</f>
        <v>3172034302740003</v>
      </c>
      <c r="C2528" s="2" t="s">
        <v>3164</v>
      </c>
      <c r="D2528" s="2" t="s">
        <v>10</v>
      </c>
      <c r="E2528" s="2" t="s">
        <v>11</v>
      </c>
      <c r="F2528" s="2" t="s">
        <v>50</v>
      </c>
      <c r="G2528" s="2" t="s">
        <v>51</v>
      </c>
      <c r="H2528" s="2" t="s">
        <v>284</v>
      </c>
      <c r="I2528" s="2" t="s">
        <v>284</v>
      </c>
    </row>
    <row r="2529" spans="1:9" ht="14.5" x14ac:dyDescent="0.35">
      <c r="A2529" s="2">
        <v>2547030</v>
      </c>
      <c r="B2529" s="2" t="str">
        <f>"3172034302740003"</f>
        <v>3172034302740003</v>
      </c>
      <c r="C2529" s="2" t="s">
        <v>3164</v>
      </c>
      <c r="D2529" s="2" t="s">
        <v>17</v>
      </c>
      <c r="E2529" s="2" t="s">
        <v>11</v>
      </c>
      <c r="F2529" s="2" t="s">
        <v>18</v>
      </c>
      <c r="G2529" s="2" t="s">
        <v>19</v>
      </c>
      <c r="H2529" s="2" t="s">
        <v>2575</v>
      </c>
      <c r="I2529" s="2" t="s">
        <v>3165</v>
      </c>
    </row>
    <row r="2530" spans="1:9" ht="14.5" x14ac:dyDescent="0.35">
      <c r="A2530" s="2">
        <v>987916</v>
      </c>
      <c r="B2530" s="2" t="str">
        <f>"3172040112820018"</f>
        <v>3172040112820018</v>
      </c>
      <c r="C2530" s="2" t="s">
        <v>3166</v>
      </c>
      <c r="D2530" s="2" t="s">
        <v>10</v>
      </c>
      <c r="E2530" s="2" t="s">
        <v>11</v>
      </c>
      <c r="F2530" s="2" t="s">
        <v>50</v>
      </c>
      <c r="G2530" s="2" t="s">
        <v>51</v>
      </c>
      <c r="H2530" s="2" t="s">
        <v>78</v>
      </c>
      <c r="I2530" s="2" t="s">
        <v>81</v>
      </c>
    </row>
    <row r="2531" spans="1:9" ht="14.5" x14ac:dyDescent="0.35">
      <c r="A2531" s="2">
        <v>2548242</v>
      </c>
      <c r="B2531" s="2" t="str">
        <f>"3172040112820018"</f>
        <v>3172040112820018</v>
      </c>
      <c r="C2531" s="2" t="s">
        <v>3167</v>
      </c>
      <c r="D2531" s="2" t="s">
        <v>17</v>
      </c>
      <c r="E2531" s="2" t="s">
        <v>11</v>
      </c>
      <c r="F2531" s="2" t="s">
        <v>18</v>
      </c>
      <c r="G2531" s="2" t="s">
        <v>19</v>
      </c>
      <c r="H2531" s="2" t="s">
        <v>2575</v>
      </c>
      <c r="I2531" s="2" t="s">
        <v>3161</v>
      </c>
    </row>
    <row r="2532" spans="1:9" ht="14.5" x14ac:dyDescent="0.35">
      <c r="A2532" s="2">
        <v>993249</v>
      </c>
      <c r="B2532" s="2" t="str">
        <f>"3172040401870018"</f>
        <v>3172040401870018</v>
      </c>
      <c r="C2532" s="2" t="s">
        <v>3168</v>
      </c>
      <c r="D2532" s="2" t="s">
        <v>10</v>
      </c>
      <c r="E2532" s="2" t="s">
        <v>11</v>
      </c>
      <c r="F2532" s="2" t="s">
        <v>50</v>
      </c>
      <c r="G2532" s="2" t="s">
        <v>51</v>
      </c>
      <c r="H2532" s="2" t="s">
        <v>78</v>
      </c>
      <c r="I2532" s="2" t="s">
        <v>81</v>
      </c>
    </row>
    <row r="2533" spans="1:9" ht="14.5" x14ac:dyDescent="0.35">
      <c r="A2533" s="2">
        <v>2548549</v>
      </c>
      <c r="B2533" s="2" t="str">
        <f>"3172040401870018"</f>
        <v>3172040401870018</v>
      </c>
      <c r="C2533" s="2" t="s">
        <v>3169</v>
      </c>
      <c r="D2533" s="2" t="s">
        <v>17</v>
      </c>
      <c r="E2533" s="2" t="s">
        <v>11</v>
      </c>
      <c r="F2533" s="2" t="s">
        <v>18</v>
      </c>
      <c r="G2533" s="2" t="s">
        <v>19</v>
      </c>
      <c r="H2533" s="2" t="s">
        <v>2575</v>
      </c>
      <c r="I2533" s="2" t="s">
        <v>3170</v>
      </c>
    </row>
    <row r="2534" spans="1:9" ht="14.5" x14ac:dyDescent="0.35">
      <c r="A2534" s="2">
        <v>987915</v>
      </c>
      <c r="B2534" s="2" t="str">
        <f>"3172044201891003"</f>
        <v>3172044201891003</v>
      </c>
      <c r="C2534" s="2" t="s">
        <v>421</v>
      </c>
      <c r="D2534" s="2" t="s">
        <v>10</v>
      </c>
      <c r="E2534" s="2" t="s">
        <v>11</v>
      </c>
      <c r="F2534" s="2" t="s">
        <v>50</v>
      </c>
      <c r="G2534" s="2" t="s">
        <v>51</v>
      </c>
      <c r="H2534" s="2" t="s">
        <v>78</v>
      </c>
      <c r="I2534" s="2" t="s">
        <v>81</v>
      </c>
    </row>
    <row r="2535" spans="1:9" ht="14.5" x14ac:dyDescent="0.35">
      <c r="A2535" s="2">
        <v>2548243</v>
      </c>
      <c r="B2535" s="2" t="str">
        <f>"3172044201891003"</f>
        <v>3172044201891003</v>
      </c>
      <c r="C2535" s="2" t="s">
        <v>421</v>
      </c>
      <c r="D2535" s="2" t="s">
        <v>17</v>
      </c>
      <c r="E2535" s="2" t="s">
        <v>11</v>
      </c>
      <c r="F2535" s="2" t="s">
        <v>18</v>
      </c>
      <c r="G2535" s="2" t="s">
        <v>19</v>
      </c>
      <c r="H2535" s="2" t="s">
        <v>2575</v>
      </c>
      <c r="I2535" s="2" t="s">
        <v>3161</v>
      </c>
    </row>
    <row r="2536" spans="1:9" ht="14.5" x14ac:dyDescent="0.35">
      <c r="A2536" s="2">
        <v>349989</v>
      </c>
      <c r="B2536" s="2" t="str">
        <f>"3173025510741001"</f>
        <v>3173025510741001</v>
      </c>
      <c r="C2536" s="2" t="s">
        <v>3171</v>
      </c>
      <c r="D2536" s="2" t="s">
        <v>10</v>
      </c>
      <c r="E2536" s="2" t="s">
        <v>11</v>
      </c>
      <c r="F2536" s="2" t="s">
        <v>50</v>
      </c>
      <c r="G2536" s="2" t="s">
        <v>86</v>
      </c>
      <c r="H2536" s="2" t="s">
        <v>205</v>
      </c>
      <c r="I2536" s="2" t="s">
        <v>3172</v>
      </c>
    </row>
    <row r="2537" spans="1:9" ht="14.5" x14ac:dyDescent="0.35">
      <c r="A2537" s="2">
        <v>2545582</v>
      </c>
      <c r="B2537" s="2" t="str">
        <f>"3173025510741001"</f>
        <v>3173025510741001</v>
      </c>
      <c r="C2537" s="2" t="s">
        <v>3173</v>
      </c>
      <c r="D2537" s="2" t="s">
        <v>17</v>
      </c>
      <c r="E2537" s="2" t="s">
        <v>11</v>
      </c>
      <c r="F2537" s="2" t="s">
        <v>18</v>
      </c>
      <c r="G2537" s="2" t="s">
        <v>19</v>
      </c>
      <c r="H2537" s="2" t="s">
        <v>2575</v>
      </c>
      <c r="I2537" s="2" t="s">
        <v>3174</v>
      </c>
    </row>
    <row r="2538" spans="1:9" ht="14.5" x14ac:dyDescent="0.35">
      <c r="A2538" s="2">
        <v>603759</v>
      </c>
      <c r="B2538" s="2" t="str">
        <f>"3173030204680007"</f>
        <v>3173030204680007</v>
      </c>
      <c r="C2538" s="2" t="s">
        <v>1622</v>
      </c>
      <c r="D2538" s="2" t="s">
        <v>10</v>
      </c>
      <c r="E2538" s="2" t="s">
        <v>11</v>
      </c>
      <c r="F2538" s="2" t="s">
        <v>50</v>
      </c>
      <c r="G2538" s="2" t="s">
        <v>86</v>
      </c>
      <c r="H2538" s="2" t="s">
        <v>1463</v>
      </c>
      <c r="I2538" s="2" t="s">
        <v>3175</v>
      </c>
    </row>
    <row r="2539" spans="1:9" ht="14.5" x14ac:dyDescent="0.35">
      <c r="A2539" s="2">
        <v>2547808</v>
      </c>
      <c r="B2539" s="2" t="str">
        <f>"3173030204680007"</f>
        <v>3173030204680007</v>
      </c>
      <c r="C2539" s="2" t="s">
        <v>1622</v>
      </c>
      <c r="D2539" s="2" t="s">
        <v>17</v>
      </c>
      <c r="E2539" s="2" t="s">
        <v>11</v>
      </c>
      <c r="F2539" s="2" t="s">
        <v>18</v>
      </c>
      <c r="G2539" s="2" t="s">
        <v>19</v>
      </c>
      <c r="H2539" s="2" t="s">
        <v>2575</v>
      </c>
      <c r="I2539" s="2" t="s">
        <v>3176</v>
      </c>
    </row>
    <row r="2540" spans="1:9" ht="14.5" x14ac:dyDescent="0.35">
      <c r="A2540" s="2">
        <v>792207</v>
      </c>
      <c r="B2540" s="2" t="str">
        <f>"3174024101620006"</f>
        <v>3174024101620006</v>
      </c>
      <c r="C2540" s="2" t="s">
        <v>3177</v>
      </c>
      <c r="D2540" s="2" t="s">
        <v>10</v>
      </c>
      <c r="E2540" s="2" t="s">
        <v>11</v>
      </c>
      <c r="F2540" s="2" t="s">
        <v>50</v>
      </c>
      <c r="G2540" s="2" t="s">
        <v>72</v>
      </c>
      <c r="H2540" s="2" t="s">
        <v>73</v>
      </c>
      <c r="I2540" s="2" t="s">
        <v>74</v>
      </c>
    </row>
    <row r="2541" spans="1:9" ht="14.5" x14ac:dyDescent="0.35">
      <c r="A2541" s="2">
        <v>2545293</v>
      </c>
      <c r="B2541" s="2" t="str">
        <f>"3174024101620006"</f>
        <v>3174024101620006</v>
      </c>
      <c r="C2541" s="2" t="s">
        <v>3177</v>
      </c>
      <c r="D2541" s="2" t="s">
        <v>17</v>
      </c>
      <c r="E2541" s="2" t="s">
        <v>11</v>
      </c>
      <c r="F2541" s="2" t="s">
        <v>18</v>
      </c>
      <c r="G2541" s="2" t="s">
        <v>19</v>
      </c>
      <c r="H2541" s="2" t="s">
        <v>2575</v>
      </c>
      <c r="I2541" s="2" t="s">
        <v>3178</v>
      </c>
    </row>
    <row r="2542" spans="1:9" ht="14.5" x14ac:dyDescent="0.35">
      <c r="A2542" s="2">
        <v>1644764</v>
      </c>
      <c r="B2542" s="2" t="str">
        <f>"3174030308700008"</f>
        <v>3174030308700008</v>
      </c>
      <c r="C2542" s="2" t="s">
        <v>3179</v>
      </c>
      <c r="D2542" s="2" t="s">
        <v>10</v>
      </c>
      <c r="E2542" s="2" t="s">
        <v>11</v>
      </c>
      <c r="F2542" s="2" t="s">
        <v>50</v>
      </c>
      <c r="G2542" s="2" t="s">
        <v>72</v>
      </c>
      <c r="H2542" s="2" t="s">
        <v>1172</v>
      </c>
      <c r="I2542" s="2" t="s">
        <v>1173</v>
      </c>
    </row>
    <row r="2543" spans="1:9" ht="14.5" x14ac:dyDescent="0.35">
      <c r="A2543" s="2">
        <v>2545774</v>
      </c>
      <c r="B2543" s="2" t="str">
        <f>"3174030308700008"</f>
        <v>3174030308700008</v>
      </c>
      <c r="C2543" s="2" t="s">
        <v>3179</v>
      </c>
      <c r="D2543" s="2" t="s">
        <v>17</v>
      </c>
      <c r="E2543" s="2" t="s">
        <v>11</v>
      </c>
      <c r="F2543" s="2" t="s">
        <v>18</v>
      </c>
      <c r="G2543" s="2" t="s">
        <v>19</v>
      </c>
      <c r="H2543" s="2" t="s">
        <v>2575</v>
      </c>
      <c r="I2543" s="2" t="s">
        <v>3180</v>
      </c>
    </row>
    <row r="2544" spans="1:9" ht="14.5" x14ac:dyDescent="0.35">
      <c r="A2544" s="2">
        <v>1642550</v>
      </c>
      <c r="B2544" s="2" t="str">
        <f>"3174030908630001"</f>
        <v>3174030908630001</v>
      </c>
      <c r="C2544" s="2" t="s">
        <v>3181</v>
      </c>
      <c r="D2544" s="2" t="s">
        <v>10</v>
      </c>
      <c r="E2544" s="2" t="s">
        <v>11</v>
      </c>
      <c r="F2544" s="2" t="s">
        <v>50</v>
      </c>
      <c r="G2544" s="2" t="s">
        <v>72</v>
      </c>
      <c r="H2544" s="2" t="s">
        <v>1172</v>
      </c>
      <c r="I2544" s="2" t="s">
        <v>1173</v>
      </c>
    </row>
    <row r="2545" spans="1:9" ht="14.5" x14ac:dyDescent="0.35">
      <c r="A2545" s="2">
        <v>2545510</v>
      </c>
      <c r="B2545" s="2" t="str">
        <f>"3174030908630001"</f>
        <v>3174030908630001</v>
      </c>
      <c r="C2545" s="2" t="s">
        <v>3181</v>
      </c>
      <c r="D2545" s="2" t="s">
        <v>17</v>
      </c>
      <c r="E2545" s="2" t="s">
        <v>11</v>
      </c>
      <c r="F2545" s="2" t="s">
        <v>18</v>
      </c>
      <c r="G2545" s="2" t="s">
        <v>19</v>
      </c>
      <c r="H2545" s="2" t="s">
        <v>2575</v>
      </c>
      <c r="I2545" s="2" t="s">
        <v>3174</v>
      </c>
    </row>
    <row r="2546" spans="1:9" ht="14.5" x14ac:dyDescent="0.35">
      <c r="A2546" s="2">
        <v>1722737</v>
      </c>
      <c r="B2546" s="2" t="str">
        <f>"3174031608530002"</f>
        <v>3174031608530002</v>
      </c>
      <c r="C2546" s="2" t="s">
        <v>3182</v>
      </c>
      <c r="D2546" s="2" t="s">
        <v>10</v>
      </c>
      <c r="E2546" s="2" t="s">
        <v>11</v>
      </c>
      <c r="F2546" s="2" t="s">
        <v>50</v>
      </c>
      <c r="G2546" s="2" t="s">
        <v>72</v>
      </c>
      <c r="H2546" s="2" t="s">
        <v>1172</v>
      </c>
      <c r="I2546" s="2" t="s">
        <v>226</v>
      </c>
    </row>
    <row r="2547" spans="1:9" ht="14.5" x14ac:dyDescent="0.35">
      <c r="A2547" s="2">
        <v>2545414</v>
      </c>
      <c r="B2547" s="2" t="str">
        <f>"3174031608530002"</f>
        <v>3174031608530002</v>
      </c>
      <c r="C2547" s="2" t="s">
        <v>3182</v>
      </c>
      <c r="D2547" s="2" t="s">
        <v>17</v>
      </c>
      <c r="E2547" s="2" t="s">
        <v>11</v>
      </c>
      <c r="F2547" s="2" t="s">
        <v>18</v>
      </c>
      <c r="G2547" s="2" t="s">
        <v>19</v>
      </c>
      <c r="H2547" s="2" t="s">
        <v>2575</v>
      </c>
      <c r="I2547" s="2" t="s">
        <v>3178</v>
      </c>
    </row>
    <row r="2548" spans="1:9" ht="14.5" x14ac:dyDescent="0.35">
      <c r="A2548" s="2">
        <v>1722831</v>
      </c>
      <c r="B2548" s="2" t="str">
        <f>"3174035007540003"</f>
        <v>3174035007540003</v>
      </c>
      <c r="C2548" s="2" t="s">
        <v>3183</v>
      </c>
      <c r="D2548" s="2" t="s">
        <v>10</v>
      </c>
      <c r="E2548" s="2" t="s">
        <v>11</v>
      </c>
      <c r="F2548" s="2" t="s">
        <v>50</v>
      </c>
      <c r="G2548" s="2" t="s">
        <v>72</v>
      </c>
      <c r="H2548" s="2" t="s">
        <v>1172</v>
      </c>
      <c r="I2548" s="2" t="s">
        <v>226</v>
      </c>
    </row>
    <row r="2549" spans="1:9" ht="14.5" x14ac:dyDescent="0.35">
      <c r="A2549" s="2">
        <v>2545415</v>
      </c>
      <c r="B2549" s="2" t="str">
        <f>"3174035007540003"</f>
        <v>3174035007540003</v>
      </c>
      <c r="C2549" s="2" t="s">
        <v>3183</v>
      </c>
      <c r="D2549" s="2" t="s">
        <v>17</v>
      </c>
      <c r="E2549" s="2" t="s">
        <v>11</v>
      </c>
      <c r="F2549" s="2" t="s">
        <v>18</v>
      </c>
      <c r="G2549" s="2" t="s">
        <v>19</v>
      </c>
      <c r="H2549" s="2" t="s">
        <v>2575</v>
      </c>
      <c r="I2549" s="2" t="s">
        <v>3178</v>
      </c>
    </row>
    <row r="2550" spans="1:9" ht="14.5" x14ac:dyDescent="0.35">
      <c r="A2550" s="2">
        <v>1642549</v>
      </c>
      <c r="B2550" s="2" t="str">
        <f>"3174037112710011"</f>
        <v>3174037112710011</v>
      </c>
      <c r="C2550" s="2" t="s">
        <v>3184</v>
      </c>
      <c r="D2550" s="2" t="s">
        <v>10</v>
      </c>
      <c r="E2550" s="2" t="s">
        <v>11</v>
      </c>
      <c r="F2550" s="2" t="s">
        <v>50</v>
      </c>
      <c r="G2550" s="2" t="s">
        <v>72</v>
      </c>
      <c r="H2550" s="2" t="s">
        <v>1172</v>
      </c>
      <c r="I2550" s="2" t="s">
        <v>1173</v>
      </c>
    </row>
    <row r="2551" spans="1:9" ht="14.5" x14ac:dyDescent="0.35">
      <c r="A2551" s="2">
        <v>2545511</v>
      </c>
      <c r="B2551" s="2" t="str">
        <f>"3174037112710011"</f>
        <v>3174037112710011</v>
      </c>
      <c r="C2551" s="2" t="s">
        <v>3185</v>
      </c>
      <c r="D2551" s="2" t="s">
        <v>17</v>
      </c>
      <c r="E2551" s="2" t="s">
        <v>11</v>
      </c>
      <c r="F2551" s="2" t="s">
        <v>18</v>
      </c>
      <c r="G2551" s="2" t="s">
        <v>19</v>
      </c>
      <c r="H2551" s="2" t="s">
        <v>2575</v>
      </c>
      <c r="I2551" s="2" t="s">
        <v>3174</v>
      </c>
    </row>
    <row r="2552" spans="1:9" ht="14.5" x14ac:dyDescent="0.35">
      <c r="A2552" s="2">
        <v>233147</v>
      </c>
      <c r="B2552" s="2" t="str">
        <f>"3174052803810007"</f>
        <v>3174052803810007</v>
      </c>
      <c r="C2552" s="2" t="s">
        <v>3186</v>
      </c>
      <c r="D2552" s="2" t="s">
        <v>10</v>
      </c>
      <c r="E2552" s="2" t="s">
        <v>11</v>
      </c>
      <c r="F2552" s="2" t="s">
        <v>18</v>
      </c>
      <c r="G2552" s="2" t="s">
        <v>268</v>
      </c>
      <c r="H2552" s="2" t="s">
        <v>371</v>
      </c>
      <c r="I2552" s="2" t="s">
        <v>372</v>
      </c>
    </row>
    <row r="2553" spans="1:9" ht="14.5" x14ac:dyDescent="0.35">
      <c r="A2553" s="2">
        <v>2547355</v>
      </c>
      <c r="B2553" s="2" t="str">
        <f>"3174052803810007"</f>
        <v>3174052803810007</v>
      </c>
      <c r="C2553" s="2" t="s">
        <v>3187</v>
      </c>
      <c r="D2553" s="2" t="s">
        <v>17</v>
      </c>
      <c r="E2553" s="2" t="s">
        <v>11</v>
      </c>
      <c r="F2553" s="2" t="s">
        <v>18</v>
      </c>
      <c r="G2553" s="2" t="s">
        <v>19</v>
      </c>
      <c r="H2553" s="2" t="s">
        <v>2575</v>
      </c>
      <c r="I2553" s="2" t="s">
        <v>3188</v>
      </c>
    </row>
    <row r="2554" spans="1:9" ht="14.5" x14ac:dyDescent="0.35">
      <c r="A2554" s="2">
        <v>233148</v>
      </c>
      <c r="B2554" s="2" t="str">
        <f>"3174054107810010"</f>
        <v>3174054107810010</v>
      </c>
      <c r="C2554" s="2" t="s">
        <v>179</v>
      </c>
      <c r="D2554" s="2" t="s">
        <v>10</v>
      </c>
      <c r="E2554" s="2" t="s">
        <v>11</v>
      </c>
      <c r="F2554" s="2" t="s">
        <v>18</v>
      </c>
      <c r="G2554" s="2" t="s">
        <v>268</v>
      </c>
      <c r="H2554" s="2" t="s">
        <v>371</v>
      </c>
      <c r="I2554" s="2" t="s">
        <v>372</v>
      </c>
    </row>
    <row r="2555" spans="1:9" ht="14.5" x14ac:dyDescent="0.35">
      <c r="A2555" s="2">
        <v>2547356</v>
      </c>
      <c r="B2555" s="2" t="str">
        <f>"3174054107810010"</f>
        <v>3174054107810010</v>
      </c>
      <c r="C2555" s="2" t="s">
        <v>3189</v>
      </c>
      <c r="D2555" s="2" t="s">
        <v>17</v>
      </c>
      <c r="E2555" s="2" t="s">
        <v>11</v>
      </c>
      <c r="F2555" s="2" t="s">
        <v>18</v>
      </c>
      <c r="G2555" s="2" t="s">
        <v>19</v>
      </c>
      <c r="H2555" s="2" t="s">
        <v>2575</v>
      </c>
      <c r="I2555" s="2" t="s">
        <v>3188</v>
      </c>
    </row>
    <row r="2556" spans="1:9" ht="14.5" x14ac:dyDescent="0.35">
      <c r="A2556" s="2">
        <v>576541</v>
      </c>
      <c r="B2556" s="2" t="str">
        <f>"3174062811740003"</f>
        <v>3174062811740003</v>
      </c>
      <c r="C2556" s="2" t="s">
        <v>2736</v>
      </c>
      <c r="D2556" s="2" t="s">
        <v>10</v>
      </c>
      <c r="E2556" s="2" t="s">
        <v>11</v>
      </c>
      <c r="F2556" s="2" t="s">
        <v>50</v>
      </c>
      <c r="G2556" s="2" t="s">
        <v>72</v>
      </c>
      <c r="H2556" s="2" t="s">
        <v>1093</v>
      </c>
      <c r="I2556" s="2" t="s">
        <v>3190</v>
      </c>
    </row>
    <row r="2557" spans="1:9" ht="14.5" x14ac:dyDescent="0.35">
      <c r="A2557" s="2">
        <v>2548050</v>
      </c>
      <c r="B2557" s="2" t="str">
        <f>"3174062811740003"</f>
        <v>3174062811740003</v>
      </c>
      <c r="C2557" s="2" t="s">
        <v>2736</v>
      </c>
      <c r="D2557" s="2" t="s">
        <v>17</v>
      </c>
      <c r="E2557" s="2" t="s">
        <v>11</v>
      </c>
      <c r="F2557" s="2" t="s">
        <v>18</v>
      </c>
      <c r="G2557" s="2" t="s">
        <v>19</v>
      </c>
      <c r="H2557" s="2" t="s">
        <v>2575</v>
      </c>
      <c r="I2557" s="2" t="s">
        <v>3191</v>
      </c>
    </row>
    <row r="2558" spans="1:9" ht="14.5" x14ac:dyDescent="0.35">
      <c r="A2558" s="2">
        <v>739882</v>
      </c>
      <c r="B2558" s="2" t="str">
        <f>"3174071408610010"</f>
        <v>3174071408610010</v>
      </c>
      <c r="C2558" s="2" t="s">
        <v>3192</v>
      </c>
      <c r="D2558" s="2" t="s">
        <v>10</v>
      </c>
      <c r="E2558" s="2" t="s">
        <v>11</v>
      </c>
      <c r="F2558" s="2" t="s">
        <v>50</v>
      </c>
      <c r="G2558" s="2" t="s">
        <v>72</v>
      </c>
      <c r="H2558" s="2" t="s">
        <v>803</v>
      </c>
      <c r="I2558" s="2" t="s">
        <v>2244</v>
      </c>
    </row>
    <row r="2559" spans="1:9" ht="14.5" x14ac:dyDescent="0.35">
      <c r="A2559" s="2">
        <v>2547570</v>
      </c>
      <c r="B2559" s="2" t="str">
        <f>"3174071408610010"</f>
        <v>3174071408610010</v>
      </c>
      <c r="C2559" s="2" t="s">
        <v>3192</v>
      </c>
      <c r="D2559" s="2" t="s">
        <v>17</v>
      </c>
      <c r="E2559" s="2" t="s">
        <v>11</v>
      </c>
      <c r="F2559" s="2" t="s">
        <v>18</v>
      </c>
      <c r="G2559" s="2" t="s">
        <v>19</v>
      </c>
      <c r="H2559" s="2" t="s">
        <v>2575</v>
      </c>
      <c r="I2559" s="2" t="s">
        <v>3176</v>
      </c>
    </row>
    <row r="2560" spans="1:9" ht="14.5" x14ac:dyDescent="0.35">
      <c r="A2560" s="2">
        <v>739881</v>
      </c>
      <c r="B2560" s="2" t="str">
        <f>"3174075111640008"</f>
        <v>3174075111640008</v>
      </c>
      <c r="C2560" s="2" t="s">
        <v>3193</v>
      </c>
      <c r="D2560" s="2" t="s">
        <v>10</v>
      </c>
      <c r="E2560" s="2" t="s">
        <v>11</v>
      </c>
      <c r="F2560" s="2" t="s">
        <v>50</v>
      </c>
      <c r="G2560" s="2" t="s">
        <v>72</v>
      </c>
      <c r="H2560" s="2" t="s">
        <v>803</v>
      </c>
      <c r="I2560" s="2" t="s">
        <v>2244</v>
      </c>
    </row>
    <row r="2561" spans="1:9" ht="14.5" x14ac:dyDescent="0.35">
      <c r="A2561" s="2">
        <v>2547569</v>
      </c>
      <c r="B2561" s="2" t="str">
        <f>"3174075111640008"</f>
        <v>3174075111640008</v>
      </c>
      <c r="C2561" s="2" t="s">
        <v>3193</v>
      </c>
      <c r="D2561" s="2" t="s">
        <v>17</v>
      </c>
      <c r="E2561" s="2" t="s">
        <v>11</v>
      </c>
      <c r="F2561" s="2" t="s">
        <v>18</v>
      </c>
      <c r="G2561" s="2" t="s">
        <v>19</v>
      </c>
      <c r="H2561" s="2" t="s">
        <v>2575</v>
      </c>
      <c r="I2561" s="2" t="s">
        <v>3176</v>
      </c>
    </row>
    <row r="2562" spans="1:9" ht="14.5" x14ac:dyDescent="0.35">
      <c r="A2562" s="2">
        <v>802500</v>
      </c>
      <c r="B2562" s="2" t="str">
        <f>"3174106005791001"</f>
        <v>3174106005791001</v>
      </c>
      <c r="C2562" s="2" t="s">
        <v>3194</v>
      </c>
      <c r="D2562" s="2" t="s">
        <v>10</v>
      </c>
      <c r="E2562" s="2" t="s">
        <v>11</v>
      </c>
      <c r="F2562" s="2" t="s">
        <v>50</v>
      </c>
      <c r="G2562" s="2" t="s">
        <v>72</v>
      </c>
      <c r="H2562" s="2" t="s">
        <v>541</v>
      </c>
      <c r="I2562" s="2" t="s">
        <v>2901</v>
      </c>
    </row>
    <row r="2563" spans="1:9" ht="14.5" x14ac:dyDescent="0.35">
      <c r="A2563" s="2">
        <v>2548046</v>
      </c>
      <c r="B2563" s="2" t="str">
        <f>"3174106005791001"</f>
        <v>3174106005791001</v>
      </c>
      <c r="C2563" s="2" t="s">
        <v>3195</v>
      </c>
      <c r="D2563" s="2" t="s">
        <v>17</v>
      </c>
      <c r="E2563" s="2" t="s">
        <v>11</v>
      </c>
      <c r="F2563" s="2" t="s">
        <v>18</v>
      </c>
      <c r="G2563" s="2" t="s">
        <v>19</v>
      </c>
      <c r="H2563" s="2" t="s">
        <v>2575</v>
      </c>
      <c r="I2563" s="2" t="s">
        <v>3191</v>
      </c>
    </row>
    <row r="2564" spans="1:9" ht="14.5" x14ac:dyDescent="0.35">
      <c r="A2564" s="2">
        <v>106882</v>
      </c>
      <c r="B2564" s="2" t="str">
        <f>"3175011212770010"</f>
        <v>3175011212770010</v>
      </c>
      <c r="C2564" s="2" t="s">
        <v>2757</v>
      </c>
      <c r="D2564" s="2" t="s">
        <v>10</v>
      </c>
      <c r="E2564" s="2" t="s">
        <v>11</v>
      </c>
      <c r="F2564" s="2" t="s">
        <v>50</v>
      </c>
      <c r="G2564" s="2" t="s">
        <v>280</v>
      </c>
      <c r="H2564" s="2" t="s">
        <v>2179</v>
      </c>
      <c r="I2564" s="2" t="s">
        <v>2179</v>
      </c>
    </row>
    <row r="2565" spans="1:9" ht="14.5" x14ac:dyDescent="0.35">
      <c r="A2565" s="2">
        <v>2548202</v>
      </c>
      <c r="B2565" s="2" t="str">
        <f>"3175011212770010"</f>
        <v>3175011212770010</v>
      </c>
      <c r="C2565" s="2" t="s">
        <v>2757</v>
      </c>
      <c r="D2565" s="2" t="s">
        <v>17</v>
      </c>
      <c r="E2565" s="2" t="s">
        <v>11</v>
      </c>
      <c r="F2565" s="2" t="s">
        <v>18</v>
      </c>
      <c r="G2565" s="2" t="s">
        <v>19</v>
      </c>
      <c r="H2565" s="2" t="s">
        <v>2575</v>
      </c>
      <c r="I2565" s="2" t="s">
        <v>3161</v>
      </c>
    </row>
    <row r="2566" spans="1:9" ht="14.5" x14ac:dyDescent="0.35">
      <c r="A2566" s="2">
        <v>1982072</v>
      </c>
      <c r="B2566" s="2" t="str">
        <f>"3175050208820011"</f>
        <v>3175050208820011</v>
      </c>
      <c r="C2566" s="2" t="s">
        <v>3196</v>
      </c>
      <c r="D2566" s="2" t="s">
        <v>10</v>
      </c>
      <c r="E2566" s="2" t="s">
        <v>11</v>
      </c>
      <c r="F2566" s="2" t="s">
        <v>50</v>
      </c>
      <c r="G2566" s="2" t="s">
        <v>58</v>
      </c>
      <c r="H2566" s="2" t="s">
        <v>260</v>
      </c>
      <c r="I2566" s="2" t="s">
        <v>261</v>
      </c>
    </row>
    <row r="2567" spans="1:9" ht="14.5" x14ac:dyDescent="0.35">
      <c r="A2567" s="2">
        <v>2547544</v>
      </c>
      <c r="B2567" s="2" t="str">
        <f>"3175050208820011"</f>
        <v>3175050208820011</v>
      </c>
      <c r="C2567" s="2" t="s">
        <v>3196</v>
      </c>
      <c r="D2567" s="2" t="s">
        <v>17</v>
      </c>
      <c r="E2567" s="2" t="s">
        <v>11</v>
      </c>
      <c r="F2567" s="2" t="s">
        <v>18</v>
      </c>
      <c r="G2567" s="2" t="s">
        <v>19</v>
      </c>
      <c r="H2567" s="2" t="s">
        <v>2575</v>
      </c>
      <c r="I2567" s="2" t="s">
        <v>3176</v>
      </c>
    </row>
    <row r="2568" spans="1:9" ht="14.5" x14ac:dyDescent="0.35">
      <c r="A2568" s="2">
        <v>1554037</v>
      </c>
      <c r="B2568" s="2" t="str">
        <f>"3175092101971003"</f>
        <v>3175092101971003</v>
      </c>
      <c r="C2568" s="2" t="s">
        <v>3197</v>
      </c>
      <c r="D2568" s="2" t="s">
        <v>10</v>
      </c>
      <c r="E2568" s="2" t="s">
        <v>11</v>
      </c>
      <c r="F2568" s="2" t="s">
        <v>50</v>
      </c>
      <c r="G2568" s="2" t="s">
        <v>58</v>
      </c>
      <c r="H2568" s="2" t="s">
        <v>1747</v>
      </c>
      <c r="I2568" s="2" t="s">
        <v>1747</v>
      </c>
    </row>
    <row r="2569" spans="1:9" ht="14.5" x14ac:dyDescent="0.35">
      <c r="A2569" s="2">
        <v>2548068</v>
      </c>
      <c r="B2569" s="2" t="str">
        <f>"3175092101971003"</f>
        <v>3175092101971003</v>
      </c>
      <c r="C2569" s="2" t="s">
        <v>3197</v>
      </c>
      <c r="D2569" s="2" t="s">
        <v>17</v>
      </c>
      <c r="E2569" s="2" t="s">
        <v>11</v>
      </c>
      <c r="F2569" s="2" t="s">
        <v>18</v>
      </c>
      <c r="G2569" s="2" t="s">
        <v>19</v>
      </c>
      <c r="H2569" s="2" t="s">
        <v>2575</v>
      </c>
      <c r="I2569" s="2" t="s">
        <v>3191</v>
      </c>
    </row>
    <row r="2570" spans="1:9" ht="14.5" x14ac:dyDescent="0.35">
      <c r="A2570" s="2">
        <v>3547701</v>
      </c>
      <c r="B2570" s="2" t="str">
        <f>"3201152506920002"</f>
        <v>3201152506920002</v>
      </c>
      <c r="C2570" s="2" t="s">
        <v>3198</v>
      </c>
      <c r="D2570" s="2" t="s">
        <v>10</v>
      </c>
      <c r="E2570" s="2" t="s">
        <v>11</v>
      </c>
      <c r="F2570" s="2" t="s">
        <v>91</v>
      </c>
      <c r="G2570" s="2" t="s">
        <v>650</v>
      </c>
      <c r="H2570" s="2" t="s">
        <v>651</v>
      </c>
      <c r="I2570" s="2" t="s">
        <v>3199</v>
      </c>
    </row>
    <row r="2571" spans="1:9" ht="14.5" x14ac:dyDescent="0.35">
      <c r="A2571" s="2">
        <v>2547958</v>
      </c>
      <c r="B2571" s="2" t="str">
        <f>"3201152506920002"</f>
        <v>3201152506920002</v>
      </c>
      <c r="C2571" s="2" t="s">
        <v>3198</v>
      </c>
      <c r="D2571" s="2" t="s">
        <v>17</v>
      </c>
      <c r="E2571" s="2" t="s">
        <v>11</v>
      </c>
      <c r="F2571" s="2" t="s">
        <v>18</v>
      </c>
      <c r="G2571" s="2" t="s">
        <v>19</v>
      </c>
      <c r="H2571" s="2" t="s">
        <v>2575</v>
      </c>
      <c r="I2571" s="2" t="s">
        <v>3200</v>
      </c>
    </row>
    <row r="2572" spans="1:9" ht="14.5" x14ac:dyDescent="0.35">
      <c r="A2572" s="2">
        <v>3547699</v>
      </c>
      <c r="B2572" s="2" t="str">
        <f>"3201154810940009"</f>
        <v>3201154810940009</v>
      </c>
      <c r="C2572" s="2" t="s">
        <v>3201</v>
      </c>
      <c r="D2572" s="2" t="s">
        <v>10</v>
      </c>
      <c r="E2572" s="2" t="s">
        <v>11</v>
      </c>
      <c r="F2572" s="2" t="s">
        <v>91</v>
      </c>
      <c r="G2572" s="2" t="s">
        <v>650</v>
      </c>
      <c r="H2572" s="2" t="s">
        <v>651</v>
      </c>
      <c r="I2572" s="2" t="s">
        <v>3199</v>
      </c>
    </row>
    <row r="2573" spans="1:9" ht="14.5" x14ac:dyDescent="0.35">
      <c r="A2573" s="2">
        <v>2547959</v>
      </c>
      <c r="B2573" s="2" t="str">
        <f>"3201154810940009"</f>
        <v>3201154810940009</v>
      </c>
      <c r="C2573" s="2" t="s">
        <v>3201</v>
      </c>
      <c r="D2573" s="2" t="s">
        <v>17</v>
      </c>
      <c r="E2573" s="2" t="s">
        <v>11</v>
      </c>
      <c r="F2573" s="2" t="s">
        <v>18</v>
      </c>
      <c r="G2573" s="2" t="s">
        <v>19</v>
      </c>
      <c r="H2573" s="2" t="s">
        <v>2575</v>
      </c>
      <c r="I2573" s="2" t="s">
        <v>3200</v>
      </c>
    </row>
    <row r="2574" spans="1:9" ht="14.5" x14ac:dyDescent="0.35">
      <c r="A2574" s="2">
        <v>834287</v>
      </c>
      <c r="B2574" s="2" t="str">
        <f>"3206326004870002"</f>
        <v>3206326004870002</v>
      </c>
      <c r="C2574" s="2" t="s">
        <v>3202</v>
      </c>
      <c r="D2574" s="2" t="s">
        <v>10</v>
      </c>
      <c r="E2574" s="2" t="s">
        <v>11</v>
      </c>
      <c r="F2574" s="2" t="s">
        <v>50</v>
      </c>
      <c r="G2574" s="2" t="s">
        <v>51</v>
      </c>
      <c r="H2574" s="2" t="s">
        <v>284</v>
      </c>
      <c r="I2574" s="2" t="s">
        <v>400</v>
      </c>
    </row>
    <row r="2575" spans="1:9" ht="14.5" x14ac:dyDescent="0.35">
      <c r="A2575" s="2">
        <v>2546887</v>
      </c>
      <c r="B2575" s="2" t="str">
        <f>"3206326004870002"</f>
        <v>3206326004870002</v>
      </c>
      <c r="C2575" s="2" t="s">
        <v>3202</v>
      </c>
      <c r="D2575" s="2" t="s">
        <v>17</v>
      </c>
      <c r="E2575" s="2" t="s">
        <v>11</v>
      </c>
      <c r="F2575" s="2" t="s">
        <v>18</v>
      </c>
      <c r="G2575" s="2" t="s">
        <v>19</v>
      </c>
      <c r="H2575" s="2" t="s">
        <v>2575</v>
      </c>
      <c r="I2575" s="2" t="s">
        <v>3203</v>
      </c>
    </row>
    <row r="2576" spans="1:9" ht="14.5" x14ac:dyDescent="0.35">
      <c r="A2576" s="2">
        <v>286227</v>
      </c>
      <c r="B2576" s="2" t="str">
        <f>"3209051007750006"</f>
        <v>3209051007750006</v>
      </c>
      <c r="C2576" s="2" t="s">
        <v>3204</v>
      </c>
      <c r="D2576" s="2" t="s">
        <v>10</v>
      </c>
      <c r="E2576" s="2" t="s">
        <v>11</v>
      </c>
      <c r="F2576" s="2" t="s">
        <v>91</v>
      </c>
      <c r="G2576" s="2" t="s">
        <v>985</v>
      </c>
      <c r="H2576" s="2" t="s">
        <v>1573</v>
      </c>
      <c r="I2576" s="2" t="s">
        <v>3205</v>
      </c>
    </row>
    <row r="2577" spans="1:9" ht="14.5" x14ac:dyDescent="0.35">
      <c r="A2577" s="2">
        <v>2545927</v>
      </c>
      <c r="B2577" s="2" t="str">
        <f>"3209051007750006"</f>
        <v>3209051007750006</v>
      </c>
      <c r="C2577" s="2" t="s">
        <v>3204</v>
      </c>
      <c r="D2577" s="2" t="s">
        <v>17</v>
      </c>
      <c r="E2577" s="2" t="s">
        <v>11</v>
      </c>
      <c r="F2577" s="2" t="s">
        <v>18</v>
      </c>
      <c r="G2577" s="2" t="s">
        <v>19</v>
      </c>
      <c r="H2577" s="2" t="s">
        <v>2575</v>
      </c>
      <c r="I2577" s="2" t="s">
        <v>3206</v>
      </c>
    </row>
    <row r="2578" spans="1:9" ht="14.5" x14ac:dyDescent="0.35">
      <c r="A2578" s="2">
        <v>196098</v>
      </c>
      <c r="B2578" s="2" t="str">
        <f>"3216141506720031"</f>
        <v>3216141506720031</v>
      </c>
      <c r="C2578" s="2" t="s">
        <v>3207</v>
      </c>
      <c r="D2578" s="2" t="s">
        <v>10</v>
      </c>
      <c r="E2578" s="2" t="s">
        <v>11</v>
      </c>
      <c r="F2578" s="2" t="s">
        <v>91</v>
      </c>
      <c r="G2578" s="2" t="s">
        <v>92</v>
      </c>
      <c r="H2578" s="2" t="s">
        <v>3208</v>
      </c>
      <c r="I2578" s="2" t="s">
        <v>3209</v>
      </c>
    </row>
    <row r="2579" spans="1:9" ht="14.5" x14ac:dyDescent="0.35">
      <c r="A2579" s="2">
        <v>2547971</v>
      </c>
      <c r="B2579" s="2" t="str">
        <f>"3216141506720031"</f>
        <v>3216141506720031</v>
      </c>
      <c r="C2579" s="2" t="s">
        <v>3210</v>
      </c>
      <c r="D2579" s="2" t="s">
        <v>17</v>
      </c>
      <c r="E2579" s="2" t="s">
        <v>11</v>
      </c>
      <c r="F2579" s="2" t="s">
        <v>18</v>
      </c>
      <c r="G2579" s="2" t="s">
        <v>19</v>
      </c>
      <c r="H2579" s="2" t="s">
        <v>2575</v>
      </c>
      <c r="I2579" s="2" t="s">
        <v>3211</v>
      </c>
    </row>
    <row r="2580" spans="1:9" ht="14.5" x14ac:dyDescent="0.35">
      <c r="A2580" s="2">
        <v>1378248</v>
      </c>
      <c r="B2580" s="2" t="str">
        <f>"3275010710960012"</f>
        <v>3275010710960012</v>
      </c>
      <c r="C2580" s="2" t="s">
        <v>3028</v>
      </c>
      <c r="D2580" s="2" t="s">
        <v>10</v>
      </c>
      <c r="E2580" s="2" t="s">
        <v>11</v>
      </c>
      <c r="F2580" s="2" t="s">
        <v>91</v>
      </c>
      <c r="G2580" s="2" t="s">
        <v>159</v>
      </c>
      <c r="H2580" s="2" t="s">
        <v>685</v>
      </c>
      <c r="I2580" s="2" t="s">
        <v>3105</v>
      </c>
    </row>
    <row r="2581" spans="1:9" ht="14.5" x14ac:dyDescent="0.35">
      <c r="A2581" s="2">
        <v>2545867</v>
      </c>
      <c r="B2581" s="2" t="str">
        <f>"3275010710960012"</f>
        <v>3275010710960012</v>
      </c>
      <c r="C2581" s="2" t="s">
        <v>3028</v>
      </c>
      <c r="D2581" s="2" t="s">
        <v>17</v>
      </c>
      <c r="E2581" s="2" t="s">
        <v>11</v>
      </c>
      <c r="F2581" s="2" t="s">
        <v>18</v>
      </c>
      <c r="G2581" s="2" t="s">
        <v>19</v>
      </c>
      <c r="H2581" s="2" t="s">
        <v>2575</v>
      </c>
      <c r="I2581" s="2" t="s">
        <v>3180</v>
      </c>
    </row>
    <row r="2582" spans="1:9" ht="14.5" x14ac:dyDescent="0.35">
      <c r="A2582" s="2">
        <v>488284</v>
      </c>
      <c r="B2582" s="2" t="str">
        <f>"3275010811670017"</f>
        <v>3275010811670017</v>
      </c>
      <c r="C2582" s="2" t="s">
        <v>3212</v>
      </c>
      <c r="D2582" s="2" t="s">
        <v>10</v>
      </c>
      <c r="E2582" s="2" t="s">
        <v>11</v>
      </c>
      <c r="F2582" s="2" t="s">
        <v>91</v>
      </c>
      <c r="G2582" s="2" t="s">
        <v>159</v>
      </c>
      <c r="H2582" s="2" t="s">
        <v>685</v>
      </c>
      <c r="I2582" s="2" t="s">
        <v>1632</v>
      </c>
    </row>
    <row r="2583" spans="1:9" ht="14.5" x14ac:dyDescent="0.35">
      <c r="A2583" s="2">
        <v>2545336</v>
      </c>
      <c r="B2583" s="2" t="str">
        <f>"3275010811670017"</f>
        <v>3275010811670017</v>
      </c>
      <c r="C2583" s="2" t="s">
        <v>3212</v>
      </c>
      <c r="D2583" s="2" t="s">
        <v>17</v>
      </c>
      <c r="E2583" s="2" t="s">
        <v>11</v>
      </c>
      <c r="F2583" s="2" t="s">
        <v>18</v>
      </c>
      <c r="G2583" s="2" t="s">
        <v>19</v>
      </c>
      <c r="H2583" s="2" t="s">
        <v>2575</v>
      </c>
      <c r="I2583" s="2" t="s">
        <v>3178</v>
      </c>
    </row>
    <row r="2584" spans="1:9" ht="14.5" x14ac:dyDescent="0.35">
      <c r="A2584" s="2">
        <v>157266</v>
      </c>
      <c r="B2584" s="2" t="str">
        <f>"3275011310770017"</f>
        <v>3275011310770017</v>
      </c>
      <c r="C2584" s="2" t="s">
        <v>3213</v>
      </c>
      <c r="D2584" s="2" t="s">
        <v>10</v>
      </c>
      <c r="E2584" s="2" t="s">
        <v>11</v>
      </c>
      <c r="F2584" s="2" t="s">
        <v>91</v>
      </c>
      <c r="G2584" s="2" t="s">
        <v>159</v>
      </c>
      <c r="H2584" s="2" t="s">
        <v>685</v>
      </c>
      <c r="I2584" s="2" t="s">
        <v>686</v>
      </c>
    </row>
    <row r="2585" spans="1:9" ht="14.5" x14ac:dyDescent="0.35">
      <c r="A2585" s="2">
        <v>2546145</v>
      </c>
      <c r="B2585" s="2" t="str">
        <f>"3275011310770017"</f>
        <v>3275011310770017</v>
      </c>
      <c r="C2585" s="2" t="s">
        <v>3213</v>
      </c>
      <c r="D2585" s="2" t="s">
        <v>17</v>
      </c>
      <c r="E2585" s="2" t="s">
        <v>11</v>
      </c>
      <c r="F2585" s="2" t="s">
        <v>18</v>
      </c>
      <c r="G2585" s="2" t="s">
        <v>19</v>
      </c>
      <c r="H2585" s="2" t="s">
        <v>2575</v>
      </c>
      <c r="I2585" s="2" t="s">
        <v>1410</v>
      </c>
    </row>
    <row r="2586" spans="1:9" ht="14.5" x14ac:dyDescent="0.35">
      <c r="A2586" s="2">
        <v>488285</v>
      </c>
      <c r="B2586" s="2" t="str">
        <f>"3275014101710035"</f>
        <v>3275014101710035</v>
      </c>
      <c r="C2586" s="2" t="s">
        <v>3214</v>
      </c>
      <c r="D2586" s="2" t="s">
        <v>10</v>
      </c>
      <c r="E2586" s="2" t="s">
        <v>11</v>
      </c>
      <c r="F2586" s="2" t="s">
        <v>91</v>
      </c>
      <c r="G2586" s="2" t="s">
        <v>159</v>
      </c>
      <c r="H2586" s="2" t="s">
        <v>685</v>
      </c>
      <c r="I2586" s="2" t="s">
        <v>1632</v>
      </c>
    </row>
    <row r="2587" spans="1:9" ht="14.5" x14ac:dyDescent="0.35">
      <c r="A2587" s="2">
        <v>2545337</v>
      </c>
      <c r="B2587" s="2" t="str">
        <f>"3275014101710035"</f>
        <v>3275014101710035</v>
      </c>
      <c r="C2587" s="2" t="s">
        <v>3214</v>
      </c>
      <c r="D2587" s="2" t="s">
        <v>17</v>
      </c>
      <c r="E2587" s="2" t="s">
        <v>11</v>
      </c>
      <c r="F2587" s="2" t="s">
        <v>18</v>
      </c>
      <c r="G2587" s="2" t="s">
        <v>19</v>
      </c>
      <c r="H2587" s="2" t="s">
        <v>2575</v>
      </c>
      <c r="I2587" s="2" t="s">
        <v>3178</v>
      </c>
    </row>
    <row r="2588" spans="1:9" ht="14.5" x14ac:dyDescent="0.35">
      <c r="A2588" s="2">
        <v>581022</v>
      </c>
      <c r="B2588" s="2" t="str">
        <f>"3275026910850018"</f>
        <v>3275026910850018</v>
      </c>
      <c r="C2588" s="2" t="s">
        <v>3215</v>
      </c>
      <c r="D2588" s="2" t="s">
        <v>10</v>
      </c>
      <c r="E2588" s="2" t="s">
        <v>11</v>
      </c>
      <c r="F2588" s="2" t="s">
        <v>50</v>
      </c>
      <c r="G2588" s="2" t="s">
        <v>280</v>
      </c>
      <c r="H2588" s="2" t="s">
        <v>2507</v>
      </c>
      <c r="I2588" s="2" t="s">
        <v>3162</v>
      </c>
    </row>
    <row r="2589" spans="1:9" ht="14.5" x14ac:dyDescent="0.35">
      <c r="A2589" s="2">
        <v>2548290</v>
      </c>
      <c r="B2589" s="2" t="str">
        <f>"3275026910850018"</f>
        <v>3275026910850018</v>
      </c>
      <c r="C2589" s="2" t="s">
        <v>3215</v>
      </c>
      <c r="D2589" s="2" t="s">
        <v>17</v>
      </c>
      <c r="E2589" s="2" t="s">
        <v>11</v>
      </c>
      <c r="F2589" s="2" t="s">
        <v>18</v>
      </c>
      <c r="G2589" s="2" t="s">
        <v>19</v>
      </c>
      <c r="H2589" s="2" t="s">
        <v>2575</v>
      </c>
      <c r="I2589" s="2" t="s">
        <v>3161</v>
      </c>
    </row>
    <row r="2590" spans="1:9" ht="14.5" x14ac:dyDescent="0.35">
      <c r="A2590" s="2">
        <v>95248</v>
      </c>
      <c r="B2590" s="2" t="str">
        <f>"3275090501830025"</f>
        <v>3275090501830025</v>
      </c>
      <c r="C2590" s="2" t="s">
        <v>3216</v>
      </c>
      <c r="D2590" s="2" t="s">
        <v>10</v>
      </c>
      <c r="E2590" s="2" t="s">
        <v>11</v>
      </c>
      <c r="F2590" s="2" t="s">
        <v>91</v>
      </c>
      <c r="G2590" s="2" t="s">
        <v>159</v>
      </c>
      <c r="H2590" s="2" t="s">
        <v>1170</v>
      </c>
      <c r="I2590" s="2" t="s">
        <v>1170</v>
      </c>
    </row>
    <row r="2591" spans="1:9" ht="14.5" x14ac:dyDescent="0.35">
      <c r="A2591" s="2">
        <v>2544950</v>
      </c>
      <c r="B2591" s="2" t="str">
        <f>"3275090501830025"</f>
        <v>3275090501830025</v>
      </c>
      <c r="C2591" s="2" t="s">
        <v>3216</v>
      </c>
      <c r="D2591" s="2" t="s">
        <v>17</v>
      </c>
      <c r="E2591" s="2" t="s">
        <v>11</v>
      </c>
      <c r="F2591" s="2" t="s">
        <v>18</v>
      </c>
      <c r="G2591" s="2" t="s">
        <v>19</v>
      </c>
      <c r="H2591" s="2" t="s">
        <v>2575</v>
      </c>
      <c r="I2591" s="2" t="s">
        <v>3217</v>
      </c>
    </row>
    <row r="2592" spans="1:9" ht="14.5" x14ac:dyDescent="0.35">
      <c r="A2592" s="2">
        <v>95249</v>
      </c>
      <c r="B2592" s="2" t="str">
        <f>"3275094708980020"</f>
        <v>3275094708980020</v>
      </c>
      <c r="C2592" s="2" t="s">
        <v>3218</v>
      </c>
      <c r="D2592" s="2" t="s">
        <v>10</v>
      </c>
      <c r="E2592" s="2" t="s">
        <v>11</v>
      </c>
      <c r="F2592" s="2" t="s">
        <v>91</v>
      </c>
      <c r="G2592" s="2" t="s">
        <v>159</v>
      </c>
      <c r="H2592" s="2" t="s">
        <v>1170</v>
      </c>
      <c r="I2592" s="2" t="s">
        <v>1170</v>
      </c>
    </row>
    <row r="2593" spans="1:9" ht="14.5" x14ac:dyDescent="0.35">
      <c r="A2593" s="2">
        <v>2544951</v>
      </c>
      <c r="B2593" s="2" t="str">
        <f>"3275094708980020"</f>
        <v>3275094708980020</v>
      </c>
      <c r="C2593" s="2" t="s">
        <v>3218</v>
      </c>
      <c r="D2593" s="2" t="s">
        <v>17</v>
      </c>
      <c r="E2593" s="2" t="s">
        <v>11</v>
      </c>
      <c r="F2593" s="2" t="s">
        <v>18</v>
      </c>
      <c r="G2593" s="2" t="s">
        <v>19</v>
      </c>
      <c r="H2593" s="2" t="s">
        <v>2575</v>
      </c>
      <c r="I2593" s="2" t="s">
        <v>3217</v>
      </c>
    </row>
    <row r="2594" spans="1:9" ht="14.5" x14ac:dyDescent="0.35">
      <c r="A2594" s="2">
        <v>82563</v>
      </c>
      <c r="B2594" s="2" t="str">
        <f>"3304026508860001"</f>
        <v>3304026508860001</v>
      </c>
      <c r="C2594" s="2" t="s">
        <v>3219</v>
      </c>
      <c r="D2594" s="2" t="s">
        <v>189</v>
      </c>
      <c r="E2594" s="2" t="s">
        <v>11</v>
      </c>
      <c r="F2594" s="2" t="s">
        <v>18</v>
      </c>
      <c r="G2594" s="2" t="s">
        <v>951</v>
      </c>
      <c r="H2594" s="2" t="s">
        <v>1800</v>
      </c>
      <c r="I2594" s="2" t="s">
        <v>1801</v>
      </c>
    </row>
    <row r="2595" spans="1:9" ht="14.5" x14ac:dyDescent="0.35">
      <c r="A2595" s="2">
        <v>2545448</v>
      </c>
      <c r="B2595" s="2" t="str">
        <f>"3304026508860001"</f>
        <v>3304026508860001</v>
      </c>
      <c r="C2595" s="2" t="s">
        <v>3220</v>
      </c>
      <c r="D2595" s="2" t="s">
        <v>17</v>
      </c>
      <c r="E2595" s="2" t="s">
        <v>11</v>
      </c>
      <c r="F2595" s="2" t="s">
        <v>18</v>
      </c>
      <c r="G2595" s="2" t="s">
        <v>19</v>
      </c>
      <c r="H2595" s="2" t="s">
        <v>2575</v>
      </c>
      <c r="I2595" s="2" t="s">
        <v>1207</v>
      </c>
    </row>
    <row r="2596" spans="1:9" ht="14.5" x14ac:dyDescent="0.35">
      <c r="A2596" s="2">
        <v>538073</v>
      </c>
      <c r="B2596" s="2" t="str">
        <f>"3304121905920002"</f>
        <v>3304121905920002</v>
      </c>
      <c r="C2596" s="2" t="s">
        <v>3221</v>
      </c>
      <c r="D2596" s="2" t="s">
        <v>10</v>
      </c>
      <c r="E2596" s="2" t="s">
        <v>11</v>
      </c>
      <c r="F2596" s="2" t="s">
        <v>18</v>
      </c>
      <c r="G2596" s="2" t="s">
        <v>951</v>
      </c>
      <c r="H2596" s="2" t="s">
        <v>3222</v>
      </c>
      <c r="I2596" s="2" t="s">
        <v>3223</v>
      </c>
    </row>
    <row r="2597" spans="1:9" ht="14.5" x14ac:dyDescent="0.35">
      <c r="A2597" s="2">
        <v>2545248</v>
      </c>
      <c r="B2597" s="2" t="str">
        <f>"3304121905920002"</f>
        <v>3304121905920002</v>
      </c>
      <c r="C2597" s="2" t="s">
        <v>3221</v>
      </c>
      <c r="D2597" s="2" t="s">
        <v>17</v>
      </c>
      <c r="E2597" s="2" t="s">
        <v>11</v>
      </c>
      <c r="F2597" s="2" t="s">
        <v>18</v>
      </c>
      <c r="G2597" s="2" t="s">
        <v>19</v>
      </c>
      <c r="H2597" s="2" t="s">
        <v>2575</v>
      </c>
      <c r="I2597" s="2" t="s">
        <v>3224</v>
      </c>
    </row>
    <row r="2598" spans="1:9" ht="14.5" x14ac:dyDescent="0.35">
      <c r="A2598" s="2">
        <v>761282</v>
      </c>
      <c r="B2598" s="2" t="str">
        <f>"3311017012060003"</f>
        <v>3311017012060003</v>
      </c>
      <c r="C2598" s="2" t="s">
        <v>3225</v>
      </c>
      <c r="D2598" s="2" t="s">
        <v>189</v>
      </c>
      <c r="E2598" s="2" t="s">
        <v>11</v>
      </c>
      <c r="F2598" s="2" t="s">
        <v>18</v>
      </c>
      <c r="G2598" s="2" t="s">
        <v>581</v>
      </c>
      <c r="H2598" s="2" t="s">
        <v>1308</v>
      </c>
      <c r="I2598" s="2" t="s">
        <v>3226</v>
      </c>
    </row>
    <row r="2599" spans="1:9" ht="14.5" x14ac:dyDescent="0.35">
      <c r="A2599" s="2">
        <v>2546403</v>
      </c>
      <c r="B2599" s="2" t="str">
        <f>"3311017012060003"</f>
        <v>3311017012060003</v>
      </c>
      <c r="C2599" s="2" t="s">
        <v>3225</v>
      </c>
      <c r="D2599" s="2" t="s">
        <v>17</v>
      </c>
      <c r="E2599" s="2" t="s">
        <v>11</v>
      </c>
      <c r="F2599" s="2" t="s">
        <v>18</v>
      </c>
      <c r="G2599" s="2" t="s">
        <v>19</v>
      </c>
      <c r="H2599" s="2" t="s">
        <v>2575</v>
      </c>
      <c r="I2599" s="2" t="s">
        <v>3203</v>
      </c>
    </row>
    <row r="2600" spans="1:9" ht="14.5" x14ac:dyDescent="0.35">
      <c r="A2600" s="2">
        <v>994814</v>
      </c>
      <c r="B2600" s="2" t="str">
        <f>"3328090107880037"</f>
        <v>3328090107880037</v>
      </c>
      <c r="C2600" s="2" t="s">
        <v>3227</v>
      </c>
      <c r="D2600" s="2" t="s">
        <v>10</v>
      </c>
      <c r="E2600" s="2" t="s">
        <v>11</v>
      </c>
      <c r="F2600" s="2" t="s">
        <v>91</v>
      </c>
      <c r="G2600" s="2" t="s">
        <v>555</v>
      </c>
      <c r="H2600" s="2" t="s">
        <v>3228</v>
      </c>
      <c r="I2600" s="2" t="s">
        <v>3229</v>
      </c>
    </row>
    <row r="2601" spans="1:9" ht="14.5" x14ac:dyDescent="0.35">
      <c r="A2601" s="2">
        <v>2547637</v>
      </c>
      <c r="B2601" s="2" t="str">
        <f>"3328090107880037"</f>
        <v>3328090107880037</v>
      </c>
      <c r="C2601" s="2" t="s">
        <v>3227</v>
      </c>
      <c r="D2601" s="2" t="s">
        <v>17</v>
      </c>
      <c r="E2601" s="2" t="s">
        <v>11</v>
      </c>
      <c r="F2601" s="2" t="s">
        <v>18</v>
      </c>
      <c r="G2601" s="2" t="s">
        <v>19</v>
      </c>
      <c r="H2601" s="2" t="s">
        <v>2575</v>
      </c>
      <c r="I2601" s="2" t="s">
        <v>3176</v>
      </c>
    </row>
    <row r="2602" spans="1:9" ht="14.5" x14ac:dyDescent="0.35">
      <c r="A2602" s="2">
        <v>793786</v>
      </c>
      <c r="B2602" s="2" t="str">
        <f>"3328090107910071"</f>
        <v>3328090107910071</v>
      </c>
      <c r="C2602" s="2" t="s">
        <v>3230</v>
      </c>
      <c r="D2602" s="2" t="s">
        <v>10</v>
      </c>
      <c r="E2602" s="2" t="s">
        <v>11</v>
      </c>
      <c r="F2602" s="2" t="s">
        <v>18</v>
      </c>
      <c r="G2602" s="2" t="s">
        <v>264</v>
      </c>
      <c r="H2602" s="2" t="s">
        <v>344</v>
      </c>
      <c r="I2602" s="2" t="s">
        <v>939</v>
      </c>
    </row>
    <row r="2603" spans="1:9" ht="14.5" x14ac:dyDescent="0.35">
      <c r="A2603" s="2">
        <v>2548162</v>
      </c>
      <c r="B2603" s="2" t="str">
        <f>"3328090107910071"</f>
        <v>3328090107910071</v>
      </c>
      <c r="C2603" s="2" t="s">
        <v>3231</v>
      </c>
      <c r="D2603" s="2" t="s">
        <v>17</v>
      </c>
      <c r="E2603" s="2" t="s">
        <v>11</v>
      </c>
      <c r="F2603" s="2" t="s">
        <v>18</v>
      </c>
      <c r="G2603" s="2" t="s">
        <v>19</v>
      </c>
      <c r="H2603" s="2" t="s">
        <v>2575</v>
      </c>
      <c r="I2603" s="2" t="s">
        <v>3232</v>
      </c>
    </row>
    <row r="2604" spans="1:9" ht="14.5" x14ac:dyDescent="0.35">
      <c r="A2604" s="2">
        <v>1165924</v>
      </c>
      <c r="B2604" s="2" t="str">
        <f>"3328090110940004"</f>
        <v>3328090110940004</v>
      </c>
      <c r="C2604" s="2" t="s">
        <v>3233</v>
      </c>
      <c r="D2604" s="2" t="s">
        <v>10</v>
      </c>
      <c r="E2604" s="2" t="s">
        <v>11</v>
      </c>
      <c r="F2604" s="2" t="s">
        <v>91</v>
      </c>
      <c r="G2604" s="2" t="s">
        <v>101</v>
      </c>
      <c r="H2604" s="2" t="s">
        <v>102</v>
      </c>
      <c r="I2604" s="2" t="s">
        <v>3234</v>
      </c>
    </row>
    <row r="2605" spans="1:9" ht="14.5" x14ac:dyDescent="0.35">
      <c r="A2605" s="2">
        <v>2546050</v>
      </c>
      <c r="B2605" s="2" t="str">
        <f>"3328090110940004"</f>
        <v>3328090110940004</v>
      </c>
      <c r="C2605" s="2" t="s">
        <v>3233</v>
      </c>
      <c r="D2605" s="2" t="s">
        <v>17</v>
      </c>
      <c r="E2605" s="2" t="s">
        <v>11</v>
      </c>
      <c r="F2605" s="2" t="s">
        <v>18</v>
      </c>
      <c r="G2605" s="2" t="s">
        <v>19</v>
      </c>
      <c r="H2605" s="2" t="s">
        <v>2575</v>
      </c>
      <c r="I2605" s="2" t="s">
        <v>3235</v>
      </c>
    </row>
    <row r="2606" spans="1:9" ht="14.5" x14ac:dyDescent="0.35">
      <c r="A2606" s="2">
        <v>396033</v>
      </c>
      <c r="B2606" s="2" t="str">
        <f>"3328090202010009"</f>
        <v>3328090202010009</v>
      </c>
      <c r="C2606" s="2" t="s">
        <v>3236</v>
      </c>
      <c r="D2606" s="2" t="s">
        <v>10</v>
      </c>
      <c r="E2606" s="2" t="s">
        <v>11</v>
      </c>
      <c r="F2606" s="2" t="s">
        <v>91</v>
      </c>
      <c r="G2606" s="2" t="s">
        <v>320</v>
      </c>
      <c r="H2606" s="2" t="s">
        <v>664</v>
      </c>
      <c r="I2606" s="2" t="s">
        <v>3237</v>
      </c>
    </row>
    <row r="2607" spans="1:9" ht="14.5" x14ac:dyDescent="0.35">
      <c r="A2607" s="2">
        <v>2547515</v>
      </c>
      <c r="B2607" s="2" t="str">
        <f>"3328090202010009"</f>
        <v>3328090202010009</v>
      </c>
      <c r="C2607" s="2" t="s">
        <v>3238</v>
      </c>
      <c r="D2607" s="2" t="s">
        <v>17</v>
      </c>
      <c r="E2607" s="2" t="s">
        <v>11</v>
      </c>
      <c r="F2607" s="2" t="s">
        <v>18</v>
      </c>
      <c r="G2607" s="2" t="s">
        <v>19</v>
      </c>
      <c r="H2607" s="2" t="s">
        <v>2575</v>
      </c>
      <c r="I2607" s="2" t="s">
        <v>3176</v>
      </c>
    </row>
    <row r="2608" spans="1:9" ht="14.5" x14ac:dyDescent="0.35">
      <c r="A2608" s="2">
        <v>2545281</v>
      </c>
      <c r="B2608" s="2" t="str">
        <f>"3328090309970001"</f>
        <v>3328090309970001</v>
      </c>
      <c r="C2608" s="2" t="s">
        <v>3239</v>
      </c>
      <c r="D2608" s="2" t="s">
        <v>17</v>
      </c>
      <c r="E2608" s="2" t="s">
        <v>11</v>
      </c>
      <c r="F2608" s="2" t="s">
        <v>18</v>
      </c>
      <c r="G2608" s="2" t="s">
        <v>19</v>
      </c>
      <c r="H2608" s="2" t="s">
        <v>2575</v>
      </c>
      <c r="I2608" s="2" t="s">
        <v>3224</v>
      </c>
    </row>
    <row r="2609" spans="1:9" ht="14.5" x14ac:dyDescent="0.35">
      <c r="A2609" s="2">
        <v>224780</v>
      </c>
      <c r="B2609" s="2" t="str">
        <f>"3328090309970001"</f>
        <v>3328090309970001</v>
      </c>
      <c r="C2609" s="2" t="s">
        <v>3239</v>
      </c>
      <c r="D2609" s="2" t="s">
        <v>189</v>
      </c>
      <c r="E2609" s="2" t="s">
        <v>11</v>
      </c>
      <c r="F2609" s="2" t="s">
        <v>379</v>
      </c>
      <c r="G2609" s="2" t="s">
        <v>1202</v>
      </c>
      <c r="H2609" s="2" t="s">
        <v>3240</v>
      </c>
      <c r="I2609" s="2" t="s">
        <v>3241</v>
      </c>
    </row>
    <row r="2610" spans="1:9" ht="14.5" x14ac:dyDescent="0.35">
      <c r="A2610" s="2">
        <v>279961</v>
      </c>
      <c r="B2610" s="2" t="str">
        <f>"3328090409870002"</f>
        <v>3328090409870002</v>
      </c>
      <c r="C2610" s="2" t="s">
        <v>3242</v>
      </c>
      <c r="D2610" s="2" t="s">
        <v>10</v>
      </c>
      <c r="E2610" s="2" t="s">
        <v>11</v>
      </c>
      <c r="F2610" s="2" t="s">
        <v>18</v>
      </c>
      <c r="G2610" s="2" t="s">
        <v>268</v>
      </c>
      <c r="H2610" s="2" t="s">
        <v>277</v>
      </c>
      <c r="I2610" s="2" t="s">
        <v>3243</v>
      </c>
    </row>
    <row r="2611" spans="1:9" ht="14.5" x14ac:dyDescent="0.35">
      <c r="A2611" s="2">
        <v>2546972</v>
      </c>
      <c r="B2611" s="2" t="str">
        <f>"3328090409870002"</f>
        <v>3328090409870002</v>
      </c>
      <c r="C2611" s="2" t="s">
        <v>3242</v>
      </c>
      <c r="D2611" s="2" t="s">
        <v>17</v>
      </c>
      <c r="E2611" s="2" t="s">
        <v>11</v>
      </c>
      <c r="F2611" s="2" t="s">
        <v>18</v>
      </c>
      <c r="G2611" s="2" t="s">
        <v>19</v>
      </c>
      <c r="H2611" s="2" t="s">
        <v>2575</v>
      </c>
      <c r="I2611" s="2" t="s">
        <v>3165</v>
      </c>
    </row>
    <row r="2612" spans="1:9" ht="14.5" x14ac:dyDescent="0.35">
      <c r="A2612" s="2">
        <v>1759364</v>
      </c>
      <c r="B2612" s="2" t="str">
        <f>"3328090601060002"</f>
        <v>3328090601060002</v>
      </c>
      <c r="C2612" s="2" t="s">
        <v>3244</v>
      </c>
      <c r="D2612" s="2" t="s">
        <v>10</v>
      </c>
      <c r="E2612" s="2" t="s">
        <v>11</v>
      </c>
      <c r="F2612" s="2" t="s">
        <v>18</v>
      </c>
      <c r="G2612" s="2" t="s">
        <v>19</v>
      </c>
      <c r="H2612" s="2" t="s">
        <v>2575</v>
      </c>
      <c r="I2612" s="2" t="s">
        <v>3174</v>
      </c>
    </row>
    <row r="2613" spans="1:9" ht="14.5" x14ac:dyDescent="0.35">
      <c r="A2613" s="2">
        <v>1421439</v>
      </c>
      <c r="B2613" s="2" t="str">
        <f>"3328090601060002"</f>
        <v>3328090601060002</v>
      </c>
      <c r="C2613" s="2" t="s">
        <v>3245</v>
      </c>
      <c r="D2613" s="2" t="s">
        <v>17</v>
      </c>
      <c r="E2613" s="2" t="s">
        <v>57</v>
      </c>
      <c r="F2613" s="2" t="s">
        <v>91</v>
      </c>
      <c r="G2613" s="2" t="s">
        <v>114</v>
      </c>
      <c r="H2613" s="2" t="s">
        <v>3246</v>
      </c>
      <c r="I2613" s="2" t="s">
        <v>3247</v>
      </c>
    </row>
    <row r="2614" spans="1:9" ht="14.5" x14ac:dyDescent="0.35">
      <c r="A2614" s="2">
        <v>1756633</v>
      </c>
      <c r="B2614" s="2" t="str">
        <f>"3328090602000004"</f>
        <v>3328090602000004</v>
      </c>
      <c r="C2614" s="2" t="s">
        <v>3248</v>
      </c>
      <c r="D2614" s="2" t="s">
        <v>10</v>
      </c>
      <c r="E2614" s="2" t="s">
        <v>11</v>
      </c>
      <c r="F2614" s="2" t="s">
        <v>18</v>
      </c>
      <c r="G2614" s="2" t="s">
        <v>19</v>
      </c>
      <c r="H2614" s="2" t="s">
        <v>2575</v>
      </c>
      <c r="I2614" s="2" t="s">
        <v>3174</v>
      </c>
    </row>
    <row r="2615" spans="1:9" ht="14.5" x14ac:dyDescent="0.35">
      <c r="A2615" s="2">
        <v>1862135</v>
      </c>
      <c r="B2615" s="2" t="str">
        <f>"3328090602000004"</f>
        <v>3328090602000004</v>
      </c>
      <c r="C2615" s="2" t="s">
        <v>3249</v>
      </c>
      <c r="D2615" s="2" t="s">
        <v>10</v>
      </c>
      <c r="E2615" s="2" t="s">
        <v>57</v>
      </c>
      <c r="F2615" s="2" t="s">
        <v>18</v>
      </c>
      <c r="G2615" s="2" t="s">
        <v>733</v>
      </c>
      <c r="H2615" s="2" t="s">
        <v>733</v>
      </c>
      <c r="I2615" s="2" t="s">
        <v>734</v>
      </c>
    </row>
    <row r="2616" spans="1:9" ht="14.5" x14ac:dyDescent="0.35">
      <c r="A2616" s="2">
        <v>117935</v>
      </c>
      <c r="B2616" s="2" t="str">
        <f>"3328090705960006"</f>
        <v>3328090705960006</v>
      </c>
      <c r="C2616" s="2" t="s">
        <v>3250</v>
      </c>
      <c r="D2616" s="2" t="s">
        <v>10</v>
      </c>
      <c r="E2616" s="2" t="s">
        <v>11</v>
      </c>
      <c r="F2616" s="2" t="s">
        <v>2889</v>
      </c>
      <c r="G2616" s="2" t="s">
        <v>3251</v>
      </c>
      <c r="H2616" s="2" t="s">
        <v>3252</v>
      </c>
      <c r="I2616" s="2" t="s">
        <v>3253</v>
      </c>
    </row>
    <row r="2617" spans="1:9" ht="14.5" x14ac:dyDescent="0.35">
      <c r="A2617" s="2">
        <v>2545595</v>
      </c>
      <c r="B2617" s="2" t="str">
        <f>"3328090705960006"</f>
        <v>3328090705960006</v>
      </c>
      <c r="C2617" s="2" t="s">
        <v>3254</v>
      </c>
      <c r="D2617" s="2" t="s">
        <v>17</v>
      </c>
      <c r="E2617" s="2" t="s">
        <v>11</v>
      </c>
      <c r="F2617" s="2" t="s">
        <v>18</v>
      </c>
      <c r="G2617" s="2" t="s">
        <v>19</v>
      </c>
      <c r="H2617" s="2" t="s">
        <v>2575</v>
      </c>
      <c r="I2617" s="2" t="s">
        <v>3174</v>
      </c>
    </row>
    <row r="2618" spans="1:9" ht="14.5" x14ac:dyDescent="0.35">
      <c r="A2618" s="2">
        <v>291535</v>
      </c>
      <c r="B2618" s="2" t="str">
        <f>"3328090806700006"</f>
        <v>3328090806700006</v>
      </c>
      <c r="C2618" s="2" t="s">
        <v>3255</v>
      </c>
      <c r="D2618" s="2" t="s">
        <v>10</v>
      </c>
      <c r="E2618" s="2" t="s">
        <v>11</v>
      </c>
      <c r="F2618" s="2" t="s">
        <v>18</v>
      </c>
      <c r="G2618" s="2" t="s">
        <v>268</v>
      </c>
      <c r="H2618" s="2" t="s">
        <v>277</v>
      </c>
      <c r="I2618" s="2" t="s">
        <v>2665</v>
      </c>
    </row>
    <row r="2619" spans="1:9" ht="14.5" x14ac:dyDescent="0.35">
      <c r="A2619" s="2">
        <v>2548420</v>
      </c>
      <c r="B2619" s="2" t="str">
        <f>"3328090806700006"</f>
        <v>3328090806700006</v>
      </c>
      <c r="C2619" s="2" t="s">
        <v>3256</v>
      </c>
      <c r="D2619" s="2" t="s">
        <v>17</v>
      </c>
      <c r="E2619" s="2" t="s">
        <v>11</v>
      </c>
      <c r="F2619" s="2" t="s">
        <v>18</v>
      </c>
      <c r="G2619" s="2" t="s">
        <v>19</v>
      </c>
      <c r="H2619" s="2" t="s">
        <v>2575</v>
      </c>
      <c r="I2619" s="2" t="s">
        <v>3257</v>
      </c>
    </row>
    <row r="2620" spans="1:9" ht="14.5" x14ac:dyDescent="0.35">
      <c r="A2620" s="2">
        <v>1634532</v>
      </c>
      <c r="B2620" s="2" t="str">
        <f>"3328090809950004"</f>
        <v>3328090809950004</v>
      </c>
      <c r="C2620" s="2" t="s">
        <v>3258</v>
      </c>
      <c r="D2620" s="2" t="s">
        <v>10</v>
      </c>
      <c r="E2620" s="2" t="s">
        <v>11</v>
      </c>
      <c r="F2620" s="2" t="s">
        <v>18</v>
      </c>
      <c r="G2620" s="2" t="s">
        <v>19</v>
      </c>
      <c r="H2620" s="2" t="s">
        <v>2575</v>
      </c>
      <c r="I2620" s="2" t="s">
        <v>2575</v>
      </c>
    </row>
    <row r="2621" spans="1:9" ht="14.5" x14ac:dyDescent="0.35">
      <c r="A2621" s="2">
        <v>2432816</v>
      </c>
      <c r="B2621" s="2" t="str">
        <f>"3328090809950004"</f>
        <v>3328090809950004</v>
      </c>
      <c r="C2621" s="2" t="s">
        <v>3258</v>
      </c>
      <c r="D2621" s="2" t="s">
        <v>17</v>
      </c>
      <c r="E2621" s="2" t="s">
        <v>11</v>
      </c>
      <c r="F2621" s="2" t="s">
        <v>50</v>
      </c>
      <c r="G2621" s="2" t="s">
        <v>58</v>
      </c>
      <c r="H2621" s="2" t="s">
        <v>1747</v>
      </c>
      <c r="I2621" s="2" t="s">
        <v>2291</v>
      </c>
    </row>
    <row r="2622" spans="1:9" ht="14.5" x14ac:dyDescent="0.35">
      <c r="A2622" s="2">
        <v>880553</v>
      </c>
      <c r="B2622" s="2" t="str">
        <f>"3328090907000006"</f>
        <v>3328090907000006</v>
      </c>
      <c r="C2622" s="2" t="s">
        <v>3259</v>
      </c>
      <c r="D2622" s="2" t="s">
        <v>10</v>
      </c>
      <c r="E2622" s="2" t="s">
        <v>11</v>
      </c>
      <c r="F2622" s="2" t="s">
        <v>91</v>
      </c>
      <c r="G2622" s="2" t="s">
        <v>903</v>
      </c>
      <c r="H2622" s="2" t="s">
        <v>915</v>
      </c>
      <c r="I2622" s="2" t="s">
        <v>916</v>
      </c>
    </row>
    <row r="2623" spans="1:9" ht="14.5" x14ac:dyDescent="0.35">
      <c r="A2623" s="2">
        <v>2547509</v>
      </c>
      <c r="B2623" s="2" t="str">
        <f>"3328090907000006"</f>
        <v>3328090907000006</v>
      </c>
      <c r="C2623" s="2" t="s">
        <v>3260</v>
      </c>
      <c r="D2623" s="2" t="s">
        <v>17</v>
      </c>
      <c r="E2623" s="2" t="s">
        <v>11</v>
      </c>
      <c r="F2623" s="2" t="s">
        <v>18</v>
      </c>
      <c r="G2623" s="2" t="s">
        <v>19</v>
      </c>
      <c r="H2623" s="2" t="s">
        <v>2575</v>
      </c>
      <c r="I2623" s="2" t="s">
        <v>3176</v>
      </c>
    </row>
    <row r="2624" spans="1:9" ht="14.5" x14ac:dyDescent="0.35">
      <c r="A2624" s="2">
        <v>619675</v>
      </c>
      <c r="B2624" s="2" t="str">
        <f>"3328091105940004"</f>
        <v>3328091105940004</v>
      </c>
      <c r="C2624" s="2" t="s">
        <v>3041</v>
      </c>
      <c r="D2624" s="2" t="s">
        <v>10</v>
      </c>
      <c r="E2624" s="2" t="s">
        <v>11</v>
      </c>
      <c r="F2624" s="2" t="s">
        <v>50</v>
      </c>
      <c r="G2624" s="2" t="s">
        <v>86</v>
      </c>
      <c r="H2624" s="2" t="s">
        <v>1463</v>
      </c>
      <c r="I2624" s="2" t="s">
        <v>3261</v>
      </c>
    </row>
    <row r="2625" spans="1:9" ht="14.5" x14ac:dyDescent="0.35">
      <c r="A2625" s="2">
        <v>2547641</v>
      </c>
      <c r="B2625" s="2" t="str">
        <f>"3328091105940004"</f>
        <v>3328091105940004</v>
      </c>
      <c r="C2625" s="2" t="s">
        <v>3041</v>
      </c>
      <c r="D2625" s="2" t="s">
        <v>17</v>
      </c>
      <c r="E2625" s="2" t="s">
        <v>11</v>
      </c>
      <c r="F2625" s="2" t="s">
        <v>18</v>
      </c>
      <c r="G2625" s="2" t="s">
        <v>19</v>
      </c>
      <c r="H2625" s="2" t="s">
        <v>2575</v>
      </c>
      <c r="I2625" s="2" t="s">
        <v>3176</v>
      </c>
    </row>
    <row r="2626" spans="1:9" ht="14.5" x14ac:dyDescent="0.35">
      <c r="A2626" s="2">
        <v>1142104</v>
      </c>
      <c r="B2626" s="2" t="str">
        <f>"3328091107020010"</f>
        <v>3328091107020010</v>
      </c>
      <c r="C2626" s="2" t="s">
        <v>3262</v>
      </c>
      <c r="D2626" s="2" t="s">
        <v>10</v>
      </c>
      <c r="E2626" s="2" t="s">
        <v>11</v>
      </c>
      <c r="F2626" s="2" t="s">
        <v>50</v>
      </c>
      <c r="G2626" s="2" t="s">
        <v>58</v>
      </c>
      <c r="H2626" s="2" t="s">
        <v>417</v>
      </c>
      <c r="I2626" s="2" t="s">
        <v>3263</v>
      </c>
    </row>
    <row r="2627" spans="1:9" ht="14.5" x14ac:dyDescent="0.35">
      <c r="A2627" s="2">
        <v>2574108</v>
      </c>
      <c r="B2627" s="2" t="str">
        <f>"3328091107020010"</f>
        <v>3328091107020010</v>
      </c>
      <c r="C2627" s="2" t="s">
        <v>3264</v>
      </c>
      <c r="D2627" s="2" t="s">
        <v>17</v>
      </c>
      <c r="E2627" s="2" t="s">
        <v>11</v>
      </c>
      <c r="F2627" s="2" t="s">
        <v>18</v>
      </c>
      <c r="G2627" s="2" t="s">
        <v>19</v>
      </c>
      <c r="H2627" s="2" t="s">
        <v>2575</v>
      </c>
      <c r="I2627" s="2" t="s">
        <v>2575</v>
      </c>
    </row>
    <row r="2628" spans="1:9" ht="14.5" x14ac:dyDescent="0.35">
      <c r="A2628" s="2">
        <v>1197898</v>
      </c>
      <c r="B2628" s="2" t="str">
        <f>"3328091109030001"</f>
        <v>3328091109030001</v>
      </c>
      <c r="C2628" s="2" t="s">
        <v>3265</v>
      </c>
      <c r="D2628" s="2" t="s">
        <v>10</v>
      </c>
      <c r="E2628" s="2" t="s">
        <v>11</v>
      </c>
      <c r="F2628" s="2" t="s">
        <v>91</v>
      </c>
      <c r="G2628" s="2" t="s">
        <v>320</v>
      </c>
      <c r="H2628" s="2" t="s">
        <v>368</v>
      </c>
      <c r="I2628" s="2" t="s">
        <v>3266</v>
      </c>
    </row>
    <row r="2629" spans="1:9" ht="14.5" x14ac:dyDescent="0.35">
      <c r="A2629" s="2">
        <v>2546957</v>
      </c>
      <c r="B2629" s="2" t="str">
        <f>"3328091109030001"</f>
        <v>3328091109030001</v>
      </c>
      <c r="C2629" s="2" t="s">
        <v>3265</v>
      </c>
      <c r="D2629" s="2" t="s">
        <v>17</v>
      </c>
      <c r="E2629" s="2" t="s">
        <v>11</v>
      </c>
      <c r="F2629" s="2" t="s">
        <v>18</v>
      </c>
      <c r="G2629" s="2" t="s">
        <v>19</v>
      </c>
      <c r="H2629" s="2" t="s">
        <v>2575</v>
      </c>
      <c r="I2629" s="2" t="s">
        <v>3203</v>
      </c>
    </row>
    <row r="2630" spans="1:9" ht="14.5" x14ac:dyDescent="0.35">
      <c r="A2630" s="2">
        <v>347912</v>
      </c>
      <c r="B2630" s="2" t="str">
        <f>"3328091210870001"</f>
        <v>3328091210870001</v>
      </c>
      <c r="C2630" s="2" t="s">
        <v>3267</v>
      </c>
      <c r="D2630" s="2" t="s">
        <v>10</v>
      </c>
      <c r="E2630" s="2" t="s">
        <v>11</v>
      </c>
      <c r="F2630" s="2" t="s">
        <v>18</v>
      </c>
      <c r="G2630" s="2" t="s">
        <v>268</v>
      </c>
      <c r="H2630" s="2" t="s">
        <v>269</v>
      </c>
      <c r="I2630" s="2" t="s">
        <v>3140</v>
      </c>
    </row>
    <row r="2631" spans="1:9" ht="14.5" x14ac:dyDescent="0.35">
      <c r="A2631" s="2">
        <v>2548598</v>
      </c>
      <c r="B2631" s="2" t="str">
        <f>"3328091210870001"</f>
        <v>3328091210870001</v>
      </c>
      <c r="C2631" s="2" t="s">
        <v>3267</v>
      </c>
      <c r="D2631" s="2" t="s">
        <v>17</v>
      </c>
      <c r="E2631" s="2" t="s">
        <v>11</v>
      </c>
      <c r="F2631" s="2" t="s">
        <v>18</v>
      </c>
      <c r="G2631" s="2" t="s">
        <v>19</v>
      </c>
      <c r="H2631" s="2" t="s">
        <v>2575</v>
      </c>
      <c r="I2631" s="2" t="s">
        <v>3170</v>
      </c>
    </row>
    <row r="2632" spans="1:9" ht="14.5" x14ac:dyDescent="0.35">
      <c r="A2632" s="2">
        <v>592374</v>
      </c>
      <c r="B2632" s="2" t="str">
        <f>"3328091305000007"</f>
        <v>3328091305000007</v>
      </c>
      <c r="C2632" s="2" t="s">
        <v>3268</v>
      </c>
      <c r="D2632" s="2" t="s">
        <v>10</v>
      </c>
      <c r="E2632" s="2" t="s">
        <v>11</v>
      </c>
      <c r="F2632" s="2" t="s">
        <v>91</v>
      </c>
      <c r="G2632" s="2" t="s">
        <v>2364</v>
      </c>
      <c r="H2632" s="2" t="s">
        <v>3269</v>
      </c>
      <c r="I2632" s="2" t="s">
        <v>3270</v>
      </c>
    </row>
    <row r="2633" spans="1:9" ht="14.5" x14ac:dyDescent="0.35">
      <c r="A2633" s="2">
        <v>2574087</v>
      </c>
      <c r="B2633" s="2" t="str">
        <f>"3328091305000007"</f>
        <v>3328091305000007</v>
      </c>
      <c r="C2633" s="2" t="s">
        <v>3268</v>
      </c>
      <c r="D2633" s="2" t="s">
        <v>17</v>
      </c>
      <c r="E2633" s="2" t="s">
        <v>11</v>
      </c>
      <c r="F2633" s="2" t="s">
        <v>18</v>
      </c>
      <c r="G2633" s="2" t="s">
        <v>19</v>
      </c>
      <c r="H2633" s="2" t="s">
        <v>2575</v>
      </c>
      <c r="I2633" s="2" t="s">
        <v>2575</v>
      </c>
    </row>
    <row r="2634" spans="1:9" ht="14.5" x14ac:dyDescent="0.35">
      <c r="A2634" s="2">
        <v>38684</v>
      </c>
      <c r="B2634" s="2" t="str">
        <f>"3328091305020006"</f>
        <v>3328091305020006</v>
      </c>
      <c r="C2634" s="2" t="s">
        <v>3271</v>
      </c>
      <c r="D2634" s="2" t="s">
        <v>10</v>
      </c>
      <c r="E2634" s="2" t="s">
        <v>11</v>
      </c>
      <c r="F2634" s="2" t="s">
        <v>18</v>
      </c>
      <c r="G2634" s="2" t="s">
        <v>385</v>
      </c>
      <c r="H2634" s="2" t="s">
        <v>3272</v>
      </c>
      <c r="I2634" s="2" t="s">
        <v>3273</v>
      </c>
    </row>
    <row r="2635" spans="1:9" ht="14.5" x14ac:dyDescent="0.35">
      <c r="A2635" s="2">
        <v>2546976</v>
      </c>
      <c r="B2635" s="2" t="str">
        <f>"3328091305020006"</f>
        <v>3328091305020006</v>
      </c>
      <c r="C2635" s="2" t="s">
        <v>3271</v>
      </c>
      <c r="D2635" s="2" t="s">
        <v>17</v>
      </c>
      <c r="E2635" s="2" t="s">
        <v>11</v>
      </c>
      <c r="F2635" s="2" t="s">
        <v>18</v>
      </c>
      <c r="G2635" s="2" t="s">
        <v>19</v>
      </c>
      <c r="H2635" s="2" t="s">
        <v>2575</v>
      </c>
      <c r="I2635" s="2" t="s">
        <v>3165</v>
      </c>
    </row>
    <row r="2636" spans="1:9" ht="14.5" x14ac:dyDescent="0.35">
      <c r="A2636" s="2">
        <v>1399099</v>
      </c>
      <c r="B2636" s="2" t="str">
        <f>"3328091310910002"</f>
        <v>3328091310910002</v>
      </c>
      <c r="C2636" s="2" t="s">
        <v>3274</v>
      </c>
      <c r="D2636" s="2" t="s">
        <v>10</v>
      </c>
      <c r="E2636" s="2" t="s">
        <v>11</v>
      </c>
      <c r="F2636" s="2" t="s">
        <v>18</v>
      </c>
      <c r="G2636" s="2" t="s">
        <v>19</v>
      </c>
      <c r="H2636" s="2" t="s">
        <v>2575</v>
      </c>
      <c r="I2636" s="2" t="s">
        <v>1410</v>
      </c>
    </row>
    <row r="2637" spans="1:9" ht="14.5" x14ac:dyDescent="0.35">
      <c r="A2637" s="2">
        <v>423776</v>
      </c>
      <c r="B2637" s="2" t="str">
        <f>"3328091310910002"</f>
        <v>3328091310910002</v>
      </c>
      <c r="C2637" s="2" t="s">
        <v>3275</v>
      </c>
      <c r="D2637" s="2" t="s">
        <v>10</v>
      </c>
      <c r="E2637" s="2" t="s">
        <v>57</v>
      </c>
      <c r="F2637" s="2" t="s">
        <v>18</v>
      </c>
      <c r="G2637" s="2" t="s">
        <v>268</v>
      </c>
      <c r="H2637" s="2" t="s">
        <v>277</v>
      </c>
      <c r="I2637" s="2" t="s">
        <v>278</v>
      </c>
    </row>
    <row r="2638" spans="1:9" ht="14.5" x14ac:dyDescent="0.35">
      <c r="A2638" s="2">
        <v>531474</v>
      </c>
      <c r="B2638" s="2" t="str">
        <f>"3328091403870001"</f>
        <v>3328091403870001</v>
      </c>
      <c r="C2638" s="2" t="s">
        <v>3276</v>
      </c>
      <c r="D2638" s="2" t="s">
        <v>10</v>
      </c>
      <c r="E2638" s="2" t="s">
        <v>11</v>
      </c>
      <c r="F2638" s="2" t="s">
        <v>67</v>
      </c>
      <c r="G2638" s="2" t="s">
        <v>791</v>
      </c>
      <c r="H2638" s="2" t="s">
        <v>1852</v>
      </c>
      <c r="I2638" s="2" t="s">
        <v>906</v>
      </c>
    </row>
    <row r="2639" spans="1:9" ht="14.5" x14ac:dyDescent="0.35">
      <c r="A2639" s="2">
        <v>2544948</v>
      </c>
      <c r="B2639" s="2" t="str">
        <f>"3328091403870001"</f>
        <v>3328091403870001</v>
      </c>
      <c r="C2639" s="2" t="s">
        <v>3276</v>
      </c>
      <c r="D2639" s="2" t="s">
        <v>17</v>
      </c>
      <c r="E2639" s="2" t="s">
        <v>11</v>
      </c>
      <c r="F2639" s="2" t="s">
        <v>18</v>
      </c>
      <c r="G2639" s="2" t="s">
        <v>19</v>
      </c>
      <c r="H2639" s="2" t="s">
        <v>2575</v>
      </c>
      <c r="I2639" s="2" t="s">
        <v>3217</v>
      </c>
    </row>
    <row r="2640" spans="1:9" ht="14.5" x14ac:dyDescent="0.35">
      <c r="A2640" s="2">
        <v>1273727</v>
      </c>
      <c r="B2640" s="2" t="str">
        <f>"3328091408980001"</f>
        <v>3328091408980001</v>
      </c>
      <c r="C2640" s="2" t="s">
        <v>3277</v>
      </c>
      <c r="D2640" s="2" t="s">
        <v>10</v>
      </c>
      <c r="E2640" s="2" t="s">
        <v>11</v>
      </c>
      <c r="F2640" s="2" t="s">
        <v>91</v>
      </c>
      <c r="G2640" s="2" t="s">
        <v>159</v>
      </c>
      <c r="H2640" s="2" t="s">
        <v>3107</v>
      </c>
      <c r="I2640" s="2" t="s">
        <v>680</v>
      </c>
    </row>
    <row r="2641" spans="1:9" ht="14.5" x14ac:dyDescent="0.35">
      <c r="A2641" s="2">
        <v>2548412</v>
      </c>
      <c r="B2641" s="2" t="str">
        <f>"3328091408980001"</f>
        <v>3328091408980001</v>
      </c>
      <c r="C2641" s="2" t="s">
        <v>3278</v>
      </c>
      <c r="D2641" s="2" t="s">
        <v>17</v>
      </c>
      <c r="E2641" s="2" t="s">
        <v>11</v>
      </c>
      <c r="F2641" s="2" t="s">
        <v>18</v>
      </c>
      <c r="G2641" s="2" t="s">
        <v>19</v>
      </c>
      <c r="H2641" s="2" t="s">
        <v>2575</v>
      </c>
      <c r="I2641" s="2" t="s">
        <v>3257</v>
      </c>
    </row>
    <row r="2642" spans="1:9" ht="14.5" x14ac:dyDescent="0.35">
      <c r="A2642" s="2">
        <v>1717339</v>
      </c>
      <c r="B2642" s="2" t="str">
        <f>"3328091509810009"</f>
        <v>3328091509810009</v>
      </c>
      <c r="C2642" s="2" t="s">
        <v>3279</v>
      </c>
      <c r="D2642" s="2" t="s">
        <v>10</v>
      </c>
      <c r="E2642" s="2" t="s">
        <v>11</v>
      </c>
      <c r="F2642" s="2" t="s">
        <v>91</v>
      </c>
      <c r="G2642" s="2" t="s">
        <v>159</v>
      </c>
      <c r="H2642" s="2" t="s">
        <v>1337</v>
      </c>
      <c r="I2642" s="2" t="s">
        <v>3280</v>
      </c>
    </row>
    <row r="2643" spans="1:9" ht="14.5" x14ac:dyDescent="0.35">
      <c r="A2643" s="2">
        <v>2544876</v>
      </c>
      <c r="B2643" s="2" t="str">
        <f>"3328091509810009"</f>
        <v>3328091509810009</v>
      </c>
      <c r="C2643" s="2" t="s">
        <v>3279</v>
      </c>
      <c r="D2643" s="2" t="s">
        <v>17</v>
      </c>
      <c r="E2643" s="2" t="s">
        <v>11</v>
      </c>
      <c r="F2643" s="2" t="s">
        <v>18</v>
      </c>
      <c r="G2643" s="2" t="s">
        <v>19</v>
      </c>
      <c r="H2643" s="2" t="s">
        <v>2575</v>
      </c>
      <c r="I2643" s="2" t="s">
        <v>3217</v>
      </c>
    </row>
    <row r="2644" spans="1:9" ht="14.5" x14ac:dyDescent="0.35">
      <c r="A2644" s="2">
        <v>324074</v>
      </c>
      <c r="B2644" s="2" t="str">
        <f>"3328091607830003"</f>
        <v>3328091607830003</v>
      </c>
      <c r="C2644" s="2" t="s">
        <v>3281</v>
      </c>
      <c r="D2644" s="2" t="s">
        <v>10</v>
      </c>
      <c r="E2644" s="2" t="s">
        <v>11</v>
      </c>
      <c r="F2644" s="2" t="s">
        <v>232</v>
      </c>
      <c r="G2644" s="2" t="s">
        <v>3282</v>
      </c>
      <c r="H2644" s="2" t="s">
        <v>3283</v>
      </c>
      <c r="I2644" s="2" t="s">
        <v>3284</v>
      </c>
    </row>
    <row r="2645" spans="1:9" ht="14.5" x14ac:dyDescent="0.35">
      <c r="A2645" s="2">
        <v>2545347</v>
      </c>
      <c r="B2645" s="2" t="str">
        <f>"3328091607830003"</f>
        <v>3328091607830003</v>
      </c>
      <c r="C2645" s="2" t="s">
        <v>3285</v>
      </c>
      <c r="D2645" s="2" t="s">
        <v>17</v>
      </c>
      <c r="E2645" s="2" t="s">
        <v>11</v>
      </c>
      <c r="F2645" s="2" t="s">
        <v>18</v>
      </c>
      <c r="G2645" s="2" t="s">
        <v>19</v>
      </c>
      <c r="H2645" s="2" t="s">
        <v>2575</v>
      </c>
      <c r="I2645" s="2" t="s">
        <v>3178</v>
      </c>
    </row>
    <row r="2646" spans="1:9" ht="14.5" x14ac:dyDescent="0.35">
      <c r="A2646" s="2">
        <v>1089685</v>
      </c>
      <c r="B2646" s="2" t="str">
        <f>"3328091703730012"</f>
        <v>3328091703730012</v>
      </c>
      <c r="C2646" s="2" t="s">
        <v>2576</v>
      </c>
      <c r="D2646" s="2" t="s">
        <v>10</v>
      </c>
      <c r="E2646" s="2" t="s">
        <v>11</v>
      </c>
      <c r="F2646" s="2" t="s">
        <v>91</v>
      </c>
      <c r="G2646" s="2" t="s">
        <v>903</v>
      </c>
      <c r="H2646" s="2" t="s">
        <v>2371</v>
      </c>
      <c r="I2646" s="2" t="s">
        <v>3286</v>
      </c>
    </row>
    <row r="2647" spans="1:9" ht="14.5" x14ac:dyDescent="0.35">
      <c r="A2647" s="2">
        <v>2547350</v>
      </c>
      <c r="B2647" s="2" t="str">
        <f>"3328091703730012"</f>
        <v>3328091703730012</v>
      </c>
      <c r="C2647" s="2" t="s">
        <v>2576</v>
      </c>
      <c r="D2647" s="2" t="s">
        <v>17</v>
      </c>
      <c r="E2647" s="2" t="s">
        <v>11</v>
      </c>
      <c r="F2647" s="2" t="s">
        <v>18</v>
      </c>
      <c r="G2647" s="2" t="s">
        <v>19</v>
      </c>
      <c r="H2647" s="2" t="s">
        <v>2575</v>
      </c>
      <c r="I2647" s="2" t="s">
        <v>3188</v>
      </c>
    </row>
    <row r="2648" spans="1:9" ht="14.5" x14ac:dyDescent="0.35">
      <c r="A2648" s="2">
        <v>834288</v>
      </c>
      <c r="B2648" s="2" t="str">
        <f>"3328092004890005"</f>
        <v>3328092004890005</v>
      </c>
      <c r="C2648" s="2" t="s">
        <v>3287</v>
      </c>
      <c r="D2648" s="2" t="s">
        <v>10</v>
      </c>
      <c r="E2648" s="2" t="s">
        <v>11</v>
      </c>
      <c r="F2648" s="2" t="s">
        <v>50</v>
      </c>
      <c r="G2648" s="2" t="s">
        <v>51</v>
      </c>
      <c r="H2648" s="2" t="s">
        <v>284</v>
      </c>
      <c r="I2648" s="2" t="s">
        <v>400</v>
      </c>
    </row>
    <row r="2649" spans="1:9" ht="14.5" x14ac:dyDescent="0.35">
      <c r="A2649" s="2">
        <v>2546886</v>
      </c>
      <c r="B2649" s="2" t="str">
        <f>"3328092004890005"</f>
        <v>3328092004890005</v>
      </c>
      <c r="C2649" s="2" t="s">
        <v>3287</v>
      </c>
      <c r="D2649" s="2" t="s">
        <v>17</v>
      </c>
      <c r="E2649" s="2" t="s">
        <v>11</v>
      </c>
      <c r="F2649" s="2" t="s">
        <v>18</v>
      </c>
      <c r="G2649" s="2" t="s">
        <v>19</v>
      </c>
      <c r="H2649" s="2" t="s">
        <v>2575</v>
      </c>
      <c r="I2649" s="2" t="s">
        <v>3203</v>
      </c>
    </row>
    <row r="2650" spans="1:9" ht="14.5" x14ac:dyDescent="0.35">
      <c r="A2650" s="2">
        <v>1081608</v>
      </c>
      <c r="B2650" s="2" t="str">
        <f>"3328092104000004"</f>
        <v>3328092104000004</v>
      </c>
      <c r="C2650" s="2" t="s">
        <v>3288</v>
      </c>
      <c r="D2650" s="2" t="s">
        <v>10</v>
      </c>
      <c r="E2650" s="2" t="s">
        <v>11</v>
      </c>
      <c r="F2650" s="2" t="s">
        <v>91</v>
      </c>
      <c r="G2650" s="2" t="s">
        <v>159</v>
      </c>
      <c r="H2650" s="2" t="s">
        <v>1828</v>
      </c>
      <c r="I2650" s="2" t="s">
        <v>3289</v>
      </c>
    </row>
    <row r="2651" spans="1:9" ht="14.5" x14ac:dyDescent="0.35">
      <c r="A2651" s="2">
        <v>2545743</v>
      </c>
      <c r="B2651" s="2" t="str">
        <f>"3328092104000004"</f>
        <v>3328092104000004</v>
      </c>
      <c r="C2651" s="2" t="s">
        <v>3288</v>
      </c>
      <c r="D2651" s="2" t="s">
        <v>17</v>
      </c>
      <c r="E2651" s="2" t="s">
        <v>11</v>
      </c>
      <c r="F2651" s="2" t="s">
        <v>18</v>
      </c>
      <c r="G2651" s="2" t="s">
        <v>19</v>
      </c>
      <c r="H2651" s="2" t="s">
        <v>2575</v>
      </c>
      <c r="I2651" s="2" t="s">
        <v>3180</v>
      </c>
    </row>
    <row r="2652" spans="1:9" ht="14.5" x14ac:dyDescent="0.35">
      <c r="A2652" s="2">
        <v>827767</v>
      </c>
      <c r="B2652" s="2" t="str">
        <f>"3328092209030006"</f>
        <v>3328092209030006</v>
      </c>
      <c r="C2652" s="2" t="s">
        <v>3290</v>
      </c>
      <c r="D2652" s="2" t="s">
        <v>10</v>
      </c>
      <c r="E2652" s="2" t="s">
        <v>11</v>
      </c>
      <c r="F2652" s="2" t="s">
        <v>232</v>
      </c>
      <c r="G2652" s="2" t="s">
        <v>1981</v>
      </c>
      <c r="H2652" s="2" t="s">
        <v>1982</v>
      </c>
      <c r="I2652" s="2" t="s">
        <v>3291</v>
      </c>
    </row>
    <row r="2653" spans="1:9" ht="14.5" x14ac:dyDescent="0.35">
      <c r="A2653" s="2">
        <v>2545361</v>
      </c>
      <c r="B2653" s="2" t="str">
        <f>"3328092209030006"</f>
        <v>3328092209030006</v>
      </c>
      <c r="C2653" s="2" t="s">
        <v>3290</v>
      </c>
      <c r="D2653" s="2" t="s">
        <v>17</v>
      </c>
      <c r="E2653" s="2" t="s">
        <v>11</v>
      </c>
      <c r="F2653" s="2" t="s">
        <v>18</v>
      </c>
      <c r="G2653" s="2" t="s">
        <v>19</v>
      </c>
      <c r="H2653" s="2" t="s">
        <v>2575</v>
      </c>
      <c r="I2653" s="2" t="s">
        <v>3178</v>
      </c>
    </row>
    <row r="2654" spans="1:9" ht="14.5" x14ac:dyDescent="0.35">
      <c r="A2654" s="2">
        <v>1861053</v>
      </c>
      <c r="B2654" s="2" t="str">
        <f>"3328092504020002"</f>
        <v>3328092504020002</v>
      </c>
      <c r="C2654" s="2" t="s">
        <v>3292</v>
      </c>
      <c r="D2654" s="2" t="s">
        <v>10</v>
      </c>
      <c r="E2654" s="2" t="s">
        <v>11</v>
      </c>
      <c r="F2654" s="2" t="s">
        <v>50</v>
      </c>
      <c r="G2654" s="2" t="s">
        <v>58</v>
      </c>
      <c r="H2654" s="2" t="s">
        <v>97</v>
      </c>
      <c r="I2654" s="2" t="s">
        <v>342</v>
      </c>
    </row>
    <row r="2655" spans="1:9" ht="14.5" x14ac:dyDescent="0.35">
      <c r="A2655" s="2">
        <v>2544850</v>
      </c>
      <c r="B2655" s="2" t="str">
        <f>"3328092504020002"</f>
        <v>3328092504020002</v>
      </c>
      <c r="C2655" s="2" t="s">
        <v>3293</v>
      </c>
      <c r="D2655" s="2" t="s">
        <v>17</v>
      </c>
      <c r="E2655" s="2" t="s">
        <v>11</v>
      </c>
      <c r="F2655" s="2" t="s">
        <v>18</v>
      </c>
      <c r="G2655" s="2" t="s">
        <v>19</v>
      </c>
      <c r="H2655" s="2" t="s">
        <v>2575</v>
      </c>
      <c r="I2655" s="2" t="s">
        <v>3217</v>
      </c>
    </row>
    <row r="2656" spans="1:9" ht="14.5" x14ac:dyDescent="0.35">
      <c r="A2656" s="2">
        <v>1634530</v>
      </c>
      <c r="B2656" s="2" t="str">
        <f>"3328092505710003"</f>
        <v>3328092505710003</v>
      </c>
      <c r="C2656" s="2" t="s">
        <v>3294</v>
      </c>
      <c r="D2656" s="2" t="s">
        <v>10</v>
      </c>
      <c r="E2656" s="2" t="s">
        <v>11</v>
      </c>
      <c r="F2656" s="2" t="s">
        <v>18</v>
      </c>
      <c r="G2656" s="2" t="s">
        <v>19</v>
      </c>
      <c r="H2656" s="2" t="s">
        <v>2575</v>
      </c>
      <c r="I2656" s="2" t="s">
        <v>2575</v>
      </c>
    </row>
    <row r="2657" spans="1:9" ht="14.5" x14ac:dyDescent="0.35">
      <c r="A2657" s="2">
        <v>2432817</v>
      </c>
      <c r="B2657" s="2" t="str">
        <f>"3328092505710003"</f>
        <v>3328092505710003</v>
      </c>
      <c r="C2657" s="2" t="s">
        <v>3294</v>
      </c>
      <c r="D2657" s="2" t="s">
        <v>17</v>
      </c>
      <c r="E2657" s="2" t="s">
        <v>11</v>
      </c>
      <c r="F2657" s="2" t="s">
        <v>50</v>
      </c>
      <c r="G2657" s="2" t="s">
        <v>58</v>
      </c>
      <c r="H2657" s="2" t="s">
        <v>1747</v>
      </c>
      <c r="I2657" s="2" t="s">
        <v>2291</v>
      </c>
    </row>
    <row r="2658" spans="1:9" ht="14.5" x14ac:dyDescent="0.35">
      <c r="A2658" s="2">
        <v>1413415</v>
      </c>
      <c r="B2658" s="2" t="str">
        <f>"3328092601980001"</f>
        <v>3328092601980001</v>
      </c>
      <c r="C2658" s="2" t="s">
        <v>3295</v>
      </c>
      <c r="D2658" s="2" t="s">
        <v>10</v>
      </c>
      <c r="E2658" s="2" t="s">
        <v>11</v>
      </c>
      <c r="F2658" s="2" t="s">
        <v>18</v>
      </c>
      <c r="G2658" s="2" t="s">
        <v>19</v>
      </c>
      <c r="H2658" s="2" t="s">
        <v>2575</v>
      </c>
      <c r="I2658" s="2" t="s">
        <v>3211</v>
      </c>
    </row>
    <row r="2659" spans="1:9" ht="14.5" x14ac:dyDescent="0.35">
      <c r="A2659" s="2">
        <v>445177</v>
      </c>
      <c r="B2659" s="2" t="str">
        <f>"3328092601980001"</f>
        <v>3328092601980001</v>
      </c>
      <c r="C2659" s="2" t="s">
        <v>3295</v>
      </c>
      <c r="D2659" s="2" t="s">
        <v>10</v>
      </c>
      <c r="E2659" s="2" t="s">
        <v>57</v>
      </c>
      <c r="F2659" s="2" t="s">
        <v>521</v>
      </c>
      <c r="G2659" s="2" t="s">
        <v>3296</v>
      </c>
      <c r="H2659" s="2" t="s">
        <v>3297</v>
      </c>
      <c r="I2659" s="2" t="s">
        <v>3298</v>
      </c>
    </row>
    <row r="2660" spans="1:9" ht="14.5" x14ac:dyDescent="0.35">
      <c r="A2660" s="2">
        <v>133085</v>
      </c>
      <c r="B2660" s="2" t="str">
        <f>"3328092710980007"</f>
        <v>3328092710980007</v>
      </c>
      <c r="C2660" s="2" t="s">
        <v>3299</v>
      </c>
      <c r="D2660" s="2" t="s">
        <v>10</v>
      </c>
      <c r="E2660" s="2" t="s">
        <v>11</v>
      </c>
      <c r="F2660" s="2" t="s">
        <v>232</v>
      </c>
      <c r="G2660" s="2" t="s">
        <v>3300</v>
      </c>
      <c r="H2660" s="2" t="s">
        <v>3301</v>
      </c>
      <c r="I2660" s="2" t="s">
        <v>3302</v>
      </c>
    </row>
    <row r="2661" spans="1:9" ht="14.5" x14ac:dyDescent="0.35">
      <c r="A2661" s="2">
        <v>2547547</v>
      </c>
      <c r="B2661" s="2" t="str">
        <f>"3328092710980007"</f>
        <v>3328092710980007</v>
      </c>
      <c r="C2661" s="2" t="s">
        <v>3299</v>
      </c>
      <c r="D2661" s="2" t="s">
        <v>17</v>
      </c>
      <c r="E2661" s="2" t="s">
        <v>11</v>
      </c>
      <c r="F2661" s="2" t="s">
        <v>18</v>
      </c>
      <c r="G2661" s="2" t="s">
        <v>19</v>
      </c>
      <c r="H2661" s="2" t="s">
        <v>2575</v>
      </c>
      <c r="I2661" s="2" t="s">
        <v>3176</v>
      </c>
    </row>
    <row r="2662" spans="1:9" ht="14.5" x14ac:dyDescent="0.35">
      <c r="A2662" s="2">
        <v>1644765</v>
      </c>
      <c r="B2662" s="2" t="str">
        <f>"3328092803970005"</f>
        <v>3328092803970005</v>
      </c>
      <c r="C2662" s="2" t="s">
        <v>3303</v>
      </c>
      <c r="D2662" s="2" t="s">
        <v>10</v>
      </c>
      <c r="E2662" s="2" t="s">
        <v>11</v>
      </c>
      <c r="F2662" s="2" t="s">
        <v>50</v>
      </c>
      <c r="G2662" s="2" t="s">
        <v>72</v>
      </c>
      <c r="H2662" s="2" t="s">
        <v>1172</v>
      </c>
      <c r="I2662" s="2" t="s">
        <v>1173</v>
      </c>
    </row>
    <row r="2663" spans="1:9" ht="14.5" x14ac:dyDescent="0.35">
      <c r="A2663" s="2">
        <v>2545771</v>
      </c>
      <c r="B2663" s="2" t="str">
        <f>"3328092803970005"</f>
        <v>3328092803970005</v>
      </c>
      <c r="C2663" s="2" t="s">
        <v>3303</v>
      </c>
      <c r="D2663" s="2" t="s">
        <v>17</v>
      </c>
      <c r="E2663" s="2" t="s">
        <v>11</v>
      </c>
      <c r="F2663" s="2" t="s">
        <v>18</v>
      </c>
      <c r="G2663" s="2" t="s">
        <v>19</v>
      </c>
      <c r="H2663" s="2" t="s">
        <v>2575</v>
      </c>
      <c r="I2663" s="2" t="s">
        <v>3180</v>
      </c>
    </row>
    <row r="2664" spans="1:9" ht="14.5" x14ac:dyDescent="0.35">
      <c r="A2664" s="2">
        <v>615785</v>
      </c>
      <c r="B2664" s="2" t="str">
        <f>"3328093001060009"</f>
        <v>3328093001060009</v>
      </c>
      <c r="C2664" s="2" t="s">
        <v>3304</v>
      </c>
      <c r="D2664" s="2" t="s">
        <v>10</v>
      </c>
      <c r="E2664" s="2" t="s">
        <v>11</v>
      </c>
      <c r="F2664" s="2" t="s">
        <v>50</v>
      </c>
      <c r="G2664" s="2" t="s">
        <v>86</v>
      </c>
      <c r="H2664" s="2" t="s">
        <v>1463</v>
      </c>
      <c r="I2664" s="2" t="s">
        <v>3261</v>
      </c>
    </row>
    <row r="2665" spans="1:9" ht="14.5" x14ac:dyDescent="0.35">
      <c r="A2665" s="2">
        <v>2547801</v>
      </c>
      <c r="B2665" s="2" t="str">
        <f>"3328093001060009"</f>
        <v>3328093001060009</v>
      </c>
      <c r="C2665" s="2" t="s">
        <v>3305</v>
      </c>
      <c r="D2665" s="2" t="s">
        <v>17</v>
      </c>
      <c r="E2665" s="2" t="s">
        <v>11</v>
      </c>
      <c r="F2665" s="2" t="s">
        <v>18</v>
      </c>
      <c r="G2665" s="2" t="s">
        <v>19</v>
      </c>
      <c r="H2665" s="2" t="s">
        <v>2575</v>
      </c>
      <c r="I2665" s="2" t="s">
        <v>3176</v>
      </c>
    </row>
    <row r="2666" spans="1:9" ht="14.5" x14ac:dyDescent="0.35">
      <c r="A2666" s="2">
        <v>1717340</v>
      </c>
      <c r="B2666" s="2" t="str">
        <f>"3328094401880002"</f>
        <v>3328094401880002</v>
      </c>
      <c r="C2666" s="2" t="s">
        <v>3306</v>
      </c>
      <c r="D2666" s="2" t="s">
        <v>10</v>
      </c>
      <c r="E2666" s="2" t="s">
        <v>11</v>
      </c>
      <c r="F2666" s="2" t="s">
        <v>91</v>
      </c>
      <c r="G2666" s="2" t="s">
        <v>159</v>
      </c>
      <c r="H2666" s="2" t="s">
        <v>1337</v>
      </c>
      <c r="I2666" s="2" t="s">
        <v>3280</v>
      </c>
    </row>
    <row r="2667" spans="1:9" ht="14.5" x14ac:dyDescent="0.35">
      <c r="A2667" s="2">
        <v>2544877</v>
      </c>
      <c r="B2667" s="2" t="str">
        <f>"3328094401880002"</f>
        <v>3328094401880002</v>
      </c>
      <c r="C2667" s="2" t="s">
        <v>3306</v>
      </c>
      <c r="D2667" s="2" t="s">
        <v>17</v>
      </c>
      <c r="E2667" s="2" t="s">
        <v>11</v>
      </c>
      <c r="F2667" s="2" t="s">
        <v>18</v>
      </c>
      <c r="G2667" s="2" t="s">
        <v>19</v>
      </c>
      <c r="H2667" s="2" t="s">
        <v>2575</v>
      </c>
      <c r="I2667" s="2" t="s">
        <v>3217</v>
      </c>
    </row>
    <row r="2668" spans="1:9" ht="14.5" x14ac:dyDescent="0.35">
      <c r="A2668" s="2">
        <v>1632107</v>
      </c>
      <c r="B2668" s="2" t="str">
        <f>"3328094405850007"</f>
        <v>3328094405850007</v>
      </c>
      <c r="C2668" s="2" t="s">
        <v>3307</v>
      </c>
      <c r="D2668" s="2" t="s">
        <v>10</v>
      </c>
      <c r="E2668" s="2" t="s">
        <v>11</v>
      </c>
      <c r="F2668" s="2" t="s">
        <v>18</v>
      </c>
      <c r="G2668" s="2" t="s">
        <v>19</v>
      </c>
      <c r="H2668" s="2" t="s">
        <v>2575</v>
      </c>
      <c r="I2668" s="2" t="s">
        <v>2575</v>
      </c>
    </row>
    <row r="2669" spans="1:9" ht="14.5" x14ac:dyDescent="0.35">
      <c r="A2669" s="2">
        <v>423879</v>
      </c>
      <c r="B2669" s="2" t="str">
        <f>"3328094405850007"</f>
        <v>3328094405850007</v>
      </c>
      <c r="C2669" s="2" t="s">
        <v>3308</v>
      </c>
      <c r="D2669" s="2" t="s">
        <v>10</v>
      </c>
      <c r="E2669" s="2" t="s">
        <v>57</v>
      </c>
      <c r="F2669" s="2" t="s">
        <v>18</v>
      </c>
      <c r="G2669" s="2" t="s">
        <v>268</v>
      </c>
      <c r="H2669" s="2" t="s">
        <v>277</v>
      </c>
      <c r="I2669" s="2" t="s">
        <v>278</v>
      </c>
    </row>
    <row r="2670" spans="1:9" ht="14.5" x14ac:dyDescent="0.35">
      <c r="A2670" s="2">
        <v>1290093</v>
      </c>
      <c r="B2670" s="2" t="str">
        <f>"3328094502960002"</f>
        <v>3328094502960002</v>
      </c>
      <c r="C2670" s="2" t="s">
        <v>2608</v>
      </c>
      <c r="D2670" s="2" t="s">
        <v>10</v>
      </c>
      <c r="E2670" s="2" t="s">
        <v>11</v>
      </c>
      <c r="F2670" s="2" t="s">
        <v>91</v>
      </c>
      <c r="G2670" s="2" t="s">
        <v>92</v>
      </c>
      <c r="H2670" s="2" t="s">
        <v>571</v>
      </c>
      <c r="I2670" s="2" t="s">
        <v>3309</v>
      </c>
    </row>
    <row r="2671" spans="1:9" ht="14.5" x14ac:dyDescent="0.35">
      <c r="A2671" s="2">
        <v>2545457</v>
      </c>
      <c r="B2671" s="2" t="str">
        <f>"3328094502960002"</f>
        <v>3328094502960002</v>
      </c>
      <c r="C2671" s="2" t="s">
        <v>2608</v>
      </c>
      <c r="D2671" s="2" t="s">
        <v>17</v>
      </c>
      <c r="E2671" s="2" t="s">
        <v>11</v>
      </c>
      <c r="F2671" s="2" t="s">
        <v>18</v>
      </c>
      <c r="G2671" s="2" t="s">
        <v>19</v>
      </c>
      <c r="H2671" s="2" t="s">
        <v>2575</v>
      </c>
      <c r="I2671" s="2" t="s">
        <v>1207</v>
      </c>
    </row>
    <row r="2672" spans="1:9" ht="14.5" x14ac:dyDescent="0.35">
      <c r="A2672" s="2">
        <v>1634989</v>
      </c>
      <c r="B2672" s="2" t="str">
        <f>"3328094505720008"</f>
        <v>3328094505720008</v>
      </c>
      <c r="C2672" s="2" t="s">
        <v>3310</v>
      </c>
      <c r="D2672" s="2" t="s">
        <v>10</v>
      </c>
      <c r="E2672" s="2" t="s">
        <v>11</v>
      </c>
      <c r="F2672" s="2" t="s">
        <v>18</v>
      </c>
      <c r="G2672" s="2" t="s">
        <v>19</v>
      </c>
      <c r="H2672" s="2" t="s">
        <v>2575</v>
      </c>
      <c r="I2672" s="2" t="s">
        <v>2575</v>
      </c>
    </row>
    <row r="2673" spans="1:9" ht="14.5" x14ac:dyDescent="0.35">
      <c r="A2673" s="2">
        <v>423800</v>
      </c>
      <c r="B2673" s="2" t="str">
        <f>"3328094505720008"</f>
        <v>3328094505720008</v>
      </c>
      <c r="C2673" s="2" t="s">
        <v>3311</v>
      </c>
      <c r="D2673" s="2" t="s">
        <v>10</v>
      </c>
      <c r="E2673" s="2" t="s">
        <v>57</v>
      </c>
      <c r="F2673" s="2" t="s">
        <v>18</v>
      </c>
      <c r="G2673" s="2" t="s">
        <v>268</v>
      </c>
      <c r="H2673" s="2" t="s">
        <v>277</v>
      </c>
      <c r="I2673" s="2" t="s">
        <v>278</v>
      </c>
    </row>
    <row r="2674" spans="1:9" ht="14.5" x14ac:dyDescent="0.35">
      <c r="A2674" s="2">
        <v>1415488</v>
      </c>
      <c r="B2674" s="2" t="str">
        <f>"3328094511950008"</f>
        <v>3328094511950008</v>
      </c>
      <c r="C2674" s="2" t="s">
        <v>3312</v>
      </c>
      <c r="D2674" s="2" t="s">
        <v>10</v>
      </c>
      <c r="E2674" s="2" t="s">
        <v>11</v>
      </c>
      <c r="F2674" s="2" t="s">
        <v>18</v>
      </c>
      <c r="G2674" s="2" t="s">
        <v>195</v>
      </c>
      <c r="H2674" s="2" t="s">
        <v>1381</v>
      </c>
      <c r="I2674" s="2" t="s">
        <v>3313</v>
      </c>
    </row>
    <row r="2675" spans="1:9" ht="14.5" x14ac:dyDescent="0.35">
      <c r="A2675" s="2">
        <v>2546360</v>
      </c>
      <c r="B2675" s="2" t="str">
        <f>"3328094511950008"</f>
        <v>3328094511950008</v>
      </c>
      <c r="C2675" s="2" t="s">
        <v>3314</v>
      </c>
      <c r="D2675" s="2" t="s">
        <v>17</v>
      </c>
      <c r="E2675" s="2" t="s">
        <v>11</v>
      </c>
      <c r="F2675" s="2" t="s">
        <v>18</v>
      </c>
      <c r="G2675" s="2" t="s">
        <v>19</v>
      </c>
      <c r="H2675" s="2" t="s">
        <v>2575</v>
      </c>
      <c r="I2675" s="2" t="s">
        <v>3203</v>
      </c>
    </row>
    <row r="2676" spans="1:9" ht="14.5" x14ac:dyDescent="0.35">
      <c r="A2676" s="2">
        <v>1634533</v>
      </c>
      <c r="B2676" s="2" t="str">
        <f>"3328094810750002"</f>
        <v>3328094810750002</v>
      </c>
      <c r="C2676" s="2" t="s">
        <v>3315</v>
      </c>
      <c r="D2676" s="2" t="s">
        <v>10</v>
      </c>
      <c r="E2676" s="2" t="s">
        <v>11</v>
      </c>
      <c r="F2676" s="2" t="s">
        <v>18</v>
      </c>
      <c r="G2676" s="2" t="s">
        <v>19</v>
      </c>
      <c r="H2676" s="2" t="s">
        <v>2575</v>
      </c>
      <c r="I2676" s="2" t="s">
        <v>2575</v>
      </c>
    </row>
    <row r="2677" spans="1:9" ht="14.5" x14ac:dyDescent="0.35">
      <c r="A2677" s="2">
        <v>2432818</v>
      </c>
      <c r="B2677" s="2" t="str">
        <f>"3328094810750002"</f>
        <v>3328094810750002</v>
      </c>
      <c r="C2677" s="2" t="s">
        <v>3315</v>
      </c>
      <c r="D2677" s="2" t="s">
        <v>17</v>
      </c>
      <c r="E2677" s="2" t="s">
        <v>11</v>
      </c>
      <c r="F2677" s="2" t="s">
        <v>50</v>
      </c>
      <c r="G2677" s="2" t="s">
        <v>58</v>
      </c>
      <c r="H2677" s="2" t="s">
        <v>1747</v>
      </c>
      <c r="I2677" s="2" t="s">
        <v>2291</v>
      </c>
    </row>
    <row r="2678" spans="1:9" ht="14.5" x14ac:dyDescent="0.35">
      <c r="A2678" s="2">
        <v>1434856</v>
      </c>
      <c r="B2678" s="2" t="str">
        <f>"3328094911050003"</f>
        <v>3328094911050003</v>
      </c>
      <c r="C2678" s="2" t="s">
        <v>3316</v>
      </c>
      <c r="D2678" s="2" t="s">
        <v>189</v>
      </c>
      <c r="E2678" s="2" t="s">
        <v>11</v>
      </c>
      <c r="F2678" s="2" t="s">
        <v>18</v>
      </c>
      <c r="G2678" s="2" t="s">
        <v>19</v>
      </c>
      <c r="H2678" s="2" t="s">
        <v>2575</v>
      </c>
      <c r="I2678" s="2" t="s">
        <v>3180</v>
      </c>
    </row>
    <row r="2679" spans="1:9" ht="14.5" x14ac:dyDescent="0.35">
      <c r="A2679" s="2">
        <v>2084144</v>
      </c>
      <c r="B2679" s="2" t="str">
        <f>"3328094911050003"</f>
        <v>3328094911050003</v>
      </c>
      <c r="C2679" s="2" t="s">
        <v>3316</v>
      </c>
      <c r="D2679" s="2" t="s">
        <v>17</v>
      </c>
      <c r="E2679" s="2" t="s">
        <v>57</v>
      </c>
      <c r="F2679" s="2" t="s">
        <v>18</v>
      </c>
      <c r="G2679" s="2" t="s">
        <v>962</v>
      </c>
      <c r="H2679" s="2" t="s">
        <v>1899</v>
      </c>
      <c r="I2679" s="2" t="s">
        <v>3317</v>
      </c>
    </row>
    <row r="2680" spans="1:9" ht="14.5" x14ac:dyDescent="0.35">
      <c r="A2680" s="2">
        <v>121754</v>
      </c>
      <c r="B2680" s="2" t="str">
        <f>"3328095005010001"</f>
        <v>3328095005010001</v>
      </c>
      <c r="C2680" s="2" t="s">
        <v>3318</v>
      </c>
      <c r="D2680" s="2" t="s">
        <v>10</v>
      </c>
      <c r="E2680" s="2" t="s">
        <v>11</v>
      </c>
      <c r="F2680" s="2" t="s">
        <v>1374</v>
      </c>
      <c r="G2680" s="2" t="s">
        <v>2551</v>
      </c>
      <c r="H2680" s="2" t="s">
        <v>2552</v>
      </c>
      <c r="I2680" s="2" t="s">
        <v>3319</v>
      </c>
    </row>
    <row r="2681" spans="1:9" ht="14.5" x14ac:dyDescent="0.35">
      <c r="A2681" s="2">
        <v>2547369</v>
      </c>
      <c r="B2681" s="2" t="str">
        <f>"3328095005010001"</f>
        <v>3328095005010001</v>
      </c>
      <c r="C2681" s="2" t="s">
        <v>3320</v>
      </c>
      <c r="D2681" s="2" t="s">
        <v>17</v>
      </c>
      <c r="E2681" s="2" t="s">
        <v>11</v>
      </c>
      <c r="F2681" s="2" t="s">
        <v>18</v>
      </c>
      <c r="G2681" s="2" t="s">
        <v>19</v>
      </c>
      <c r="H2681" s="2" t="s">
        <v>2575</v>
      </c>
      <c r="I2681" s="2" t="s">
        <v>3188</v>
      </c>
    </row>
    <row r="2682" spans="1:9" ht="14.5" x14ac:dyDescent="0.35">
      <c r="A2682" s="2">
        <v>1166033</v>
      </c>
      <c r="B2682" s="2" t="str">
        <f>"3328095102750005"</f>
        <v>3328095102750005</v>
      </c>
      <c r="C2682" s="2" t="s">
        <v>3321</v>
      </c>
      <c r="D2682" s="2" t="s">
        <v>10</v>
      </c>
      <c r="E2682" s="2" t="s">
        <v>11</v>
      </c>
      <c r="F2682" s="2" t="s">
        <v>91</v>
      </c>
      <c r="G2682" s="2" t="s">
        <v>101</v>
      </c>
      <c r="H2682" s="2" t="s">
        <v>102</v>
      </c>
      <c r="I2682" s="2" t="s">
        <v>3234</v>
      </c>
    </row>
    <row r="2683" spans="1:9" ht="14.5" x14ac:dyDescent="0.35">
      <c r="A2683" s="2">
        <v>2546049</v>
      </c>
      <c r="B2683" s="2" t="str">
        <f>"3328095102750005"</f>
        <v>3328095102750005</v>
      </c>
      <c r="C2683" s="2" t="s">
        <v>3321</v>
      </c>
      <c r="D2683" s="2" t="s">
        <v>17</v>
      </c>
      <c r="E2683" s="2" t="s">
        <v>11</v>
      </c>
      <c r="F2683" s="2" t="s">
        <v>18</v>
      </c>
      <c r="G2683" s="2" t="s">
        <v>19</v>
      </c>
      <c r="H2683" s="2" t="s">
        <v>2575</v>
      </c>
      <c r="I2683" s="2" t="s">
        <v>3235</v>
      </c>
    </row>
    <row r="2684" spans="1:9" ht="14.5" x14ac:dyDescent="0.35">
      <c r="A2684" s="2">
        <v>2545087</v>
      </c>
      <c r="B2684" s="2" t="str">
        <f>"3328095303980001"</f>
        <v>3328095303980001</v>
      </c>
      <c r="C2684" s="2" t="s">
        <v>3322</v>
      </c>
      <c r="D2684" s="2" t="s">
        <v>17</v>
      </c>
      <c r="E2684" s="2" t="s">
        <v>11</v>
      </c>
      <c r="F2684" s="2" t="s">
        <v>18</v>
      </c>
      <c r="G2684" s="2" t="s">
        <v>19</v>
      </c>
      <c r="H2684" s="2" t="s">
        <v>2575</v>
      </c>
      <c r="I2684" s="2" t="s">
        <v>3217</v>
      </c>
    </row>
    <row r="2685" spans="1:9" ht="14.5" x14ac:dyDescent="0.35">
      <c r="A2685" s="2">
        <v>727691</v>
      </c>
      <c r="B2685" s="2" t="str">
        <f>"3328095303980001"</f>
        <v>3328095303980001</v>
      </c>
      <c r="C2685" s="2" t="s">
        <v>3322</v>
      </c>
      <c r="D2685" s="2" t="s">
        <v>17</v>
      </c>
      <c r="E2685" s="2" t="s">
        <v>11</v>
      </c>
      <c r="F2685" s="2" t="s">
        <v>18</v>
      </c>
      <c r="G2685" s="2" t="s">
        <v>3323</v>
      </c>
      <c r="H2685" s="2" t="s">
        <v>3324</v>
      </c>
      <c r="I2685" s="2" t="s">
        <v>2597</v>
      </c>
    </row>
    <row r="2686" spans="1:9" ht="14.5" x14ac:dyDescent="0.35">
      <c r="A2686" s="2">
        <v>276381</v>
      </c>
      <c r="B2686" s="2" t="str">
        <f>"3328095311030004"</f>
        <v>3328095311030004</v>
      </c>
      <c r="C2686" s="2" t="s">
        <v>3325</v>
      </c>
      <c r="D2686" s="2" t="s">
        <v>10</v>
      </c>
      <c r="E2686" s="2" t="s">
        <v>11</v>
      </c>
      <c r="F2686" s="2" t="s">
        <v>18</v>
      </c>
      <c r="G2686" s="2" t="s">
        <v>268</v>
      </c>
      <c r="H2686" s="2" t="s">
        <v>277</v>
      </c>
      <c r="I2686" s="2" t="s">
        <v>3326</v>
      </c>
    </row>
    <row r="2687" spans="1:9" ht="14.5" x14ac:dyDescent="0.35">
      <c r="A2687" s="2">
        <v>2547000</v>
      </c>
      <c r="B2687" s="2" t="str">
        <f>"3328095311030004"</f>
        <v>3328095311030004</v>
      </c>
      <c r="C2687" s="2" t="s">
        <v>3325</v>
      </c>
      <c r="D2687" s="2" t="s">
        <v>17</v>
      </c>
      <c r="E2687" s="2" t="s">
        <v>11</v>
      </c>
      <c r="F2687" s="2" t="s">
        <v>18</v>
      </c>
      <c r="G2687" s="2" t="s">
        <v>19</v>
      </c>
      <c r="H2687" s="2" t="s">
        <v>2575</v>
      </c>
      <c r="I2687" s="2" t="s">
        <v>3165</v>
      </c>
    </row>
    <row r="2688" spans="1:9" ht="14.5" x14ac:dyDescent="0.35">
      <c r="A2688" s="2">
        <v>2547431</v>
      </c>
      <c r="B2688" s="2" t="str">
        <f>"3328095312010001"</f>
        <v>3328095312010001</v>
      </c>
      <c r="C2688" s="2" t="s">
        <v>3327</v>
      </c>
      <c r="D2688" s="2" t="s">
        <v>17</v>
      </c>
      <c r="E2688" s="2" t="s">
        <v>11</v>
      </c>
      <c r="F2688" s="2" t="s">
        <v>18</v>
      </c>
      <c r="G2688" s="2" t="s">
        <v>19</v>
      </c>
      <c r="H2688" s="2" t="s">
        <v>2575</v>
      </c>
      <c r="I2688" s="2" t="s">
        <v>3188</v>
      </c>
    </row>
    <row r="2689" spans="1:9" ht="14.5" x14ac:dyDescent="0.35">
      <c r="A2689" s="2">
        <v>1352913</v>
      </c>
      <c r="B2689" s="2" t="str">
        <f>"3328095312010001"</f>
        <v>3328095312010001</v>
      </c>
      <c r="C2689" s="2" t="s">
        <v>3327</v>
      </c>
      <c r="D2689" s="2" t="s">
        <v>10</v>
      </c>
      <c r="E2689" s="2" t="s">
        <v>57</v>
      </c>
      <c r="F2689" s="2" t="s">
        <v>303</v>
      </c>
      <c r="G2689" s="2" t="s">
        <v>608</v>
      </c>
      <c r="H2689" s="2" t="s">
        <v>609</v>
      </c>
      <c r="I2689" s="2" t="s">
        <v>610</v>
      </c>
    </row>
    <row r="2690" spans="1:9" ht="14.5" x14ac:dyDescent="0.35">
      <c r="A2690" s="2">
        <v>1089684</v>
      </c>
      <c r="B2690" s="2" t="str">
        <f>"3328095403730005"</f>
        <v>3328095403730005</v>
      </c>
      <c r="C2690" s="2" t="s">
        <v>3328</v>
      </c>
      <c r="D2690" s="2" t="s">
        <v>10</v>
      </c>
      <c r="E2690" s="2" t="s">
        <v>11</v>
      </c>
      <c r="F2690" s="2" t="s">
        <v>91</v>
      </c>
      <c r="G2690" s="2" t="s">
        <v>903</v>
      </c>
      <c r="H2690" s="2" t="s">
        <v>2371</v>
      </c>
      <c r="I2690" s="2" t="s">
        <v>3286</v>
      </c>
    </row>
    <row r="2691" spans="1:9" ht="14.5" x14ac:dyDescent="0.35">
      <c r="A2691" s="2">
        <v>2547351</v>
      </c>
      <c r="B2691" s="2" t="str">
        <f>"3328095403730005"</f>
        <v>3328095403730005</v>
      </c>
      <c r="C2691" s="2" t="s">
        <v>3328</v>
      </c>
      <c r="D2691" s="2" t="s">
        <v>17</v>
      </c>
      <c r="E2691" s="2" t="s">
        <v>11</v>
      </c>
      <c r="F2691" s="2" t="s">
        <v>18</v>
      </c>
      <c r="G2691" s="2" t="s">
        <v>19</v>
      </c>
      <c r="H2691" s="2" t="s">
        <v>2575</v>
      </c>
      <c r="I2691" s="2" t="s">
        <v>3188</v>
      </c>
    </row>
    <row r="2692" spans="1:9" ht="14.5" x14ac:dyDescent="0.35">
      <c r="A2692" s="2">
        <v>973034</v>
      </c>
      <c r="B2692" s="2" t="str">
        <f>"3328095507730016"</f>
        <v>3328095507730016</v>
      </c>
      <c r="C2692" s="2" t="s">
        <v>3329</v>
      </c>
      <c r="D2692" s="2" t="s">
        <v>10</v>
      </c>
      <c r="E2692" s="2" t="s">
        <v>11</v>
      </c>
      <c r="F2692" s="2" t="s">
        <v>91</v>
      </c>
      <c r="G2692" s="2" t="s">
        <v>149</v>
      </c>
      <c r="H2692" s="2" t="s">
        <v>3330</v>
      </c>
      <c r="I2692" s="2" t="s">
        <v>3331</v>
      </c>
    </row>
    <row r="2693" spans="1:9" ht="14.5" x14ac:dyDescent="0.35">
      <c r="A2693" s="2">
        <v>2548341</v>
      </c>
      <c r="B2693" s="2" t="str">
        <f>"3328095507730016"</f>
        <v>3328095507730016</v>
      </c>
      <c r="C2693" s="2" t="s">
        <v>3329</v>
      </c>
      <c r="D2693" s="2" t="s">
        <v>17</v>
      </c>
      <c r="E2693" s="2" t="s">
        <v>11</v>
      </c>
      <c r="F2693" s="2" t="s">
        <v>18</v>
      </c>
      <c r="G2693" s="2" t="s">
        <v>19</v>
      </c>
      <c r="H2693" s="2" t="s">
        <v>2575</v>
      </c>
      <c r="I2693" s="2" t="s">
        <v>3257</v>
      </c>
    </row>
    <row r="2694" spans="1:9" ht="14.5" x14ac:dyDescent="0.35">
      <c r="A2694" s="2">
        <v>1406914</v>
      </c>
      <c r="B2694" s="2" t="str">
        <f>"3328096008940005"</f>
        <v>3328096008940005</v>
      </c>
      <c r="C2694" s="2" t="s">
        <v>3332</v>
      </c>
      <c r="D2694" s="2" t="s">
        <v>10</v>
      </c>
      <c r="E2694" s="2" t="s">
        <v>11</v>
      </c>
      <c r="F2694" s="2" t="s">
        <v>18</v>
      </c>
      <c r="G2694" s="2" t="s">
        <v>19</v>
      </c>
      <c r="H2694" s="2" t="s">
        <v>2575</v>
      </c>
      <c r="I2694" s="2" t="s">
        <v>3176</v>
      </c>
    </row>
    <row r="2695" spans="1:9" ht="14.5" x14ac:dyDescent="0.35">
      <c r="A2695" s="2">
        <v>423779</v>
      </c>
      <c r="B2695" s="2" t="str">
        <f>"3328096008940005"</f>
        <v>3328096008940005</v>
      </c>
      <c r="C2695" s="2" t="s">
        <v>3333</v>
      </c>
      <c r="D2695" s="2" t="s">
        <v>10</v>
      </c>
      <c r="E2695" s="2" t="s">
        <v>57</v>
      </c>
      <c r="F2695" s="2" t="s">
        <v>18</v>
      </c>
      <c r="G2695" s="2" t="s">
        <v>268</v>
      </c>
      <c r="H2695" s="2" t="s">
        <v>277</v>
      </c>
      <c r="I2695" s="2" t="s">
        <v>278</v>
      </c>
    </row>
    <row r="2696" spans="1:9" ht="14.5" x14ac:dyDescent="0.35">
      <c r="A2696" s="2">
        <v>2547092</v>
      </c>
      <c r="B2696" s="2" t="str">
        <f>"3328096408880003"</f>
        <v>3328096408880003</v>
      </c>
      <c r="C2696" s="2" t="s">
        <v>3334</v>
      </c>
      <c r="D2696" s="2" t="s">
        <v>17</v>
      </c>
      <c r="E2696" s="2" t="s">
        <v>11</v>
      </c>
      <c r="F2696" s="2" t="s">
        <v>18</v>
      </c>
      <c r="G2696" s="2" t="s">
        <v>19</v>
      </c>
      <c r="H2696" s="2" t="s">
        <v>2575</v>
      </c>
      <c r="I2696" s="2" t="s">
        <v>3165</v>
      </c>
    </row>
    <row r="2697" spans="1:9" ht="14.5" x14ac:dyDescent="0.35">
      <c r="A2697" s="2">
        <v>1286273</v>
      </c>
      <c r="B2697" s="2" t="str">
        <f>"3328096408880003"</f>
        <v>3328096408880003</v>
      </c>
      <c r="C2697" s="2" t="s">
        <v>3334</v>
      </c>
      <c r="D2697" s="2" t="s">
        <v>189</v>
      </c>
      <c r="E2697" s="2" t="s">
        <v>11</v>
      </c>
      <c r="F2697" s="2" t="s">
        <v>50</v>
      </c>
      <c r="G2697" s="2" t="s">
        <v>58</v>
      </c>
      <c r="H2697" s="2" t="s">
        <v>417</v>
      </c>
      <c r="I2697" s="2" t="s">
        <v>1131</v>
      </c>
    </row>
    <row r="2698" spans="1:9" ht="14.5" x14ac:dyDescent="0.35">
      <c r="A2698" s="2">
        <v>85086</v>
      </c>
      <c r="B2698" s="2" t="str">
        <f>"3328096708830003"</f>
        <v>3328096708830003</v>
      </c>
      <c r="C2698" s="2" t="s">
        <v>3335</v>
      </c>
      <c r="D2698" s="2" t="s">
        <v>10</v>
      </c>
      <c r="E2698" s="2" t="s">
        <v>11</v>
      </c>
      <c r="F2698" s="2" t="s">
        <v>50</v>
      </c>
      <c r="G2698" s="2" t="s">
        <v>280</v>
      </c>
      <c r="H2698" s="2" t="s">
        <v>455</v>
      </c>
      <c r="I2698" s="2" t="s">
        <v>456</v>
      </c>
    </row>
    <row r="2699" spans="1:9" ht="14.5" x14ac:dyDescent="0.35">
      <c r="A2699" s="2">
        <v>2546020</v>
      </c>
      <c r="B2699" s="2" t="str">
        <f>"3328096708830003"</f>
        <v>3328096708830003</v>
      </c>
      <c r="C2699" s="2" t="s">
        <v>3336</v>
      </c>
      <c r="D2699" s="2" t="s">
        <v>17</v>
      </c>
      <c r="E2699" s="2" t="s">
        <v>11</v>
      </c>
      <c r="F2699" s="2" t="s">
        <v>18</v>
      </c>
      <c r="G2699" s="2" t="s">
        <v>19</v>
      </c>
      <c r="H2699" s="2" t="s">
        <v>2575</v>
      </c>
      <c r="I2699" s="2" t="s">
        <v>2575</v>
      </c>
    </row>
    <row r="2700" spans="1:9" ht="14.5" x14ac:dyDescent="0.35">
      <c r="A2700" s="2">
        <v>531475</v>
      </c>
      <c r="B2700" s="2" t="str">
        <f>"3328096711950004"</f>
        <v>3328096711950004</v>
      </c>
      <c r="C2700" s="2" t="s">
        <v>3337</v>
      </c>
      <c r="D2700" s="2" t="s">
        <v>10</v>
      </c>
      <c r="E2700" s="2" t="s">
        <v>11</v>
      </c>
      <c r="F2700" s="2" t="s">
        <v>67</v>
      </c>
      <c r="G2700" s="2" t="s">
        <v>791</v>
      </c>
      <c r="H2700" s="2" t="s">
        <v>1852</v>
      </c>
      <c r="I2700" s="2" t="s">
        <v>906</v>
      </c>
    </row>
    <row r="2701" spans="1:9" ht="14.5" x14ac:dyDescent="0.35">
      <c r="A2701" s="2">
        <v>2544949</v>
      </c>
      <c r="B2701" s="2" t="str">
        <f>"3328096711950004"</f>
        <v>3328096711950004</v>
      </c>
      <c r="C2701" s="2" t="s">
        <v>3337</v>
      </c>
      <c r="D2701" s="2" t="s">
        <v>17</v>
      </c>
      <c r="E2701" s="2" t="s">
        <v>11</v>
      </c>
      <c r="F2701" s="2" t="s">
        <v>18</v>
      </c>
      <c r="G2701" s="2" t="s">
        <v>19</v>
      </c>
      <c r="H2701" s="2" t="s">
        <v>2575</v>
      </c>
      <c r="I2701" s="2" t="s">
        <v>3217</v>
      </c>
    </row>
    <row r="2702" spans="1:9" ht="14.5" x14ac:dyDescent="0.35">
      <c r="A2702" s="2">
        <v>2449274</v>
      </c>
      <c r="B2702" s="2" t="str">
        <f>"3328096810830006"</f>
        <v>3328096810830006</v>
      </c>
      <c r="C2702" s="2" t="s">
        <v>3338</v>
      </c>
      <c r="D2702" s="2" t="s">
        <v>17</v>
      </c>
      <c r="E2702" s="2" t="s">
        <v>11</v>
      </c>
      <c r="F2702" s="2" t="s">
        <v>91</v>
      </c>
      <c r="G2702" s="2" t="s">
        <v>92</v>
      </c>
      <c r="H2702" s="2" t="s">
        <v>673</v>
      </c>
      <c r="I2702" s="2" t="s">
        <v>3339</v>
      </c>
    </row>
    <row r="2703" spans="1:9" ht="14.5" x14ac:dyDescent="0.35">
      <c r="A2703" s="2">
        <v>2545318</v>
      </c>
      <c r="B2703" s="2" t="str">
        <f>"3328096810830006"</f>
        <v>3328096810830006</v>
      </c>
      <c r="C2703" s="2" t="s">
        <v>3338</v>
      </c>
      <c r="D2703" s="2" t="s">
        <v>17</v>
      </c>
      <c r="E2703" s="2" t="s">
        <v>11</v>
      </c>
      <c r="F2703" s="2" t="s">
        <v>18</v>
      </c>
      <c r="G2703" s="2" t="s">
        <v>19</v>
      </c>
      <c r="H2703" s="2" t="s">
        <v>2575</v>
      </c>
      <c r="I2703" s="2" t="s">
        <v>3178</v>
      </c>
    </row>
    <row r="2704" spans="1:9" ht="14.5" x14ac:dyDescent="0.35">
      <c r="A2704" s="2">
        <v>661263</v>
      </c>
      <c r="B2704" s="2" t="str">
        <f>"3328096909940003"</f>
        <v>3328096909940003</v>
      </c>
      <c r="C2704" s="2" t="s">
        <v>3340</v>
      </c>
      <c r="D2704" s="2" t="s">
        <v>10</v>
      </c>
      <c r="E2704" s="2" t="s">
        <v>11</v>
      </c>
      <c r="F2704" s="2" t="s">
        <v>44</v>
      </c>
      <c r="G2704" s="2" t="s">
        <v>1594</v>
      </c>
      <c r="H2704" s="2" t="s">
        <v>3341</v>
      </c>
      <c r="I2704" s="2" t="s">
        <v>3342</v>
      </c>
    </row>
    <row r="2705" spans="1:9" ht="14.5" x14ac:dyDescent="0.35">
      <c r="A2705" s="2">
        <v>2545609</v>
      </c>
      <c r="B2705" s="2" t="str">
        <f>"3328096909940003"</f>
        <v>3328096909940003</v>
      </c>
      <c r="C2705" s="2" t="s">
        <v>3340</v>
      </c>
      <c r="D2705" s="2" t="s">
        <v>17</v>
      </c>
      <c r="E2705" s="2" t="s">
        <v>11</v>
      </c>
      <c r="F2705" s="2" t="s">
        <v>18</v>
      </c>
      <c r="G2705" s="2" t="s">
        <v>19</v>
      </c>
      <c r="H2705" s="2" t="s">
        <v>2575</v>
      </c>
      <c r="I2705" s="2" t="s">
        <v>3174</v>
      </c>
    </row>
    <row r="2706" spans="1:9" ht="14.5" x14ac:dyDescent="0.35">
      <c r="A2706" s="2">
        <v>2271874</v>
      </c>
      <c r="B2706" s="2" t="str">
        <f>"3328100112450013"</f>
        <v>3328100112450013</v>
      </c>
      <c r="C2706" s="2" t="s">
        <v>3343</v>
      </c>
      <c r="D2706" s="2" t="s">
        <v>10</v>
      </c>
      <c r="E2706" s="2" t="s">
        <v>11</v>
      </c>
      <c r="F2706" s="2" t="s">
        <v>18</v>
      </c>
      <c r="G2706" s="2" t="s">
        <v>19</v>
      </c>
      <c r="H2706" s="2" t="s">
        <v>251</v>
      </c>
      <c r="I2706" s="2" t="s">
        <v>3344</v>
      </c>
    </row>
    <row r="2707" spans="1:9" ht="14.5" x14ac:dyDescent="0.35">
      <c r="A2707" s="2">
        <v>2574071</v>
      </c>
      <c r="B2707" s="2" t="str">
        <f>"3328100112450013"</f>
        <v>3328100112450013</v>
      </c>
      <c r="C2707" s="2" t="s">
        <v>3343</v>
      </c>
      <c r="D2707" s="2" t="s">
        <v>17</v>
      </c>
      <c r="E2707" s="2" t="s">
        <v>11</v>
      </c>
      <c r="F2707" s="2" t="s">
        <v>18</v>
      </c>
      <c r="G2707" s="2" t="s">
        <v>19</v>
      </c>
      <c r="H2707" s="2" t="s">
        <v>2575</v>
      </c>
      <c r="I2707" s="2" t="s">
        <v>2575</v>
      </c>
    </row>
    <row r="2708" spans="1:9" ht="14.5" x14ac:dyDescent="0.35">
      <c r="A2708" s="2">
        <v>2271873</v>
      </c>
      <c r="B2708" s="2" t="str">
        <f>"3328100507790004"</f>
        <v>3328100507790004</v>
      </c>
      <c r="C2708" s="2" t="s">
        <v>3345</v>
      </c>
      <c r="D2708" s="2" t="s">
        <v>10</v>
      </c>
      <c r="E2708" s="2" t="s">
        <v>11</v>
      </c>
      <c r="F2708" s="2" t="s">
        <v>18</v>
      </c>
      <c r="G2708" s="2" t="s">
        <v>19</v>
      </c>
      <c r="H2708" s="2" t="s">
        <v>251</v>
      </c>
      <c r="I2708" s="2" t="s">
        <v>3344</v>
      </c>
    </row>
    <row r="2709" spans="1:9" ht="14.5" x14ac:dyDescent="0.35">
      <c r="A2709" s="2">
        <v>2574073</v>
      </c>
      <c r="B2709" s="2" t="str">
        <f>"3328100507790004"</f>
        <v>3328100507790004</v>
      </c>
      <c r="C2709" s="2" t="s">
        <v>3346</v>
      </c>
      <c r="D2709" s="2" t="s">
        <v>17</v>
      </c>
      <c r="E2709" s="2" t="s">
        <v>11</v>
      </c>
      <c r="F2709" s="2" t="s">
        <v>18</v>
      </c>
      <c r="G2709" s="2" t="s">
        <v>19</v>
      </c>
      <c r="H2709" s="2" t="s">
        <v>2575</v>
      </c>
      <c r="I2709" s="2" t="s">
        <v>2575</v>
      </c>
    </row>
    <row r="2710" spans="1:9" ht="14.5" x14ac:dyDescent="0.35">
      <c r="A2710" s="2">
        <v>2253307</v>
      </c>
      <c r="B2710" s="2" t="str">
        <f>"3328100607950005"</f>
        <v>3328100607950005</v>
      </c>
      <c r="C2710" s="2" t="s">
        <v>3347</v>
      </c>
      <c r="D2710" s="2" t="s">
        <v>10</v>
      </c>
      <c r="E2710" s="2" t="s">
        <v>11</v>
      </c>
      <c r="F2710" s="2" t="s">
        <v>18</v>
      </c>
      <c r="G2710" s="2" t="s">
        <v>19</v>
      </c>
      <c r="H2710" s="2" t="s">
        <v>251</v>
      </c>
      <c r="I2710" s="2" t="s">
        <v>3348</v>
      </c>
    </row>
    <row r="2711" spans="1:9" ht="14.5" x14ac:dyDescent="0.35">
      <c r="A2711" s="2">
        <v>2574124</v>
      </c>
      <c r="B2711" s="2" t="str">
        <f>"3328100607950005"</f>
        <v>3328100607950005</v>
      </c>
      <c r="C2711" s="2" t="s">
        <v>3347</v>
      </c>
      <c r="D2711" s="2" t="s">
        <v>17</v>
      </c>
      <c r="E2711" s="2" t="s">
        <v>11</v>
      </c>
      <c r="F2711" s="2" t="s">
        <v>18</v>
      </c>
      <c r="G2711" s="2" t="s">
        <v>19</v>
      </c>
      <c r="H2711" s="2" t="s">
        <v>2575</v>
      </c>
      <c r="I2711" s="2" t="s">
        <v>2575</v>
      </c>
    </row>
    <row r="2712" spans="1:9" ht="14.5" x14ac:dyDescent="0.35">
      <c r="A2712" s="2">
        <v>2271875</v>
      </c>
      <c r="B2712" s="2" t="str">
        <f>"3328104502570003"</f>
        <v>3328104502570003</v>
      </c>
      <c r="C2712" s="2" t="s">
        <v>3349</v>
      </c>
      <c r="D2712" s="2" t="s">
        <v>10</v>
      </c>
      <c r="E2712" s="2" t="s">
        <v>11</v>
      </c>
      <c r="F2712" s="2" t="s">
        <v>18</v>
      </c>
      <c r="G2712" s="2" t="s">
        <v>19</v>
      </c>
      <c r="H2712" s="2" t="s">
        <v>251</v>
      </c>
      <c r="I2712" s="2" t="s">
        <v>3344</v>
      </c>
    </row>
    <row r="2713" spans="1:9" ht="14.5" x14ac:dyDescent="0.35">
      <c r="A2713" s="2">
        <v>2574072</v>
      </c>
      <c r="B2713" s="2" t="str">
        <f>"3328104502570003"</f>
        <v>3328104502570003</v>
      </c>
      <c r="C2713" s="2" t="s">
        <v>3349</v>
      </c>
      <c r="D2713" s="2" t="s">
        <v>17</v>
      </c>
      <c r="E2713" s="2" t="s">
        <v>11</v>
      </c>
      <c r="F2713" s="2" t="s">
        <v>18</v>
      </c>
      <c r="G2713" s="2" t="s">
        <v>19</v>
      </c>
      <c r="H2713" s="2" t="s">
        <v>2575</v>
      </c>
      <c r="I2713" s="2" t="s">
        <v>2575</v>
      </c>
    </row>
    <row r="2714" spans="1:9" ht="14.5" x14ac:dyDescent="0.35">
      <c r="A2714" s="2">
        <v>2547093</v>
      </c>
      <c r="B2714" s="2" t="str">
        <f>"3328110209870002"</f>
        <v>3328110209870002</v>
      </c>
      <c r="C2714" s="2" t="s">
        <v>3350</v>
      </c>
      <c r="D2714" s="2" t="s">
        <v>17</v>
      </c>
      <c r="E2714" s="2" t="s">
        <v>11</v>
      </c>
      <c r="F2714" s="2" t="s">
        <v>18</v>
      </c>
      <c r="G2714" s="2" t="s">
        <v>19</v>
      </c>
      <c r="H2714" s="2" t="s">
        <v>2575</v>
      </c>
      <c r="I2714" s="2" t="s">
        <v>3165</v>
      </c>
    </row>
    <row r="2715" spans="1:9" ht="14.5" x14ac:dyDescent="0.35">
      <c r="A2715" s="2">
        <v>1286274</v>
      </c>
      <c r="B2715" s="2" t="str">
        <f>"3328110209870002"</f>
        <v>3328110209870002</v>
      </c>
      <c r="C2715" s="2" t="s">
        <v>3351</v>
      </c>
      <c r="D2715" s="2" t="s">
        <v>189</v>
      </c>
      <c r="E2715" s="2" t="s">
        <v>11</v>
      </c>
      <c r="F2715" s="2" t="s">
        <v>50</v>
      </c>
      <c r="G2715" s="2" t="s">
        <v>58</v>
      </c>
      <c r="H2715" s="2" t="s">
        <v>417</v>
      </c>
      <c r="I2715" s="2" t="s">
        <v>1131</v>
      </c>
    </row>
    <row r="2716" spans="1:9" ht="14.5" x14ac:dyDescent="0.35">
      <c r="A2716" s="2">
        <v>1404929</v>
      </c>
      <c r="B2716" s="2" t="str">
        <f>"3328114704780006"</f>
        <v>3328114704780006</v>
      </c>
      <c r="C2716" s="2" t="s">
        <v>3352</v>
      </c>
      <c r="D2716" s="2" t="s">
        <v>10</v>
      </c>
      <c r="E2716" s="2" t="s">
        <v>11</v>
      </c>
      <c r="F2716" s="2" t="s">
        <v>18</v>
      </c>
      <c r="G2716" s="2" t="s">
        <v>264</v>
      </c>
      <c r="H2716" s="2" t="s">
        <v>461</v>
      </c>
      <c r="I2716" s="2" t="s">
        <v>1458</v>
      </c>
    </row>
    <row r="2717" spans="1:9" ht="14.5" x14ac:dyDescent="0.35">
      <c r="A2717" s="2">
        <v>2546088</v>
      </c>
      <c r="B2717" s="2" t="str">
        <f>"3328114704780006"</f>
        <v>3328114704780006</v>
      </c>
      <c r="C2717" s="2" t="s">
        <v>3352</v>
      </c>
      <c r="D2717" s="2" t="s">
        <v>17</v>
      </c>
      <c r="E2717" s="2" t="s">
        <v>11</v>
      </c>
      <c r="F2717" s="2" t="s">
        <v>18</v>
      </c>
      <c r="G2717" s="2" t="s">
        <v>19</v>
      </c>
      <c r="H2717" s="2" t="s">
        <v>2575</v>
      </c>
      <c r="I2717" s="2" t="s">
        <v>3235</v>
      </c>
    </row>
    <row r="2718" spans="1:9" ht="14.5" x14ac:dyDescent="0.35">
      <c r="A2718" s="2">
        <v>2197979</v>
      </c>
      <c r="B2718" s="2" t="str">
        <f>"3328126012000005"</f>
        <v>3328126012000005</v>
      </c>
      <c r="C2718" s="2" t="s">
        <v>3353</v>
      </c>
      <c r="D2718" s="2" t="s">
        <v>189</v>
      </c>
      <c r="E2718" s="2" t="s">
        <v>11</v>
      </c>
      <c r="F2718" s="2" t="s">
        <v>18</v>
      </c>
      <c r="G2718" s="2" t="s">
        <v>19</v>
      </c>
      <c r="H2718" s="2" t="s">
        <v>3354</v>
      </c>
      <c r="I2718" s="2" t="s">
        <v>3355</v>
      </c>
    </row>
    <row r="2719" spans="1:9" ht="14.5" x14ac:dyDescent="0.35">
      <c r="A2719" s="2">
        <v>2574128</v>
      </c>
      <c r="B2719" s="2" t="str">
        <f>"3328126012000005"</f>
        <v>3328126012000005</v>
      </c>
      <c r="C2719" s="2" t="s">
        <v>3353</v>
      </c>
      <c r="D2719" s="2" t="s">
        <v>17</v>
      </c>
      <c r="E2719" s="2" t="s">
        <v>11</v>
      </c>
      <c r="F2719" s="2" t="s">
        <v>18</v>
      </c>
      <c r="G2719" s="2" t="s">
        <v>19</v>
      </c>
      <c r="H2719" s="2" t="s">
        <v>2575</v>
      </c>
      <c r="I2719" s="2" t="s">
        <v>2575</v>
      </c>
    </row>
    <row r="2720" spans="1:9" ht="14.5" x14ac:dyDescent="0.35">
      <c r="A2720" s="2">
        <v>1639578</v>
      </c>
      <c r="B2720" s="2" t="str">
        <f>"3328140202900002"</f>
        <v>3328140202900002</v>
      </c>
      <c r="C2720" s="2" t="s">
        <v>3356</v>
      </c>
      <c r="D2720" s="2" t="s">
        <v>10</v>
      </c>
      <c r="E2720" s="2" t="s">
        <v>11</v>
      </c>
      <c r="F2720" s="2" t="s">
        <v>18</v>
      </c>
      <c r="G2720" s="2" t="s">
        <v>19</v>
      </c>
      <c r="H2720" s="2" t="s">
        <v>2575</v>
      </c>
      <c r="I2720" s="2" t="s">
        <v>3188</v>
      </c>
    </row>
    <row r="2721" spans="1:9" ht="14.5" x14ac:dyDescent="0.35">
      <c r="A2721" s="2">
        <v>252398</v>
      </c>
      <c r="B2721" s="2" t="str">
        <f>"3328140202900002"</f>
        <v>3328140202900002</v>
      </c>
      <c r="C2721" s="2" t="s">
        <v>3356</v>
      </c>
      <c r="D2721" s="2" t="s">
        <v>10</v>
      </c>
      <c r="E2721" s="2" t="s">
        <v>57</v>
      </c>
      <c r="F2721" s="2" t="s">
        <v>521</v>
      </c>
      <c r="G2721" s="2" t="s">
        <v>657</v>
      </c>
      <c r="H2721" s="2" t="s">
        <v>658</v>
      </c>
      <c r="I2721" s="2" t="s">
        <v>3357</v>
      </c>
    </row>
    <row r="2722" spans="1:9" ht="14.5" x14ac:dyDescent="0.35">
      <c r="A2722" s="2">
        <v>2547741</v>
      </c>
      <c r="B2722" s="2" t="str">
        <f>"3329081604920022"</f>
        <v>3329081604920022</v>
      </c>
      <c r="C2722" s="2" t="s">
        <v>3358</v>
      </c>
      <c r="D2722" s="2" t="s">
        <v>17</v>
      </c>
      <c r="E2722" s="2" t="s">
        <v>11</v>
      </c>
      <c r="F2722" s="2" t="s">
        <v>18</v>
      </c>
      <c r="G2722" s="2" t="s">
        <v>19</v>
      </c>
      <c r="H2722" s="2" t="s">
        <v>2575</v>
      </c>
      <c r="I2722" s="2" t="s">
        <v>3176</v>
      </c>
    </row>
    <row r="2723" spans="1:9" ht="14.5" x14ac:dyDescent="0.35">
      <c r="A2723" s="2">
        <v>1627676</v>
      </c>
      <c r="B2723" s="2" t="str">
        <f>"3329081604920022"</f>
        <v>3329081604920022</v>
      </c>
      <c r="C2723" s="2" t="s">
        <v>3359</v>
      </c>
      <c r="D2723" s="2" t="s">
        <v>17</v>
      </c>
      <c r="E2723" s="2" t="s">
        <v>11</v>
      </c>
      <c r="F2723" s="2" t="s">
        <v>18</v>
      </c>
      <c r="G2723" s="2" t="s">
        <v>264</v>
      </c>
      <c r="H2723" s="2" t="s">
        <v>248</v>
      </c>
      <c r="I2723" s="2" t="s">
        <v>868</v>
      </c>
    </row>
    <row r="2724" spans="1:9" ht="14.5" x14ac:dyDescent="0.35">
      <c r="A2724" s="2">
        <v>781817</v>
      </c>
      <c r="B2724" s="2" t="str">
        <f>"3329091211810006"</f>
        <v>3329091211810006</v>
      </c>
      <c r="C2724" s="2" t="s">
        <v>3360</v>
      </c>
      <c r="D2724" s="2" t="s">
        <v>189</v>
      </c>
      <c r="E2724" s="2" t="s">
        <v>11</v>
      </c>
      <c r="F2724" s="2" t="s">
        <v>18</v>
      </c>
      <c r="G2724" s="2" t="s">
        <v>264</v>
      </c>
      <c r="H2724" s="2" t="s">
        <v>264</v>
      </c>
      <c r="I2724" s="2" t="s">
        <v>873</v>
      </c>
    </row>
    <row r="2725" spans="1:9" ht="14.5" x14ac:dyDescent="0.35">
      <c r="A2725" s="2">
        <v>2546827</v>
      </c>
      <c r="B2725" s="2" t="str">
        <f>"3329091211810006"</f>
        <v>3329091211810006</v>
      </c>
      <c r="C2725" s="2" t="s">
        <v>3361</v>
      </c>
      <c r="D2725" s="2" t="s">
        <v>17</v>
      </c>
      <c r="E2725" s="2" t="s">
        <v>11</v>
      </c>
      <c r="F2725" s="2" t="s">
        <v>18</v>
      </c>
      <c r="G2725" s="2" t="s">
        <v>19</v>
      </c>
      <c r="H2725" s="2" t="s">
        <v>2575</v>
      </c>
      <c r="I2725" s="2" t="s">
        <v>3203</v>
      </c>
    </row>
    <row r="2726" spans="1:9" ht="14.5" x14ac:dyDescent="0.35">
      <c r="A2726" s="2">
        <v>921222</v>
      </c>
      <c r="B2726" s="2" t="str">
        <f>"3329096101020002"</f>
        <v>3329096101020002</v>
      </c>
      <c r="C2726" s="2" t="s">
        <v>3362</v>
      </c>
      <c r="D2726" s="2" t="s">
        <v>10</v>
      </c>
      <c r="E2726" s="2" t="s">
        <v>11</v>
      </c>
      <c r="F2726" s="2" t="s">
        <v>18</v>
      </c>
      <c r="G2726" s="2" t="s">
        <v>264</v>
      </c>
      <c r="H2726" s="2" t="s">
        <v>264</v>
      </c>
      <c r="I2726" s="2" t="s">
        <v>2921</v>
      </c>
    </row>
    <row r="2727" spans="1:9" ht="14.5" x14ac:dyDescent="0.35">
      <c r="A2727" s="2">
        <v>2548282</v>
      </c>
      <c r="B2727" s="2" t="str">
        <f>"3329096101020002"</f>
        <v>3329096101020002</v>
      </c>
      <c r="C2727" s="2" t="s">
        <v>3362</v>
      </c>
      <c r="D2727" s="2" t="s">
        <v>17</v>
      </c>
      <c r="E2727" s="2" t="s">
        <v>11</v>
      </c>
      <c r="F2727" s="2" t="s">
        <v>18</v>
      </c>
      <c r="G2727" s="2" t="s">
        <v>19</v>
      </c>
      <c r="H2727" s="2" t="s">
        <v>2575</v>
      </c>
      <c r="I2727" s="2" t="s">
        <v>3161</v>
      </c>
    </row>
    <row r="2728" spans="1:9" ht="14.5" x14ac:dyDescent="0.35">
      <c r="A2728" s="2">
        <v>1442860</v>
      </c>
      <c r="B2728" s="2" t="str">
        <f>"3329100602910003"</f>
        <v>3329100602910003</v>
      </c>
      <c r="C2728" s="2" t="s">
        <v>3363</v>
      </c>
      <c r="D2728" s="2" t="s">
        <v>10</v>
      </c>
      <c r="E2728" s="2" t="s">
        <v>11</v>
      </c>
      <c r="F2728" s="2" t="s">
        <v>18</v>
      </c>
      <c r="G2728" s="2" t="s">
        <v>264</v>
      </c>
      <c r="H2728" s="2" t="s">
        <v>273</v>
      </c>
      <c r="I2728" s="2" t="s">
        <v>875</v>
      </c>
    </row>
    <row r="2729" spans="1:9" ht="14.5" x14ac:dyDescent="0.35">
      <c r="A2729" s="2">
        <v>2545686</v>
      </c>
      <c r="B2729" s="2" t="str">
        <f>"3329100602910003"</f>
        <v>3329100602910003</v>
      </c>
      <c r="C2729" s="2" t="s">
        <v>3363</v>
      </c>
      <c r="D2729" s="2" t="s">
        <v>17</v>
      </c>
      <c r="E2729" s="2" t="s">
        <v>11</v>
      </c>
      <c r="F2729" s="2" t="s">
        <v>18</v>
      </c>
      <c r="G2729" s="2" t="s">
        <v>19</v>
      </c>
      <c r="H2729" s="2" t="s">
        <v>2575</v>
      </c>
      <c r="I2729" s="2" t="s">
        <v>3174</v>
      </c>
    </row>
    <row r="2730" spans="1:9" ht="14.5" x14ac:dyDescent="0.35">
      <c r="A2730" s="2">
        <v>512558</v>
      </c>
      <c r="B2730" s="2" t="str">
        <f>"3329124503950006"</f>
        <v>3329124503950006</v>
      </c>
      <c r="C2730" s="2" t="s">
        <v>1167</v>
      </c>
      <c r="D2730" s="2" t="s">
        <v>10</v>
      </c>
      <c r="E2730" s="2" t="s">
        <v>11</v>
      </c>
      <c r="F2730" s="2" t="s">
        <v>18</v>
      </c>
      <c r="G2730" s="2" t="s">
        <v>264</v>
      </c>
      <c r="H2730" s="2" t="s">
        <v>877</v>
      </c>
      <c r="I2730" s="2" t="s">
        <v>3364</v>
      </c>
    </row>
    <row r="2731" spans="1:9" ht="14.5" x14ac:dyDescent="0.35">
      <c r="A2731" s="2">
        <v>2546056</v>
      </c>
      <c r="B2731" s="2" t="str">
        <f>"3329124503950006"</f>
        <v>3329124503950006</v>
      </c>
      <c r="C2731" s="2" t="s">
        <v>1167</v>
      </c>
      <c r="D2731" s="2" t="s">
        <v>17</v>
      </c>
      <c r="E2731" s="2" t="s">
        <v>11</v>
      </c>
      <c r="F2731" s="2" t="s">
        <v>18</v>
      </c>
      <c r="G2731" s="2" t="s">
        <v>19</v>
      </c>
      <c r="H2731" s="2" t="s">
        <v>2575</v>
      </c>
      <c r="I2731" s="2" t="s">
        <v>3235</v>
      </c>
    </row>
    <row r="2732" spans="1:9" ht="14.5" x14ac:dyDescent="0.35">
      <c r="A2732" s="2">
        <v>454670</v>
      </c>
      <c r="B2732" s="2" t="str">
        <f>"3329140506950008"</f>
        <v>3329140506950008</v>
      </c>
      <c r="C2732" s="2" t="s">
        <v>3365</v>
      </c>
      <c r="D2732" s="2" t="s">
        <v>10</v>
      </c>
      <c r="E2732" s="2" t="s">
        <v>11</v>
      </c>
      <c r="F2732" s="2" t="s">
        <v>18</v>
      </c>
      <c r="G2732" s="2" t="s">
        <v>264</v>
      </c>
      <c r="H2732" s="2" t="s">
        <v>477</v>
      </c>
      <c r="I2732" s="2" t="s">
        <v>1845</v>
      </c>
    </row>
    <row r="2733" spans="1:9" ht="14.5" x14ac:dyDescent="0.35">
      <c r="A2733" s="2">
        <v>2545278</v>
      </c>
      <c r="B2733" s="2" t="str">
        <f>"3329140506950008"</f>
        <v>3329140506950008</v>
      </c>
      <c r="C2733" s="2" t="s">
        <v>3366</v>
      </c>
      <c r="D2733" s="2" t="s">
        <v>17</v>
      </c>
      <c r="E2733" s="2" t="s">
        <v>11</v>
      </c>
      <c r="F2733" s="2" t="s">
        <v>18</v>
      </c>
      <c r="G2733" s="2" t="s">
        <v>19</v>
      </c>
      <c r="H2733" s="2" t="s">
        <v>2575</v>
      </c>
      <c r="I2733" s="2" t="s">
        <v>3224</v>
      </c>
    </row>
    <row r="2734" spans="1:9" ht="14.5" x14ac:dyDescent="0.35">
      <c r="A2734" s="2">
        <v>75490</v>
      </c>
      <c r="B2734" s="2" t="str">
        <f>"3329145211960016"</f>
        <v>3329145211960016</v>
      </c>
      <c r="C2734" s="2" t="s">
        <v>3367</v>
      </c>
      <c r="D2734" s="2" t="s">
        <v>10</v>
      </c>
      <c r="E2734" s="2" t="s">
        <v>11</v>
      </c>
      <c r="F2734" s="2" t="s">
        <v>18</v>
      </c>
      <c r="G2734" s="2" t="s">
        <v>264</v>
      </c>
      <c r="H2734" s="2" t="s">
        <v>477</v>
      </c>
      <c r="I2734" s="2" t="s">
        <v>1646</v>
      </c>
    </row>
    <row r="2735" spans="1:9" ht="14.5" x14ac:dyDescent="0.35">
      <c r="A2735" s="2">
        <v>2546006</v>
      </c>
      <c r="B2735" s="2" t="str">
        <f>"3329145211960016"</f>
        <v>3329145211960016</v>
      </c>
      <c r="C2735" s="2" t="s">
        <v>3367</v>
      </c>
      <c r="D2735" s="2" t="s">
        <v>17</v>
      </c>
      <c r="E2735" s="2" t="s">
        <v>11</v>
      </c>
      <c r="F2735" s="2" t="s">
        <v>18</v>
      </c>
      <c r="G2735" s="2" t="s">
        <v>19</v>
      </c>
      <c r="H2735" s="2" t="s">
        <v>2575</v>
      </c>
      <c r="I2735" s="2" t="s">
        <v>2575</v>
      </c>
    </row>
    <row r="2736" spans="1:9" ht="14.5" x14ac:dyDescent="0.35">
      <c r="A2736" s="2">
        <v>717075</v>
      </c>
      <c r="B2736" s="2" t="str">
        <f>"3329150912980004"</f>
        <v>3329150912980004</v>
      </c>
      <c r="C2736" s="2" t="s">
        <v>3368</v>
      </c>
      <c r="D2736" s="2" t="s">
        <v>10</v>
      </c>
      <c r="E2736" s="2" t="s">
        <v>11</v>
      </c>
      <c r="F2736" s="2" t="s">
        <v>18</v>
      </c>
      <c r="G2736" s="2" t="s">
        <v>264</v>
      </c>
      <c r="H2736" s="2" t="s">
        <v>330</v>
      </c>
      <c r="I2736" s="2" t="s">
        <v>2093</v>
      </c>
    </row>
    <row r="2737" spans="1:9" ht="14.5" x14ac:dyDescent="0.35">
      <c r="A2737" s="2">
        <v>2546934</v>
      </c>
      <c r="B2737" s="2" t="str">
        <f>"3329150912980004"</f>
        <v>3329150912980004</v>
      </c>
      <c r="C2737" s="2" t="s">
        <v>3368</v>
      </c>
      <c r="D2737" s="2" t="s">
        <v>17</v>
      </c>
      <c r="E2737" s="2" t="s">
        <v>11</v>
      </c>
      <c r="F2737" s="2" t="s">
        <v>18</v>
      </c>
      <c r="G2737" s="2" t="s">
        <v>19</v>
      </c>
      <c r="H2737" s="2" t="s">
        <v>2575</v>
      </c>
      <c r="I2737" s="2" t="s">
        <v>3203</v>
      </c>
    </row>
    <row r="2738" spans="1:9" ht="14.5" x14ac:dyDescent="0.35">
      <c r="A2738" s="2">
        <v>919253</v>
      </c>
      <c r="B2738" s="2" t="str">
        <f>"3329160401960002"</f>
        <v>3329160401960002</v>
      </c>
      <c r="C2738" s="2" t="s">
        <v>2243</v>
      </c>
      <c r="D2738" s="2" t="s">
        <v>10</v>
      </c>
      <c r="E2738" s="2" t="s">
        <v>11</v>
      </c>
      <c r="F2738" s="2" t="s">
        <v>18</v>
      </c>
      <c r="G2738" s="2" t="s">
        <v>264</v>
      </c>
      <c r="H2738" s="2" t="s">
        <v>344</v>
      </c>
      <c r="I2738" s="2" t="s">
        <v>325</v>
      </c>
    </row>
    <row r="2739" spans="1:9" ht="14.5" x14ac:dyDescent="0.35">
      <c r="A2739" s="2">
        <v>2547002</v>
      </c>
      <c r="B2739" s="2" t="str">
        <f>"3329160401960002"</f>
        <v>3329160401960002</v>
      </c>
      <c r="C2739" s="2" t="s">
        <v>2243</v>
      </c>
      <c r="D2739" s="2" t="s">
        <v>17</v>
      </c>
      <c r="E2739" s="2" t="s">
        <v>11</v>
      </c>
      <c r="F2739" s="2" t="s">
        <v>18</v>
      </c>
      <c r="G2739" s="2" t="s">
        <v>19</v>
      </c>
      <c r="H2739" s="2" t="s">
        <v>2575</v>
      </c>
      <c r="I2739" s="2" t="s">
        <v>3165</v>
      </c>
    </row>
    <row r="2740" spans="1:9" ht="14.5" x14ac:dyDescent="0.35">
      <c r="A2740" s="2">
        <v>299283</v>
      </c>
      <c r="B2740" s="2" t="str">
        <f>"3376010506960002"</f>
        <v>3376010506960002</v>
      </c>
      <c r="C2740" s="2" t="s">
        <v>3369</v>
      </c>
      <c r="D2740" s="2" t="s">
        <v>10</v>
      </c>
      <c r="E2740" s="2" t="s">
        <v>11</v>
      </c>
      <c r="F2740" s="2" t="s">
        <v>18</v>
      </c>
      <c r="G2740" s="2" t="s">
        <v>268</v>
      </c>
      <c r="H2740" s="2" t="s">
        <v>277</v>
      </c>
      <c r="I2740" s="2" t="s">
        <v>2762</v>
      </c>
    </row>
    <row r="2741" spans="1:9" ht="14.5" x14ac:dyDescent="0.35">
      <c r="A2741" s="2">
        <v>2547969</v>
      </c>
      <c r="B2741" s="2" t="str">
        <f>"3376010506960002"</f>
        <v>3376010506960002</v>
      </c>
      <c r="C2741" s="2" t="s">
        <v>3370</v>
      </c>
      <c r="D2741" s="2" t="s">
        <v>17</v>
      </c>
      <c r="E2741" s="2" t="s">
        <v>11</v>
      </c>
      <c r="F2741" s="2" t="s">
        <v>18</v>
      </c>
      <c r="G2741" s="2" t="s">
        <v>19</v>
      </c>
      <c r="H2741" s="2" t="s">
        <v>2575</v>
      </c>
      <c r="I2741" s="2" t="s">
        <v>3211</v>
      </c>
    </row>
    <row r="2742" spans="1:9" ht="14.5" x14ac:dyDescent="0.35">
      <c r="A2742" s="2">
        <v>279962</v>
      </c>
      <c r="B2742" s="2" t="str">
        <f>"3376016804900002"</f>
        <v>3376016804900002</v>
      </c>
      <c r="C2742" s="2" t="s">
        <v>3371</v>
      </c>
      <c r="D2742" s="2" t="s">
        <v>10</v>
      </c>
      <c r="E2742" s="2" t="s">
        <v>11</v>
      </c>
      <c r="F2742" s="2" t="s">
        <v>18</v>
      </c>
      <c r="G2742" s="2" t="s">
        <v>268</v>
      </c>
      <c r="H2742" s="2" t="s">
        <v>277</v>
      </c>
      <c r="I2742" s="2" t="s">
        <v>3243</v>
      </c>
    </row>
    <row r="2743" spans="1:9" ht="14.5" x14ac:dyDescent="0.35">
      <c r="A2743" s="2">
        <v>2546971</v>
      </c>
      <c r="B2743" s="2" t="str">
        <f>"3376016804900002"</f>
        <v>3376016804900002</v>
      </c>
      <c r="C2743" s="2" t="s">
        <v>3371</v>
      </c>
      <c r="D2743" s="2" t="s">
        <v>17</v>
      </c>
      <c r="E2743" s="2" t="s">
        <v>11</v>
      </c>
      <c r="F2743" s="2" t="s">
        <v>18</v>
      </c>
      <c r="G2743" s="2" t="s">
        <v>19</v>
      </c>
      <c r="H2743" s="2" t="s">
        <v>2575</v>
      </c>
      <c r="I2743" s="2" t="s">
        <v>3165</v>
      </c>
    </row>
    <row r="2744" spans="1:9" ht="14.5" x14ac:dyDescent="0.35">
      <c r="A2744" s="2">
        <v>242806</v>
      </c>
      <c r="B2744" s="2" t="str">
        <f>"3376022508840001"</f>
        <v>3376022508840001</v>
      </c>
      <c r="C2744" s="2" t="s">
        <v>3372</v>
      </c>
      <c r="D2744" s="2" t="s">
        <v>189</v>
      </c>
      <c r="E2744" s="2" t="s">
        <v>11</v>
      </c>
      <c r="F2744" s="2" t="s">
        <v>18</v>
      </c>
      <c r="G2744" s="2" t="s">
        <v>268</v>
      </c>
      <c r="H2744" s="2" t="s">
        <v>371</v>
      </c>
      <c r="I2744" s="2" t="s">
        <v>372</v>
      </c>
    </row>
    <row r="2745" spans="1:9" ht="14.5" x14ac:dyDescent="0.35">
      <c r="A2745" s="2">
        <v>2547120</v>
      </c>
      <c r="B2745" s="2" t="str">
        <f>"3376022508840001"</f>
        <v>3376022508840001</v>
      </c>
      <c r="C2745" s="2" t="s">
        <v>3372</v>
      </c>
      <c r="D2745" s="2" t="s">
        <v>17</v>
      </c>
      <c r="E2745" s="2" t="s">
        <v>11</v>
      </c>
      <c r="F2745" s="2" t="s">
        <v>18</v>
      </c>
      <c r="G2745" s="2" t="s">
        <v>19</v>
      </c>
      <c r="H2745" s="2" t="s">
        <v>2575</v>
      </c>
      <c r="I2745" s="2" t="s">
        <v>3165</v>
      </c>
    </row>
    <row r="2746" spans="1:9" ht="14.5" x14ac:dyDescent="0.35">
      <c r="A2746" s="2">
        <v>244792</v>
      </c>
      <c r="B2746" s="2" t="str">
        <f>"3376024211880002"</f>
        <v>3376024211880002</v>
      </c>
      <c r="C2746" s="2" t="s">
        <v>3373</v>
      </c>
      <c r="D2746" s="2" t="s">
        <v>10</v>
      </c>
      <c r="E2746" s="2" t="s">
        <v>11</v>
      </c>
      <c r="F2746" s="2" t="s">
        <v>18</v>
      </c>
      <c r="G2746" s="2" t="s">
        <v>268</v>
      </c>
      <c r="H2746" s="2" t="s">
        <v>371</v>
      </c>
      <c r="I2746" s="2" t="s">
        <v>372</v>
      </c>
    </row>
    <row r="2747" spans="1:9" ht="14.5" x14ac:dyDescent="0.35">
      <c r="A2747" s="2">
        <v>2547119</v>
      </c>
      <c r="B2747" s="2" t="str">
        <f>"3376024211880002"</f>
        <v>3376024211880002</v>
      </c>
      <c r="C2747" s="2" t="s">
        <v>3373</v>
      </c>
      <c r="D2747" s="2" t="s">
        <v>17</v>
      </c>
      <c r="E2747" s="2" t="s">
        <v>11</v>
      </c>
      <c r="F2747" s="2" t="s">
        <v>18</v>
      </c>
      <c r="G2747" s="2" t="s">
        <v>19</v>
      </c>
      <c r="H2747" s="2" t="s">
        <v>2575</v>
      </c>
      <c r="I2747" s="2" t="s">
        <v>3165</v>
      </c>
    </row>
    <row r="2748" spans="1:9" ht="14.5" x14ac:dyDescent="0.35">
      <c r="A2748" s="2">
        <v>246221</v>
      </c>
      <c r="B2748" s="2" t="str">
        <f>"3376025209060004"</f>
        <v>3376025209060004</v>
      </c>
      <c r="C2748" s="2" t="s">
        <v>3374</v>
      </c>
      <c r="D2748" s="2" t="s">
        <v>10</v>
      </c>
      <c r="E2748" s="2" t="s">
        <v>11</v>
      </c>
      <c r="F2748" s="2" t="s">
        <v>18</v>
      </c>
      <c r="G2748" s="2" t="s">
        <v>268</v>
      </c>
      <c r="H2748" s="2" t="s">
        <v>371</v>
      </c>
      <c r="I2748" s="2" t="s">
        <v>497</v>
      </c>
    </row>
    <row r="2749" spans="1:9" ht="14.5" x14ac:dyDescent="0.35">
      <c r="A2749" s="2">
        <v>2545563</v>
      </c>
      <c r="B2749" s="2" t="str">
        <f>"3376025209060004"</f>
        <v>3376025209060004</v>
      </c>
      <c r="C2749" s="2" t="s">
        <v>3374</v>
      </c>
      <c r="D2749" s="2" t="s">
        <v>17</v>
      </c>
      <c r="E2749" s="2" t="s">
        <v>11</v>
      </c>
      <c r="F2749" s="2" t="s">
        <v>18</v>
      </c>
      <c r="G2749" s="2" t="s">
        <v>19</v>
      </c>
      <c r="H2749" s="2" t="s">
        <v>2575</v>
      </c>
      <c r="I2749" s="2" t="s">
        <v>3174</v>
      </c>
    </row>
    <row r="2750" spans="1:9" ht="14.5" x14ac:dyDescent="0.35">
      <c r="A2750" s="2">
        <v>242385</v>
      </c>
      <c r="B2750" s="2" t="str">
        <f>"3376027112620006"</f>
        <v>3376027112620006</v>
      </c>
      <c r="C2750" s="2" t="s">
        <v>3375</v>
      </c>
      <c r="D2750" s="2" t="s">
        <v>10</v>
      </c>
      <c r="E2750" s="2" t="s">
        <v>11</v>
      </c>
      <c r="F2750" s="2" t="s">
        <v>18</v>
      </c>
      <c r="G2750" s="2" t="s">
        <v>268</v>
      </c>
      <c r="H2750" s="2" t="s">
        <v>371</v>
      </c>
      <c r="I2750" s="2" t="s">
        <v>372</v>
      </c>
    </row>
    <row r="2751" spans="1:9" ht="14.5" x14ac:dyDescent="0.35">
      <c r="A2751" s="2">
        <v>2547118</v>
      </c>
      <c r="B2751" s="2" t="str">
        <f>"3376027112620006"</f>
        <v>3376027112620006</v>
      </c>
      <c r="C2751" s="2" t="s">
        <v>3376</v>
      </c>
      <c r="D2751" s="2" t="s">
        <v>17</v>
      </c>
      <c r="E2751" s="2" t="s">
        <v>11</v>
      </c>
      <c r="F2751" s="2" t="s">
        <v>18</v>
      </c>
      <c r="G2751" s="2" t="s">
        <v>19</v>
      </c>
      <c r="H2751" s="2" t="s">
        <v>2575</v>
      </c>
      <c r="I2751" s="2" t="s">
        <v>3165</v>
      </c>
    </row>
    <row r="2752" spans="1:9" ht="14.5" x14ac:dyDescent="0.35">
      <c r="A2752" s="2">
        <v>317519</v>
      </c>
      <c r="B2752" s="2" t="str">
        <f>"3376035403870001"</f>
        <v>3376035403870001</v>
      </c>
      <c r="C2752" s="2" t="s">
        <v>3377</v>
      </c>
      <c r="D2752" s="2" t="s">
        <v>10</v>
      </c>
      <c r="E2752" s="2" t="s">
        <v>11</v>
      </c>
      <c r="F2752" s="2" t="s">
        <v>18</v>
      </c>
      <c r="G2752" s="2" t="s">
        <v>268</v>
      </c>
      <c r="H2752" s="2" t="s">
        <v>269</v>
      </c>
      <c r="I2752" s="2" t="s">
        <v>1662</v>
      </c>
    </row>
    <row r="2753" spans="1:9" ht="14.5" x14ac:dyDescent="0.35">
      <c r="A2753" s="2">
        <v>2547155</v>
      </c>
      <c r="B2753" s="2" t="str">
        <f>"3376035403870001"</f>
        <v>3376035403870001</v>
      </c>
      <c r="C2753" s="2" t="s">
        <v>3378</v>
      </c>
      <c r="D2753" s="2" t="s">
        <v>17</v>
      </c>
      <c r="E2753" s="2" t="s">
        <v>11</v>
      </c>
      <c r="F2753" s="2" t="s">
        <v>18</v>
      </c>
      <c r="G2753" s="2" t="s">
        <v>19</v>
      </c>
      <c r="H2753" s="2" t="s">
        <v>2575</v>
      </c>
      <c r="I2753" s="2" t="s">
        <v>3379</v>
      </c>
    </row>
    <row r="2754" spans="1:9" ht="14.5" x14ac:dyDescent="0.35">
      <c r="A2754" s="2">
        <v>59754</v>
      </c>
      <c r="B2754" s="2" t="str">
        <f>"3520016702890002"</f>
        <v>3520016702890002</v>
      </c>
      <c r="C2754" s="2" t="s">
        <v>3380</v>
      </c>
      <c r="D2754" s="2" t="s">
        <v>10</v>
      </c>
      <c r="E2754" s="2" t="s">
        <v>11</v>
      </c>
      <c r="F2754" s="2" t="s">
        <v>303</v>
      </c>
      <c r="G2754" s="2" t="s">
        <v>3381</v>
      </c>
      <c r="H2754" s="2" t="s">
        <v>1355</v>
      </c>
      <c r="I2754" s="2" t="s">
        <v>3382</v>
      </c>
    </row>
    <row r="2755" spans="1:9" ht="14.5" x14ac:dyDescent="0.35">
      <c r="A2755" s="2">
        <v>2545642</v>
      </c>
      <c r="B2755" s="2" t="str">
        <f>"3520016702890002"</f>
        <v>3520016702890002</v>
      </c>
      <c r="C2755" s="2" t="s">
        <v>3380</v>
      </c>
      <c r="D2755" s="2" t="s">
        <v>17</v>
      </c>
      <c r="E2755" s="2" t="s">
        <v>11</v>
      </c>
      <c r="F2755" s="2" t="s">
        <v>18</v>
      </c>
      <c r="G2755" s="2" t="s">
        <v>19</v>
      </c>
      <c r="H2755" s="2" t="s">
        <v>2575</v>
      </c>
      <c r="I2755" s="2" t="s">
        <v>3174</v>
      </c>
    </row>
    <row r="2756" spans="1:9" ht="14.5" x14ac:dyDescent="0.35">
      <c r="A2756" s="2">
        <v>897825</v>
      </c>
      <c r="B2756" s="2" t="str">
        <f>"3523110403980001"</f>
        <v>3523110403980001</v>
      </c>
      <c r="C2756" s="2" t="s">
        <v>3383</v>
      </c>
      <c r="D2756" s="2" t="s">
        <v>10</v>
      </c>
      <c r="E2756" s="2" t="s">
        <v>11</v>
      </c>
      <c r="F2756" s="2" t="s">
        <v>303</v>
      </c>
      <c r="G2756" s="2" t="s">
        <v>3384</v>
      </c>
      <c r="H2756" s="2" t="s">
        <v>3385</v>
      </c>
      <c r="I2756" s="2" t="s">
        <v>3386</v>
      </c>
    </row>
    <row r="2757" spans="1:9" ht="14.5" x14ac:dyDescent="0.35">
      <c r="A2757" s="2">
        <v>2545626</v>
      </c>
      <c r="B2757" s="2" t="str">
        <f>"3523110403980001"</f>
        <v>3523110403980001</v>
      </c>
      <c r="C2757" s="2" t="s">
        <v>3383</v>
      </c>
      <c r="D2757" s="2" t="s">
        <v>17</v>
      </c>
      <c r="E2757" s="2" t="s">
        <v>11</v>
      </c>
      <c r="F2757" s="2" t="s">
        <v>18</v>
      </c>
      <c r="G2757" s="2" t="s">
        <v>19</v>
      </c>
      <c r="H2757" s="2" t="s">
        <v>2575</v>
      </c>
      <c r="I2757" s="2" t="s">
        <v>3174</v>
      </c>
    </row>
    <row r="2758" spans="1:9" ht="14.5" x14ac:dyDescent="0.35">
      <c r="A2758" s="2">
        <v>1611768</v>
      </c>
      <c r="B2758" s="2" t="str">
        <f>"3529161403010002"</f>
        <v>3529161403010002</v>
      </c>
      <c r="C2758" s="2" t="s">
        <v>3387</v>
      </c>
      <c r="D2758" s="2" t="s">
        <v>17</v>
      </c>
      <c r="E2758" s="2" t="s">
        <v>11</v>
      </c>
      <c r="F2758" s="2" t="s">
        <v>303</v>
      </c>
      <c r="G2758" s="2" t="s">
        <v>3388</v>
      </c>
      <c r="H2758" s="2" t="s">
        <v>3389</v>
      </c>
      <c r="I2758" s="2" t="s">
        <v>3390</v>
      </c>
    </row>
    <row r="2759" spans="1:9" ht="14.5" x14ac:dyDescent="0.35">
      <c r="A2759" s="2">
        <v>2548509</v>
      </c>
      <c r="B2759" s="2" t="str">
        <f>"3529161403010002"</f>
        <v>3529161403010002</v>
      </c>
      <c r="C2759" s="2" t="s">
        <v>3387</v>
      </c>
      <c r="D2759" s="2" t="s">
        <v>17</v>
      </c>
      <c r="E2759" s="2" t="s">
        <v>11</v>
      </c>
      <c r="F2759" s="2" t="s">
        <v>18</v>
      </c>
      <c r="G2759" s="2" t="s">
        <v>19</v>
      </c>
      <c r="H2759" s="2" t="s">
        <v>2575</v>
      </c>
      <c r="I2759" s="2" t="s">
        <v>3170</v>
      </c>
    </row>
    <row r="2760" spans="1:9" ht="14.5" x14ac:dyDescent="0.35">
      <c r="A2760" s="2">
        <v>1351712</v>
      </c>
      <c r="B2760" s="2" t="str">
        <f>"3674060303810006"</f>
        <v>3674060303810006</v>
      </c>
      <c r="C2760" s="2" t="s">
        <v>3391</v>
      </c>
      <c r="D2760" s="2" t="s">
        <v>10</v>
      </c>
      <c r="E2760" s="2" t="s">
        <v>11</v>
      </c>
      <c r="F2760" s="2" t="s">
        <v>67</v>
      </c>
      <c r="G2760" s="2" t="s">
        <v>68</v>
      </c>
      <c r="H2760" s="2" t="s">
        <v>2817</v>
      </c>
      <c r="I2760" s="2" t="s">
        <v>3392</v>
      </c>
    </row>
    <row r="2761" spans="1:9" ht="14.5" x14ac:dyDescent="0.35">
      <c r="A2761" s="2">
        <v>2545368</v>
      </c>
      <c r="B2761" s="2" t="str">
        <f>"3674060303810006"</f>
        <v>3674060303810006</v>
      </c>
      <c r="C2761" s="2" t="s">
        <v>3391</v>
      </c>
      <c r="D2761" s="2" t="s">
        <v>17</v>
      </c>
      <c r="E2761" s="2" t="s">
        <v>11</v>
      </c>
      <c r="F2761" s="2" t="s">
        <v>18</v>
      </c>
      <c r="G2761" s="2" t="s">
        <v>19</v>
      </c>
      <c r="H2761" s="2" t="s">
        <v>2575</v>
      </c>
      <c r="I2761" s="2" t="s">
        <v>3178</v>
      </c>
    </row>
    <row r="2762" spans="1:9" ht="14.5" x14ac:dyDescent="0.35">
      <c r="A2762" s="2">
        <v>1351713</v>
      </c>
      <c r="B2762" s="2" t="str">
        <f>"3674064404880014"</f>
        <v>3674064404880014</v>
      </c>
      <c r="C2762" s="2" t="s">
        <v>3393</v>
      </c>
      <c r="D2762" s="2" t="s">
        <v>10</v>
      </c>
      <c r="E2762" s="2" t="s">
        <v>11</v>
      </c>
      <c r="F2762" s="2" t="s">
        <v>67</v>
      </c>
      <c r="G2762" s="2" t="s">
        <v>68</v>
      </c>
      <c r="H2762" s="2" t="s">
        <v>2817</v>
      </c>
      <c r="I2762" s="2" t="s">
        <v>3392</v>
      </c>
    </row>
    <row r="2763" spans="1:9" ht="14.5" x14ac:dyDescent="0.35">
      <c r="A2763" s="2">
        <v>2545369</v>
      </c>
      <c r="B2763" s="2" t="str">
        <f>"3674064404880014"</f>
        <v>3674064404880014</v>
      </c>
      <c r="C2763" s="2" t="s">
        <v>3394</v>
      </c>
      <c r="D2763" s="2" t="s">
        <v>17</v>
      </c>
      <c r="E2763" s="2" t="s">
        <v>11</v>
      </c>
      <c r="F2763" s="2" t="s">
        <v>18</v>
      </c>
      <c r="G2763" s="2" t="s">
        <v>19</v>
      </c>
      <c r="H2763" s="2" t="s">
        <v>2575</v>
      </c>
      <c r="I2763" s="2" t="s">
        <v>3178</v>
      </c>
    </row>
    <row r="2764" spans="1:9" ht="14.5" x14ac:dyDescent="0.35">
      <c r="A2764" s="2">
        <v>1629920</v>
      </c>
      <c r="B2764" s="2" t="str">
        <f>"7372025207830008"</f>
        <v>7372025207830008</v>
      </c>
      <c r="C2764" s="2" t="s">
        <v>3395</v>
      </c>
      <c r="D2764" s="2" t="s">
        <v>10</v>
      </c>
      <c r="E2764" s="2" t="s">
        <v>11</v>
      </c>
      <c r="F2764" s="2" t="s">
        <v>18</v>
      </c>
      <c r="G2764" s="2" t="s">
        <v>19</v>
      </c>
      <c r="H2764" s="2" t="s">
        <v>2575</v>
      </c>
      <c r="I2764" s="2" t="s">
        <v>3379</v>
      </c>
    </row>
    <row r="2765" spans="1:9" ht="14.5" x14ac:dyDescent="0.35">
      <c r="A2765" s="2">
        <v>1352175</v>
      </c>
      <c r="B2765" s="2" t="str">
        <f>"7372025207830008"</f>
        <v>7372025207830008</v>
      </c>
      <c r="C2765" s="2" t="s">
        <v>3396</v>
      </c>
      <c r="D2765" s="2" t="s">
        <v>10</v>
      </c>
      <c r="E2765" s="2" t="s">
        <v>57</v>
      </c>
      <c r="F2765" s="2" t="s">
        <v>303</v>
      </c>
      <c r="G2765" s="2" t="s">
        <v>608</v>
      </c>
      <c r="H2765" s="2" t="s">
        <v>609</v>
      </c>
      <c r="I2765" s="2" t="s">
        <v>610</v>
      </c>
    </row>
    <row r="2766" spans="1:9" ht="14.5" x14ac:dyDescent="0.35">
      <c r="A2766" s="2">
        <v>1166958</v>
      </c>
      <c r="B2766" s="2" t="str">
        <f>"1217051209900001"</f>
        <v>1217051209900001</v>
      </c>
      <c r="C2766" s="2" t="s">
        <v>3397</v>
      </c>
      <c r="D2766" s="2" t="s">
        <v>10</v>
      </c>
      <c r="E2766" s="2" t="s">
        <v>11</v>
      </c>
      <c r="F2766" s="2" t="s">
        <v>91</v>
      </c>
      <c r="G2766" s="2" t="s">
        <v>650</v>
      </c>
      <c r="H2766" s="2" t="s">
        <v>3398</v>
      </c>
      <c r="I2766" s="2" t="s">
        <v>3399</v>
      </c>
    </row>
    <row r="2767" spans="1:9" ht="14.5" x14ac:dyDescent="0.35">
      <c r="A2767" s="2">
        <v>2550789</v>
      </c>
      <c r="B2767" s="2" t="str">
        <f>"1217051209900001"</f>
        <v>1217051209900001</v>
      </c>
      <c r="C2767" s="2" t="s">
        <v>3397</v>
      </c>
      <c r="D2767" s="2" t="s">
        <v>17</v>
      </c>
      <c r="E2767" s="2" t="s">
        <v>11</v>
      </c>
      <c r="F2767" s="2" t="s">
        <v>18</v>
      </c>
      <c r="G2767" s="2" t="s">
        <v>19</v>
      </c>
      <c r="H2767" s="2" t="s">
        <v>251</v>
      </c>
      <c r="I2767" s="2" t="s">
        <v>3400</v>
      </c>
    </row>
    <row r="2768" spans="1:9" ht="14.5" x14ac:dyDescent="0.35">
      <c r="A2768" s="2">
        <v>178795</v>
      </c>
      <c r="B2768" s="2" t="str">
        <f>"1303040901880004"</f>
        <v>1303040901880004</v>
      </c>
      <c r="C2768" s="2" t="s">
        <v>3401</v>
      </c>
      <c r="D2768" s="2" t="s">
        <v>10</v>
      </c>
      <c r="E2768" s="2" t="s">
        <v>11</v>
      </c>
      <c r="F2768" s="2" t="s">
        <v>12</v>
      </c>
      <c r="G2768" s="2" t="s">
        <v>3402</v>
      </c>
      <c r="H2768" s="2" t="s">
        <v>3402</v>
      </c>
      <c r="I2768" s="2" t="s">
        <v>3402</v>
      </c>
    </row>
    <row r="2769" spans="1:9" ht="14.5" x14ac:dyDescent="0.35">
      <c r="A2769" s="2">
        <v>2549400</v>
      </c>
      <c r="B2769" s="2" t="str">
        <f>"1303040901880004"</f>
        <v>1303040901880004</v>
      </c>
      <c r="C2769" s="2" t="s">
        <v>3401</v>
      </c>
      <c r="D2769" s="2" t="s">
        <v>17</v>
      </c>
      <c r="E2769" s="2" t="s">
        <v>11</v>
      </c>
      <c r="F2769" s="2" t="s">
        <v>18</v>
      </c>
      <c r="G2769" s="2" t="s">
        <v>19</v>
      </c>
      <c r="H2769" s="2" t="s">
        <v>251</v>
      </c>
      <c r="I2769" s="2" t="s">
        <v>3348</v>
      </c>
    </row>
    <row r="2770" spans="1:9" ht="14.5" x14ac:dyDescent="0.35">
      <c r="A2770" s="2">
        <v>2323289</v>
      </c>
      <c r="B2770" s="2" t="str">
        <f>"1471090106740001"</f>
        <v>1471090106740001</v>
      </c>
      <c r="C2770" s="2" t="s">
        <v>3403</v>
      </c>
      <c r="D2770" s="2" t="s">
        <v>10</v>
      </c>
      <c r="E2770" s="2" t="s">
        <v>11</v>
      </c>
      <c r="F2770" s="2" t="s">
        <v>18</v>
      </c>
      <c r="G2770" s="2" t="s">
        <v>19</v>
      </c>
      <c r="H2770" s="2" t="s">
        <v>251</v>
      </c>
      <c r="I2770" s="2" t="s">
        <v>3400</v>
      </c>
    </row>
    <row r="2771" spans="1:9" ht="14.5" x14ac:dyDescent="0.35">
      <c r="A2771" s="2">
        <v>1455355</v>
      </c>
      <c r="B2771" s="2" t="str">
        <f>"1471090106740001"</f>
        <v>1471090106740001</v>
      </c>
      <c r="C2771" s="2" t="s">
        <v>3404</v>
      </c>
      <c r="D2771" s="2" t="s">
        <v>17</v>
      </c>
      <c r="E2771" s="2" t="s">
        <v>11</v>
      </c>
      <c r="F2771" s="2" t="s">
        <v>303</v>
      </c>
      <c r="G2771" s="2" t="s">
        <v>304</v>
      </c>
      <c r="H2771" s="2" t="s">
        <v>3405</v>
      </c>
      <c r="I2771" s="2" t="s">
        <v>3406</v>
      </c>
    </row>
    <row r="2772" spans="1:9" ht="14.5" x14ac:dyDescent="0.35">
      <c r="A2772" s="2">
        <v>107706</v>
      </c>
      <c r="B2772" s="2" t="str">
        <f>"1901020707920001"</f>
        <v>1901020707920001</v>
      </c>
      <c r="C2772" s="2" t="s">
        <v>3407</v>
      </c>
      <c r="D2772" s="2" t="s">
        <v>10</v>
      </c>
      <c r="E2772" s="2" t="s">
        <v>11</v>
      </c>
      <c r="F2772" s="2" t="s">
        <v>225</v>
      </c>
      <c r="G2772" s="2" t="s">
        <v>226</v>
      </c>
      <c r="H2772" s="2" t="s">
        <v>3408</v>
      </c>
      <c r="I2772" s="2" t="s">
        <v>3409</v>
      </c>
    </row>
    <row r="2773" spans="1:9" ht="14.5" x14ac:dyDescent="0.35">
      <c r="A2773" s="2">
        <v>2550326</v>
      </c>
      <c r="B2773" s="2" t="str">
        <f>"1901020707920001"</f>
        <v>1901020707920001</v>
      </c>
      <c r="C2773" s="2" t="s">
        <v>3407</v>
      </c>
      <c r="D2773" s="2" t="s">
        <v>17</v>
      </c>
      <c r="E2773" s="2" t="s">
        <v>11</v>
      </c>
      <c r="F2773" s="2" t="s">
        <v>18</v>
      </c>
      <c r="G2773" s="2" t="s">
        <v>19</v>
      </c>
      <c r="H2773" s="2" t="s">
        <v>251</v>
      </c>
      <c r="I2773" s="2" t="s">
        <v>3410</v>
      </c>
    </row>
    <row r="2774" spans="1:9" ht="14.5" x14ac:dyDescent="0.35">
      <c r="A2774" s="2">
        <v>801323</v>
      </c>
      <c r="B2774" s="2" t="str">
        <f>"3171071103830007"</f>
        <v>3171071103830007</v>
      </c>
      <c r="C2774" s="2" t="s">
        <v>3411</v>
      </c>
      <c r="D2774" s="2" t="s">
        <v>10</v>
      </c>
      <c r="E2774" s="2" t="s">
        <v>11</v>
      </c>
      <c r="F2774" s="2" t="s">
        <v>91</v>
      </c>
      <c r="G2774" s="2" t="s">
        <v>985</v>
      </c>
      <c r="H2774" s="2" t="s">
        <v>3412</v>
      </c>
      <c r="I2774" s="2" t="s">
        <v>3413</v>
      </c>
    </row>
    <row r="2775" spans="1:9" ht="14.5" x14ac:dyDescent="0.35">
      <c r="A2775" s="2">
        <v>2550365</v>
      </c>
      <c r="B2775" s="2" t="str">
        <f>"3171071103830007"</f>
        <v>3171071103830007</v>
      </c>
      <c r="C2775" s="2" t="s">
        <v>3411</v>
      </c>
      <c r="D2775" s="2" t="s">
        <v>17</v>
      </c>
      <c r="E2775" s="2" t="s">
        <v>11</v>
      </c>
      <c r="F2775" s="2" t="s">
        <v>18</v>
      </c>
      <c r="G2775" s="2" t="s">
        <v>19</v>
      </c>
      <c r="H2775" s="2" t="s">
        <v>251</v>
      </c>
      <c r="I2775" s="2" t="s">
        <v>3414</v>
      </c>
    </row>
    <row r="2776" spans="1:9" ht="14.5" x14ac:dyDescent="0.35">
      <c r="A2776" s="2">
        <v>801324</v>
      </c>
      <c r="B2776" s="2" t="str">
        <f>"3171074909850006"</f>
        <v>3171074909850006</v>
      </c>
      <c r="C2776" s="2" t="s">
        <v>3415</v>
      </c>
      <c r="D2776" s="2" t="s">
        <v>10</v>
      </c>
      <c r="E2776" s="2" t="s">
        <v>11</v>
      </c>
      <c r="F2776" s="2" t="s">
        <v>91</v>
      </c>
      <c r="G2776" s="2" t="s">
        <v>985</v>
      </c>
      <c r="H2776" s="2" t="s">
        <v>3412</v>
      </c>
      <c r="I2776" s="2" t="s">
        <v>3413</v>
      </c>
    </row>
    <row r="2777" spans="1:9" ht="14.5" x14ac:dyDescent="0.35">
      <c r="A2777" s="2">
        <v>2550366</v>
      </c>
      <c r="B2777" s="2" t="str">
        <f>"3171074909850006"</f>
        <v>3171074909850006</v>
      </c>
      <c r="C2777" s="2" t="s">
        <v>3415</v>
      </c>
      <c r="D2777" s="2" t="s">
        <v>17</v>
      </c>
      <c r="E2777" s="2" t="s">
        <v>11</v>
      </c>
      <c r="F2777" s="2" t="s">
        <v>18</v>
      </c>
      <c r="G2777" s="2" t="s">
        <v>19</v>
      </c>
      <c r="H2777" s="2" t="s">
        <v>251</v>
      </c>
      <c r="I2777" s="2" t="s">
        <v>3414</v>
      </c>
    </row>
    <row r="2778" spans="1:9" ht="14.5" x14ac:dyDescent="0.35">
      <c r="A2778" s="2">
        <v>348719</v>
      </c>
      <c r="B2778" s="2" t="str">
        <f>"3171081804740003"</f>
        <v>3171081804740003</v>
      </c>
      <c r="C2778" s="2" t="s">
        <v>3416</v>
      </c>
      <c r="D2778" s="2" t="s">
        <v>10</v>
      </c>
      <c r="E2778" s="2" t="s">
        <v>11</v>
      </c>
      <c r="F2778" s="2" t="s">
        <v>50</v>
      </c>
      <c r="G2778" s="2" t="s">
        <v>280</v>
      </c>
      <c r="H2778" s="2" t="s">
        <v>2507</v>
      </c>
      <c r="I2778" s="2" t="s">
        <v>3417</v>
      </c>
    </row>
    <row r="2779" spans="1:9" ht="14.5" x14ac:dyDescent="0.35">
      <c r="A2779" s="2">
        <v>2551159</v>
      </c>
      <c r="B2779" s="2" t="str">
        <f>"3171081804740003"</f>
        <v>3171081804740003</v>
      </c>
      <c r="C2779" s="2" t="s">
        <v>3416</v>
      </c>
      <c r="D2779" s="2" t="s">
        <v>17</v>
      </c>
      <c r="E2779" s="2" t="s">
        <v>11</v>
      </c>
      <c r="F2779" s="2" t="s">
        <v>18</v>
      </c>
      <c r="G2779" s="2" t="s">
        <v>19</v>
      </c>
      <c r="H2779" s="2" t="s">
        <v>251</v>
      </c>
      <c r="I2779" s="2" t="s">
        <v>3418</v>
      </c>
    </row>
    <row r="2780" spans="1:9" ht="14.5" x14ac:dyDescent="0.35">
      <c r="A2780" s="2">
        <v>1084355</v>
      </c>
      <c r="B2780" s="2" t="str">
        <f>"3172010410750009"</f>
        <v>3172010410750009</v>
      </c>
      <c r="C2780" s="2" t="s">
        <v>3419</v>
      </c>
      <c r="D2780" s="2" t="s">
        <v>10</v>
      </c>
      <c r="E2780" s="2" t="s">
        <v>11</v>
      </c>
      <c r="F2780" s="2" t="s">
        <v>50</v>
      </c>
      <c r="G2780" s="2" t="s">
        <v>51</v>
      </c>
      <c r="H2780" s="2" t="s">
        <v>52</v>
      </c>
      <c r="I2780" s="2" t="s">
        <v>52</v>
      </c>
    </row>
    <row r="2781" spans="1:9" ht="14.5" x14ac:dyDescent="0.35">
      <c r="A2781" s="2">
        <v>2550890</v>
      </c>
      <c r="B2781" s="2" t="str">
        <f>"3172010410750009"</f>
        <v>3172010410750009</v>
      </c>
      <c r="C2781" s="2" t="s">
        <v>3419</v>
      </c>
      <c r="D2781" s="2" t="s">
        <v>17</v>
      </c>
      <c r="E2781" s="2" t="s">
        <v>11</v>
      </c>
      <c r="F2781" s="2" t="s">
        <v>18</v>
      </c>
      <c r="G2781" s="2" t="s">
        <v>19</v>
      </c>
      <c r="H2781" s="2" t="s">
        <v>251</v>
      </c>
      <c r="I2781" s="2" t="s">
        <v>3400</v>
      </c>
    </row>
    <row r="2782" spans="1:9" ht="14.5" x14ac:dyDescent="0.35">
      <c r="A2782" s="2">
        <v>1084354</v>
      </c>
      <c r="B2782" s="2" t="str">
        <f>"3172014712810002"</f>
        <v>3172014712810002</v>
      </c>
      <c r="C2782" s="2" t="s">
        <v>3420</v>
      </c>
      <c r="D2782" s="2" t="s">
        <v>10</v>
      </c>
      <c r="E2782" s="2" t="s">
        <v>11</v>
      </c>
      <c r="F2782" s="2" t="s">
        <v>50</v>
      </c>
      <c r="G2782" s="2" t="s">
        <v>51</v>
      </c>
      <c r="H2782" s="2" t="s">
        <v>52</v>
      </c>
      <c r="I2782" s="2" t="s">
        <v>52</v>
      </c>
    </row>
    <row r="2783" spans="1:9" ht="14.5" x14ac:dyDescent="0.35">
      <c r="A2783" s="2">
        <v>2550891</v>
      </c>
      <c r="B2783" s="2" t="str">
        <f>"3172014712810002"</f>
        <v>3172014712810002</v>
      </c>
      <c r="C2783" s="2" t="s">
        <v>3420</v>
      </c>
      <c r="D2783" s="2" t="s">
        <v>17</v>
      </c>
      <c r="E2783" s="2" t="s">
        <v>11</v>
      </c>
      <c r="F2783" s="2" t="s">
        <v>18</v>
      </c>
      <c r="G2783" s="2" t="s">
        <v>19</v>
      </c>
      <c r="H2783" s="2" t="s">
        <v>251</v>
      </c>
      <c r="I2783" s="2" t="s">
        <v>3400</v>
      </c>
    </row>
    <row r="2784" spans="1:9" ht="14.5" x14ac:dyDescent="0.35">
      <c r="A2784" s="2">
        <v>752915</v>
      </c>
      <c r="B2784" s="2" t="str">
        <f>"3172020310840008"</f>
        <v>3172020310840008</v>
      </c>
      <c r="C2784" s="2" t="s">
        <v>3421</v>
      </c>
      <c r="D2784" s="2" t="s">
        <v>10</v>
      </c>
      <c r="E2784" s="2" t="s">
        <v>11</v>
      </c>
      <c r="F2784" s="2" t="s">
        <v>50</v>
      </c>
      <c r="G2784" s="2" t="s">
        <v>51</v>
      </c>
      <c r="H2784" s="2" t="s">
        <v>62</v>
      </c>
      <c r="I2784" s="2" t="s">
        <v>3422</v>
      </c>
    </row>
    <row r="2785" spans="1:9" ht="14.5" x14ac:dyDescent="0.35">
      <c r="A2785" s="2">
        <v>2572789</v>
      </c>
      <c r="B2785" s="2" t="str">
        <f>"3172020310840008"</f>
        <v>3172020310840008</v>
      </c>
      <c r="C2785" s="2" t="s">
        <v>3423</v>
      </c>
      <c r="D2785" s="2" t="s">
        <v>17</v>
      </c>
      <c r="E2785" s="2" t="s">
        <v>11</v>
      </c>
      <c r="F2785" s="2" t="s">
        <v>18</v>
      </c>
      <c r="G2785" s="2" t="s">
        <v>19</v>
      </c>
      <c r="H2785" s="2" t="s">
        <v>251</v>
      </c>
      <c r="I2785" s="2" t="s">
        <v>252</v>
      </c>
    </row>
    <row r="2786" spans="1:9" ht="14.5" x14ac:dyDescent="0.35">
      <c r="A2786" s="2">
        <v>957991</v>
      </c>
      <c r="B2786" s="2" t="str">
        <f>"3172041101760005"</f>
        <v>3172041101760005</v>
      </c>
      <c r="C2786" s="2" t="s">
        <v>3424</v>
      </c>
      <c r="D2786" s="2" t="s">
        <v>10</v>
      </c>
      <c r="E2786" s="2" t="s">
        <v>11</v>
      </c>
      <c r="F2786" s="2" t="s">
        <v>50</v>
      </c>
      <c r="G2786" s="2" t="s">
        <v>51</v>
      </c>
      <c r="H2786" s="2" t="s">
        <v>78</v>
      </c>
      <c r="I2786" s="2" t="s">
        <v>81</v>
      </c>
    </row>
    <row r="2787" spans="1:9" ht="14.5" x14ac:dyDescent="0.35">
      <c r="A2787" s="2">
        <v>2549469</v>
      </c>
      <c r="B2787" s="2" t="str">
        <f>"3172041101760005"</f>
        <v>3172041101760005</v>
      </c>
      <c r="C2787" s="2" t="s">
        <v>3425</v>
      </c>
      <c r="D2787" s="2" t="s">
        <v>17</v>
      </c>
      <c r="E2787" s="2" t="s">
        <v>11</v>
      </c>
      <c r="F2787" s="2" t="s">
        <v>18</v>
      </c>
      <c r="G2787" s="2" t="s">
        <v>19</v>
      </c>
      <c r="H2787" s="2" t="s">
        <v>251</v>
      </c>
      <c r="I2787" s="2" t="s">
        <v>3348</v>
      </c>
    </row>
    <row r="2788" spans="1:9" ht="14.5" x14ac:dyDescent="0.35">
      <c r="A2788" s="2">
        <v>1165280</v>
      </c>
      <c r="B2788" s="2" t="str">
        <f>"3172044410610002"</f>
        <v>3172044410610002</v>
      </c>
      <c r="C2788" s="2" t="s">
        <v>3426</v>
      </c>
      <c r="D2788" s="2" t="s">
        <v>10</v>
      </c>
      <c r="E2788" s="2" t="s">
        <v>11</v>
      </c>
      <c r="F2788" s="2" t="s">
        <v>50</v>
      </c>
      <c r="G2788" s="2" t="s">
        <v>51</v>
      </c>
      <c r="H2788" s="2" t="s">
        <v>78</v>
      </c>
      <c r="I2788" s="2" t="s">
        <v>680</v>
      </c>
    </row>
    <row r="2789" spans="1:9" ht="14.5" x14ac:dyDescent="0.35">
      <c r="A2789" s="2">
        <v>2550510</v>
      </c>
      <c r="B2789" s="2" t="str">
        <f>"3172044410610002"</f>
        <v>3172044410610002</v>
      </c>
      <c r="C2789" s="2" t="s">
        <v>3426</v>
      </c>
      <c r="D2789" s="2" t="s">
        <v>17</v>
      </c>
      <c r="E2789" s="2" t="s">
        <v>11</v>
      </c>
      <c r="F2789" s="2" t="s">
        <v>18</v>
      </c>
      <c r="G2789" s="2" t="s">
        <v>19</v>
      </c>
      <c r="H2789" s="2" t="s">
        <v>251</v>
      </c>
      <c r="I2789" s="2" t="s">
        <v>3414</v>
      </c>
    </row>
    <row r="2790" spans="1:9" ht="14.5" x14ac:dyDescent="0.35">
      <c r="A2790" s="2">
        <v>1251838</v>
      </c>
      <c r="B2790" s="2" t="str">
        <f>"3172045705031003"</f>
        <v>3172045705031003</v>
      </c>
      <c r="C2790" s="2" t="s">
        <v>3427</v>
      </c>
      <c r="D2790" s="2" t="s">
        <v>10</v>
      </c>
      <c r="E2790" s="2" t="s">
        <v>11</v>
      </c>
      <c r="F2790" s="2" t="s">
        <v>50</v>
      </c>
      <c r="G2790" s="2" t="s">
        <v>51</v>
      </c>
      <c r="H2790" s="2" t="s">
        <v>78</v>
      </c>
      <c r="I2790" s="2" t="s">
        <v>79</v>
      </c>
    </row>
    <row r="2791" spans="1:9" ht="14.5" x14ac:dyDescent="0.35">
      <c r="A2791" s="2">
        <v>2572407</v>
      </c>
      <c r="B2791" s="2" t="str">
        <f>"3172045705031003"</f>
        <v>3172045705031003</v>
      </c>
      <c r="C2791" s="2" t="s">
        <v>3427</v>
      </c>
      <c r="D2791" s="2" t="s">
        <v>17</v>
      </c>
      <c r="E2791" s="2" t="s">
        <v>11</v>
      </c>
      <c r="F2791" s="2" t="s">
        <v>18</v>
      </c>
      <c r="G2791" s="2" t="s">
        <v>19</v>
      </c>
      <c r="H2791" s="2" t="s">
        <v>251</v>
      </c>
      <c r="I2791" s="2" t="s">
        <v>252</v>
      </c>
    </row>
    <row r="2792" spans="1:9" ht="14.5" x14ac:dyDescent="0.35">
      <c r="A2792" s="2">
        <v>957990</v>
      </c>
      <c r="B2792" s="2" t="str">
        <f>"3172046408800012"</f>
        <v>3172046408800012</v>
      </c>
      <c r="C2792" s="2" t="s">
        <v>3428</v>
      </c>
      <c r="D2792" s="2" t="s">
        <v>10</v>
      </c>
      <c r="E2792" s="2" t="s">
        <v>11</v>
      </c>
      <c r="F2792" s="2" t="s">
        <v>50</v>
      </c>
      <c r="G2792" s="2" t="s">
        <v>51</v>
      </c>
      <c r="H2792" s="2" t="s">
        <v>78</v>
      </c>
      <c r="I2792" s="2" t="s">
        <v>81</v>
      </c>
    </row>
    <row r="2793" spans="1:9" ht="14.5" x14ac:dyDescent="0.35">
      <c r="A2793" s="2">
        <v>2549470</v>
      </c>
      <c r="B2793" s="2" t="str">
        <f>"3172046408800012"</f>
        <v>3172046408800012</v>
      </c>
      <c r="C2793" s="2" t="s">
        <v>3428</v>
      </c>
      <c r="D2793" s="2" t="s">
        <v>17</v>
      </c>
      <c r="E2793" s="2" t="s">
        <v>11</v>
      </c>
      <c r="F2793" s="2" t="s">
        <v>18</v>
      </c>
      <c r="G2793" s="2" t="s">
        <v>19</v>
      </c>
      <c r="H2793" s="2" t="s">
        <v>251</v>
      </c>
      <c r="I2793" s="2" t="s">
        <v>3348</v>
      </c>
    </row>
    <row r="2794" spans="1:9" ht="14.5" x14ac:dyDescent="0.35">
      <c r="A2794" s="2">
        <v>297225</v>
      </c>
      <c r="B2794" s="2" t="str">
        <f>"3173020602860004"</f>
        <v>3173020602860004</v>
      </c>
      <c r="C2794" s="2" t="s">
        <v>3429</v>
      </c>
      <c r="D2794" s="2" t="s">
        <v>10</v>
      </c>
      <c r="E2794" s="2" t="s">
        <v>11</v>
      </c>
      <c r="F2794" s="2" t="s">
        <v>50</v>
      </c>
      <c r="G2794" s="2" t="s">
        <v>86</v>
      </c>
      <c r="H2794" s="2" t="s">
        <v>205</v>
      </c>
      <c r="I2794" s="2" t="s">
        <v>206</v>
      </c>
    </row>
    <row r="2795" spans="1:9" ht="14.5" x14ac:dyDescent="0.35">
      <c r="A2795" s="2">
        <v>2572383</v>
      </c>
      <c r="B2795" s="2" t="str">
        <f>"3173020602860004"</f>
        <v>3173020602860004</v>
      </c>
      <c r="C2795" s="2" t="s">
        <v>3429</v>
      </c>
      <c r="D2795" s="2" t="s">
        <v>17</v>
      </c>
      <c r="E2795" s="2" t="s">
        <v>11</v>
      </c>
      <c r="F2795" s="2" t="s">
        <v>18</v>
      </c>
      <c r="G2795" s="2" t="s">
        <v>19</v>
      </c>
      <c r="H2795" s="2" t="s">
        <v>251</v>
      </c>
      <c r="I2795" s="2" t="s">
        <v>252</v>
      </c>
    </row>
    <row r="2796" spans="1:9" ht="14.5" x14ac:dyDescent="0.35">
      <c r="A2796" s="2">
        <v>2044941</v>
      </c>
      <c r="B2796" s="2" t="str">
        <f>"3174035103820001"</f>
        <v>3174035103820001</v>
      </c>
      <c r="C2796" s="2" t="s">
        <v>3430</v>
      </c>
      <c r="D2796" s="2" t="s">
        <v>10</v>
      </c>
      <c r="E2796" s="2" t="s">
        <v>11</v>
      </c>
      <c r="F2796" s="2" t="s">
        <v>50</v>
      </c>
      <c r="G2796" s="2" t="s">
        <v>58</v>
      </c>
      <c r="H2796" s="2" t="s">
        <v>260</v>
      </c>
      <c r="I2796" s="2" t="s">
        <v>2510</v>
      </c>
    </row>
    <row r="2797" spans="1:9" ht="14.5" x14ac:dyDescent="0.35">
      <c r="A2797" s="2">
        <v>2549434</v>
      </c>
      <c r="B2797" s="2" t="str">
        <f>"3174035103820001"</f>
        <v>3174035103820001</v>
      </c>
      <c r="C2797" s="2" t="s">
        <v>3430</v>
      </c>
      <c r="D2797" s="2" t="s">
        <v>17</v>
      </c>
      <c r="E2797" s="2" t="s">
        <v>11</v>
      </c>
      <c r="F2797" s="2" t="s">
        <v>18</v>
      </c>
      <c r="G2797" s="2" t="s">
        <v>19</v>
      </c>
      <c r="H2797" s="2" t="s">
        <v>251</v>
      </c>
      <c r="I2797" s="2" t="s">
        <v>3348</v>
      </c>
    </row>
    <row r="2798" spans="1:9" ht="14.5" x14ac:dyDescent="0.35">
      <c r="A2798" s="2">
        <v>988496</v>
      </c>
      <c r="B2798" s="2" t="str">
        <f>"3174051207840001"</f>
        <v>3174051207840001</v>
      </c>
      <c r="C2798" s="2" t="s">
        <v>3431</v>
      </c>
      <c r="D2798" s="2" t="s">
        <v>10</v>
      </c>
      <c r="E2798" s="2" t="s">
        <v>11</v>
      </c>
      <c r="F2798" s="2" t="s">
        <v>50</v>
      </c>
      <c r="G2798" s="2" t="s">
        <v>72</v>
      </c>
      <c r="H2798" s="2" t="s">
        <v>803</v>
      </c>
      <c r="I2798" s="2" t="s">
        <v>804</v>
      </c>
    </row>
    <row r="2799" spans="1:9" ht="14.5" x14ac:dyDescent="0.35">
      <c r="A2799" s="2">
        <v>2548956</v>
      </c>
      <c r="B2799" s="2" t="str">
        <f>"3174051207840001"</f>
        <v>3174051207840001</v>
      </c>
      <c r="C2799" s="2" t="s">
        <v>3431</v>
      </c>
      <c r="D2799" s="2" t="s">
        <v>17</v>
      </c>
      <c r="E2799" s="2" t="s">
        <v>11</v>
      </c>
      <c r="F2799" s="2" t="s">
        <v>18</v>
      </c>
      <c r="G2799" s="2" t="s">
        <v>19</v>
      </c>
      <c r="H2799" s="2" t="s">
        <v>251</v>
      </c>
      <c r="I2799" s="2" t="s">
        <v>3432</v>
      </c>
    </row>
    <row r="2800" spans="1:9" ht="14.5" x14ac:dyDescent="0.35">
      <c r="A2800" s="2">
        <v>969325</v>
      </c>
      <c r="B2800" s="2" t="str">
        <f>"3175012005840002"</f>
        <v>3175012005840002</v>
      </c>
      <c r="C2800" s="2" t="s">
        <v>3433</v>
      </c>
      <c r="D2800" s="2" t="s">
        <v>10</v>
      </c>
      <c r="E2800" s="2" t="s">
        <v>11</v>
      </c>
      <c r="F2800" s="2" t="s">
        <v>50</v>
      </c>
      <c r="G2800" s="2" t="s">
        <v>58</v>
      </c>
      <c r="H2800" s="2" t="s">
        <v>406</v>
      </c>
      <c r="I2800" s="2" t="s">
        <v>3434</v>
      </c>
    </row>
    <row r="2801" spans="1:9" ht="14.5" x14ac:dyDescent="0.35">
      <c r="A2801" s="2">
        <v>2549018</v>
      </c>
      <c r="B2801" s="2" t="str">
        <f>"3175012005840002"</f>
        <v>3175012005840002</v>
      </c>
      <c r="C2801" s="2" t="s">
        <v>3435</v>
      </c>
      <c r="D2801" s="2" t="s">
        <v>17</v>
      </c>
      <c r="E2801" s="2" t="s">
        <v>11</v>
      </c>
      <c r="F2801" s="2" t="s">
        <v>18</v>
      </c>
      <c r="G2801" s="2" t="s">
        <v>19</v>
      </c>
      <c r="H2801" s="2" t="s">
        <v>251</v>
      </c>
      <c r="I2801" s="2" t="s">
        <v>3432</v>
      </c>
    </row>
    <row r="2802" spans="1:9" ht="14.5" x14ac:dyDescent="0.35">
      <c r="A2802" s="2">
        <v>2044942</v>
      </c>
      <c r="B2802" s="2" t="str">
        <f>"3175050411760009"</f>
        <v>3175050411760009</v>
      </c>
      <c r="C2802" s="2" t="s">
        <v>3436</v>
      </c>
      <c r="D2802" s="2" t="s">
        <v>10</v>
      </c>
      <c r="E2802" s="2" t="s">
        <v>11</v>
      </c>
      <c r="F2802" s="2" t="s">
        <v>50</v>
      </c>
      <c r="G2802" s="2" t="s">
        <v>58</v>
      </c>
      <c r="H2802" s="2" t="s">
        <v>260</v>
      </c>
      <c r="I2802" s="2" t="s">
        <v>2510</v>
      </c>
    </row>
    <row r="2803" spans="1:9" ht="14.5" x14ac:dyDescent="0.35">
      <c r="A2803" s="2">
        <v>2549436</v>
      </c>
      <c r="B2803" s="2" t="str">
        <f>"3175050411760009"</f>
        <v>3175050411760009</v>
      </c>
      <c r="C2803" s="2" t="s">
        <v>3437</v>
      </c>
      <c r="D2803" s="2" t="s">
        <v>17</v>
      </c>
      <c r="E2803" s="2" t="s">
        <v>11</v>
      </c>
      <c r="F2803" s="2" t="s">
        <v>18</v>
      </c>
      <c r="G2803" s="2" t="s">
        <v>19</v>
      </c>
      <c r="H2803" s="2" t="s">
        <v>251</v>
      </c>
      <c r="I2803" s="2" t="s">
        <v>3348</v>
      </c>
    </row>
    <row r="2804" spans="1:9" ht="14.5" x14ac:dyDescent="0.35">
      <c r="A2804" s="2">
        <v>4461771</v>
      </c>
      <c r="B2804" s="2" t="str">
        <f>"3205154410960003"</f>
        <v>3205154410960003</v>
      </c>
      <c r="C2804" s="2" t="s">
        <v>3438</v>
      </c>
      <c r="D2804" s="2" t="s">
        <v>10</v>
      </c>
      <c r="E2804" s="2" t="s">
        <v>11</v>
      </c>
      <c r="F2804" s="2" t="s">
        <v>91</v>
      </c>
      <c r="G2804" s="2" t="s">
        <v>1295</v>
      </c>
      <c r="H2804" s="2" t="s">
        <v>3439</v>
      </c>
      <c r="I2804" s="2" t="s">
        <v>3439</v>
      </c>
    </row>
    <row r="2805" spans="1:9" ht="14.5" x14ac:dyDescent="0.35">
      <c r="A2805" s="2">
        <v>2549806</v>
      </c>
      <c r="B2805" s="2" t="str">
        <f>"3205154410960003"</f>
        <v>3205154410960003</v>
      </c>
      <c r="C2805" s="2" t="s">
        <v>3440</v>
      </c>
      <c r="D2805" s="2" t="s">
        <v>17</v>
      </c>
      <c r="E2805" s="2" t="s">
        <v>11</v>
      </c>
      <c r="F2805" s="2" t="s">
        <v>18</v>
      </c>
      <c r="G2805" s="2" t="s">
        <v>19</v>
      </c>
      <c r="H2805" s="2" t="s">
        <v>251</v>
      </c>
      <c r="I2805" s="2" t="s">
        <v>3344</v>
      </c>
    </row>
    <row r="2806" spans="1:9" ht="14.5" x14ac:dyDescent="0.35">
      <c r="A2806" s="2">
        <v>209672</v>
      </c>
      <c r="B2806" s="2" t="str">
        <f>"3207050504990001"</f>
        <v>3207050504990001</v>
      </c>
      <c r="C2806" s="2" t="s">
        <v>3441</v>
      </c>
      <c r="D2806" s="2" t="s">
        <v>10</v>
      </c>
      <c r="E2806" s="2" t="s">
        <v>11</v>
      </c>
      <c r="F2806" s="2" t="s">
        <v>91</v>
      </c>
      <c r="G2806" s="2" t="s">
        <v>3442</v>
      </c>
      <c r="H2806" s="2" t="s">
        <v>3443</v>
      </c>
      <c r="I2806" s="2" t="s">
        <v>3443</v>
      </c>
    </row>
    <row r="2807" spans="1:9" ht="14.5" x14ac:dyDescent="0.35">
      <c r="A2807" s="2">
        <v>2551158</v>
      </c>
      <c r="B2807" s="2" t="str">
        <f>"3207050504990001"</f>
        <v>3207050504990001</v>
      </c>
      <c r="C2807" s="2" t="s">
        <v>3441</v>
      </c>
      <c r="D2807" s="2" t="s">
        <v>17</v>
      </c>
      <c r="E2807" s="2" t="s">
        <v>11</v>
      </c>
      <c r="F2807" s="2" t="s">
        <v>18</v>
      </c>
      <c r="G2807" s="2" t="s">
        <v>19</v>
      </c>
      <c r="H2807" s="2" t="s">
        <v>251</v>
      </c>
      <c r="I2807" s="2" t="s">
        <v>3418</v>
      </c>
    </row>
    <row r="2808" spans="1:9" ht="14.5" x14ac:dyDescent="0.35">
      <c r="A2808" s="2">
        <v>209627</v>
      </c>
      <c r="B2808" s="2" t="str">
        <f>"3207055201530001"</f>
        <v>3207055201530001</v>
      </c>
      <c r="C2808" s="2" t="s">
        <v>3444</v>
      </c>
      <c r="D2808" s="2" t="s">
        <v>10</v>
      </c>
      <c r="E2808" s="2" t="s">
        <v>11</v>
      </c>
      <c r="F2808" s="2" t="s">
        <v>91</v>
      </c>
      <c r="G2808" s="2" t="s">
        <v>3442</v>
      </c>
      <c r="H2808" s="2" t="s">
        <v>3443</v>
      </c>
      <c r="I2808" s="2" t="s">
        <v>3443</v>
      </c>
    </row>
    <row r="2809" spans="1:9" ht="14.5" x14ac:dyDescent="0.35">
      <c r="A2809" s="2">
        <v>2551162</v>
      </c>
      <c r="B2809" s="2" t="str">
        <f>"3207055201530001"</f>
        <v>3207055201530001</v>
      </c>
      <c r="C2809" s="2" t="s">
        <v>3444</v>
      </c>
      <c r="D2809" s="2" t="s">
        <v>17</v>
      </c>
      <c r="E2809" s="2" t="s">
        <v>11</v>
      </c>
      <c r="F2809" s="2" t="s">
        <v>18</v>
      </c>
      <c r="G2809" s="2" t="s">
        <v>19</v>
      </c>
      <c r="H2809" s="2" t="s">
        <v>251</v>
      </c>
      <c r="I2809" s="2" t="s">
        <v>3418</v>
      </c>
    </row>
    <row r="2810" spans="1:9" ht="14.5" x14ac:dyDescent="0.35">
      <c r="A2810" s="2">
        <v>300175</v>
      </c>
      <c r="B2810" s="2" t="str">
        <f>"3207235209970001"</f>
        <v>3207235209970001</v>
      </c>
      <c r="C2810" s="2" t="s">
        <v>3445</v>
      </c>
      <c r="D2810" s="2" t="s">
        <v>10</v>
      </c>
      <c r="E2810" s="2" t="s">
        <v>11</v>
      </c>
      <c r="F2810" s="2" t="s">
        <v>91</v>
      </c>
      <c r="G2810" s="2" t="s">
        <v>754</v>
      </c>
      <c r="H2810" s="2" t="s">
        <v>3446</v>
      </c>
      <c r="I2810" s="2" t="s">
        <v>3447</v>
      </c>
    </row>
    <row r="2811" spans="1:9" ht="14.5" x14ac:dyDescent="0.35">
      <c r="A2811" s="2">
        <v>2549978</v>
      </c>
      <c r="B2811" s="2" t="str">
        <f>"3207235209970001"</f>
        <v>3207235209970001</v>
      </c>
      <c r="C2811" s="2" t="s">
        <v>3445</v>
      </c>
      <c r="D2811" s="2" t="s">
        <v>17</v>
      </c>
      <c r="E2811" s="2" t="s">
        <v>11</v>
      </c>
      <c r="F2811" s="2" t="s">
        <v>18</v>
      </c>
      <c r="G2811" s="2" t="s">
        <v>19</v>
      </c>
      <c r="H2811" s="2" t="s">
        <v>251</v>
      </c>
      <c r="I2811" s="2" t="s">
        <v>3344</v>
      </c>
    </row>
    <row r="2812" spans="1:9" ht="14.5" x14ac:dyDescent="0.35">
      <c r="A2812" s="2">
        <v>86868</v>
      </c>
      <c r="B2812" s="2" t="str">
        <f>"3208212702930001"</f>
        <v>3208212702930001</v>
      </c>
      <c r="C2812" s="2" t="s">
        <v>3448</v>
      </c>
      <c r="D2812" s="2" t="s">
        <v>10</v>
      </c>
      <c r="E2812" s="2" t="s">
        <v>11</v>
      </c>
      <c r="F2812" s="2" t="s">
        <v>91</v>
      </c>
      <c r="G2812" s="2" t="s">
        <v>109</v>
      </c>
      <c r="H2812" s="2" t="s">
        <v>3449</v>
      </c>
      <c r="I2812" s="2" t="s">
        <v>3450</v>
      </c>
    </row>
    <row r="2813" spans="1:9" ht="14.5" x14ac:dyDescent="0.35">
      <c r="A2813" s="2">
        <v>2550644</v>
      </c>
      <c r="B2813" s="2" t="str">
        <f>"3208212702930001"</f>
        <v>3208212702930001</v>
      </c>
      <c r="C2813" s="2" t="s">
        <v>3448</v>
      </c>
      <c r="D2813" s="2" t="s">
        <v>17</v>
      </c>
      <c r="E2813" s="2" t="s">
        <v>11</v>
      </c>
      <c r="F2813" s="2" t="s">
        <v>18</v>
      </c>
      <c r="G2813" s="2" t="s">
        <v>19</v>
      </c>
      <c r="H2813" s="2" t="s">
        <v>251</v>
      </c>
      <c r="I2813" s="2" t="s">
        <v>3451</v>
      </c>
    </row>
    <row r="2814" spans="1:9" ht="14.5" x14ac:dyDescent="0.35">
      <c r="A2814" s="2">
        <v>63268</v>
      </c>
      <c r="B2814" s="2" t="str">
        <f>"3212066210940002"</f>
        <v>3212066210940002</v>
      </c>
      <c r="C2814" s="2" t="s">
        <v>3452</v>
      </c>
      <c r="D2814" s="2" t="s">
        <v>10</v>
      </c>
      <c r="E2814" s="2" t="s">
        <v>11</v>
      </c>
      <c r="F2814" s="2" t="s">
        <v>91</v>
      </c>
      <c r="G2814" s="2" t="s">
        <v>114</v>
      </c>
      <c r="H2814" s="2" t="s">
        <v>265</v>
      </c>
      <c r="I2814" s="2" t="s">
        <v>3453</v>
      </c>
    </row>
    <row r="2815" spans="1:9" ht="14.5" x14ac:dyDescent="0.35">
      <c r="A2815" s="2">
        <v>2550097</v>
      </c>
      <c r="B2815" s="2" t="str">
        <f>"3212066210940002"</f>
        <v>3212066210940002</v>
      </c>
      <c r="C2815" s="2" t="s">
        <v>3452</v>
      </c>
      <c r="D2815" s="2" t="s">
        <v>17</v>
      </c>
      <c r="E2815" s="2" t="s">
        <v>11</v>
      </c>
      <c r="F2815" s="2" t="s">
        <v>18</v>
      </c>
      <c r="G2815" s="2" t="s">
        <v>19</v>
      </c>
      <c r="H2815" s="2" t="s">
        <v>251</v>
      </c>
      <c r="I2815" s="2" t="s">
        <v>3410</v>
      </c>
    </row>
    <row r="2816" spans="1:9" ht="14.5" x14ac:dyDescent="0.35">
      <c r="A2816" s="2">
        <v>1463366</v>
      </c>
      <c r="B2816" s="2" t="str">
        <f>"3216190704820015"</f>
        <v>3216190704820015</v>
      </c>
      <c r="C2816" s="2" t="s">
        <v>3454</v>
      </c>
      <c r="D2816" s="2" t="s">
        <v>10</v>
      </c>
      <c r="E2816" s="2" t="s">
        <v>11</v>
      </c>
      <c r="F2816" s="2" t="s">
        <v>91</v>
      </c>
      <c r="G2816" s="2" t="s">
        <v>92</v>
      </c>
      <c r="H2816" s="2" t="s">
        <v>571</v>
      </c>
      <c r="I2816" s="2" t="s">
        <v>572</v>
      </c>
    </row>
    <row r="2817" spans="1:9" ht="14.5" x14ac:dyDescent="0.35">
      <c r="A2817" s="2">
        <v>2550892</v>
      </c>
      <c r="B2817" s="2" t="str">
        <f>"3216190704820015"</f>
        <v>3216190704820015</v>
      </c>
      <c r="C2817" s="2" t="s">
        <v>3454</v>
      </c>
      <c r="D2817" s="2" t="s">
        <v>17</v>
      </c>
      <c r="E2817" s="2" t="s">
        <v>11</v>
      </c>
      <c r="F2817" s="2" t="s">
        <v>18</v>
      </c>
      <c r="G2817" s="2" t="s">
        <v>19</v>
      </c>
      <c r="H2817" s="2" t="s">
        <v>251</v>
      </c>
      <c r="I2817" s="2" t="s">
        <v>3400</v>
      </c>
    </row>
    <row r="2818" spans="1:9" ht="14.5" x14ac:dyDescent="0.35">
      <c r="A2818" s="2">
        <v>1463367</v>
      </c>
      <c r="B2818" s="2" t="str">
        <f>"3216196412830006"</f>
        <v>3216196412830006</v>
      </c>
      <c r="C2818" s="2" t="s">
        <v>1124</v>
      </c>
      <c r="D2818" s="2" t="s">
        <v>10</v>
      </c>
      <c r="E2818" s="2" t="s">
        <v>11</v>
      </c>
      <c r="F2818" s="2" t="s">
        <v>91</v>
      </c>
      <c r="G2818" s="2" t="s">
        <v>92</v>
      </c>
      <c r="H2818" s="2" t="s">
        <v>571</v>
      </c>
      <c r="I2818" s="2" t="s">
        <v>572</v>
      </c>
    </row>
    <row r="2819" spans="1:9" ht="14.5" x14ac:dyDescent="0.35">
      <c r="A2819" s="2">
        <v>2550893</v>
      </c>
      <c r="B2819" s="2" t="str">
        <f>"3216196412830006"</f>
        <v>3216196412830006</v>
      </c>
      <c r="C2819" s="2" t="s">
        <v>1124</v>
      </c>
      <c r="D2819" s="2" t="s">
        <v>17</v>
      </c>
      <c r="E2819" s="2" t="s">
        <v>11</v>
      </c>
      <c r="F2819" s="2" t="s">
        <v>18</v>
      </c>
      <c r="G2819" s="2" t="s">
        <v>19</v>
      </c>
      <c r="H2819" s="2" t="s">
        <v>251</v>
      </c>
      <c r="I2819" s="2" t="s">
        <v>3400</v>
      </c>
    </row>
    <row r="2820" spans="1:9" ht="14.5" x14ac:dyDescent="0.35">
      <c r="A2820" s="2">
        <v>2270151</v>
      </c>
      <c r="B2820" s="2" t="str">
        <f>"3301056507990010"</f>
        <v>3301056507990010</v>
      </c>
      <c r="C2820" s="2" t="s">
        <v>3455</v>
      </c>
      <c r="D2820" s="2" t="s">
        <v>10</v>
      </c>
      <c r="E2820" s="2" t="s">
        <v>11</v>
      </c>
      <c r="F2820" s="2" t="s">
        <v>18</v>
      </c>
      <c r="G2820" s="2" t="s">
        <v>19</v>
      </c>
      <c r="H2820" s="2" t="s">
        <v>251</v>
      </c>
      <c r="I2820" s="2" t="s">
        <v>3344</v>
      </c>
    </row>
    <row r="2821" spans="1:9" ht="14.5" x14ac:dyDescent="0.35">
      <c r="A2821" s="2">
        <v>3077620</v>
      </c>
      <c r="B2821" s="2" t="str">
        <f>"3301056507990010"</f>
        <v>3301056507990010</v>
      </c>
      <c r="C2821" s="2" t="s">
        <v>3455</v>
      </c>
      <c r="D2821" s="2" t="s">
        <v>17</v>
      </c>
      <c r="E2821" s="2" t="s">
        <v>11</v>
      </c>
      <c r="F2821" s="2" t="s">
        <v>18</v>
      </c>
      <c r="G2821" s="2" t="s">
        <v>163</v>
      </c>
      <c r="H2821" s="2" t="s">
        <v>1345</v>
      </c>
      <c r="I2821" s="2" t="s">
        <v>3456</v>
      </c>
    </row>
    <row r="2822" spans="1:9" ht="14.5" x14ac:dyDescent="0.35">
      <c r="A2822" s="2">
        <v>2323464</v>
      </c>
      <c r="B2822" s="2" t="str">
        <f>"3305011005830008"</f>
        <v>3305011005830008</v>
      </c>
      <c r="C2822" s="2" t="s">
        <v>3457</v>
      </c>
      <c r="D2822" s="2" t="s">
        <v>10</v>
      </c>
      <c r="E2822" s="2" t="s">
        <v>11</v>
      </c>
      <c r="F2822" s="2" t="s">
        <v>18</v>
      </c>
      <c r="G2822" s="2" t="s">
        <v>19</v>
      </c>
      <c r="H2822" s="2" t="s">
        <v>251</v>
      </c>
      <c r="I2822" s="2" t="s">
        <v>3400</v>
      </c>
    </row>
    <row r="2823" spans="1:9" ht="14.5" x14ac:dyDescent="0.35">
      <c r="A2823" s="2">
        <v>1102525</v>
      </c>
      <c r="B2823" s="2" t="str">
        <f>"3305011005830008"</f>
        <v>3305011005830008</v>
      </c>
      <c r="C2823" s="2" t="s">
        <v>3457</v>
      </c>
      <c r="D2823" s="2" t="s">
        <v>17</v>
      </c>
      <c r="E2823" s="2" t="s">
        <v>11</v>
      </c>
      <c r="F2823" s="2" t="s">
        <v>18</v>
      </c>
      <c r="G2823" s="2" t="s">
        <v>171</v>
      </c>
      <c r="H2823" s="2" t="s">
        <v>3458</v>
      </c>
      <c r="I2823" s="2" t="s">
        <v>3459</v>
      </c>
    </row>
    <row r="2824" spans="1:9" ht="14.5" x14ac:dyDescent="0.35">
      <c r="A2824" s="2">
        <v>2306245</v>
      </c>
      <c r="B2824" s="2" t="str">
        <f>"3307032612740006"</f>
        <v>3307032612740006</v>
      </c>
      <c r="C2824" s="2" t="s">
        <v>3460</v>
      </c>
      <c r="D2824" s="2" t="s">
        <v>10</v>
      </c>
      <c r="E2824" s="2" t="s">
        <v>11</v>
      </c>
      <c r="F2824" s="2" t="s">
        <v>18</v>
      </c>
      <c r="G2824" s="2" t="s">
        <v>19</v>
      </c>
      <c r="H2824" s="2" t="s">
        <v>251</v>
      </c>
      <c r="I2824" s="2" t="s">
        <v>3410</v>
      </c>
    </row>
    <row r="2825" spans="1:9" ht="14.5" x14ac:dyDescent="0.35">
      <c r="A2825" s="2">
        <v>718803</v>
      </c>
      <c r="B2825" s="2" t="str">
        <f>"3307032612740006"</f>
        <v>3307032612740006</v>
      </c>
      <c r="C2825" s="2" t="s">
        <v>3461</v>
      </c>
      <c r="D2825" s="2" t="s">
        <v>17</v>
      </c>
      <c r="E2825" s="2" t="s">
        <v>11</v>
      </c>
      <c r="F2825" s="2" t="s">
        <v>18</v>
      </c>
      <c r="G2825" s="2" t="s">
        <v>392</v>
      </c>
      <c r="H2825" s="2" t="s">
        <v>3462</v>
      </c>
      <c r="I2825" s="2" t="s">
        <v>1666</v>
      </c>
    </row>
    <row r="2826" spans="1:9" ht="14.5" x14ac:dyDescent="0.35">
      <c r="A2826" s="2">
        <v>1053732</v>
      </c>
      <c r="B2826" s="2" t="str">
        <f>"3308186508890005"</f>
        <v>3308186508890005</v>
      </c>
      <c r="C2826" s="2" t="s">
        <v>3463</v>
      </c>
      <c r="D2826" s="2" t="s">
        <v>10</v>
      </c>
      <c r="E2826" s="2" t="s">
        <v>11</v>
      </c>
      <c r="F2826" s="2" t="s">
        <v>50</v>
      </c>
      <c r="G2826" s="2" t="s">
        <v>86</v>
      </c>
      <c r="H2826" s="2" t="s">
        <v>1268</v>
      </c>
      <c r="I2826" s="2" t="s">
        <v>3464</v>
      </c>
    </row>
    <row r="2827" spans="1:9" ht="14.5" x14ac:dyDescent="0.35">
      <c r="A2827" s="2">
        <v>2550640</v>
      </c>
      <c r="B2827" s="2" t="str">
        <f>"3308186508890005"</f>
        <v>3308186508890005</v>
      </c>
      <c r="C2827" s="2" t="s">
        <v>3463</v>
      </c>
      <c r="D2827" s="2" t="s">
        <v>17</v>
      </c>
      <c r="E2827" s="2" t="s">
        <v>11</v>
      </c>
      <c r="F2827" s="2" t="s">
        <v>18</v>
      </c>
      <c r="G2827" s="2" t="s">
        <v>19</v>
      </c>
      <c r="H2827" s="2" t="s">
        <v>251</v>
      </c>
      <c r="I2827" s="2" t="s">
        <v>3451</v>
      </c>
    </row>
    <row r="2828" spans="1:9" ht="14.5" x14ac:dyDescent="0.35">
      <c r="A2828" s="2">
        <v>2298990</v>
      </c>
      <c r="B2828" s="2" t="str">
        <f>"3309041001759008"</f>
        <v>3309041001759008</v>
      </c>
      <c r="C2828" s="2" t="s">
        <v>3465</v>
      </c>
      <c r="D2828" s="2" t="s">
        <v>10</v>
      </c>
      <c r="E2828" s="2" t="s">
        <v>11</v>
      </c>
      <c r="F2828" s="2" t="s">
        <v>18</v>
      </c>
      <c r="G2828" s="2" t="s">
        <v>19</v>
      </c>
      <c r="H2828" s="2" t="s">
        <v>251</v>
      </c>
      <c r="I2828" s="2" t="s">
        <v>3410</v>
      </c>
    </row>
    <row r="2829" spans="1:9" ht="14.5" x14ac:dyDescent="0.35">
      <c r="A2829" s="2">
        <v>855043</v>
      </c>
      <c r="B2829" s="2" t="str">
        <f>"3309041001759008"</f>
        <v>3309041001759008</v>
      </c>
      <c r="C2829" s="2" t="s">
        <v>3465</v>
      </c>
      <c r="D2829" s="2" t="s">
        <v>17</v>
      </c>
      <c r="E2829" s="2" t="s">
        <v>11</v>
      </c>
      <c r="F2829" s="2" t="s">
        <v>18</v>
      </c>
      <c r="G2829" s="2" t="s">
        <v>1271</v>
      </c>
      <c r="H2829" s="2" t="s">
        <v>222</v>
      </c>
      <c r="I2829" s="2" t="s">
        <v>3466</v>
      </c>
    </row>
    <row r="2830" spans="1:9" ht="14.5" x14ac:dyDescent="0.35">
      <c r="A2830" s="2">
        <v>550266</v>
      </c>
      <c r="B2830" s="2" t="str">
        <f>"3310141302890002"</f>
        <v>3310141302890002</v>
      </c>
      <c r="C2830" s="2" t="s">
        <v>3467</v>
      </c>
      <c r="D2830" s="2" t="s">
        <v>10</v>
      </c>
      <c r="E2830" s="2" t="s">
        <v>11</v>
      </c>
      <c r="F2830" s="2" t="s">
        <v>18</v>
      </c>
      <c r="G2830" s="2" t="s">
        <v>385</v>
      </c>
      <c r="H2830" s="2" t="s">
        <v>694</v>
      </c>
      <c r="I2830" s="2" t="s">
        <v>3468</v>
      </c>
    </row>
    <row r="2831" spans="1:9" ht="14.5" x14ac:dyDescent="0.35">
      <c r="A2831" s="2">
        <v>2550596</v>
      </c>
      <c r="B2831" s="2" t="str">
        <f>"3310141302890002"</f>
        <v>3310141302890002</v>
      </c>
      <c r="C2831" s="2" t="s">
        <v>3467</v>
      </c>
      <c r="D2831" s="2" t="s">
        <v>17</v>
      </c>
      <c r="E2831" s="2" t="s">
        <v>11</v>
      </c>
      <c r="F2831" s="2" t="s">
        <v>18</v>
      </c>
      <c r="G2831" s="2" t="s">
        <v>19</v>
      </c>
      <c r="H2831" s="2" t="s">
        <v>251</v>
      </c>
      <c r="I2831" s="2" t="s">
        <v>3451</v>
      </c>
    </row>
    <row r="2832" spans="1:9" ht="14.5" x14ac:dyDescent="0.35">
      <c r="A2832" s="2">
        <v>135674</v>
      </c>
      <c r="B2832" s="2" t="str">
        <f>"3313045502990001"</f>
        <v>3313045502990001</v>
      </c>
      <c r="C2832" s="2" t="s">
        <v>3469</v>
      </c>
      <c r="D2832" s="2" t="s">
        <v>10</v>
      </c>
      <c r="E2832" s="2" t="s">
        <v>11</v>
      </c>
      <c r="F2832" s="2" t="s">
        <v>18</v>
      </c>
      <c r="G2832" s="2" t="s">
        <v>1381</v>
      </c>
      <c r="H2832" s="2" t="s">
        <v>3470</v>
      </c>
      <c r="I2832" s="2" t="s">
        <v>1666</v>
      </c>
    </row>
    <row r="2833" spans="1:9" ht="14.5" x14ac:dyDescent="0.35">
      <c r="A2833" s="2">
        <v>2549546</v>
      </c>
      <c r="B2833" s="2" t="str">
        <f>"3313045502990001"</f>
        <v>3313045502990001</v>
      </c>
      <c r="C2833" s="2" t="s">
        <v>3469</v>
      </c>
      <c r="D2833" s="2" t="s">
        <v>17</v>
      </c>
      <c r="E2833" s="2" t="s">
        <v>11</v>
      </c>
      <c r="F2833" s="2" t="s">
        <v>18</v>
      </c>
      <c r="G2833" s="2" t="s">
        <v>19</v>
      </c>
      <c r="H2833" s="2" t="s">
        <v>251</v>
      </c>
      <c r="I2833" s="2" t="s">
        <v>3344</v>
      </c>
    </row>
    <row r="2834" spans="1:9" ht="14.5" x14ac:dyDescent="0.35">
      <c r="A2834" s="2">
        <v>1114829</v>
      </c>
      <c r="B2834" s="2" t="str">
        <f>"3315134107900023"</f>
        <v>3315134107900023</v>
      </c>
      <c r="C2834" s="2" t="s">
        <v>3471</v>
      </c>
      <c r="D2834" s="2" t="s">
        <v>10</v>
      </c>
      <c r="E2834" s="2" t="s">
        <v>11</v>
      </c>
      <c r="F2834" s="2" t="s">
        <v>303</v>
      </c>
      <c r="G2834" s="2" t="s">
        <v>3472</v>
      </c>
      <c r="H2834" s="2" t="s">
        <v>278</v>
      </c>
      <c r="I2834" s="2" t="s">
        <v>1046</v>
      </c>
    </row>
    <row r="2835" spans="1:9" ht="14.5" x14ac:dyDescent="0.35">
      <c r="A2835" s="2">
        <v>2548936</v>
      </c>
      <c r="B2835" s="2" t="str">
        <f>"3315134107900023"</f>
        <v>3315134107900023</v>
      </c>
      <c r="C2835" s="2" t="s">
        <v>3473</v>
      </c>
      <c r="D2835" s="2" t="s">
        <v>17</v>
      </c>
      <c r="E2835" s="2" t="s">
        <v>11</v>
      </c>
      <c r="F2835" s="2" t="s">
        <v>18</v>
      </c>
      <c r="G2835" s="2" t="s">
        <v>19</v>
      </c>
      <c r="H2835" s="2" t="s">
        <v>251</v>
      </c>
      <c r="I2835" s="2" t="s">
        <v>3432</v>
      </c>
    </row>
    <row r="2836" spans="1:9" ht="14.5" x14ac:dyDescent="0.35">
      <c r="A2836" s="2">
        <v>636259</v>
      </c>
      <c r="B2836" s="2" t="str">
        <f>"3320050204060001"</f>
        <v>3320050204060001</v>
      </c>
      <c r="C2836" s="2" t="s">
        <v>3474</v>
      </c>
      <c r="D2836" s="2" t="s">
        <v>17</v>
      </c>
      <c r="E2836" s="2" t="s">
        <v>57</v>
      </c>
      <c r="F2836" s="2" t="s">
        <v>18</v>
      </c>
      <c r="G2836" s="2" t="s">
        <v>190</v>
      </c>
      <c r="H2836" s="2" t="s">
        <v>1497</v>
      </c>
      <c r="I2836" s="2" t="s">
        <v>1498</v>
      </c>
    </row>
    <row r="2837" spans="1:9" ht="14.5" x14ac:dyDescent="0.35">
      <c r="A2837" s="2">
        <v>2550894</v>
      </c>
      <c r="B2837" s="2" t="str">
        <f>"3320050204060001"</f>
        <v>3320050204060001</v>
      </c>
      <c r="C2837" s="2" t="s">
        <v>3475</v>
      </c>
      <c r="D2837" s="2" t="s">
        <v>17</v>
      </c>
      <c r="E2837" s="2" t="s">
        <v>11</v>
      </c>
      <c r="F2837" s="2" t="s">
        <v>18</v>
      </c>
      <c r="G2837" s="2" t="s">
        <v>19</v>
      </c>
      <c r="H2837" s="2" t="s">
        <v>251</v>
      </c>
      <c r="I2837" s="2" t="s">
        <v>3400</v>
      </c>
    </row>
    <row r="2838" spans="1:9" ht="14.5" x14ac:dyDescent="0.35">
      <c r="A2838" s="2">
        <v>2549744</v>
      </c>
      <c r="B2838" s="2" t="str">
        <f>"3325110212950005"</f>
        <v>3325110212950005</v>
      </c>
      <c r="C2838" s="2" t="s">
        <v>3476</v>
      </c>
      <c r="D2838" s="2" t="s">
        <v>17</v>
      </c>
      <c r="E2838" s="2" t="s">
        <v>11</v>
      </c>
      <c r="F2838" s="2" t="s">
        <v>18</v>
      </c>
      <c r="G2838" s="2" t="s">
        <v>19</v>
      </c>
      <c r="H2838" s="2" t="s">
        <v>251</v>
      </c>
      <c r="I2838" s="2" t="s">
        <v>3344</v>
      </c>
    </row>
    <row r="2839" spans="1:9" ht="14.5" x14ac:dyDescent="0.35">
      <c r="A2839" s="2">
        <v>222330</v>
      </c>
      <c r="B2839" s="2" t="str">
        <f>"3325110212950005"</f>
        <v>3325110212950005</v>
      </c>
      <c r="C2839" s="2" t="s">
        <v>3477</v>
      </c>
      <c r="D2839" s="2" t="s">
        <v>189</v>
      </c>
      <c r="E2839" s="2" t="s">
        <v>11</v>
      </c>
      <c r="F2839" s="2" t="s">
        <v>18</v>
      </c>
      <c r="G2839" s="2" t="s">
        <v>190</v>
      </c>
      <c r="H2839" s="2" t="s">
        <v>190</v>
      </c>
      <c r="I2839" s="2" t="s">
        <v>2460</v>
      </c>
    </row>
    <row r="2840" spans="1:9" ht="14.5" x14ac:dyDescent="0.35">
      <c r="A2840" s="2">
        <v>2270842</v>
      </c>
      <c r="B2840" s="2" t="str">
        <f>"3326016505790003"</f>
        <v>3326016505790003</v>
      </c>
      <c r="C2840" s="2" t="s">
        <v>3478</v>
      </c>
      <c r="D2840" s="2" t="s">
        <v>10</v>
      </c>
      <c r="E2840" s="2" t="s">
        <v>11</v>
      </c>
      <c r="F2840" s="2" t="s">
        <v>18</v>
      </c>
      <c r="G2840" s="2" t="s">
        <v>19</v>
      </c>
      <c r="H2840" s="2" t="s">
        <v>251</v>
      </c>
      <c r="I2840" s="2" t="s">
        <v>3344</v>
      </c>
    </row>
    <row r="2841" spans="1:9" ht="14.5" x14ac:dyDescent="0.35">
      <c r="A2841" s="2">
        <v>1541797</v>
      </c>
      <c r="B2841" s="2" t="str">
        <f>"3326016505790003"</f>
        <v>3326016505790003</v>
      </c>
      <c r="C2841" s="2" t="s">
        <v>3479</v>
      </c>
      <c r="D2841" s="2" t="s">
        <v>17</v>
      </c>
      <c r="E2841" s="2" t="s">
        <v>11</v>
      </c>
      <c r="F2841" s="2" t="s">
        <v>18</v>
      </c>
      <c r="G2841" s="2" t="s">
        <v>195</v>
      </c>
      <c r="H2841" s="2" t="s">
        <v>2462</v>
      </c>
      <c r="I2841" s="2" t="s">
        <v>3480</v>
      </c>
    </row>
    <row r="2842" spans="1:9" ht="14.5" x14ac:dyDescent="0.35">
      <c r="A2842" s="2">
        <v>2276749</v>
      </c>
      <c r="B2842" s="2" t="str">
        <f>"3327043003920003"</f>
        <v>3327043003920003</v>
      </c>
      <c r="C2842" s="2" t="s">
        <v>3481</v>
      </c>
      <c r="D2842" s="2" t="s">
        <v>10</v>
      </c>
      <c r="E2842" s="2" t="s">
        <v>11</v>
      </c>
      <c r="F2842" s="2" t="s">
        <v>18</v>
      </c>
      <c r="G2842" s="2" t="s">
        <v>19</v>
      </c>
      <c r="H2842" s="2" t="s">
        <v>251</v>
      </c>
      <c r="I2842" s="2" t="s">
        <v>252</v>
      </c>
    </row>
    <row r="2843" spans="1:9" ht="14.5" x14ac:dyDescent="0.35">
      <c r="A2843" s="2">
        <v>2649995</v>
      </c>
      <c r="B2843" s="2" t="str">
        <f>"3327043003920003"</f>
        <v>3327043003920003</v>
      </c>
      <c r="C2843" s="2" t="s">
        <v>3481</v>
      </c>
      <c r="D2843" s="2" t="s">
        <v>17</v>
      </c>
      <c r="E2843" s="2" t="s">
        <v>11</v>
      </c>
      <c r="F2843" s="2" t="s">
        <v>18</v>
      </c>
      <c r="G2843" s="2" t="s">
        <v>199</v>
      </c>
      <c r="H2843" s="2" t="s">
        <v>3482</v>
      </c>
      <c r="I2843" s="2" t="s">
        <v>3483</v>
      </c>
    </row>
    <row r="2844" spans="1:9" ht="14.5" x14ac:dyDescent="0.35">
      <c r="A2844" s="2">
        <v>387014</v>
      </c>
      <c r="B2844" s="2" t="str">
        <f>"3328090104770003"</f>
        <v>3328090104770003</v>
      </c>
      <c r="C2844" s="2" t="s">
        <v>3484</v>
      </c>
      <c r="D2844" s="2" t="s">
        <v>10</v>
      </c>
      <c r="E2844" s="2" t="s">
        <v>11</v>
      </c>
      <c r="F2844" s="2" t="s">
        <v>18</v>
      </c>
      <c r="G2844" s="2" t="s">
        <v>268</v>
      </c>
      <c r="H2844" s="2" t="s">
        <v>448</v>
      </c>
      <c r="I2844" s="2" t="s">
        <v>2777</v>
      </c>
    </row>
    <row r="2845" spans="1:9" ht="14.5" x14ac:dyDescent="0.35">
      <c r="A2845" s="2">
        <v>2550136</v>
      </c>
      <c r="B2845" s="2" t="str">
        <f>"3328090104770003"</f>
        <v>3328090104770003</v>
      </c>
      <c r="C2845" s="2" t="s">
        <v>3484</v>
      </c>
      <c r="D2845" s="2" t="s">
        <v>17</v>
      </c>
      <c r="E2845" s="2" t="s">
        <v>11</v>
      </c>
      <c r="F2845" s="2" t="s">
        <v>18</v>
      </c>
      <c r="G2845" s="2" t="s">
        <v>19</v>
      </c>
      <c r="H2845" s="2" t="s">
        <v>251</v>
      </c>
      <c r="I2845" s="2" t="s">
        <v>3410</v>
      </c>
    </row>
    <row r="2846" spans="1:9" ht="14.5" x14ac:dyDescent="0.35">
      <c r="A2846" s="2">
        <v>228229</v>
      </c>
      <c r="B2846" s="2" t="str">
        <f>"3328090602960001"</f>
        <v>3328090602960001</v>
      </c>
      <c r="C2846" s="2" t="s">
        <v>3485</v>
      </c>
      <c r="D2846" s="2" t="s">
        <v>10</v>
      </c>
      <c r="E2846" s="2" t="s">
        <v>11</v>
      </c>
      <c r="F2846" s="2" t="s">
        <v>18</v>
      </c>
      <c r="G2846" s="2" t="s">
        <v>268</v>
      </c>
      <c r="H2846" s="2" t="s">
        <v>371</v>
      </c>
      <c r="I2846" s="2" t="s">
        <v>2346</v>
      </c>
    </row>
    <row r="2847" spans="1:9" ht="14.5" x14ac:dyDescent="0.35">
      <c r="A2847" s="2">
        <v>2551108</v>
      </c>
      <c r="B2847" s="2" t="str">
        <f>"3328090602960001"</f>
        <v>3328090602960001</v>
      </c>
      <c r="C2847" s="2" t="s">
        <v>3485</v>
      </c>
      <c r="D2847" s="2" t="s">
        <v>17</v>
      </c>
      <c r="E2847" s="2" t="s">
        <v>11</v>
      </c>
      <c r="F2847" s="2" t="s">
        <v>18</v>
      </c>
      <c r="G2847" s="2" t="s">
        <v>19</v>
      </c>
      <c r="H2847" s="2" t="s">
        <v>251</v>
      </c>
      <c r="I2847" s="2" t="s">
        <v>3418</v>
      </c>
    </row>
    <row r="2848" spans="1:9" ht="14.5" x14ac:dyDescent="0.35">
      <c r="A2848" s="2">
        <v>1166978</v>
      </c>
      <c r="B2848" s="2" t="str">
        <f>"3328095306920003"</f>
        <v>3328095306920003</v>
      </c>
      <c r="C2848" s="2" t="s">
        <v>3486</v>
      </c>
      <c r="D2848" s="2" t="s">
        <v>10</v>
      </c>
      <c r="E2848" s="2" t="s">
        <v>11</v>
      </c>
      <c r="F2848" s="2" t="s">
        <v>91</v>
      </c>
      <c r="G2848" s="2" t="s">
        <v>650</v>
      </c>
      <c r="H2848" s="2" t="s">
        <v>3398</v>
      </c>
      <c r="I2848" s="2" t="s">
        <v>3399</v>
      </c>
    </row>
    <row r="2849" spans="1:9" ht="14.5" x14ac:dyDescent="0.35">
      <c r="A2849" s="2">
        <v>2550794</v>
      </c>
      <c r="B2849" s="2" t="str">
        <f>"3328095306920003"</f>
        <v>3328095306920003</v>
      </c>
      <c r="C2849" s="2" t="s">
        <v>3486</v>
      </c>
      <c r="D2849" s="2" t="s">
        <v>17</v>
      </c>
      <c r="E2849" s="2" t="s">
        <v>11</v>
      </c>
      <c r="F2849" s="2" t="s">
        <v>18</v>
      </c>
      <c r="G2849" s="2" t="s">
        <v>19</v>
      </c>
      <c r="H2849" s="2" t="s">
        <v>251</v>
      </c>
      <c r="I2849" s="2" t="s">
        <v>3400</v>
      </c>
    </row>
    <row r="2850" spans="1:9" ht="14.5" x14ac:dyDescent="0.35">
      <c r="A2850" s="2">
        <v>1350690</v>
      </c>
      <c r="B2850" s="2" t="str">
        <f>"3328100102920004"</f>
        <v>3328100102920004</v>
      </c>
      <c r="C2850" s="2" t="s">
        <v>3487</v>
      </c>
      <c r="D2850" s="2" t="s">
        <v>10</v>
      </c>
      <c r="E2850" s="2" t="s">
        <v>11</v>
      </c>
      <c r="F2850" s="2" t="s">
        <v>91</v>
      </c>
      <c r="G2850" s="2" t="s">
        <v>92</v>
      </c>
      <c r="H2850" s="2" t="s">
        <v>673</v>
      </c>
      <c r="I2850" s="2" t="s">
        <v>674</v>
      </c>
    </row>
    <row r="2851" spans="1:9" ht="14.5" x14ac:dyDescent="0.35">
      <c r="A2851" s="2">
        <v>2550493</v>
      </c>
      <c r="B2851" s="2" t="str">
        <f>"3328100102920004"</f>
        <v>3328100102920004</v>
      </c>
      <c r="C2851" s="2" t="s">
        <v>3488</v>
      </c>
      <c r="D2851" s="2" t="s">
        <v>17</v>
      </c>
      <c r="E2851" s="2" t="s">
        <v>11</v>
      </c>
      <c r="F2851" s="2" t="s">
        <v>18</v>
      </c>
      <c r="G2851" s="2" t="s">
        <v>19</v>
      </c>
      <c r="H2851" s="2" t="s">
        <v>251</v>
      </c>
      <c r="I2851" s="2" t="s">
        <v>3414</v>
      </c>
    </row>
    <row r="2852" spans="1:9" ht="14.5" x14ac:dyDescent="0.35">
      <c r="A2852" s="2">
        <v>2239118</v>
      </c>
      <c r="B2852" s="2" t="str">
        <f>"3328100110580002"</f>
        <v>3328100110580002</v>
      </c>
      <c r="C2852" s="2" t="s">
        <v>3489</v>
      </c>
      <c r="D2852" s="2" t="s">
        <v>10</v>
      </c>
      <c r="E2852" s="2" t="s">
        <v>11</v>
      </c>
      <c r="F2852" s="2" t="s">
        <v>18</v>
      </c>
      <c r="G2852" s="2" t="s">
        <v>19</v>
      </c>
      <c r="H2852" s="2" t="s">
        <v>251</v>
      </c>
      <c r="I2852" s="2" t="s">
        <v>3432</v>
      </c>
    </row>
    <row r="2853" spans="1:9" ht="14.5" x14ac:dyDescent="0.35">
      <c r="A2853" s="2">
        <v>422784</v>
      </c>
      <c r="B2853" s="2" t="str">
        <f>"3328100110580002"</f>
        <v>3328100110580002</v>
      </c>
      <c r="C2853" s="2" t="s">
        <v>3489</v>
      </c>
      <c r="D2853" s="2" t="s">
        <v>17</v>
      </c>
      <c r="E2853" s="2" t="s">
        <v>11</v>
      </c>
      <c r="F2853" s="2" t="s">
        <v>18</v>
      </c>
      <c r="G2853" s="2" t="s">
        <v>268</v>
      </c>
      <c r="H2853" s="2" t="s">
        <v>277</v>
      </c>
      <c r="I2853" s="2" t="s">
        <v>884</v>
      </c>
    </row>
    <row r="2854" spans="1:9" ht="14.5" x14ac:dyDescent="0.35">
      <c r="A2854" s="2">
        <v>742747</v>
      </c>
      <c r="B2854" s="2" t="str">
        <f>"3328100307930002"</f>
        <v>3328100307930002</v>
      </c>
      <c r="C2854" s="2" t="s">
        <v>3490</v>
      </c>
      <c r="D2854" s="2" t="s">
        <v>10</v>
      </c>
      <c r="E2854" s="2" t="s">
        <v>11</v>
      </c>
      <c r="F2854" s="2" t="s">
        <v>91</v>
      </c>
      <c r="G2854" s="2" t="s">
        <v>159</v>
      </c>
      <c r="H2854" s="2" t="s">
        <v>3107</v>
      </c>
      <c r="I2854" s="2" t="s">
        <v>3491</v>
      </c>
    </row>
    <row r="2855" spans="1:9" ht="14.5" x14ac:dyDescent="0.35">
      <c r="A2855" s="2">
        <v>2572382</v>
      </c>
      <c r="B2855" s="2" t="str">
        <f>"3328100307930002"</f>
        <v>3328100307930002</v>
      </c>
      <c r="C2855" s="2" t="s">
        <v>3490</v>
      </c>
      <c r="D2855" s="2" t="s">
        <v>17</v>
      </c>
      <c r="E2855" s="2" t="s">
        <v>11</v>
      </c>
      <c r="F2855" s="2" t="s">
        <v>18</v>
      </c>
      <c r="G2855" s="2" t="s">
        <v>19</v>
      </c>
      <c r="H2855" s="2" t="s">
        <v>251</v>
      </c>
      <c r="I2855" s="2" t="s">
        <v>252</v>
      </c>
    </row>
    <row r="2856" spans="1:9" ht="14.5" x14ac:dyDescent="0.35">
      <c r="A2856" s="2">
        <v>2248196</v>
      </c>
      <c r="B2856" s="2" t="str">
        <f>"3328100607010002"</f>
        <v>3328100607010002</v>
      </c>
      <c r="C2856" s="2" t="s">
        <v>3492</v>
      </c>
      <c r="D2856" s="2" t="s">
        <v>10</v>
      </c>
      <c r="E2856" s="2" t="s">
        <v>11</v>
      </c>
      <c r="F2856" s="2" t="s">
        <v>18</v>
      </c>
      <c r="G2856" s="2" t="s">
        <v>19</v>
      </c>
      <c r="H2856" s="2" t="s">
        <v>251</v>
      </c>
      <c r="I2856" s="2" t="s">
        <v>3493</v>
      </c>
    </row>
    <row r="2857" spans="1:9" ht="14.5" x14ac:dyDescent="0.35">
      <c r="A2857" s="2">
        <v>1350415</v>
      </c>
      <c r="B2857" s="2" t="str">
        <f>"3328100607010002"</f>
        <v>3328100607010002</v>
      </c>
      <c r="C2857" s="2" t="s">
        <v>3492</v>
      </c>
      <c r="D2857" s="2" t="s">
        <v>10</v>
      </c>
      <c r="E2857" s="2" t="s">
        <v>57</v>
      </c>
      <c r="F2857" s="2" t="s">
        <v>303</v>
      </c>
      <c r="G2857" s="2" t="s">
        <v>608</v>
      </c>
      <c r="H2857" s="2" t="s">
        <v>609</v>
      </c>
      <c r="I2857" s="2" t="s">
        <v>610</v>
      </c>
    </row>
    <row r="2858" spans="1:9" ht="14.5" x14ac:dyDescent="0.35">
      <c r="A2858" s="2">
        <v>2266130</v>
      </c>
      <c r="B2858" s="2" t="str">
        <f>"3328100705850004"</f>
        <v>3328100705850004</v>
      </c>
      <c r="C2858" s="2" t="s">
        <v>3494</v>
      </c>
      <c r="D2858" s="2" t="s">
        <v>10</v>
      </c>
      <c r="E2858" s="2" t="s">
        <v>11</v>
      </c>
      <c r="F2858" s="2" t="s">
        <v>18</v>
      </c>
      <c r="G2858" s="2" t="s">
        <v>19</v>
      </c>
      <c r="H2858" s="2" t="s">
        <v>251</v>
      </c>
      <c r="I2858" s="2" t="s">
        <v>3344</v>
      </c>
    </row>
    <row r="2859" spans="1:9" ht="14.5" x14ac:dyDescent="0.35">
      <c r="A2859" s="2">
        <v>788141</v>
      </c>
      <c r="B2859" s="2" t="str">
        <f>"3328100705850004"</f>
        <v>3328100705850004</v>
      </c>
      <c r="C2859" s="2" t="s">
        <v>3494</v>
      </c>
      <c r="D2859" s="2" t="s">
        <v>17</v>
      </c>
      <c r="E2859" s="2" t="s">
        <v>11</v>
      </c>
      <c r="F2859" s="2" t="s">
        <v>18</v>
      </c>
      <c r="G2859" s="2" t="s">
        <v>3495</v>
      </c>
      <c r="H2859" s="2" t="s">
        <v>3496</v>
      </c>
      <c r="I2859" s="2" t="s">
        <v>3497</v>
      </c>
    </row>
    <row r="2860" spans="1:9" ht="14.5" x14ac:dyDescent="0.35">
      <c r="A2860" s="2">
        <v>2309929</v>
      </c>
      <c r="B2860" s="2" t="str">
        <f>"3328100804900002"</f>
        <v>3328100804900002</v>
      </c>
      <c r="C2860" s="2" t="s">
        <v>3498</v>
      </c>
      <c r="D2860" s="2" t="s">
        <v>10</v>
      </c>
      <c r="E2860" s="2" t="s">
        <v>11</v>
      </c>
      <c r="F2860" s="2" t="s">
        <v>18</v>
      </c>
      <c r="G2860" s="2" t="s">
        <v>19</v>
      </c>
      <c r="H2860" s="2" t="s">
        <v>251</v>
      </c>
      <c r="I2860" s="2" t="s">
        <v>3414</v>
      </c>
    </row>
    <row r="2861" spans="1:9" ht="14.5" x14ac:dyDescent="0.35">
      <c r="A2861" s="2">
        <v>3125529</v>
      </c>
      <c r="B2861" s="2" t="str">
        <f>"3328100804900002"</f>
        <v>3328100804900002</v>
      </c>
      <c r="C2861" s="2" t="s">
        <v>3498</v>
      </c>
      <c r="D2861" s="2" t="s">
        <v>17</v>
      </c>
      <c r="E2861" s="2" t="s">
        <v>57</v>
      </c>
      <c r="F2861" s="2" t="s">
        <v>18</v>
      </c>
      <c r="G2861" s="2" t="s">
        <v>163</v>
      </c>
      <c r="H2861" s="2" t="s">
        <v>723</v>
      </c>
      <c r="I2861" s="2" t="s">
        <v>724</v>
      </c>
    </row>
    <row r="2862" spans="1:9" ht="14.5" x14ac:dyDescent="0.35">
      <c r="A2862" s="2">
        <v>636258</v>
      </c>
      <c r="B2862" s="2" t="str">
        <f>"3328100911050004"</f>
        <v>3328100911050004</v>
      </c>
      <c r="C2862" s="2" t="s">
        <v>3499</v>
      </c>
      <c r="D2862" s="2" t="s">
        <v>17</v>
      </c>
      <c r="E2862" s="2" t="s">
        <v>57</v>
      </c>
      <c r="F2862" s="2" t="s">
        <v>18</v>
      </c>
      <c r="G2862" s="2" t="s">
        <v>190</v>
      </c>
      <c r="H2862" s="2" t="s">
        <v>1497</v>
      </c>
      <c r="I2862" s="2" t="s">
        <v>1498</v>
      </c>
    </row>
    <row r="2863" spans="1:9" ht="14.5" x14ac:dyDescent="0.35">
      <c r="A2863" s="2">
        <v>2550903</v>
      </c>
      <c r="B2863" s="2" t="str">
        <f>"3328100911050004"</f>
        <v>3328100911050004</v>
      </c>
      <c r="C2863" s="2" t="s">
        <v>3499</v>
      </c>
      <c r="D2863" s="2" t="s">
        <v>17</v>
      </c>
      <c r="E2863" s="2" t="s">
        <v>11</v>
      </c>
      <c r="F2863" s="2" t="s">
        <v>18</v>
      </c>
      <c r="G2863" s="2" t="s">
        <v>19</v>
      </c>
      <c r="H2863" s="2" t="s">
        <v>251</v>
      </c>
      <c r="I2863" s="2" t="s">
        <v>3400</v>
      </c>
    </row>
    <row r="2864" spans="1:9" ht="14.5" x14ac:dyDescent="0.35">
      <c r="A2864" s="2">
        <v>2299215</v>
      </c>
      <c r="B2864" s="2" t="str">
        <f>"3328101002880001"</f>
        <v>3328101002880001</v>
      </c>
      <c r="C2864" s="2" t="s">
        <v>3500</v>
      </c>
      <c r="D2864" s="2" t="s">
        <v>10</v>
      </c>
      <c r="E2864" s="2" t="s">
        <v>11</v>
      </c>
      <c r="F2864" s="2" t="s">
        <v>18</v>
      </c>
      <c r="G2864" s="2" t="s">
        <v>19</v>
      </c>
      <c r="H2864" s="2" t="s">
        <v>251</v>
      </c>
      <c r="I2864" s="2" t="s">
        <v>3410</v>
      </c>
    </row>
    <row r="2865" spans="1:9" ht="14.5" x14ac:dyDescent="0.35">
      <c r="A2865" s="2">
        <v>421304</v>
      </c>
      <c r="B2865" s="2" t="str">
        <f>"3328101002880001"</f>
        <v>3328101002880001</v>
      </c>
      <c r="C2865" s="2" t="s">
        <v>3501</v>
      </c>
      <c r="D2865" s="2" t="s">
        <v>17</v>
      </c>
      <c r="E2865" s="2" t="s">
        <v>11</v>
      </c>
      <c r="F2865" s="2" t="s">
        <v>18</v>
      </c>
      <c r="G2865" s="2" t="s">
        <v>268</v>
      </c>
      <c r="H2865" s="2" t="s">
        <v>371</v>
      </c>
      <c r="I2865" s="2" t="s">
        <v>2769</v>
      </c>
    </row>
    <row r="2866" spans="1:9" ht="14.5" x14ac:dyDescent="0.35">
      <c r="A2866" s="2">
        <v>70424</v>
      </c>
      <c r="B2866" s="2" t="str">
        <f>"3328101002920006"</f>
        <v>3328101002920006</v>
      </c>
      <c r="C2866" s="2" t="s">
        <v>3502</v>
      </c>
      <c r="D2866" s="2" t="s">
        <v>10</v>
      </c>
      <c r="E2866" s="2" t="s">
        <v>11</v>
      </c>
      <c r="F2866" s="2" t="s">
        <v>1959</v>
      </c>
      <c r="G2866" s="2" t="s">
        <v>3503</v>
      </c>
      <c r="H2866" s="2" t="s">
        <v>3504</v>
      </c>
      <c r="I2866" s="2" t="s">
        <v>3504</v>
      </c>
    </row>
    <row r="2867" spans="1:9" ht="14.5" x14ac:dyDescent="0.35">
      <c r="A2867" s="2">
        <v>2548872</v>
      </c>
      <c r="B2867" s="2" t="str">
        <f>"3328101002920006"</f>
        <v>3328101002920006</v>
      </c>
      <c r="C2867" s="2" t="s">
        <v>3502</v>
      </c>
      <c r="D2867" s="2" t="s">
        <v>17</v>
      </c>
      <c r="E2867" s="2" t="s">
        <v>11</v>
      </c>
      <c r="F2867" s="2" t="s">
        <v>18</v>
      </c>
      <c r="G2867" s="2" t="s">
        <v>19</v>
      </c>
      <c r="H2867" s="2" t="s">
        <v>251</v>
      </c>
      <c r="I2867" s="2" t="s">
        <v>3432</v>
      </c>
    </row>
    <row r="2868" spans="1:9" ht="14.5" x14ac:dyDescent="0.35">
      <c r="A2868" s="2">
        <v>2314503</v>
      </c>
      <c r="B2868" s="2" t="str">
        <f>"3328101003600002"</f>
        <v>3328101003600002</v>
      </c>
      <c r="C2868" s="2" t="s">
        <v>3505</v>
      </c>
      <c r="D2868" s="2" t="s">
        <v>10</v>
      </c>
      <c r="E2868" s="2" t="s">
        <v>11</v>
      </c>
      <c r="F2868" s="2" t="s">
        <v>18</v>
      </c>
      <c r="G2868" s="2" t="s">
        <v>19</v>
      </c>
      <c r="H2868" s="2" t="s">
        <v>251</v>
      </c>
      <c r="I2868" s="2" t="s">
        <v>3451</v>
      </c>
    </row>
    <row r="2869" spans="1:9" ht="14.5" x14ac:dyDescent="0.35">
      <c r="A2869" s="2">
        <v>1700379</v>
      </c>
      <c r="B2869" s="2" t="str">
        <f>"3328101003600002"</f>
        <v>3328101003600002</v>
      </c>
      <c r="C2869" s="2" t="s">
        <v>3505</v>
      </c>
      <c r="D2869" s="2" t="s">
        <v>17</v>
      </c>
      <c r="E2869" s="2" t="s">
        <v>11</v>
      </c>
      <c r="F2869" s="2" t="s">
        <v>18</v>
      </c>
      <c r="G2869" s="2" t="s">
        <v>264</v>
      </c>
      <c r="H2869" s="2" t="s">
        <v>461</v>
      </c>
      <c r="I2869" s="2" t="s">
        <v>1692</v>
      </c>
    </row>
    <row r="2870" spans="1:9" ht="14.5" x14ac:dyDescent="0.35">
      <c r="A2870" s="2">
        <v>2313475</v>
      </c>
      <c r="B2870" s="2" t="str">
        <f>"3328101007960004"</f>
        <v>3328101007960004</v>
      </c>
      <c r="C2870" s="2" t="s">
        <v>3506</v>
      </c>
      <c r="D2870" s="2" t="s">
        <v>10</v>
      </c>
      <c r="E2870" s="2" t="s">
        <v>11</v>
      </c>
      <c r="F2870" s="2" t="s">
        <v>18</v>
      </c>
      <c r="G2870" s="2" t="s">
        <v>19</v>
      </c>
      <c r="H2870" s="2" t="s">
        <v>251</v>
      </c>
      <c r="I2870" s="2" t="s">
        <v>3414</v>
      </c>
    </row>
    <row r="2871" spans="1:9" ht="14.5" x14ac:dyDescent="0.35">
      <c r="A2871" s="2">
        <v>1148776</v>
      </c>
      <c r="B2871" s="2" t="str">
        <f>"3328101007960004"</f>
        <v>3328101007960004</v>
      </c>
      <c r="C2871" s="2" t="s">
        <v>3506</v>
      </c>
      <c r="D2871" s="2" t="s">
        <v>17</v>
      </c>
      <c r="E2871" s="2" t="s">
        <v>11</v>
      </c>
      <c r="F2871" s="2" t="s">
        <v>18</v>
      </c>
      <c r="G2871" s="2" t="s">
        <v>180</v>
      </c>
      <c r="H2871" s="2" t="s">
        <v>3507</v>
      </c>
      <c r="I2871" s="2" t="s">
        <v>3508</v>
      </c>
    </row>
    <row r="2872" spans="1:9" ht="14.5" x14ac:dyDescent="0.35">
      <c r="A2872" s="2">
        <v>2326235</v>
      </c>
      <c r="B2872" s="2" t="str">
        <f>"3328101204890007"</f>
        <v>3328101204890007</v>
      </c>
      <c r="C2872" s="2" t="s">
        <v>3509</v>
      </c>
      <c r="D2872" s="2" t="s">
        <v>10</v>
      </c>
      <c r="E2872" s="2" t="s">
        <v>11</v>
      </c>
      <c r="F2872" s="2" t="s">
        <v>18</v>
      </c>
      <c r="G2872" s="2" t="s">
        <v>19</v>
      </c>
      <c r="H2872" s="2" t="s">
        <v>251</v>
      </c>
      <c r="I2872" s="2" t="s">
        <v>3418</v>
      </c>
    </row>
    <row r="2873" spans="1:9" ht="14.5" x14ac:dyDescent="0.35">
      <c r="A2873" s="2">
        <v>2613996</v>
      </c>
      <c r="B2873" s="2" t="str">
        <f>"3328101204890007"</f>
        <v>3328101204890007</v>
      </c>
      <c r="C2873" s="2" t="s">
        <v>3510</v>
      </c>
      <c r="D2873" s="2" t="s">
        <v>10</v>
      </c>
      <c r="E2873" s="2" t="s">
        <v>57</v>
      </c>
      <c r="F2873" s="2" t="s">
        <v>18</v>
      </c>
      <c r="G2873" s="2" t="s">
        <v>1438</v>
      </c>
      <c r="H2873" s="2" t="s">
        <v>3511</v>
      </c>
      <c r="I2873" s="2" t="s">
        <v>3086</v>
      </c>
    </row>
    <row r="2874" spans="1:9" ht="14.5" x14ac:dyDescent="0.35">
      <c r="A2874" s="2">
        <v>2296606</v>
      </c>
      <c r="B2874" s="2" t="str">
        <f>"3328101210120008"</f>
        <v>3328101210120008</v>
      </c>
      <c r="C2874" s="2" t="s">
        <v>3512</v>
      </c>
      <c r="D2874" s="2" t="s">
        <v>189</v>
      </c>
      <c r="E2874" s="2" t="s">
        <v>11</v>
      </c>
      <c r="F2874" s="2" t="s">
        <v>18</v>
      </c>
      <c r="G2874" s="2" t="s">
        <v>19</v>
      </c>
      <c r="H2874" s="2" t="s">
        <v>251</v>
      </c>
      <c r="I2874" s="2" t="s">
        <v>252</v>
      </c>
    </row>
    <row r="2875" spans="1:9" ht="14.5" x14ac:dyDescent="0.35">
      <c r="A2875" s="2">
        <v>2296607</v>
      </c>
      <c r="B2875" s="2" t="str">
        <f>"3328101210120008"</f>
        <v>3328101210120008</v>
      </c>
      <c r="C2875" s="2" t="s">
        <v>3513</v>
      </c>
      <c r="D2875" s="2" t="s">
        <v>189</v>
      </c>
      <c r="E2875" s="2" t="s">
        <v>11</v>
      </c>
      <c r="F2875" s="2" t="s">
        <v>18</v>
      </c>
      <c r="G2875" s="2" t="s">
        <v>19</v>
      </c>
      <c r="H2875" s="2" t="s">
        <v>251</v>
      </c>
      <c r="I2875" s="2" t="s">
        <v>252</v>
      </c>
    </row>
    <row r="2876" spans="1:9" ht="14.5" x14ac:dyDescent="0.35">
      <c r="A2876" s="2">
        <v>2244469</v>
      </c>
      <c r="B2876" s="2" t="str">
        <f>"3328101308540001"</f>
        <v>3328101308540001</v>
      </c>
      <c r="C2876" s="2" t="s">
        <v>3514</v>
      </c>
      <c r="D2876" s="2" t="s">
        <v>10</v>
      </c>
      <c r="E2876" s="2" t="s">
        <v>11</v>
      </c>
      <c r="F2876" s="2" t="s">
        <v>18</v>
      </c>
      <c r="G2876" s="2" t="s">
        <v>19</v>
      </c>
      <c r="H2876" s="2" t="s">
        <v>251</v>
      </c>
      <c r="I2876" s="2" t="s">
        <v>3432</v>
      </c>
    </row>
    <row r="2877" spans="1:9" ht="14.5" x14ac:dyDescent="0.35">
      <c r="A2877" s="2">
        <v>2635444</v>
      </c>
      <c r="B2877" s="2" t="str">
        <f>"3328101308540001"</f>
        <v>3328101308540001</v>
      </c>
      <c r="C2877" s="2" t="s">
        <v>3514</v>
      </c>
      <c r="D2877" s="2" t="s">
        <v>17</v>
      </c>
      <c r="E2877" s="2" t="s">
        <v>11</v>
      </c>
      <c r="F2877" s="2" t="s">
        <v>18</v>
      </c>
      <c r="G2877" s="2" t="s">
        <v>199</v>
      </c>
      <c r="H2877" s="2" t="s">
        <v>599</v>
      </c>
      <c r="I2877" s="2" t="s">
        <v>600</v>
      </c>
    </row>
    <row r="2878" spans="1:9" ht="14.5" x14ac:dyDescent="0.35">
      <c r="A2878" s="2">
        <v>2550505</v>
      </c>
      <c r="B2878" s="2" t="str">
        <f>"3328101406050003"</f>
        <v>3328101406050003</v>
      </c>
      <c r="C2878" s="2" t="s">
        <v>3515</v>
      </c>
      <c r="D2878" s="2" t="s">
        <v>17</v>
      </c>
      <c r="E2878" s="2" t="s">
        <v>11</v>
      </c>
      <c r="F2878" s="2" t="s">
        <v>18</v>
      </c>
      <c r="G2878" s="2" t="s">
        <v>19</v>
      </c>
      <c r="H2878" s="2" t="s">
        <v>251</v>
      </c>
      <c r="I2878" s="2" t="s">
        <v>3414</v>
      </c>
    </row>
    <row r="2879" spans="1:9" ht="14.5" x14ac:dyDescent="0.35">
      <c r="A2879" s="2">
        <v>2572578</v>
      </c>
      <c r="B2879" s="2" t="str">
        <f>"3328101406050003"</f>
        <v>3328101406050003</v>
      </c>
      <c r="C2879" s="2" t="s">
        <v>3516</v>
      </c>
      <c r="D2879" s="2" t="s">
        <v>17</v>
      </c>
      <c r="E2879" s="2" t="s">
        <v>11</v>
      </c>
      <c r="F2879" s="2" t="s">
        <v>18</v>
      </c>
      <c r="G2879" s="2" t="s">
        <v>19</v>
      </c>
      <c r="H2879" s="2" t="s">
        <v>251</v>
      </c>
      <c r="I2879" s="2" t="s">
        <v>252</v>
      </c>
    </row>
    <row r="2880" spans="1:9" ht="14.5" x14ac:dyDescent="0.35">
      <c r="A2880" s="2">
        <v>2265528</v>
      </c>
      <c r="B2880" s="2" t="str">
        <f>"3328101611960002"</f>
        <v>3328101611960002</v>
      </c>
      <c r="C2880" s="2" t="s">
        <v>3517</v>
      </c>
      <c r="D2880" s="2" t="s">
        <v>10</v>
      </c>
      <c r="E2880" s="2" t="s">
        <v>11</v>
      </c>
      <c r="F2880" s="2" t="s">
        <v>18</v>
      </c>
      <c r="G2880" s="2" t="s">
        <v>19</v>
      </c>
      <c r="H2880" s="2" t="s">
        <v>251</v>
      </c>
      <c r="I2880" s="2" t="s">
        <v>3344</v>
      </c>
    </row>
    <row r="2881" spans="1:9" ht="14.5" x14ac:dyDescent="0.35">
      <c r="A2881" s="2">
        <v>3123700</v>
      </c>
      <c r="B2881" s="2" t="str">
        <f>"3328101611960002"</f>
        <v>3328101611960002</v>
      </c>
      <c r="C2881" s="2" t="s">
        <v>3518</v>
      </c>
      <c r="D2881" s="2" t="s">
        <v>17</v>
      </c>
      <c r="E2881" s="2" t="s">
        <v>57</v>
      </c>
      <c r="F2881" s="2" t="s">
        <v>18</v>
      </c>
      <c r="G2881" s="2" t="s">
        <v>163</v>
      </c>
      <c r="H2881" s="2" t="s">
        <v>723</v>
      </c>
      <c r="I2881" s="2" t="s">
        <v>724</v>
      </c>
    </row>
    <row r="2882" spans="1:9" ht="14.5" x14ac:dyDescent="0.35">
      <c r="A2882" s="2">
        <v>2317458</v>
      </c>
      <c r="B2882" s="2" t="str">
        <f>"3328101704910002"</f>
        <v>3328101704910002</v>
      </c>
      <c r="C2882" s="2" t="s">
        <v>3519</v>
      </c>
      <c r="D2882" s="2" t="s">
        <v>10</v>
      </c>
      <c r="E2882" s="2" t="s">
        <v>11</v>
      </c>
      <c r="F2882" s="2" t="s">
        <v>18</v>
      </c>
      <c r="G2882" s="2" t="s">
        <v>19</v>
      </c>
      <c r="H2882" s="2" t="s">
        <v>251</v>
      </c>
      <c r="I2882" s="2" t="s">
        <v>3451</v>
      </c>
    </row>
    <row r="2883" spans="1:9" ht="14.5" x14ac:dyDescent="0.35">
      <c r="A2883" s="2">
        <v>569987</v>
      </c>
      <c r="B2883" s="2" t="str">
        <f>"3328101704910002"</f>
        <v>3328101704910002</v>
      </c>
      <c r="C2883" s="2" t="s">
        <v>3520</v>
      </c>
      <c r="D2883" s="2" t="s">
        <v>17</v>
      </c>
      <c r="E2883" s="2" t="s">
        <v>11</v>
      </c>
      <c r="F2883" s="2" t="s">
        <v>2889</v>
      </c>
      <c r="G2883" s="2" t="s">
        <v>3076</v>
      </c>
      <c r="H2883" s="2" t="s">
        <v>3521</v>
      </c>
      <c r="I2883" s="2" t="s">
        <v>3522</v>
      </c>
    </row>
    <row r="2884" spans="1:9" ht="14.5" x14ac:dyDescent="0.35">
      <c r="A2884" s="2">
        <v>2311478</v>
      </c>
      <c r="B2884" s="2" t="str">
        <f>"3328101712970005"</f>
        <v>3328101712970005</v>
      </c>
      <c r="C2884" s="2" t="s">
        <v>3523</v>
      </c>
      <c r="D2884" s="2" t="s">
        <v>189</v>
      </c>
      <c r="E2884" s="2" t="s">
        <v>11</v>
      </c>
      <c r="F2884" s="2" t="s">
        <v>18</v>
      </c>
      <c r="G2884" s="2" t="s">
        <v>19</v>
      </c>
      <c r="H2884" s="2" t="s">
        <v>251</v>
      </c>
      <c r="I2884" s="2" t="s">
        <v>3414</v>
      </c>
    </row>
    <row r="2885" spans="1:9" ht="14.5" x14ac:dyDescent="0.35">
      <c r="A2885" s="2">
        <v>739092</v>
      </c>
      <c r="B2885" s="2" t="str">
        <f>"3328101712970005"</f>
        <v>3328101712970005</v>
      </c>
      <c r="C2885" s="2" t="s">
        <v>3523</v>
      </c>
      <c r="D2885" s="2" t="s">
        <v>17</v>
      </c>
      <c r="E2885" s="2" t="s">
        <v>11</v>
      </c>
      <c r="F2885" s="2" t="s">
        <v>18</v>
      </c>
      <c r="G2885" s="2" t="s">
        <v>1381</v>
      </c>
      <c r="H2885" s="2" t="s">
        <v>3524</v>
      </c>
      <c r="I2885" s="2" t="s">
        <v>3525</v>
      </c>
    </row>
    <row r="2886" spans="1:9" ht="14.5" x14ac:dyDescent="0.35">
      <c r="A2886" s="2">
        <v>2321105</v>
      </c>
      <c r="B2886" s="2" t="str">
        <f>"3328101803810004"</f>
        <v>3328101803810004</v>
      </c>
      <c r="C2886" s="2" t="s">
        <v>3526</v>
      </c>
      <c r="D2886" s="2" t="s">
        <v>10</v>
      </c>
      <c r="E2886" s="2" t="s">
        <v>11</v>
      </c>
      <c r="F2886" s="2" t="s">
        <v>18</v>
      </c>
      <c r="G2886" s="2" t="s">
        <v>19</v>
      </c>
      <c r="H2886" s="2" t="s">
        <v>251</v>
      </c>
      <c r="I2886" s="2" t="s">
        <v>3400</v>
      </c>
    </row>
    <row r="2887" spans="1:9" ht="14.5" x14ac:dyDescent="0.35">
      <c r="A2887" s="2">
        <v>2572282</v>
      </c>
      <c r="B2887" s="2" t="str">
        <f>"3328101803810004"</f>
        <v>3328101803810004</v>
      </c>
      <c r="C2887" s="2" t="s">
        <v>3527</v>
      </c>
      <c r="D2887" s="2" t="s">
        <v>17</v>
      </c>
      <c r="E2887" s="2" t="s">
        <v>11</v>
      </c>
      <c r="F2887" s="2" t="s">
        <v>18</v>
      </c>
      <c r="G2887" s="2" t="s">
        <v>19</v>
      </c>
      <c r="H2887" s="2" t="s">
        <v>251</v>
      </c>
      <c r="I2887" s="2" t="s">
        <v>252</v>
      </c>
    </row>
    <row r="2888" spans="1:9" ht="14.5" x14ac:dyDescent="0.35">
      <c r="A2888" s="2">
        <v>2569803</v>
      </c>
      <c r="B2888" s="2" t="str">
        <f>"3328101812060004"</f>
        <v>3328101812060004</v>
      </c>
      <c r="C2888" s="2" t="s">
        <v>3528</v>
      </c>
      <c r="D2888" s="2" t="s">
        <v>17</v>
      </c>
      <c r="E2888" s="2" t="s">
        <v>11</v>
      </c>
      <c r="F2888" s="2" t="s">
        <v>18</v>
      </c>
      <c r="G2888" s="2" t="s">
        <v>19</v>
      </c>
      <c r="H2888" s="2" t="s">
        <v>251</v>
      </c>
      <c r="I2888" s="2" t="s">
        <v>3418</v>
      </c>
    </row>
    <row r="2889" spans="1:9" ht="14.5" x14ac:dyDescent="0.35">
      <c r="A2889" s="2">
        <v>2084637</v>
      </c>
      <c r="B2889" s="2" t="str">
        <f>"3328101812060004"</f>
        <v>3328101812060004</v>
      </c>
      <c r="C2889" s="2" t="s">
        <v>3528</v>
      </c>
      <c r="D2889" s="2" t="s">
        <v>17</v>
      </c>
      <c r="E2889" s="2" t="s">
        <v>57</v>
      </c>
      <c r="F2889" s="2" t="s">
        <v>18</v>
      </c>
      <c r="G2889" s="2" t="s">
        <v>962</v>
      </c>
      <c r="H2889" s="2" t="s">
        <v>1046</v>
      </c>
      <c r="I2889" s="2" t="s">
        <v>1146</v>
      </c>
    </row>
    <row r="2890" spans="1:9" ht="14.5" x14ac:dyDescent="0.35">
      <c r="A2890" s="2">
        <v>2321891</v>
      </c>
      <c r="B2890" s="2" t="str">
        <f>"3328101911640005"</f>
        <v>3328101911640005</v>
      </c>
      <c r="C2890" s="2" t="s">
        <v>2850</v>
      </c>
      <c r="D2890" s="2" t="s">
        <v>10</v>
      </c>
      <c r="E2890" s="2" t="s">
        <v>11</v>
      </c>
      <c r="F2890" s="2" t="s">
        <v>18</v>
      </c>
      <c r="G2890" s="2" t="s">
        <v>19</v>
      </c>
      <c r="H2890" s="2" t="s">
        <v>251</v>
      </c>
      <c r="I2890" s="2" t="s">
        <v>3400</v>
      </c>
    </row>
    <row r="2891" spans="1:9" ht="14.5" x14ac:dyDescent="0.35">
      <c r="A2891" s="2">
        <v>3124924</v>
      </c>
      <c r="B2891" s="2" t="str">
        <f>"3328101911640005"</f>
        <v>3328101911640005</v>
      </c>
      <c r="C2891" s="2" t="s">
        <v>2850</v>
      </c>
      <c r="D2891" s="2" t="s">
        <v>17</v>
      </c>
      <c r="E2891" s="2" t="s">
        <v>57</v>
      </c>
      <c r="F2891" s="2" t="s">
        <v>18</v>
      </c>
      <c r="G2891" s="2" t="s">
        <v>163</v>
      </c>
      <c r="H2891" s="2" t="s">
        <v>723</v>
      </c>
      <c r="I2891" s="2" t="s">
        <v>724</v>
      </c>
    </row>
    <row r="2892" spans="1:9" ht="14.5" x14ac:dyDescent="0.35">
      <c r="A2892" s="2">
        <v>190824</v>
      </c>
      <c r="B2892" s="2" t="str">
        <f>"3328102003000003"</f>
        <v>3328102003000003</v>
      </c>
      <c r="C2892" s="2" t="s">
        <v>3529</v>
      </c>
      <c r="D2892" s="2" t="s">
        <v>10</v>
      </c>
      <c r="E2892" s="2" t="s">
        <v>11</v>
      </c>
      <c r="F2892" s="2" t="s">
        <v>44</v>
      </c>
      <c r="G2892" s="2" t="s">
        <v>1040</v>
      </c>
      <c r="H2892" s="2" t="s">
        <v>3530</v>
      </c>
      <c r="I2892" s="2" t="s">
        <v>3531</v>
      </c>
    </row>
    <row r="2893" spans="1:9" ht="14.5" x14ac:dyDescent="0.35">
      <c r="A2893" s="2">
        <v>2551205</v>
      </c>
      <c r="B2893" s="2" t="str">
        <f>"3328102003000003"</f>
        <v>3328102003000003</v>
      </c>
      <c r="C2893" s="2" t="s">
        <v>3529</v>
      </c>
      <c r="D2893" s="2" t="s">
        <v>17</v>
      </c>
      <c r="E2893" s="2" t="s">
        <v>11</v>
      </c>
      <c r="F2893" s="2" t="s">
        <v>18</v>
      </c>
      <c r="G2893" s="2" t="s">
        <v>19</v>
      </c>
      <c r="H2893" s="2" t="s">
        <v>251</v>
      </c>
      <c r="I2893" s="2" t="s">
        <v>3418</v>
      </c>
    </row>
    <row r="2894" spans="1:9" ht="14.5" x14ac:dyDescent="0.35">
      <c r="A2894" s="2">
        <v>2549398</v>
      </c>
      <c r="B2894" s="2" t="str">
        <f>"3328102104720005"</f>
        <v>3328102104720005</v>
      </c>
      <c r="C2894" s="2" t="s">
        <v>3532</v>
      </c>
      <c r="D2894" s="2" t="s">
        <v>17</v>
      </c>
      <c r="E2894" s="2" t="s">
        <v>11</v>
      </c>
      <c r="F2894" s="2" t="s">
        <v>18</v>
      </c>
      <c r="G2894" s="2" t="s">
        <v>19</v>
      </c>
      <c r="H2894" s="2" t="s">
        <v>251</v>
      </c>
      <c r="I2894" s="2" t="s">
        <v>3348</v>
      </c>
    </row>
    <row r="2895" spans="1:9" ht="14.5" x14ac:dyDescent="0.35">
      <c r="A2895" s="2">
        <v>1544886</v>
      </c>
      <c r="B2895" s="2" t="str">
        <f>"3328102104720005"</f>
        <v>3328102104720005</v>
      </c>
      <c r="C2895" s="2" t="s">
        <v>3532</v>
      </c>
      <c r="D2895" s="2" t="s">
        <v>189</v>
      </c>
      <c r="E2895" s="2" t="s">
        <v>11</v>
      </c>
      <c r="F2895" s="2" t="s">
        <v>67</v>
      </c>
      <c r="G2895" s="2" t="s">
        <v>375</v>
      </c>
      <c r="H2895" s="2" t="s">
        <v>2617</v>
      </c>
      <c r="I2895" s="2" t="s">
        <v>3533</v>
      </c>
    </row>
    <row r="2896" spans="1:9" ht="14.5" x14ac:dyDescent="0.35">
      <c r="A2896" s="2">
        <v>2247354</v>
      </c>
      <c r="B2896" s="2" t="str">
        <f>"3328102311030002"</f>
        <v>3328102311030002</v>
      </c>
      <c r="C2896" s="2" t="s">
        <v>3534</v>
      </c>
      <c r="D2896" s="2" t="s">
        <v>10</v>
      </c>
      <c r="E2896" s="2" t="s">
        <v>11</v>
      </c>
      <c r="F2896" s="2" t="s">
        <v>18</v>
      </c>
      <c r="G2896" s="2" t="s">
        <v>19</v>
      </c>
      <c r="H2896" s="2" t="s">
        <v>251</v>
      </c>
      <c r="I2896" s="2" t="s">
        <v>3493</v>
      </c>
    </row>
    <row r="2897" spans="1:9" ht="14.5" x14ac:dyDescent="0.35">
      <c r="A2897" s="2">
        <v>1350416</v>
      </c>
      <c r="B2897" s="2" t="str">
        <f>"3328102311030002"</f>
        <v>3328102311030002</v>
      </c>
      <c r="C2897" s="2" t="s">
        <v>3534</v>
      </c>
      <c r="D2897" s="2" t="s">
        <v>10</v>
      </c>
      <c r="E2897" s="2" t="s">
        <v>57</v>
      </c>
      <c r="F2897" s="2" t="s">
        <v>303</v>
      </c>
      <c r="G2897" s="2" t="s">
        <v>608</v>
      </c>
      <c r="H2897" s="2" t="s">
        <v>609</v>
      </c>
      <c r="I2897" s="2" t="s">
        <v>610</v>
      </c>
    </row>
    <row r="2898" spans="1:9" ht="14.5" x14ac:dyDescent="0.35">
      <c r="A2898" s="2">
        <v>2276536</v>
      </c>
      <c r="B2898" s="2" t="str">
        <f>"3328102403790005"</f>
        <v>3328102403790005</v>
      </c>
      <c r="C2898" s="2" t="s">
        <v>3535</v>
      </c>
      <c r="D2898" s="2" t="s">
        <v>10</v>
      </c>
      <c r="E2898" s="2" t="s">
        <v>11</v>
      </c>
      <c r="F2898" s="2" t="s">
        <v>18</v>
      </c>
      <c r="G2898" s="2" t="s">
        <v>19</v>
      </c>
      <c r="H2898" s="2" t="s">
        <v>251</v>
      </c>
      <c r="I2898" s="2" t="s">
        <v>252</v>
      </c>
    </row>
    <row r="2899" spans="1:9" ht="14.5" x14ac:dyDescent="0.35">
      <c r="A2899" s="2">
        <v>423728</v>
      </c>
      <c r="B2899" s="2" t="str">
        <f>"3328102403790005"</f>
        <v>3328102403790005</v>
      </c>
      <c r="C2899" s="2" t="s">
        <v>3536</v>
      </c>
      <c r="D2899" s="2" t="s">
        <v>10</v>
      </c>
      <c r="E2899" s="2" t="s">
        <v>57</v>
      </c>
      <c r="F2899" s="2" t="s">
        <v>18</v>
      </c>
      <c r="G2899" s="2" t="s">
        <v>268</v>
      </c>
      <c r="H2899" s="2" t="s">
        <v>277</v>
      </c>
      <c r="I2899" s="2" t="s">
        <v>278</v>
      </c>
    </row>
    <row r="2900" spans="1:9" ht="14.5" x14ac:dyDescent="0.35">
      <c r="A2900" s="2">
        <v>38644</v>
      </c>
      <c r="B2900" s="2" t="str">
        <f>"3328102505930003"</f>
        <v>3328102505930003</v>
      </c>
      <c r="C2900" s="2" t="s">
        <v>3537</v>
      </c>
      <c r="D2900" s="2" t="s">
        <v>10</v>
      </c>
      <c r="E2900" s="2" t="s">
        <v>11</v>
      </c>
      <c r="F2900" s="2" t="s">
        <v>783</v>
      </c>
      <c r="G2900" s="2" t="s">
        <v>784</v>
      </c>
      <c r="H2900" s="2" t="s">
        <v>3538</v>
      </c>
      <c r="I2900" s="2" t="s">
        <v>3539</v>
      </c>
    </row>
    <row r="2901" spans="1:9" ht="14.5" x14ac:dyDescent="0.35">
      <c r="A2901" s="2">
        <v>2550051</v>
      </c>
      <c r="B2901" s="2" t="str">
        <f>"3328102505930003"</f>
        <v>3328102505930003</v>
      </c>
      <c r="C2901" s="2" t="s">
        <v>3537</v>
      </c>
      <c r="D2901" s="2" t="s">
        <v>17</v>
      </c>
      <c r="E2901" s="2" t="s">
        <v>11</v>
      </c>
      <c r="F2901" s="2" t="s">
        <v>18</v>
      </c>
      <c r="G2901" s="2" t="s">
        <v>19</v>
      </c>
      <c r="H2901" s="2" t="s">
        <v>251</v>
      </c>
      <c r="I2901" s="2" t="s">
        <v>3410</v>
      </c>
    </row>
    <row r="2902" spans="1:9" ht="14.5" x14ac:dyDescent="0.35">
      <c r="A2902" s="2">
        <v>423967</v>
      </c>
      <c r="B2902" s="2" t="str">
        <f>"3328102710750002"</f>
        <v>3328102710750002</v>
      </c>
      <c r="C2902" s="2" t="s">
        <v>3540</v>
      </c>
      <c r="D2902" s="2" t="s">
        <v>10</v>
      </c>
      <c r="E2902" s="2" t="s">
        <v>11</v>
      </c>
      <c r="F2902" s="2" t="s">
        <v>50</v>
      </c>
      <c r="G2902" s="2" t="s">
        <v>86</v>
      </c>
      <c r="H2902" s="2" t="s">
        <v>925</v>
      </c>
      <c r="I2902" s="2" t="s">
        <v>1929</v>
      </c>
    </row>
    <row r="2903" spans="1:9" ht="14.5" x14ac:dyDescent="0.35">
      <c r="A2903" s="2">
        <v>2549975</v>
      </c>
      <c r="B2903" s="2" t="str">
        <f>"3328102710750002"</f>
        <v>3328102710750002</v>
      </c>
      <c r="C2903" s="2" t="s">
        <v>3540</v>
      </c>
      <c r="D2903" s="2" t="s">
        <v>17</v>
      </c>
      <c r="E2903" s="2" t="s">
        <v>11</v>
      </c>
      <c r="F2903" s="2" t="s">
        <v>18</v>
      </c>
      <c r="G2903" s="2" t="s">
        <v>19</v>
      </c>
      <c r="H2903" s="2" t="s">
        <v>251</v>
      </c>
      <c r="I2903" s="2" t="s">
        <v>3344</v>
      </c>
    </row>
    <row r="2904" spans="1:9" ht="14.5" x14ac:dyDescent="0.35">
      <c r="A2904" s="2">
        <v>128742</v>
      </c>
      <c r="B2904" s="2" t="str">
        <f>"3328102901930004"</f>
        <v>3328102901930004</v>
      </c>
      <c r="C2904" s="2" t="s">
        <v>3541</v>
      </c>
      <c r="D2904" s="2" t="s">
        <v>10</v>
      </c>
      <c r="E2904" s="2" t="s">
        <v>11</v>
      </c>
      <c r="F2904" s="2" t="s">
        <v>18</v>
      </c>
      <c r="G2904" s="2" t="s">
        <v>298</v>
      </c>
      <c r="H2904" s="2" t="s">
        <v>299</v>
      </c>
      <c r="I2904" s="2" t="s">
        <v>300</v>
      </c>
    </row>
    <row r="2905" spans="1:9" ht="14.5" x14ac:dyDescent="0.35">
      <c r="A2905" s="2">
        <v>2548657</v>
      </c>
      <c r="B2905" s="2" t="str">
        <f>"3328102901930004"</f>
        <v>3328102901930004</v>
      </c>
      <c r="C2905" s="2" t="s">
        <v>3541</v>
      </c>
      <c r="D2905" s="2" t="s">
        <v>17</v>
      </c>
      <c r="E2905" s="2" t="s">
        <v>11</v>
      </c>
      <c r="F2905" s="2" t="s">
        <v>18</v>
      </c>
      <c r="G2905" s="2" t="s">
        <v>19</v>
      </c>
      <c r="H2905" s="2" t="s">
        <v>251</v>
      </c>
      <c r="I2905" s="2" t="s">
        <v>3432</v>
      </c>
    </row>
    <row r="2906" spans="1:9" ht="14.5" x14ac:dyDescent="0.35">
      <c r="A2906" s="2">
        <v>1617161</v>
      </c>
      <c r="B2906" s="2" t="str">
        <f>"3328103011700001"</f>
        <v>3328103011700001</v>
      </c>
      <c r="C2906" s="2" t="s">
        <v>3542</v>
      </c>
      <c r="D2906" s="2" t="s">
        <v>10</v>
      </c>
      <c r="E2906" s="2" t="s">
        <v>11</v>
      </c>
      <c r="F2906" s="2" t="s">
        <v>50</v>
      </c>
      <c r="G2906" s="2" t="s">
        <v>86</v>
      </c>
      <c r="H2906" s="2" t="s">
        <v>445</v>
      </c>
      <c r="I2906" s="2" t="s">
        <v>1947</v>
      </c>
    </row>
    <row r="2907" spans="1:9" ht="14.5" x14ac:dyDescent="0.35">
      <c r="A2907" s="2">
        <v>2550870</v>
      </c>
      <c r="B2907" s="2" t="str">
        <f>"3328103011700001"</f>
        <v>3328103011700001</v>
      </c>
      <c r="C2907" s="2" t="s">
        <v>3542</v>
      </c>
      <c r="D2907" s="2" t="s">
        <v>17</v>
      </c>
      <c r="E2907" s="2" t="s">
        <v>11</v>
      </c>
      <c r="F2907" s="2" t="s">
        <v>18</v>
      </c>
      <c r="G2907" s="2" t="s">
        <v>19</v>
      </c>
      <c r="H2907" s="2" t="s">
        <v>251</v>
      </c>
      <c r="I2907" s="2" t="s">
        <v>3400</v>
      </c>
    </row>
    <row r="2908" spans="1:9" ht="14.5" x14ac:dyDescent="0.35">
      <c r="A2908" s="2">
        <v>807568</v>
      </c>
      <c r="B2908" s="2" t="str">
        <f>"3328104305890008"</f>
        <v>3328104305890008</v>
      </c>
      <c r="C2908" s="2" t="s">
        <v>3543</v>
      </c>
      <c r="D2908" s="2" t="s">
        <v>17</v>
      </c>
      <c r="E2908" s="2" t="s">
        <v>11</v>
      </c>
      <c r="F2908" s="2" t="s">
        <v>18</v>
      </c>
      <c r="G2908" s="2" t="s">
        <v>951</v>
      </c>
      <c r="H2908" s="2" t="s">
        <v>3544</v>
      </c>
      <c r="I2908" s="2" t="s">
        <v>3544</v>
      </c>
    </row>
    <row r="2909" spans="1:9" ht="14.5" x14ac:dyDescent="0.35">
      <c r="A2909" s="2">
        <v>2572846</v>
      </c>
      <c r="B2909" s="2" t="str">
        <f>"3328104305890008"</f>
        <v>3328104305890008</v>
      </c>
      <c r="C2909" s="2" t="s">
        <v>3543</v>
      </c>
      <c r="D2909" s="2" t="s">
        <v>17</v>
      </c>
      <c r="E2909" s="2" t="s">
        <v>11</v>
      </c>
      <c r="F2909" s="2" t="s">
        <v>18</v>
      </c>
      <c r="G2909" s="2" t="s">
        <v>19</v>
      </c>
      <c r="H2909" s="2" t="s">
        <v>251</v>
      </c>
      <c r="I2909" s="2" t="s">
        <v>252</v>
      </c>
    </row>
    <row r="2910" spans="1:9" ht="14.5" x14ac:dyDescent="0.35">
      <c r="A2910" s="2">
        <v>2240001</v>
      </c>
      <c r="B2910" s="2" t="str">
        <f>"3328104503750006"</f>
        <v>3328104503750006</v>
      </c>
      <c r="C2910" s="2" t="s">
        <v>383</v>
      </c>
      <c r="D2910" s="2" t="s">
        <v>10</v>
      </c>
      <c r="E2910" s="2" t="s">
        <v>11</v>
      </c>
      <c r="F2910" s="2" t="s">
        <v>18</v>
      </c>
      <c r="G2910" s="2" t="s">
        <v>19</v>
      </c>
      <c r="H2910" s="2" t="s">
        <v>251</v>
      </c>
      <c r="I2910" s="2" t="s">
        <v>3432</v>
      </c>
    </row>
    <row r="2911" spans="1:9" ht="14.5" x14ac:dyDescent="0.35">
      <c r="A2911" s="2">
        <v>1349041</v>
      </c>
      <c r="B2911" s="2" t="str">
        <f>"3328104503750006"</f>
        <v>3328104503750006</v>
      </c>
      <c r="C2911" s="2" t="s">
        <v>3545</v>
      </c>
      <c r="D2911" s="2" t="s">
        <v>10</v>
      </c>
      <c r="E2911" s="2" t="s">
        <v>57</v>
      </c>
      <c r="F2911" s="2" t="s">
        <v>303</v>
      </c>
      <c r="G2911" s="2" t="s">
        <v>608</v>
      </c>
      <c r="H2911" s="2" t="s">
        <v>609</v>
      </c>
      <c r="I2911" s="2" t="s">
        <v>610</v>
      </c>
    </row>
    <row r="2912" spans="1:9" ht="14.5" x14ac:dyDescent="0.35">
      <c r="A2912" s="2">
        <v>2550817</v>
      </c>
      <c r="B2912" s="2" t="str">
        <f>"3328104509050002"</f>
        <v>3328104509050002</v>
      </c>
      <c r="C2912" s="2" t="s">
        <v>3546</v>
      </c>
      <c r="D2912" s="2" t="s">
        <v>17</v>
      </c>
      <c r="E2912" s="2" t="s">
        <v>11</v>
      </c>
      <c r="F2912" s="2" t="s">
        <v>18</v>
      </c>
      <c r="G2912" s="2" t="s">
        <v>19</v>
      </c>
      <c r="H2912" s="2" t="s">
        <v>251</v>
      </c>
      <c r="I2912" s="2" t="s">
        <v>3400</v>
      </c>
    </row>
    <row r="2913" spans="1:9" ht="14.5" x14ac:dyDescent="0.35">
      <c r="A2913" s="2">
        <v>761582</v>
      </c>
      <c r="B2913" s="2" t="str">
        <f>"3328104509050002"</f>
        <v>3328104509050002</v>
      </c>
      <c r="C2913" s="2" t="s">
        <v>3547</v>
      </c>
      <c r="D2913" s="2" t="s">
        <v>10</v>
      </c>
      <c r="E2913" s="2" t="s">
        <v>57</v>
      </c>
      <c r="F2913" s="2" t="s">
        <v>379</v>
      </c>
      <c r="G2913" s="2" t="s">
        <v>711</v>
      </c>
      <c r="H2913" s="2" t="s">
        <v>1875</v>
      </c>
      <c r="I2913" s="2" t="s">
        <v>1876</v>
      </c>
    </row>
    <row r="2914" spans="1:9" ht="14.5" x14ac:dyDescent="0.35">
      <c r="A2914" s="2">
        <v>2324324</v>
      </c>
      <c r="B2914" s="2" t="str">
        <f>"3328104601950006"</f>
        <v>3328104601950006</v>
      </c>
      <c r="C2914" s="2" t="s">
        <v>3548</v>
      </c>
      <c r="D2914" s="2" t="s">
        <v>10</v>
      </c>
      <c r="E2914" s="2" t="s">
        <v>11</v>
      </c>
      <c r="F2914" s="2" t="s">
        <v>18</v>
      </c>
      <c r="G2914" s="2" t="s">
        <v>19</v>
      </c>
      <c r="H2914" s="2" t="s">
        <v>251</v>
      </c>
      <c r="I2914" s="2" t="s">
        <v>3400</v>
      </c>
    </row>
    <row r="2915" spans="1:9" ht="14.5" x14ac:dyDescent="0.35">
      <c r="A2915" s="2">
        <v>740843</v>
      </c>
      <c r="B2915" s="2" t="str">
        <f>"3328104601950006"</f>
        <v>3328104601950006</v>
      </c>
      <c r="C2915" s="2" t="s">
        <v>3549</v>
      </c>
      <c r="D2915" s="2" t="s">
        <v>17</v>
      </c>
      <c r="E2915" s="2" t="s">
        <v>11</v>
      </c>
      <c r="F2915" s="2" t="s">
        <v>18</v>
      </c>
      <c r="G2915" s="2" t="s">
        <v>1381</v>
      </c>
      <c r="H2915" s="2" t="s">
        <v>3550</v>
      </c>
      <c r="I2915" s="2" t="s">
        <v>3551</v>
      </c>
    </row>
    <row r="2916" spans="1:9" ht="14.5" x14ac:dyDescent="0.35">
      <c r="A2916" s="2">
        <v>2323512</v>
      </c>
      <c r="B2916" s="2" t="str">
        <f>"3328104609550001"</f>
        <v>3328104609550001</v>
      </c>
      <c r="C2916" s="2" t="s">
        <v>3552</v>
      </c>
      <c r="D2916" s="2" t="s">
        <v>10</v>
      </c>
      <c r="E2916" s="2" t="s">
        <v>11</v>
      </c>
      <c r="F2916" s="2" t="s">
        <v>18</v>
      </c>
      <c r="G2916" s="2" t="s">
        <v>19</v>
      </c>
      <c r="H2916" s="2" t="s">
        <v>251</v>
      </c>
      <c r="I2916" s="2" t="s">
        <v>3400</v>
      </c>
    </row>
    <row r="2917" spans="1:9" ht="14.5" x14ac:dyDescent="0.35">
      <c r="A2917" s="2">
        <v>2572537</v>
      </c>
      <c r="B2917" s="2" t="str">
        <f>"3328104609550001"</f>
        <v>3328104609550001</v>
      </c>
      <c r="C2917" s="2" t="s">
        <v>1782</v>
      </c>
      <c r="D2917" s="2" t="s">
        <v>17</v>
      </c>
      <c r="E2917" s="2" t="s">
        <v>11</v>
      </c>
      <c r="F2917" s="2" t="s">
        <v>18</v>
      </c>
      <c r="G2917" s="2" t="s">
        <v>19</v>
      </c>
      <c r="H2917" s="2" t="s">
        <v>251</v>
      </c>
      <c r="I2917" s="2" t="s">
        <v>252</v>
      </c>
    </row>
    <row r="2918" spans="1:9" ht="14.5" x14ac:dyDescent="0.35">
      <c r="A2918" s="2">
        <v>2317632</v>
      </c>
      <c r="B2918" s="2" t="str">
        <f>"3328104711830002"</f>
        <v>3328104711830002</v>
      </c>
      <c r="C2918" s="2" t="s">
        <v>3553</v>
      </c>
      <c r="D2918" s="2" t="s">
        <v>10</v>
      </c>
      <c r="E2918" s="2" t="s">
        <v>11</v>
      </c>
      <c r="F2918" s="2" t="s">
        <v>18</v>
      </c>
      <c r="G2918" s="2" t="s">
        <v>19</v>
      </c>
      <c r="H2918" s="2" t="s">
        <v>251</v>
      </c>
      <c r="I2918" s="2" t="s">
        <v>3451</v>
      </c>
    </row>
    <row r="2919" spans="1:9" ht="14.5" x14ac:dyDescent="0.35">
      <c r="A2919" s="2">
        <v>1128420</v>
      </c>
      <c r="B2919" s="2" t="str">
        <f>"3328104711830002"</f>
        <v>3328104711830002</v>
      </c>
      <c r="C2919" s="2" t="s">
        <v>3553</v>
      </c>
      <c r="D2919" s="2" t="s">
        <v>17</v>
      </c>
      <c r="E2919" s="2" t="s">
        <v>11</v>
      </c>
      <c r="F2919" s="2" t="s">
        <v>91</v>
      </c>
      <c r="G2919" s="2" t="s">
        <v>631</v>
      </c>
      <c r="H2919" s="2" t="s">
        <v>3554</v>
      </c>
      <c r="I2919" s="2" t="s">
        <v>3555</v>
      </c>
    </row>
    <row r="2920" spans="1:9" ht="14.5" x14ac:dyDescent="0.35">
      <c r="A2920" s="2">
        <v>2277991</v>
      </c>
      <c r="B2920" s="2" t="str">
        <f>"3328104812920001"</f>
        <v>3328104812920001</v>
      </c>
      <c r="C2920" s="2" t="s">
        <v>3556</v>
      </c>
      <c r="D2920" s="2" t="s">
        <v>10</v>
      </c>
      <c r="E2920" s="2" t="s">
        <v>11</v>
      </c>
      <c r="F2920" s="2" t="s">
        <v>18</v>
      </c>
      <c r="G2920" s="2" t="s">
        <v>19</v>
      </c>
      <c r="H2920" s="2" t="s">
        <v>251</v>
      </c>
      <c r="I2920" s="2" t="s">
        <v>252</v>
      </c>
    </row>
    <row r="2921" spans="1:9" ht="14.5" x14ac:dyDescent="0.35">
      <c r="A2921" s="2">
        <v>1678056</v>
      </c>
      <c r="B2921" s="2" t="str">
        <f>"3328104812920001"</f>
        <v>3328104812920001</v>
      </c>
      <c r="C2921" s="2" t="s">
        <v>3557</v>
      </c>
      <c r="D2921" s="2" t="s">
        <v>17</v>
      </c>
      <c r="E2921" s="2" t="s">
        <v>11</v>
      </c>
      <c r="F2921" s="2" t="s">
        <v>18</v>
      </c>
      <c r="G2921" s="2" t="s">
        <v>1514</v>
      </c>
      <c r="H2921" s="2" t="s">
        <v>1682</v>
      </c>
      <c r="I2921" s="2" t="s">
        <v>3558</v>
      </c>
    </row>
    <row r="2922" spans="1:9" ht="14.5" x14ac:dyDescent="0.35">
      <c r="A2922" s="2">
        <v>988495</v>
      </c>
      <c r="B2922" s="2" t="str">
        <f>"3328105004860008"</f>
        <v>3328105004860008</v>
      </c>
      <c r="C2922" s="2" t="s">
        <v>3559</v>
      </c>
      <c r="D2922" s="2" t="s">
        <v>10</v>
      </c>
      <c r="E2922" s="2" t="s">
        <v>11</v>
      </c>
      <c r="F2922" s="2" t="s">
        <v>50</v>
      </c>
      <c r="G2922" s="2" t="s">
        <v>72</v>
      </c>
      <c r="H2922" s="2" t="s">
        <v>803</v>
      </c>
      <c r="I2922" s="2" t="s">
        <v>804</v>
      </c>
    </row>
    <row r="2923" spans="1:9" ht="14.5" x14ac:dyDescent="0.35">
      <c r="A2923" s="2">
        <v>2548987</v>
      </c>
      <c r="B2923" s="2" t="str">
        <f>"3328105004860008"</f>
        <v>3328105004860008</v>
      </c>
      <c r="C2923" s="2" t="s">
        <v>3559</v>
      </c>
      <c r="D2923" s="2" t="s">
        <v>17</v>
      </c>
      <c r="E2923" s="2" t="s">
        <v>11</v>
      </c>
      <c r="F2923" s="2" t="s">
        <v>18</v>
      </c>
      <c r="G2923" s="2" t="s">
        <v>19</v>
      </c>
      <c r="H2923" s="2" t="s">
        <v>251</v>
      </c>
      <c r="I2923" s="2" t="s">
        <v>3432</v>
      </c>
    </row>
    <row r="2924" spans="1:9" ht="14.5" x14ac:dyDescent="0.35">
      <c r="A2924" s="2">
        <v>2323902</v>
      </c>
      <c r="B2924" s="2" t="str">
        <f>"3328105109840004"</f>
        <v>3328105109840004</v>
      </c>
      <c r="C2924" s="2" t="s">
        <v>3560</v>
      </c>
      <c r="D2924" s="2" t="s">
        <v>10</v>
      </c>
      <c r="E2924" s="2" t="s">
        <v>11</v>
      </c>
      <c r="F2924" s="2" t="s">
        <v>18</v>
      </c>
      <c r="G2924" s="2" t="s">
        <v>19</v>
      </c>
      <c r="H2924" s="2" t="s">
        <v>251</v>
      </c>
      <c r="I2924" s="2" t="s">
        <v>3400</v>
      </c>
    </row>
    <row r="2925" spans="1:9" ht="14.5" x14ac:dyDescent="0.35">
      <c r="A2925" s="2">
        <v>740940</v>
      </c>
      <c r="B2925" s="2" t="str">
        <f>"3328105109840004"</f>
        <v>3328105109840004</v>
      </c>
      <c r="C2925" s="2" t="s">
        <v>3560</v>
      </c>
      <c r="D2925" s="2" t="s">
        <v>17</v>
      </c>
      <c r="E2925" s="2" t="s">
        <v>11</v>
      </c>
      <c r="F2925" s="2" t="s">
        <v>18</v>
      </c>
      <c r="G2925" s="2" t="s">
        <v>1381</v>
      </c>
      <c r="H2925" s="2" t="s">
        <v>3550</v>
      </c>
      <c r="I2925" s="2" t="s">
        <v>3561</v>
      </c>
    </row>
    <row r="2926" spans="1:9" ht="14.5" x14ac:dyDescent="0.35">
      <c r="A2926" s="2">
        <v>1695968</v>
      </c>
      <c r="B2926" s="2" t="str">
        <f>"3328105308770009"</f>
        <v>3328105308770009</v>
      </c>
      <c r="C2926" s="2" t="s">
        <v>3562</v>
      </c>
      <c r="D2926" s="2" t="s">
        <v>17</v>
      </c>
      <c r="E2926" s="2" t="s">
        <v>11</v>
      </c>
      <c r="F2926" s="2" t="s">
        <v>18</v>
      </c>
      <c r="G2926" s="2" t="s">
        <v>1514</v>
      </c>
      <c r="H2926" s="2" t="s">
        <v>3563</v>
      </c>
      <c r="I2926" s="2" t="s">
        <v>3564</v>
      </c>
    </row>
    <row r="2927" spans="1:9" ht="14.5" x14ac:dyDescent="0.35">
      <c r="A2927" s="2">
        <v>2572075</v>
      </c>
      <c r="B2927" s="2" t="str">
        <f>"3328105308770009"</f>
        <v>3328105308770009</v>
      </c>
      <c r="C2927" s="2" t="s">
        <v>3562</v>
      </c>
      <c r="D2927" s="2" t="s">
        <v>17</v>
      </c>
      <c r="E2927" s="2" t="s">
        <v>11</v>
      </c>
      <c r="F2927" s="2" t="s">
        <v>18</v>
      </c>
      <c r="G2927" s="2" t="s">
        <v>19</v>
      </c>
      <c r="H2927" s="2" t="s">
        <v>251</v>
      </c>
      <c r="I2927" s="2" t="s">
        <v>252</v>
      </c>
    </row>
    <row r="2928" spans="1:9" ht="14.5" x14ac:dyDescent="0.35">
      <c r="A2928" s="2">
        <v>2571623</v>
      </c>
      <c r="B2928" s="2" t="str">
        <f>"3328105401900002"</f>
        <v>3328105401900002</v>
      </c>
      <c r="C2928" s="2" t="s">
        <v>1617</v>
      </c>
      <c r="D2928" s="2" t="s">
        <v>17</v>
      </c>
      <c r="E2928" s="2" t="s">
        <v>11</v>
      </c>
      <c r="F2928" s="2" t="s">
        <v>18</v>
      </c>
      <c r="G2928" s="2" t="s">
        <v>19</v>
      </c>
      <c r="H2928" s="2" t="s">
        <v>3565</v>
      </c>
      <c r="I2928" s="2" t="s">
        <v>678</v>
      </c>
    </row>
    <row r="2929" spans="1:9" ht="14.5" x14ac:dyDescent="0.35">
      <c r="A2929" s="2">
        <v>2572509</v>
      </c>
      <c r="B2929" s="2" t="str">
        <f>"3328105401900002"</f>
        <v>3328105401900002</v>
      </c>
      <c r="C2929" s="2" t="s">
        <v>1616</v>
      </c>
      <c r="D2929" s="2" t="s">
        <v>17</v>
      </c>
      <c r="E2929" s="2" t="s">
        <v>11</v>
      </c>
      <c r="F2929" s="2" t="s">
        <v>18</v>
      </c>
      <c r="G2929" s="2" t="s">
        <v>19</v>
      </c>
      <c r="H2929" s="2" t="s">
        <v>251</v>
      </c>
      <c r="I2929" s="2" t="s">
        <v>252</v>
      </c>
    </row>
    <row r="2930" spans="1:9" ht="14.5" x14ac:dyDescent="0.35">
      <c r="A2930" s="2">
        <v>2266102</v>
      </c>
      <c r="B2930" s="2" t="str">
        <f>"3328105407850002"</f>
        <v>3328105407850002</v>
      </c>
      <c r="C2930" s="2" t="s">
        <v>3566</v>
      </c>
      <c r="D2930" s="2" t="s">
        <v>10</v>
      </c>
      <c r="E2930" s="2" t="s">
        <v>11</v>
      </c>
      <c r="F2930" s="2" t="s">
        <v>18</v>
      </c>
      <c r="G2930" s="2" t="s">
        <v>19</v>
      </c>
      <c r="H2930" s="2" t="s">
        <v>251</v>
      </c>
      <c r="I2930" s="2" t="s">
        <v>3344</v>
      </c>
    </row>
    <row r="2931" spans="1:9" ht="14.5" x14ac:dyDescent="0.35">
      <c r="A2931" s="2">
        <v>788142</v>
      </c>
      <c r="B2931" s="2" t="str">
        <f>"3328105407850002"</f>
        <v>3328105407850002</v>
      </c>
      <c r="C2931" s="2" t="s">
        <v>3566</v>
      </c>
      <c r="D2931" s="2" t="s">
        <v>17</v>
      </c>
      <c r="E2931" s="2" t="s">
        <v>11</v>
      </c>
      <c r="F2931" s="2" t="s">
        <v>18</v>
      </c>
      <c r="G2931" s="2" t="s">
        <v>3495</v>
      </c>
      <c r="H2931" s="2" t="s">
        <v>3496</v>
      </c>
      <c r="I2931" s="2" t="s">
        <v>3497</v>
      </c>
    </row>
    <row r="2932" spans="1:9" ht="14.5" x14ac:dyDescent="0.35">
      <c r="A2932" s="2">
        <v>2569673</v>
      </c>
      <c r="B2932" s="2" t="str">
        <f>"3328105501910001"</f>
        <v>3328105501910001</v>
      </c>
      <c r="C2932" s="2" t="s">
        <v>3567</v>
      </c>
      <c r="D2932" s="2" t="s">
        <v>17</v>
      </c>
      <c r="E2932" s="2" t="s">
        <v>11</v>
      </c>
      <c r="F2932" s="2" t="s">
        <v>18</v>
      </c>
      <c r="G2932" s="2" t="s">
        <v>19</v>
      </c>
      <c r="H2932" s="2" t="s">
        <v>251</v>
      </c>
      <c r="I2932" s="2" t="s">
        <v>3400</v>
      </c>
    </row>
    <row r="2933" spans="1:9" ht="14.5" x14ac:dyDescent="0.35">
      <c r="A2933" s="2">
        <v>2572401</v>
      </c>
      <c r="B2933" s="2" t="str">
        <f>"3328105501910001"</f>
        <v>3328105501910001</v>
      </c>
      <c r="C2933" s="2" t="s">
        <v>3023</v>
      </c>
      <c r="D2933" s="2" t="s">
        <v>17</v>
      </c>
      <c r="E2933" s="2" t="s">
        <v>11</v>
      </c>
      <c r="F2933" s="2" t="s">
        <v>18</v>
      </c>
      <c r="G2933" s="2" t="s">
        <v>19</v>
      </c>
      <c r="H2933" s="2" t="s">
        <v>251</v>
      </c>
      <c r="I2933" s="2" t="s">
        <v>252</v>
      </c>
    </row>
    <row r="2934" spans="1:9" ht="14.5" x14ac:dyDescent="0.35">
      <c r="A2934" s="2">
        <v>726686</v>
      </c>
      <c r="B2934" s="2" t="str">
        <f>"3328105503980008"</f>
        <v>3328105503980008</v>
      </c>
      <c r="C2934" s="2" t="s">
        <v>3568</v>
      </c>
      <c r="D2934" s="2" t="s">
        <v>17</v>
      </c>
      <c r="E2934" s="2" t="s">
        <v>11</v>
      </c>
      <c r="F2934" s="2" t="s">
        <v>18</v>
      </c>
      <c r="G2934" s="2" t="s">
        <v>3323</v>
      </c>
      <c r="H2934" s="2" t="s">
        <v>3569</v>
      </c>
      <c r="I2934" s="2" t="s">
        <v>3570</v>
      </c>
    </row>
    <row r="2935" spans="1:9" ht="14.5" x14ac:dyDescent="0.35">
      <c r="A2935" s="2">
        <v>2569529</v>
      </c>
      <c r="B2935" s="2" t="str">
        <f>"3328105503980008"</f>
        <v>3328105503980008</v>
      </c>
      <c r="C2935" s="2" t="s">
        <v>3568</v>
      </c>
      <c r="D2935" s="2" t="s">
        <v>17</v>
      </c>
      <c r="E2935" s="2" t="s">
        <v>11</v>
      </c>
      <c r="F2935" s="2" t="s">
        <v>18</v>
      </c>
      <c r="G2935" s="2" t="s">
        <v>19</v>
      </c>
      <c r="H2935" s="2" t="s">
        <v>251</v>
      </c>
      <c r="I2935" s="2" t="s">
        <v>3344</v>
      </c>
    </row>
    <row r="2936" spans="1:9" ht="14.5" x14ac:dyDescent="0.35">
      <c r="A2936" s="2">
        <v>2301202</v>
      </c>
      <c r="B2936" s="2" t="str">
        <f>"3328105506990002"</f>
        <v>3328105506990002</v>
      </c>
      <c r="C2936" s="2" t="s">
        <v>3571</v>
      </c>
      <c r="D2936" s="2" t="s">
        <v>10</v>
      </c>
      <c r="E2936" s="2" t="s">
        <v>11</v>
      </c>
      <c r="F2936" s="2" t="s">
        <v>18</v>
      </c>
      <c r="G2936" s="2" t="s">
        <v>19</v>
      </c>
      <c r="H2936" s="2" t="s">
        <v>251</v>
      </c>
      <c r="I2936" s="2" t="s">
        <v>3410</v>
      </c>
    </row>
    <row r="2937" spans="1:9" ht="14.5" x14ac:dyDescent="0.35">
      <c r="A2937" s="2">
        <v>149408</v>
      </c>
      <c r="B2937" s="2" t="str">
        <f>"3328105506990002"</f>
        <v>3328105506990002</v>
      </c>
      <c r="C2937" s="2" t="s">
        <v>3572</v>
      </c>
      <c r="D2937" s="2" t="s">
        <v>17</v>
      </c>
      <c r="E2937" s="2" t="s">
        <v>11</v>
      </c>
      <c r="F2937" s="2" t="s">
        <v>44</v>
      </c>
      <c r="G2937" s="2" t="s">
        <v>3573</v>
      </c>
      <c r="H2937" s="2" t="s">
        <v>3574</v>
      </c>
      <c r="I2937" s="2" t="s">
        <v>3575</v>
      </c>
    </row>
    <row r="2938" spans="1:9" ht="14.5" x14ac:dyDescent="0.35">
      <c r="A2938" s="2">
        <v>2305331</v>
      </c>
      <c r="B2938" s="2" t="str">
        <f>"3328105512030008"</f>
        <v>3328105512030008</v>
      </c>
      <c r="C2938" s="2" t="s">
        <v>3576</v>
      </c>
      <c r="D2938" s="2" t="s">
        <v>10</v>
      </c>
      <c r="E2938" s="2" t="s">
        <v>11</v>
      </c>
      <c r="F2938" s="2" t="s">
        <v>18</v>
      </c>
      <c r="G2938" s="2" t="s">
        <v>19</v>
      </c>
      <c r="H2938" s="2" t="s">
        <v>251</v>
      </c>
      <c r="I2938" s="2" t="s">
        <v>3410</v>
      </c>
    </row>
    <row r="2939" spans="1:9" ht="14.5" x14ac:dyDescent="0.35">
      <c r="A2939" s="2">
        <v>761638</v>
      </c>
      <c r="B2939" s="2" t="str">
        <f>"3328105512030008"</f>
        <v>3328105512030008</v>
      </c>
      <c r="C2939" s="2" t="s">
        <v>3577</v>
      </c>
      <c r="D2939" s="2" t="s">
        <v>10</v>
      </c>
      <c r="E2939" s="2" t="s">
        <v>57</v>
      </c>
      <c r="F2939" s="2" t="s">
        <v>379</v>
      </c>
      <c r="G2939" s="2" t="s">
        <v>711</v>
      </c>
      <c r="H2939" s="2" t="s">
        <v>1875</v>
      </c>
      <c r="I2939" s="2" t="s">
        <v>1876</v>
      </c>
    </row>
    <row r="2940" spans="1:9" ht="14.5" x14ac:dyDescent="0.35">
      <c r="A2940" s="2">
        <v>969326</v>
      </c>
      <c r="B2940" s="2" t="str">
        <f>"3328105702940001"</f>
        <v>3328105702940001</v>
      </c>
      <c r="C2940" s="2" t="s">
        <v>2608</v>
      </c>
      <c r="D2940" s="2" t="s">
        <v>10</v>
      </c>
      <c r="E2940" s="2" t="s">
        <v>11</v>
      </c>
      <c r="F2940" s="2" t="s">
        <v>50</v>
      </c>
      <c r="G2940" s="2" t="s">
        <v>58</v>
      </c>
      <c r="H2940" s="2" t="s">
        <v>406</v>
      </c>
      <c r="I2940" s="2" t="s">
        <v>3434</v>
      </c>
    </row>
    <row r="2941" spans="1:9" ht="14.5" x14ac:dyDescent="0.35">
      <c r="A2941" s="2">
        <v>2549019</v>
      </c>
      <c r="B2941" s="2" t="str">
        <f>"3328105702940001"</f>
        <v>3328105702940001</v>
      </c>
      <c r="C2941" s="2" t="s">
        <v>3578</v>
      </c>
      <c r="D2941" s="2" t="s">
        <v>17</v>
      </c>
      <c r="E2941" s="2" t="s">
        <v>11</v>
      </c>
      <c r="F2941" s="2" t="s">
        <v>18</v>
      </c>
      <c r="G2941" s="2" t="s">
        <v>19</v>
      </c>
      <c r="H2941" s="2" t="s">
        <v>251</v>
      </c>
      <c r="I2941" s="2" t="s">
        <v>3432</v>
      </c>
    </row>
    <row r="2942" spans="1:9" ht="14.5" x14ac:dyDescent="0.35">
      <c r="A2942" s="2">
        <v>2323920</v>
      </c>
      <c r="B2942" s="2" t="str">
        <f>"3328105703880004"</f>
        <v>3328105703880004</v>
      </c>
      <c r="C2942" s="2" t="s">
        <v>3579</v>
      </c>
      <c r="D2942" s="2" t="s">
        <v>10</v>
      </c>
      <c r="E2942" s="2" t="s">
        <v>11</v>
      </c>
      <c r="F2942" s="2" t="s">
        <v>18</v>
      </c>
      <c r="G2942" s="2" t="s">
        <v>19</v>
      </c>
      <c r="H2942" s="2" t="s">
        <v>251</v>
      </c>
      <c r="I2942" s="2" t="s">
        <v>3400</v>
      </c>
    </row>
    <row r="2943" spans="1:9" ht="14.5" x14ac:dyDescent="0.35">
      <c r="A2943" s="2">
        <v>777159</v>
      </c>
      <c r="B2943" s="2" t="str">
        <f>"3328105703880004"</f>
        <v>3328105703880004</v>
      </c>
      <c r="C2943" s="2" t="s">
        <v>3579</v>
      </c>
      <c r="D2943" s="2" t="s">
        <v>17</v>
      </c>
      <c r="E2943" s="2" t="s">
        <v>11</v>
      </c>
      <c r="F2943" s="2" t="s">
        <v>379</v>
      </c>
      <c r="G2943" s="2" t="s">
        <v>711</v>
      </c>
      <c r="H2943" s="2" t="s">
        <v>2627</v>
      </c>
      <c r="I2943" s="2" t="s">
        <v>1090</v>
      </c>
    </row>
    <row r="2944" spans="1:9" ht="14.5" x14ac:dyDescent="0.35">
      <c r="A2944" s="2">
        <v>2297427</v>
      </c>
      <c r="B2944" s="2" t="str">
        <f>"3328105706000001"</f>
        <v>3328105706000001</v>
      </c>
      <c r="C2944" s="2" t="s">
        <v>3580</v>
      </c>
      <c r="D2944" s="2" t="s">
        <v>10</v>
      </c>
      <c r="E2944" s="2" t="s">
        <v>11</v>
      </c>
      <c r="F2944" s="2" t="s">
        <v>18</v>
      </c>
      <c r="G2944" s="2" t="s">
        <v>19</v>
      </c>
      <c r="H2944" s="2" t="s">
        <v>251</v>
      </c>
      <c r="I2944" s="2" t="s">
        <v>3410</v>
      </c>
    </row>
    <row r="2945" spans="1:9" ht="14.5" x14ac:dyDescent="0.35">
      <c r="A2945" s="2">
        <v>2427644</v>
      </c>
      <c r="B2945" s="2" t="str">
        <f>"3328105706000001"</f>
        <v>3328105706000001</v>
      </c>
      <c r="C2945" s="2" t="s">
        <v>3581</v>
      </c>
      <c r="D2945" s="2" t="s">
        <v>17</v>
      </c>
      <c r="E2945" s="2" t="s">
        <v>11</v>
      </c>
      <c r="F2945" s="2" t="s">
        <v>50</v>
      </c>
      <c r="G2945" s="2" t="s">
        <v>58</v>
      </c>
      <c r="H2945" s="2" t="s">
        <v>1742</v>
      </c>
      <c r="I2945" s="2" t="s">
        <v>3582</v>
      </c>
    </row>
    <row r="2946" spans="1:9" ht="14.5" x14ac:dyDescent="0.35">
      <c r="A2946" s="2">
        <v>563476</v>
      </c>
      <c r="B2946" s="2" t="str">
        <f>"3328105812020006"</f>
        <v>3328105812020006</v>
      </c>
      <c r="C2946" s="2" t="s">
        <v>3583</v>
      </c>
      <c r="D2946" s="2" t="s">
        <v>10</v>
      </c>
      <c r="E2946" s="2" t="s">
        <v>11</v>
      </c>
      <c r="F2946" s="2" t="s">
        <v>50</v>
      </c>
      <c r="G2946" s="2" t="s">
        <v>86</v>
      </c>
      <c r="H2946" s="2" t="s">
        <v>1463</v>
      </c>
      <c r="I2946" s="2" t="s">
        <v>3584</v>
      </c>
    </row>
    <row r="2947" spans="1:9" ht="14.5" x14ac:dyDescent="0.35">
      <c r="A2947" s="2">
        <v>2549015</v>
      </c>
      <c r="B2947" s="2" t="str">
        <f>"3328105812020006"</f>
        <v>3328105812020006</v>
      </c>
      <c r="C2947" s="2" t="s">
        <v>3583</v>
      </c>
      <c r="D2947" s="2" t="s">
        <v>17</v>
      </c>
      <c r="E2947" s="2" t="s">
        <v>11</v>
      </c>
      <c r="F2947" s="2" t="s">
        <v>18</v>
      </c>
      <c r="G2947" s="2" t="s">
        <v>19</v>
      </c>
      <c r="H2947" s="2" t="s">
        <v>251</v>
      </c>
      <c r="I2947" s="2" t="s">
        <v>3432</v>
      </c>
    </row>
    <row r="2948" spans="1:9" ht="14.5" x14ac:dyDescent="0.35">
      <c r="A2948" s="2">
        <v>2279130</v>
      </c>
      <c r="B2948" s="2" t="str">
        <f>"3328105909930002"</f>
        <v>3328105909930002</v>
      </c>
      <c r="C2948" s="2" t="s">
        <v>3585</v>
      </c>
      <c r="D2948" s="2" t="s">
        <v>10</v>
      </c>
      <c r="E2948" s="2" t="s">
        <v>11</v>
      </c>
      <c r="F2948" s="2" t="s">
        <v>18</v>
      </c>
      <c r="G2948" s="2" t="s">
        <v>19</v>
      </c>
      <c r="H2948" s="2" t="s">
        <v>251</v>
      </c>
      <c r="I2948" s="2" t="s">
        <v>252</v>
      </c>
    </row>
    <row r="2949" spans="1:9" ht="14.5" x14ac:dyDescent="0.35">
      <c r="A2949" s="2">
        <v>423841</v>
      </c>
      <c r="B2949" s="2" t="str">
        <f>"3328105909930002"</f>
        <v>3328105909930002</v>
      </c>
      <c r="C2949" s="2" t="s">
        <v>3586</v>
      </c>
      <c r="D2949" s="2" t="s">
        <v>10</v>
      </c>
      <c r="E2949" s="2" t="s">
        <v>57</v>
      </c>
      <c r="F2949" s="2" t="s">
        <v>18</v>
      </c>
      <c r="G2949" s="2" t="s">
        <v>268</v>
      </c>
      <c r="H2949" s="2" t="s">
        <v>277</v>
      </c>
      <c r="I2949" s="2" t="s">
        <v>278</v>
      </c>
    </row>
    <row r="2950" spans="1:9" ht="14.5" x14ac:dyDescent="0.35">
      <c r="A2950" s="2">
        <v>2315298</v>
      </c>
      <c r="B2950" s="2" t="str">
        <f>"3328106111960001"</f>
        <v>3328106111960001</v>
      </c>
      <c r="C2950" s="2" t="s">
        <v>388</v>
      </c>
      <c r="D2950" s="2" t="s">
        <v>10</v>
      </c>
      <c r="E2950" s="2" t="s">
        <v>11</v>
      </c>
      <c r="F2950" s="2" t="s">
        <v>18</v>
      </c>
      <c r="G2950" s="2" t="s">
        <v>19</v>
      </c>
      <c r="H2950" s="2" t="s">
        <v>251</v>
      </c>
      <c r="I2950" s="2" t="s">
        <v>3451</v>
      </c>
    </row>
    <row r="2951" spans="1:9" ht="14.5" x14ac:dyDescent="0.35">
      <c r="A2951" s="2">
        <v>1129024</v>
      </c>
      <c r="B2951" s="2" t="str">
        <f>"3328106111960001"</f>
        <v>3328106111960001</v>
      </c>
      <c r="C2951" s="2" t="s">
        <v>388</v>
      </c>
      <c r="D2951" s="2" t="s">
        <v>17</v>
      </c>
      <c r="E2951" s="2" t="s">
        <v>11</v>
      </c>
      <c r="F2951" s="2" t="s">
        <v>303</v>
      </c>
      <c r="G2951" s="2" t="s">
        <v>1584</v>
      </c>
      <c r="H2951" s="2" t="s">
        <v>3587</v>
      </c>
      <c r="I2951" s="2" t="s">
        <v>3588</v>
      </c>
    </row>
    <row r="2952" spans="1:9" ht="14.5" x14ac:dyDescent="0.35">
      <c r="A2952" s="2">
        <v>2303803</v>
      </c>
      <c r="B2952" s="2" t="str">
        <f>"3328106206920001"</f>
        <v>3328106206920001</v>
      </c>
      <c r="C2952" s="2" t="s">
        <v>3589</v>
      </c>
      <c r="D2952" s="2" t="s">
        <v>10</v>
      </c>
      <c r="E2952" s="2" t="s">
        <v>11</v>
      </c>
      <c r="F2952" s="2" t="s">
        <v>18</v>
      </c>
      <c r="G2952" s="2" t="s">
        <v>19</v>
      </c>
      <c r="H2952" s="2" t="s">
        <v>251</v>
      </c>
      <c r="I2952" s="2" t="s">
        <v>3410</v>
      </c>
    </row>
    <row r="2953" spans="1:9" ht="14.5" x14ac:dyDescent="0.35">
      <c r="A2953" s="2">
        <v>762807</v>
      </c>
      <c r="B2953" s="2" t="str">
        <f>"3328106206920001"</f>
        <v>3328106206920001</v>
      </c>
      <c r="C2953" s="2" t="s">
        <v>3590</v>
      </c>
      <c r="D2953" s="2" t="s">
        <v>10</v>
      </c>
      <c r="E2953" s="2" t="s">
        <v>57</v>
      </c>
      <c r="F2953" s="2" t="s">
        <v>379</v>
      </c>
      <c r="G2953" s="2" t="s">
        <v>711</v>
      </c>
      <c r="H2953" s="2" t="s">
        <v>718</v>
      </c>
      <c r="I2953" s="2" t="s">
        <v>719</v>
      </c>
    </row>
    <row r="2954" spans="1:9" ht="14.5" x14ac:dyDescent="0.35">
      <c r="A2954" s="2">
        <v>2266291</v>
      </c>
      <c r="B2954" s="2" t="str">
        <f>"3328106206960005"</f>
        <v>3328106206960005</v>
      </c>
      <c r="C2954" s="2" t="s">
        <v>3591</v>
      </c>
      <c r="D2954" s="2" t="s">
        <v>10</v>
      </c>
      <c r="E2954" s="2" t="s">
        <v>11</v>
      </c>
      <c r="F2954" s="2" t="s">
        <v>18</v>
      </c>
      <c r="G2954" s="2" t="s">
        <v>19</v>
      </c>
      <c r="H2954" s="2" t="s">
        <v>251</v>
      </c>
      <c r="I2954" s="2" t="s">
        <v>3344</v>
      </c>
    </row>
    <row r="2955" spans="1:9" ht="14.5" x14ac:dyDescent="0.35">
      <c r="A2955" s="2">
        <v>420931</v>
      </c>
      <c r="B2955" s="2" t="str">
        <f>"3328106206960005"</f>
        <v>3328106206960005</v>
      </c>
      <c r="C2955" s="2" t="s">
        <v>3591</v>
      </c>
      <c r="D2955" s="2" t="s">
        <v>17</v>
      </c>
      <c r="E2955" s="2" t="s">
        <v>11</v>
      </c>
      <c r="F2955" s="2" t="s">
        <v>18</v>
      </c>
      <c r="G2955" s="2" t="s">
        <v>268</v>
      </c>
      <c r="H2955" s="2" t="s">
        <v>448</v>
      </c>
      <c r="I2955" s="2" t="s">
        <v>888</v>
      </c>
    </row>
    <row r="2956" spans="1:9" ht="14.5" x14ac:dyDescent="0.35">
      <c r="A2956" s="2">
        <v>1527676</v>
      </c>
      <c r="B2956" s="2" t="str">
        <f>"3328106407930002"</f>
        <v>3328106407930002</v>
      </c>
      <c r="C2956" s="2" t="s">
        <v>3592</v>
      </c>
      <c r="D2956" s="2" t="s">
        <v>10</v>
      </c>
      <c r="E2956" s="2" t="s">
        <v>11</v>
      </c>
      <c r="F2956" s="2" t="s">
        <v>18</v>
      </c>
      <c r="G2956" s="2" t="s">
        <v>264</v>
      </c>
      <c r="H2956" s="2" t="s">
        <v>330</v>
      </c>
      <c r="I2956" s="2" t="s">
        <v>1942</v>
      </c>
    </row>
    <row r="2957" spans="1:9" ht="14.5" x14ac:dyDescent="0.35">
      <c r="A2957" s="2">
        <v>2551019</v>
      </c>
      <c r="B2957" s="2" t="str">
        <f>"3328106407930002"</f>
        <v>3328106407930002</v>
      </c>
      <c r="C2957" s="2" t="s">
        <v>3593</v>
      </c>
      <c r="D2957" s="2" t="s">
        <v>17</v>
      </c>
      <c r="E2957" s="2" t="s">
        <v>11</v>
      </c>
      <c r="F2957" s="2" t="s">
        <v>18</v>
      </c>
      <c r="G2957" s="2" t="s">
        <v>19</v>
      </c>
      <c r="H2957" s="2" t="s">
        <v>251</v>
      </c>
      <c r="I2957" s="2" t="s">
        <v>3400</v>
      </c>
    </row>
    <row r="2958" spans="1:9" ht="14.5" x14ac:dyDescent="0.35">
      <c r="A2958" s="2">
        <v>2270886</v>
      </c>
      <c r="B2958" s="2" t="str">
        <f>"3328106612930001"</f>
        <v>3328106612930001</v>
      </c>
      <c r="C2958" s="2" t="s">
        <v>3594</v>
      </c>
      <c r="D2958" s="2" t="s">
        <v>10</v>
      </c>
      <c r="E2958" s="2" t="s">
        <v>11</v>
      </c>
      <c r="F2958" s="2" t="s">
        <v>18</v>
      </c>
      <c r="G2958" s="2" t="s">
        <v>19</v>
      </c>
      <c r="H2958" s="2" t="s">
        <v>251</v>
      </c>
      <c r="I2958" s="2" t="s">
        <v>3344</v>
      </c>
    </row>
    <row r="2959" spans="1:9" ht="14.5" x14ac:dyDescent="0.35">
      <c r="A2959" s="2">
        <v>421627</v>
      </c>
      <c r="B2959" s="2" t="str">
        <f>"3328106612930001"</f>
        <v>3328106612930001</v>
      </c>
      <c r="C2959" s="2" t="s">
        <v>3594</v>
      </c>
      <c r="D2959" s="2" t="s">
        <v>17</v>
      </c>
      <c r="E2959" s="2" t="s">
        <v>11</v>
      </c>
      <c r="F2959" s="2" t="s">
        <v>18</v>
      </c>
      <c r="G2959" s="2" t="s">
        <v>268</v>
      </c>
      <c r="H2959" s="2" t="s">
        <v>371</v>
      </c>
      <c r="I2959" s="2" t="s">
        <v>2772</v>
      </c>
    </row>
    <row r="2960" spans="1:9" ht="14.5" x14ac:dyDescent="0.35">
      <c r="A2960" s="2">
        <v>2549697</v>
      </c>
      <c r="B2960" s="2" t="str">
        <f>"3329035006010003"</f>
        <v>3329035006010003</v>
      </c>
      <c r="C2960" s="2" t="s">
        <v>3595</v>
      </c>
      <c r="D2960" s="2" t="s">
        <v>17</v>
      </c>
      <c r="E2960" s="2" t="s">
        <v>11</v>
      </c>
      <c r="F2960" s="2" t="s">
        <v>18</v>
      </c>
      <c r="G2960" s="2" t="s">
        <v>19</v>
      </c>
      <c r="H2960" s="2" t="s">
        <v>251</v>
      </c>
      <c r="I2960" s="2" t="s">
        <v>3344</v>
      </c>
    </row>
    <row r="2961" spans="1:9" ht="14.5" x14ac:dyDescent="0.35">
      <c r="A2961" s="2">
        <v>1701987</v>
      </c>
      <c r="B2961" s="2" t="str">
        <f>"3329035006010003"</f>
        <v>3329035006010003</v>
      </c>
      <c r="C2961" s="2" t="s">
        <v>3596</v>
      </c>
      <c r="D2961" s="2" t="s">
        <v>17</v>
      </c>
      <c r="E2961" s="2" t="s">
        <v>11</v>
      </c>
      <c r="F2961" s="2" t="s">
        <v>18</v>
      </c>
      <c r="G2961" s="2" t="s">
        <v>264</v>
      </c>
      <c r="H2961" s="2" t="s">
        <v>461</v>
      </c>
      <c r="I2961" s="2" t="s">
        <v>3597</v>
      </c>
    </row>
    <row r="2962" spans="1:9" ht="14.5" x14ac:dyDescent="0.35">
      <c r="A2962" s="2">
        <v>397453</v>
      </c>
      <c r="B2962" s="2" t="str">
        <f>"3329035303850011"</f>
        <v>3329035303850011</v>
      </c>
      <c r="C2962" s="2" t="s">
        <v>3598</v>
      </c>
      <c r="D2962" s="2" t="s">
        <v>189</v>
      </c>
      <c r="E2962" s="2" t="s">
        <v>11</v>
      </c>
      <c r="F2962" s="2" t="s">
        <v>18</v>
      </c>
      <c r="G2962" s="2" t="s">
        <v>264</v>
      </c>
      <c r="H2962" s="2" t="s">
        <v>396</v>
      </c>
      <c r="I2962" s="2" t="s">
        <v>396</v>
      </c>
    </row>
    <row r="2963" spans="1:9" ht="14.5" x14ac:dyDescent="0.35">
      <c r="A2963" s="2">
        <v>2572209</v>
      </c>
      <c r="B2963" s="2" t="str">
        <f>"3329035303850011"</f>
        <v>3329035303850011</v>
      </c>
      <c r="C2963" s="2" t="s">
        <v>3598</v>
      </c>
      <c r="D2963" s="2" t="s">
        <v>17</v>
      </c>
      <c r="E2963" s="2" t="s">
        <v>11</v>
      </c>
      <c r="F2963" s="2" t="s">
        <v>18</v>
      </c>
      <c r="G2963" s="2" t="s">
        <v>19</v>
      </c>
      <c r="H2963" s="2" t="s">
        <v>251</v>
      </c>
      <c r="I2963" s="2" t="s">
        <v>252</v>
      </c>
    </row>
    <row r="2964" spans="1:9" ht="14.5" x14ac:dyDescent="0.35">
      <c r="A2964" s="2">
        <v>2549700</v>
      </c>
      <c r="B2964" s="2" t="str">
        <f>"3329036510810003"</f>
        <v>3329036510810003</v>
      </c>
      <c r="C2964" s="2" t="s">
        <v>3599</v>
      </c>
      <c r="D2964" s="2" t="s">
        <v>17</v>
      </c>
      <c r="E2964" s="2" t="s">
        <v>11</v>
      </c>
      <c r="F2964" s="2" t="s">
        <v>18</v>
      </c>
      <c r="G2964" s="2" t="s">
        <v>19</v>
      </c>
      <c r="H2964" s="2" t="s">
        <v>251</v>
      </c>
      <c r="I2964" s="2" t="s">
        <v>3344</v>
      </c>
    </row>
    <row r="2965" spans="1:9" ht="14.5" x14ac:dyDescent="0.35">
      <c r="A2965" s="2">
        <v>1701986</v>
      </c>
      <c r="B2965" s="2" t="str">
        <f>"3329036510810003"</f>
        <v>3329036510810003</v>
      </c>
      <c r="C2965" s="2" t="s">
        <v>3599</v>
      </c>
      <c r="D2965" s="2" t="s">
        <v>17</v>
      </c>
      <c r="E2965" s="2" t="s">
        <v>11</v>
      </c>
      <c r="F2965" s="2" t="s">
        <v>18</v>
      </c>
      <c r="G2965" s="2" t="s">
        <v>264</v>
      </c>
      <c r="H2965" s="2" t="s">
        <v>461</v>
      </c>
      <c r="I2965" s="2" t="s">
        <v>3597</v>
      </c>
    </row>
    <row r="2966" spans="1:9" ht="14.5" x14ac:dyDescent="0.35">
      <c r="A2966" s="2">
        <v>495846</v>
      </c>
      <c r="B2966" s="2" t="str">
        <f>"3329062212950004"</f>
        <v>3329062212950004</v>
      </c>
      <c r="C2966" s="2" t="s">
        <v>3600</v>
      </c>
      <c r="D2966" s="2" t="s">
        <v>10</v>
      </c>
      <c r="E2966" s="2" t="s">
        <v>11</v>
      </c>
      <c r="F2966" s="2" t="s">
        <v>50</v>
      </c>
      <c r="G2966" s="2" t="s">
        <v>280</v>
      </c>
      <c r="H2966" s="2" t="s">
        <v>455</v>
      </c>
      <c r="I2966" s="2" t="s">
        <v>3601</v>
      </c>
    </row>
    <row r="2967" spans="1:9" ht="14.5" x14ac:dyDescent="0.35">
      <c r="A2967" s="2">
        <v>2550315</v>
      </c>
      <c r="B2967" s="2" t="str">
        <f>"3329062212950004"</f>
        <v>3329062212950004</v>
      </c>
      <c r="C2967" s="2" t="s">
        <v>3602</v>
      </c>
      <c r="D2967" s="2" t="s">
        <v>17</v>
      </c>
      <c r="E2967" s="2" t="s">
        <v>11</v>
      </c>
      <c r="F2967" s="2" t="s">
        <v>18</v>
      </c>
      <c r="G2967" s="2" t="s">
        <v>19</v>
      </c>
      <c r="H2967" s="2" t="s">
        <v>251</v>
      </c>
      <c r="I2967" s="2" t="s">
        <v>3410</v>
      </c>
    </row>
    <row r="2968" spans="1:9" ht="14.5" x14ac:dyDescent="0.35">
      <c r="A2968" s="2">
        <v>239736</v>
      </c>
      <c r="B2968" s="2" t="str">
        <f>"3329064807050004"</f>
        <v>3329064807050004</v>
      </c>
      <c r="C2968" s="2" t="s">
        <v>3603</v>
      </c>
      <c r="D2968" s="2" t="s">
        <v>189</v>
      </c>
      <c r="E2968" s="2" t="s">
        <v>11</v>
      </c>
      <c r="F2968" s="2" t="s">
        <v>18</v>
      </c>
      <c r="G2968" s="2" t="s">
        <v>264</v>
      </c>
      <c r="H2968" s="2" t="s">
        <v>468</v>
      </c>
      <c r="I2968" s="2" t="s">
        <v>2671</v>
      </c>
    </row>
    <row r="2969" spans="1:9" ht="14.5" x14ac:dyDescent="0.35">
      <c r="A2969" s="2">
        <v>2242494</v>
      </c>
      <c r="B2969" s="2" t="str">
        <f>"3329064807050004"</f>
        <v>3329064807050004</v>
      </c>
      <c r="C2969" s="2" t="s">
        <v>3604</v>
      </c>
      <c r="D2969" s="2" t="s">
        <v>189</v>
      </c>
      <c r="E2969" s="2" t="s">
        <v>11</v>
      </c>
      <c r="F2969" s="2" t="s">
        <v>18</v>
      </c>
      <c r="G2969" s="2" t="s">
        <v>19</v>
      </c>
      <c r="H2969" s="2" t="s">
        <v>251</v>
      </c>
      <c r="I2969" s="2" t="s">
        <v>3432</v>
      </c>
    </row>
    <row r="2970" spans="1:9" ht="14.5" x14ac:dyDescent="0.35">
      <c r="A2970" s="2">
        <v>1325545</v>
      </c>
      <c r="B2970" s="2" t="str">
        <f>"3329070909830005"</f>
        <v>3329070909830005</v>
      </c>
      <c r="C2970" s="2" t="s">
        <v>3605</v>
      </c>
      <c r="D2970" s="2" t="s">
        <v>10</v>
      </c>
      <c r="E2970" s="2" t="s">
        <v>11</v>
      </c>
      <c r="F2970" s="2" t="s">
        <v>18</v>
      </c>
      <c r="G2970" s="2" t="s">
        <v>264</v>
      </c>
      <c r="H2970" s="2" t="s">
        <v>265</v>
      </c>
      <c r="I2970" s="2" t="s">
        <v>1878</v>
      </c>
    </row>
    <row r="2971" spans="1:9" ht="14.5" x14ac:dyDescent="0.35">
      <c r="A2971" s="2">
        <v>2572393</v>
      </c>
      <c r="B2971" s="2" t="str">
        <f>"3329070909830005"</f>
        <v>3329070909830005</v>
      </c>
      <c r="C2971" s="2" t="s">
        <v>3605</v>
      </c>
      <c r="D2971" s="2" t="s">
        <v>17</v>
      </c>
      <c r="E2971" s="2" t="s">
        <v>11</v>
      </c>
      <c r="F2971" s="2" t="s">
        <v>18</v>
      </c>
      <c r="G2971" s="2" t="s">
        <v>19</v>
      </c>
      <c r="H2971" s="2" t="s">
        <v>251</v>
      </c>
      <c r="I2971" s="2" t="s">
        <v>252</v>
      </c>
    </row>
    <row r="2972" spans="1:9" ht="14.5" x14ac:dyDescent="0.35">
      <c r="A2972" s="2">
        <v>1383115</v>
      </c>
      <c r="B2972" s="2" t="str">
        <f>"3329071010920003"</f>
        <v>3329071010920003</v>
      </c>
      <c r="C2972" s="2" t="s">
        <v>3606</v>
      </c>
      <c r="D2972" s="2" t="s">
        <v>10</v>
      </c>
      <c r="E2972" s="2" t="s">
        <v>11</v>
      </c>
      <c r="F2972" s="2" t="s">
        <v>18</v>
      </c>
      <c r="G2972" s="2" t="s">
        <v>264</v>
      </c>
      <c r="H2972" s="2" t="s">
        <v>265</v>
      </c>
      <c r="I2972" s="2" t="s">
        <v>1628</v>
      </c>
    </row>
    <row r="2973" spans="1:9" ht="14.5" x14ac:dyDescent="0.35">
      <c r="A2973" s="2">
        <v>2550392</v>
      </c>
      <c r="B2973" s="2" t="str">
        <f>"3329071010920003"</f>
        <v>3329071010920003</v>
      </c>
      <c r="C2973" s="2" t="s">
        <v>3606</v>
      </c>
      <c r="D2973" s="2" t="s">
        <v>17</v>
      </c>
      <c r="E2973" s="2" t="s">
        <v>11</v>
      </c>
      <c r="F2973" s="2" t="s">
        <v>18</v>
      </c>
      <c r="G2973" s="2" t="s">
        <v>19</v>
      </c>
      <c r="H2973" s="2" t="s">
        <v>251</v>
      </c>
      <c r="I2973" s="2" t="s">
        <v>3414</v>
      </c>
    </row>
    <row r="2974" spans="1:9" ht="14.5" x14ac:dyDescent="0.35">
      <c r="A2974" s="2">
        <v>2241882</v>
      </c>
      <c r="B2974" s="2" t="str">
        <f>"3329072206950001"</f>
        <v>3329072206950001</v>
      </c>
      <c r="C2974" s="2" t="s">
        <v>3607</v>
      </c>
      <c r="D2974" s="2" t="s">
        <v>189</v>
      </c>
      <c r="E2974" s="2" t="s">
        <v>11</v>
      </c>
      <c r="F2974" s="2" t="s">
        <v>18</v>
      </c>
      <c r="G2974" s="2" t="s">
        <v>19</v>
      </c>
      <c r="H2974" s="2" t="s">
        <v>251</v>
      </c>
      <c r="I2974" s="2" t="s">
        <v>3432</v>
      </c>
    </row>
    <row r="2975" spans="1:9" ht="14.5" x14ac:dyDescent="0.35">
      <c r="A2975" s="2">
        <v>1693573</v>
      </c>
      <c r="B2975" s="2" t="str">
        <f>"3329072206950001"</f>
        <v>3329072206950001</v>
      </c>
      <c r="C2975" s="2" t="s">
        <v>3607</v>
      </c>
      <c r="D2975" s="2" t="s">
        <v>17</v>
      </c>
      <c r="E2975" s="2" t="s">
        <v>11</v>
      </c>
      <c r="F2975" s="2" t="s">
        <v>18</v>
      </c>
      <c r="G2975" s="2" t="s">
        <v>264</v>
      </c>
      <c r="H2975" s="2" t="s">
        <v>265</v>
      </c>
      <c r="I2975" s="2" t="s">
        <v>865</v>
      </c>
    </row>
    <row r="2976" spans="1:9" ht="14.5" x14ac:dyDescent="0.35">
      <c r="A2976" s="2">
        <v>1345259</v>
      </c>
      <c r="B2976" s="2" t="str">
        <f>"3329076904900002"</f>
        <v>3329076904900002</v>
      </c>
      <c r="C2976" s="2" t="s">
        <v>3608</v>
      </c>
      <c r="D2976" s="2" t="s">
        <v>10</v>
      </c>
      <c r="E2976" s="2" t="s">
        <v>11</v>
      </c>
      <c r="F2976" s="2" t="s">
        <v>18</v>
      </c>
      <c r="G2976" s="2" t="s">
        <v>264</v>
      </c>
      <c r="H2976" s="2" t="s">
        <v>265</v>
      </c>
      <c r="I2976" s="2" t="s">
        <v>2007</v>
      </c>
    </row>
    <row r="2977" spans="1:9" ht="14.5" x14ac:dyDescent="0.35">
      <c r="A2977" s="2">
        <v>2548665</v>
      </c>
      <c r="B2977" s="2" t="str">
        <f>"3329076904900002"</f>
        <v>3329076904900002</v>
      </c>
      <c r="C2977" s="2" t="s">
        <v>3609</v>
      </c>
      <c r="D2977" s="2" t="s">
        <v>17</v>
      </c>
      <c r="E2977" s="2" t="s">
        <v>11</v>
      </c>
      <c r="F2977" s="2" t="s">
        <v>18</v>
      </c>
      <c r="G2977" s="2" t="s">
        <v>19</v>
      </c>
      <c r="H2977" s="2" t="s">
        <v>251</v>
      </c>
      <c r="I2977" s="2" t="s">
        <v>3432</v>
      </c>
    </row>
    <row r="2978" spans="1:9" ht="14.5" x14ac:dyDescent="0.35">
      <c r="A2978" s="2">
        <v>632506</v>
      </c>
      <c r="B2978" s="2" t="str">
        <f>"3329091804810009"</f>
        <v>3329091804810009</v>
      </c>
      <c r="C2978" s="2" t="s">
        <v>3610</v>
      </c>
      <c r="D2978" s="2" t="s">
        <v>10</v>
      </c>
      <c r="E2978" s="2" t="s">
        <v>11</v>
      </c>
      <c r="F2978" s="2" t="s">
        <v>18</v>
      </c>
      <c r="G2978" s="2" t="s">
        <v>264</v>
      </c>
      <c r="H2978" s="2" t="s">
        <v>264</v>
      </c>
      <c r="I2978" s="2" t="s">
        <v>595</v>
      </c>
    </row>
    <row r="2979" spans="1:9" ht="14.5" x14ac:dyDescent="0.35">
      <c r="A2979" s="2">
        <v>2548705</v>
      </c>
      <c r="B2979" s="2" t="str">
        <f>"3329091804810009"</f>
        <v>3329091804810009</v>
      </c>
      <c r="C2979" s="2" t="s">
        <v>3610</v>
      </c>
      <c r="D2979" s="2" t="s">
        <v>17</v>
      </c>
      <c r="E2979" s="2" t="s">
        <v>11</v>
      </c>
      <c r="F2979" s="2" t="s">
        <v>18</v>
      </c>
      <c r="G2979" s="2" t="s">
        <v>19</v>
      </c>
      <c r="H2979" s="2" t="s">
        <v>251</v>
      </c>
      <c r="I2979" s="2" t="s">
        <v>3432</v>
      </c>
    </row>
    <row r="2980" spans="1:9" ht="14.5" x14ac:dyDescent="0.35">
      <c r="A2980" s="2">
        <v>460125</v>
      </c>
      <c r="B2980" s="2" t="str">
        <f>"3329092005870006"</f>
        <v>3329092005870006</v>
      </c>
      <c r="C2980" s="2" t="s">
        <v>3611</v>
      </c>
      <c r="D2980" s="2" t="s">
        <v>10</v>
      </c>
      <c r="E2980" s="2" t="s">
        <v>11</v>
      </c>
      <c r="F2980" s="2" t="s">
        <v>33</v>
      </c>
      <c r="G2980" s="2" t="s">
        <v>2157</v>
      </c>
      <c r="H2980" s="2" t="s">
        <v>3612</v>
      </c>
      <c r="I2980" s="2" t="s">
        <v>3613</v>
      </c>
    </row>
    <row r="2981" spans="1:9" ht="14.5" x14ac:dyDescent="0.35">
      <c r="A2981" s="2">
        <v>2550113</v>
      </c>
      <c r="B2981" s="2" t="str">
        <f>"3329092005870006"</f>
        <v>3329092005870006</v>
      </c>
      <c r="C2981" s="2" t="s">
        <v>3611</v>
      </c>
      <c r="D2981" s="2" t="s">
        <v>17</v>
      </c>
      <c r="E2981" s="2" t="s">
        <v>11</v>
      </c>
      <c r="F2981" s="2" t="s">
        <v>18</v>
      </c>
      <c r="G2981" s="2" t="s">
        <v>19</v>
      </c>
      <c r="H2981" s="2" t="s">
        <v>251</v>
      </c>
      <c r="I2981" s="2" t="s">
        <v>3410</v>
      </c>
    </row>
    <row r="2982" spans="1:9" ht="14.5" x14ac:dyDescent="0.35">
      <c r="A2982" s="2">
        <v>1448003</v>
      </c>
      <c r="B2982" s="2" t="str">
        <f>"3329100804920003"</f>
        <v>3329100804920003</v>
      </c>
      <c r="C2982" s="2" t="s">
        <v>3614</v>
      </c>
      <c r="D2982" s="2" t="s">
        <v>10</v>
      </c>
      <c r="E2982" s="2" t="s">
        <v>11</v>
      </c>
      <c r="F2982" s="2" t="s">
        <v>18</v>
      </c>
      <c r="G2982" s="2" t="s">
        <v>264</v>
      </c>
      <c r="H2982" s="2" t="s">
        <v>273</v>
      </c>
      <c r="I2982" s="2" t="s">
        <v>875</v>
      </c>
    </row>
    <row r="2983" spans="1:9" ht="14.5" x14ac:dyDescent="0.35">
      <c r="A2983" s="2">
        <v>2550081</v>
      </c>
      <c r="B2983" s="2" t="str">
        <f>"3329100804920003"</f>
        <v>3329100804920003</v>
      </c>
      <c r="C2983" s="2" t="s">
        <v>3615</v>
      </c>
      <c r="D2983" s="2" t="s">
        <v>17</v>
      </c>
      <c r="E2983" s="2" t="s">
        <v>11</v>
      </c>
      <c r="F2983" s="2" t="s">
        <v>18</v>
      </c>
      <c r="G2983" s="2" t="s">
        <v>19</v>
      </c>
      <c r="H2983" s="2" t="s">
        <v>251</v>
      </c>
      <c r="I2983" s="2" t="s">
        <v>3410</v>
      </c>
    </row>
    <row r="2984" spans="1:9" ht="14.5" x14ac:dyDescent="0.35">
      <c r="A2984" s="2">
        <v>2327289</v>
      </c>
      <c r="B2984" s="2" t="str">
        <f>"3329105201970004"</f>
        <v>3329105201970004</v>
      </c>
      <c r="C2984" s="2" t="s">
        <v>3616</v>
      </c>
      <c r="D2984" s="2" t="s">
        <v>10</v>
      </c>
      <c r="E2984" s="2" t="s">
        <v>11</v>
      </c>
      <c r="F2984" s="2" t="s">
        <v>18</v>
      </c>
      <c r="G2984" s="2" t="s">
        <v>19</v>
      </c>
      <c r="H2984" s="2" t="s">
        <v>251</v>
      </c>
      <c r="I2984" s="2" t="s">
        <v>3418</v>
      </c>
    </row>
    <row r="2985" spans="1:9" ht="14.5" x14ac:dyDescent="0.35">
      <c r="A2985" s="2">
        <v>1691459</v>
      </c>
      <c r="B2985" s="2" t="str">
        <f>"3329105201970004"</f>
        <v>3329105201970004</v>
      </c>
      <c r="C2985" s="2" t="s">
        <v>3616</v>
      </c>
      <c r="D2985" s="2" t="s">
        <v>17</v>
      </c>
      <c r="E2985" s="2" t="s">
        <v>11</v>
      </c>
      <c r="F2985" s="2" t="s">
        <v>18</v>
      </c>
      <c r="G2985" s="2" t="s">
        <v>264</v>
      </c>
      <c r="H2985" s="2" t="s">
        <v>273</v>
      </c>
      <c r="I2985" s="2" t="s">
        <v>273</v>
      </c>
    </row>
    <row r="2986" spans="1:9" ht="14.5" x14ac:dyDescent="0.35">
      <c r="A2986" s="2">
        <v>521118</v>
      </c>
      <c r="B2986" s="2" t="str">
        <f>"3329121010720006"</f>
        <v>3329121010720006</v>
      </c>
      <c r="C2986" s="2" t="s">
        <v>3617</v>
      </c>
      <c r="D2986" s="2" t="s">
        <v>10</v>
      </c>
      <c r="E2986" s="2" t="s">
        <v>11</v>
      </c>
      <c r="F2986" s="2" t="s">
        <v>18</v>
      </c>
      <c r="G2986" s="2" t="s">
        <v>264</v>
      </c>
      <c r="H2986" s="2" t="s">
        <v>877</v>
      </c>
      <c r="I2986" s="2" t="s">
        <v>3618</v>
      </c>
    </row>
    <row r="2987" spans="1:9" ht="14.5" x14ac:dyDescent="0.35">
      <c r="A2987" s="2">
        <v>2548678</v>
      </c>
      <c r="B2987" s="2" t="str">
        <f>"3329121010720006"</f>
        <v>3329121010720006</v>
      </c>
      <c r="C2987" s="2" t="s">
        <v>3617</v>
      </c>
      <c r="D2987" s="2" t="s">
        <v>17</v>
      </c>
      <c r="E2987" s="2" t="s">
        <v>11</v>
      </c>
      <c r="F2987" s="2" t="s">
        <v>18</v>
      </c>
      <c r="G2987" s="2" t="s">
        <v>19</v>
      </c>
      <c r="H2987" s="2" t="s">
        <v>251</v>
      </c>
      <c r="I2987" s="2" t="s">
        <v>3432</v>
      </c>
    </row>
    <row r="2988" spans="1:9" ht="14.5" x14ac:dyDescent="0.35">
      <c r="A2988" s="2">
        <v>513812</v>
      </c>
      <c r="B2988" s="2" t="str">
        <f>"3329126909970005"</f>
        <v>3329126909970005</v>
      </c>
      <c r="C2988" s="2" t="s">
        <v>3619</v>
      </c>
      <c r="D2988" s="2" t="s">
        <v>10</v>
      </c>
      <c r="E2988" s="2" t="s">
        <v>11</v>
      </c>
      <c r="F2988" s="2" t="s">
        <v>18</v>
      </c>
      <c r="G2988" s="2" t="s">
        <v>264</v>
      </c>
      <c r="H2988" s="2" t="s">
        <v>877</v>
      </c>
      <c r="I2988" s="2" t="s">
        <v>1992</v>
      </c>
    </row>
    <row r="2989" spans="1:9" ht="14.5" x14ac:dyDescent="0.35">
      <c r="A2989" s="2">
        <v>2550520</v>
      </c>
      <c r="B2989" s="2" t="str">
        <f>"3329126909970005"</f>
        <v>3329126909970005</v>
      </c>
      <c r="C2989" s="2" t="s">
        <v>3619</v>
      </c>
      <c r="D2989" s="2" t="s">
        <v>17</v>
      </c>
      <c r="E2989" s="2" t="s">
        <v>11</v>
      </c>
      <c r="F2989" s="2" t="s">
        <v>18</v>
      </c>
      <c r="G2989" s="2" t="s">
        <v>19</v>
      </c>
      <c r="H2989" s="2" t="s">
        <v>251</v>
      </c>
      <c r="I2989" s="2" t="s">
        <v>3414</v>
      </c>
    </row>
    <row r="2990" spans="1:9" ht="14.5" x14ac:dyDescent="0.35">
      <c r="A2990" s="2">
        <v>22002</v>
      </c>
      <c r="B2990" s="2" t="str">
        <f>"3329156912920002"</f>
        <v>3329156912920002</v>
      </c>
      <c r="C2990" s="2" t="s">
        <v>3620</v>
      </c>
      <c r="D2990" s="2" t="s">
        <v>10</v>
      </c>
      <c r="E2990" s="2" t="s">
        <v>11</v>
      </c>
      <c r="F2990" s="2" t="s">
        <v>18</v>
      </c>
      <c r="G2990" s="2" t="s">
        <v>264</v>
      </c>
      <c r="H2990" s="2" t="s">
        <v>330</v>
      </c>
      <c r="I2990" s="2" t="s">
        <v>3621</v>
      </c>
    </row>
    <row r="2991" spans="1:9" ht="14.5" x14ac:dyDescent="0.35">
      <c r="A2991" s="2">
        <v>2549356</v>
      </c>
      <c r="B2991" s="2" t="str">
        <f>"3329156912920002"</f>
        <v>3329156912920002</v>
      </c>
      <c r="C2991" s="2" t="s">
        <v>3620</v>
      </c>
      <c r="D2991" s="2" t="s">
        <v>17</v>
      </c>
      <c r="E2991" s="2" t="s">
        <v>11</v>
      </c>
      <c r="F2991" s="2" t="s">
        <v>18</v>
      </c>
      <c r="G2991" s="2" t="s">
        <v>19</v>
      </c>
      <c r="H2991" s="2" t="s">
        <v>251</v>
      </c>
      <c r="I2991" s="2" t="s">
        <v>3493</v>
      </c>
    </row>
    <row r="2992" spans="1:9" ht="14.5" x14ac:dyDescent="0.35">
      <c r="A2992" s="2">
        <v>1999202</v>
      </c>
      <c r="B2992" s="2" t="str">
        <f>"3374015410900001"</f>
        <v>3374015410900001</v>
      </c>
      <c r="C2992" s="2" t="s">
        <v>3622</v>
      </c>
      <c r="D2992" s="2" t="s">
        <v>10</v>
      </c>
      <c r="E2992" s="2" t="s">
        <v>11</v>
      </c>
      <c r="F2992" s="2" t="s">
        <v>18</v>
      </c>
      <c r="G2992" s="2" t="s">
        <v>1438</v>
      </c>
      <c r="H2992" s="2" t="s">
        <v>3623</v>
      </c>
      <c r="I2992" s="2" t="s">
        <v>3623</v>
      </c>
    </row>
    <row r="2993" spans="1:9" ht="14.5" x14ac:dyDescent="0.35">
      <c r="A2993" s="2">
        <v>2572713</v>
      </c>
      <c r="B2993" s="2" t="str">
        <f>"3374015410900001"</f>
        <v>3374015410900001</v>
      </c>
      <c r="C2993" s="2" t="s">
        <v>3622</v>
      </c>
      <c r="D2993" s="2" t="s">
        <v>17</v>
      </c>
      <c r="E2993" s="2" t="s">
        <v>11</v>
      </c>
      <c r="F2993" s="2" t="s">
        <v>18</v>
      </c>
      <c r="G2993" s="2" t="s">
        <v>19</v>
      </c>
      <c r="H2993" s="2" t="s">
        <v>251</v>
      </c>
      <c r="I2993" s="2" t="s">
        <v>252</v>
      </c>
    </row>
    <row r="2994" spans="1:9" ht="14.5" x14ac:dyDescent="0.35">
      <c r="A2994" s="2">
        <v>2515735</v>
      </c>
      <c r="B2994" s="2" t="str">
        <f>"3374061504910002"</f>
        <v>3374061504910002</v>
      </c>
      <c r="C2994" s="2" t="s">
        <v>3624</v>
      </c>
      <c r="D2994" s="2" t="s">
        <v>10</v>
      </c>
      <c r="E2994" s="2" t="s">
        <v>11</v>
      </c>
      <c r="F2994" s="2" t="s">
        <v>18</v>
      </c>
      <c r="G2994" s="2" t="s">
        <v>1438</v>
      </c>
      <c r="H2994" s="2" t="s">
        <v>2738</v>
      </c>
      <c r="I2994" s="2" t="s">
        <v>2745</v>
      </c>
    </row>
    <row r="2995" spans="1:9" ht="14.5" x14ac:dyDescent="0.35">
      <c r="A2995" s="2">
        <v>2550082</v>
      </c>
      <c r="B2995" s="2" t="str">
        <f>"3374061504910002"</f>
        <v>3374061504910002</v>
      </c>
      <c r="C2995" s="2" t="s">
        <v>3625</v>
      </c>
      <c r="D2995" s="2" t="s">
        <v>17</v>
      </c>
      <c r="E2995" s="2" t="s">
        <v>11</v>
      </c>
      <c r="F2995" s="2" t="s">
        <v>18</v>
      </c>
      <c r="G2995" s="2" t="s">
        <v>19</v>
      </c>
      <c r="H2995" s="2" t="s">
        <v>251</v>
      </c>
      <c r="I2995" s="2" t="s">
        <v>3410</v>
      </c>
    </row>
    <row r="2996" spans="1:9" ht="14.5" x14ac:dyDescent="0.35">
      <c r="A2996" s="2">
        <v>2515734</v>
      </c>
      <c r="B2996" s="2" t="str">
        <f>"3374066801920007"</f>
        <v>3374066801920007</v>
      </c>
      <c r="C2996" s="2" t="s">
        <v>3626</v>
      </c>
      <c r="D2996" s="2" t="s">
        <v>10</v>
      </c>
      <c r="E2996" s="2" t="s">
        <v>11</v>
      </c>
      <c r="F2996" s="2" t="s">
        <v>18</v>
      </c>
      <c r="G2996" s="2" t="s">
        <v>1438</v>
      </c>
      <c r="H2996" s="2" t="s">
        <v>2738</v>
      </c>
      <c r="I2996" s="2" t="s">
        <v>2745</v>
      </c>
    </row>
    <row r="2997" spans="1:9" ht="14.5" x14ac:dyDescent="0.35">
      <c r="A2997" s="2">
        <v>2550083</v>
      </c>
      <c r="B2997" s="2" t="str">
        <f>"3374066801920007"</f>
        <v>3374066801920007</v>
      </c>
      <c r="C2997" s="2" t="s">
        <v>3627</v>
      </c>
      <c r="D2997" s="2" t="s">
        <v>17</v>
      </c>
      <c r="E2997" s="2" t="s">
        <v>11</v>
      </c>
      <c r="F2997" s="2" t="s">
        <v>18</v>
      </c>
      <c r="G2997" s="2" t="s">
        <v>19</v>
      </c>
      <c r="H2997" s="2" t="s">
        <v>251</v>
      </c>
      <c r="I2997" s="2" t="s">
        <v>3410</v>
      </c>
    </row>
    <row r="2998" spans="1:9" ht="14.5" x14ac:dyDescent="0.35">
      <c r="A2998" s="2">
        <v>335377</v>
      </c>
      <c r="B2998" s="2" t="str">
        <f>"3376010204850003"</f>
        <v>3376010204850003</v>
      </c>
      <c r="C2998" s="2" t="s">
        <v>3628</v>
      </c>
      <c r="D2998" s="2" t="s">
        <v>10</v>
      </c>
      <c r="E2998" s="2" t="s">
        <v>11</v>
      </c>
      <c r="F2998" s="2" t="s">
        <v>18</v>
      </c>
      <c r="G2998" s="2" t="s">
        <v>268</v>
      </c>
      <c r="H2998" s="2" t="s">
        <v>277</v>
      </c>
      <c r="I2998" s="2" t="s">
        <v>278</v>
      </c>
    </row>
    <row r="2999" spans="1:9" ht="14.5" x14ac:dyDescent="0.35">
      <c r="A2999" s="2">
        <v>2551138</v>
      </c>
      <c r="B2999" s="2" t="str">
        <f>"3376010204850003"</f>
        <v>3376010204850003</v>
      </c>
      <c r="C2999" s="2" t="s">
        <v>3628</v>
      </c>
      <c r="D2999" s="2" t="s">
        <v>17</v>
      </c>
      <c r="E2999" s="2" t="s">
        <v>11</v>
      </c>
      <c r="F2999" s="2" t="s">
        <v>18</v>
      </c>
      <c r="G2999" s="2" t="s">
        <v>19</v>
      </c>
      <c r="H2999" s="2" t="s">
        <v>251</v>
      </c>
      <c r="I2999" s="2" t="s">
        <v>3418</v>
      </c>
    </row>
    <row r="3000" spans="1:9" ht="14.5" x14ac:dyDescent="0.35">
      <c r="A3000" s="2">
        <v>282820</v>
      </c>
      <c r="B3000" s="2" t="str">
        <f>"3376014605960002"</f>
        <v>3376014605960002</v>
      </c>
      <c r="C3000" s="2" t="s">
        <v>3629</v>
      </c>
      <c r="D3000" s="2" t="s">
        <v>10</v>
      </c>
      <c r="E3000" s="2" t="s">
        <v>11</v>
      </c>
      <c r="F3000" s="2" t="s">
        <v>18</v>
      </c>
      <c r="G3000" s="2" t="s">
        <v>268</v>
      </c>
      <c r="H3000" s="2" t="s">
        <v>277</v>
      </c>
      <c r="I3000" s="2" t="s">
        <v>884</v>
      </c>
    </row>
    <row r="3001" spans="1:9" ht="14.5" x14ac:dyDescent="0.35">
      <c r="A3001" s="2">
        <v>2550464</v>
      </c>
      <c r="B3001" s="2" t="str">
        <f>"3376014605960002"</f>
        <v>3376014605960002</v>
      </c>
      <c r="C3001" s="2" t="s">
        <v>3629</v>
      </c>
      <c r="D3001" s="2" t="s">
        <v>17</v>
      </c>
      <c r="E3001" s="2" t="s">
        <v>11</v>
      </c>
      <c r="F3001" s="2" t="s">
        <v>18</v>
      </c>
      <c r="G3001" s="2" t="s">
        <v>19</v>
      </c>
      <c r="H3001" s="2" t="s">
        <v>251</v>
      </c>
      <c r="I3001" s="2" t="s">
        <v>3414</v>
      </c>
    </row>
    <row r="3002" spans="1:9" ht="14.5" x14ac:dyDescent="0.35">
      <c r="A3002" s="2">
        <v>282822</v>
      </c>
      <c r="B3002" s="2" t="str">
        <f>"3376016101750002"</f>
        <v>3376016101750002</v>
      </c>
      <c r="C3002" s="2" t="s">
        <v>3630</v>
      </c>
      <c r="D3002" s="2" t="s">
        <v>10</v>
      </c>
      <c r="E3002" s="2" t="s">
        <v>11</v>
      </c>
      <c r="F3002" s="2" t="s">
        <v>18</v>
      </c>
      <c r="G3002" s="2" t="s">
        <v>268</v>
      </c>
      <c r="H3002" s="2" t="s">
        <v>277</v>
      </c>
      <c r="I3002" s="2" t="s">
        <v>884</v>
      </c>
    </row>
    <row r="3003" spans="1:9" ht="14.5" x14ac:dyDescent="0.35">
      <c r="A3003" s="2">
        <v>2550465</v>
      </c>
      <c r="B3003" s="2" t="str">
        <f>"3376016101750002"</f>
        <v>3376016101750002</v>
      </c>
      <c r="C3003" s="2" t="s">
        <v>3630</v>
      </c>
      <c r="D3003" s="2" t="s">
        <v>17</v>
      </c>
      <c r="E3003" s="2" t="s">
        <v>11</v>
      </c>
      <c r="F3003" s="2" t="s">
        <v>18</v>
      </c>
      <c r="G3003" s="2" t="s">
        <v>19</v>
      </c>
      <c r="H3003" s="2" t="s">
        <v>251</v>
      </c>
      <c r="I3003" s="2" t="s">
        <v>3414</v>
      </c>
    </row>
    <row r="3004" spans="1:9" ht="14.5" x14ac:dyDescent="0.35">
      <c r="A3004" s="2">
        <v>320689</v>
      </c>
      <c r="B3004" s="2" t="str">
        <f>"3376016202990001"</f>
        <v>3376016202990001</v>
      </c>
      <c r="C3004" s="2" t="s">
        <v>3631</v>
      </c>
      <c r="D3004" s="2" t="s">
        <v>10</v>
      </c>
      <c r="E3004" s="2" t="s">
        <v>11</v>
      </c>
      <c r="F3004" s="2" t="s">
        <v>18</v>
      </c>
      <c r="G3004" s="2" t="s">
        <v>268</v>
      </c>
      <c r="H3004" s="2" t="s">
        <v>277</v>
      </c>
      <c r="I3004" s="2" t="s">
        <v>278</v>
      </c>
    </row>
    <row r="3005" spans="1:9" ht="14.5" x14ac:dyDescent="0.35">
      <c r="A3005" s="2">
        <v>2551140</v>
      </c>
      <c r="B3005" s="2" t="str">
        <f>"3376016202990001"</f>
        <v>3376016202990001</v>
      </c>
      <c r="C3005" s="2" t="s">
        <v>3631</v>
      </c>
      <c r="D3005" s="2" t="s">
        <v>17</v>
      </c>
      <c r="E3005" s="2" t="s">
        <v>11</v>
      </c>
      <c r="F3005" s="2" t="s">
        <v>18</v>
      </c>
      <c r="G3005" s="2" t="s">
        <v>19</v>
      </c>
      <c r="H3005" s="2" t="s">
        <v>251</v>
      </c>
      <c r="I3005" s="2" t="s">
        <v>3418</v>
      </c>
    </row>
    <row r="3006" spans="1:9" ht="14.5" x14ac:dyDescent="0.35">
      <c r="A3006" s="2">
        <v>2299214</v>
      </c>
      <c r="B3006" s="2" t="str">
        <f>"3376024808940002"</f>
        <v>3376024808940002</v>
      </c>
      <c r="C3006" s="2" t="s">
        <v>3632</v>
      </c>
      <c r="D3006" s="2" t="s">
        <v>10</v>
      </c>
      <c r="E3006" s="2" t="s">
        <v>11</v>
      </c>
      <c r="F3006" s="2" t="s">
        <v>18</v>
      </c>
      <c r="G3006" s="2" t="s">
        <v>19</v>
      </c>
      <c r="H3006" s="2" t="s">
        <v>251</v>
      </c>
      <c r="I3006" s="2" t="s">
        <v>3410</v>
      </c>
    </row>
    <row r="3007" spans="1:9" ht="14.5" x14ac:dyDescent="0.35">
      <c r="A3007" s="2">
        <v>421303</v>
      </c>
      <c r="B3007" s="2" t="str">
        <f>"3376024808940002"</f>
        <v>3376024808940002</v>
      </c>
      <c r="C3007" s="2" t="s">
        <v>3633</v>
      </c>
      <c r="D3007" s="2" t="s">
        <v>17</v>
      </c>
      <c r="E3007" s="2" t="s">
        <v>11</v>
      </c>
      <c r="F3007" s="2" t="s">
        <v>18</v>
      </c>
      <c r="G3007" s="2" t="s">
        <v>268</v>
      </c>
      <c r="H3007" s="2" t="s">
        <v>371</v>
      </c>
      <c r="I3007" s="2" t="s">
        <v>2769</v>
      </c>
    </row>
    <row r="3008" spans="1:9" ht="14.5" x14ac:dyDescent="0.35">
      <c r="A3008" s="2">
        <v>1119191</v>
      </c>
      <c r="B3008" s="2" t="str">
        <f>"3506171809730003"</f>
        <v>3506171809730003</v>
      </c>
      <c r="C3008" s="2" t="s">
        <v>3634</v>
      </c>
      <c r="D3008" s="2" t="s">
        <v>10</v>
      </c>
      <c r="E3008" s="2" t="s">
        <v>11</v>
      </c>
      <c r="F3008" s="2" t="s">
        <v>303</v>
      </c>
      <c r="G3008" s="2" t="s">
        <v>608</v>
      </c>
      <c r="H3008" s="2" t="s">
        <v>3635</v>
      </c>
      <c r="I3008" s="2" t="s">
        <v>3636</v>
      </c>
    </row>
    <row r="3009" spans="1:9" ht="14.5" x14ac:dyDescent="0.35">
      <c r="A3009" s="2">
        <v>2549477</v>
      </c>
      <c r="B3009" s="2" t="str">
        <f>"3506171809730003"</f>
        <v>3506171809730003</v>
      </c>
      <c r="C3009" s="2" t="s">
        <v>3634</v>
      </c>
      <c r="D3009" s="2" t="s">
        <v>17</v>
      </c>
      <c r="E3009" s="2" t="s">
        <v>11</v>
      </c>
      <c r="F3009" s="2" t="s">
        <v>18</v>
      </c>
      <c r="G3009" s="2" t="s">
        <v>19</v>
      </c>
      <c r="H3009" s="2" t="s">
        <v>251</v>
      </c>
      <c r="I3009" s="2" t="s">
        <v>3348</v>
      </c>
    </row>
    <row r="3010" spans="1:9" ht="14.5" x14ac:dyDescent="0.35">
      <c r="A3010" s="2">
        <v>1122997</v>
      </c>
      <c r="B3010" s="2" t="str">
        <f>"3513191911730001"</f>
        <v>3513191911730001</v>
      </c>
      <c r="C3010" s="2" t="s">
        <v>3637</v>
      </c>
      <c r="D3010" s="2" t="s">
        <v>10</v>
      </c>
      <c r="E3010" s="2" t="s">
        <v>11</v>
      </c>
      <c r="F3010" s="2" t="s">
        <v>303</v>
      </c>
      <c r="G3010" s="2" t="s">
        <v>3638</v>
      </c>
      <c r="H3010" s="2" t="s">
        <v>3639</v>
      </c>
      <c r="I3010" s="2" t="s">
        <v>3640</v>
      </c>
    </row>
    <row r="3011" spans="1:9" ht="14.5" x14ac:dyDescent="0.35">
      <c r="A3011" s="2">
        <v>2550324</v>
      </c>
      <c r="B3011" s="2" t="str">
        <f>"3513191911730001"</f>
        <v>3513191911730001</v>
      </c>
      <c r="C3011" s="2" t="s">
        <v>3637</v>
      </c>
      <c r="D3011" s="2" t="s">
        <v>17</v>
      </c>
      <c r="E3011" s="2" t="s">
        <v>11</v>
      </c>
      <c r="F3011" s="2" t="s">
        <v>18</v>
      </c>
      <c r="G3011" s="2" t="s">
        <v>19</v>
      </c>
      <c r="H3011" s="2" t="s">
        <v>251</v>
      </c>
      <c r="I3011" s="2" t="s">
        <v>3410</v>
      </c>
    </row>
    <row r="3012" spans="1:9" ht="14.5" x14ac:dyDescent="0.35">
      <c r="A3012" s="2">
        <v>1122998</v>
      </c>
      <c r="B3012" s="2" t="str">
        <f>"3513196803890004"</f>
        <v>3513196803890004</v>
      </c>
      <c r="C3012" s="2" t="s">
        <v>3641</v>
      </c>
      <c r="D3012" s="2" t="s">
        <v>10</v>
      </c>
      <c r="E3012" s="2" t="s">
        <v>11</v>
      </c>
      <c r="F3012" s="2" t="s">
        <v>303</v>
      </c>
      <c r="G3012" s="2" t="s">
        <v>3638</v>
      </c>
      <c r="H3012" s="2" t="s">
        <v>3639</v>
      </c>
      <c r="I3012" s="2" t="s">
        <v>3640</v>
      </c>
    </row>
    <row r="3013" spans="1:9" ht="14.5" x14ac:dyDescent="0.35">
      <c r="A3013" s="2">
        <v>2550325</v>
      </c>
      <c r="B3013" s="2" t="str">
        <f>"3513196803890004"</f>
        <v>3513196803890004</v>
      </c>
      <c r="C3013" s="2" t="s">
        <v>3641</v>
      </c>
      <c r="D3013" s="2" t="s">
        <v>17</v>
      </c>
      <c r="E3013" s="2" t="s">
        <v>11</v>
      </c>
      <c r="F3013" s="2" t="s">
        <v>18</v>
      </c>
      <c r="G3013" s="2" t="s">
        <v>19</v>
      </c>
      <c r="H3013" s="2" t="s">
        <v>251</v>
      </c>
      <c r="I3013" s="2" t="s">
        <v>3410</v>
      </c>
    </row>
    <row r="3014" spans="1:9" ht="14.5" x14ac:dyDescent="0.35">
      <c r="A3014" s="2">
        <v>2625264</v>
      </c>
      <c r="B3014" s="2" t="str">
        <f>"3671114512980001"</f>
        <v>3671114512980001</v>
      </c>
      <c r="C3014" s="2" t="s">
        <v>3642</v>
      </c>
      <c r="D3014" s="2" t="s">
        <v>10</v>
      </c>
      <c r="E3014" s="2" t="s">
        <v>11</v>
      </c>
      <c r="F3014" s="2" t="s">
        <v>67</v>
      </c>
      <c r="G3014" s="2" t="s">
        <v>512</v>
      </c>
      <c r="H3014" s="2" t="s">
        <v>3643</v>
      </c>
      <c r="I3014" s="2" t="s">
        <v>3644</v>
      </c>
    </row>
    <row r="3015" spans="1:9" ht="14.5" x14ac:dyDescent="0.35">
      <c r="A3015" s="2">
        <v>2549306</v>
      </c>
      <c r="B3015" s="2" t="str">
        <f>"3671114512980001"</f>
        <v>3671114512980001</v>
      </c>
      <c r="C3015" s="2" t="s">
        <v>3642</v>
      </c>
      <c r="D3015" s="2" t="s">
        <v>17</v>
      </c>
      <c r="E3015" s="2" t="s">
        <v>11</v>
      </c>
      <c r="F3015" s="2" t="s">
        <v>18</v>
      </c>
      <c r="G3015" s="2" t="s">
        <v>19</v>
      </c>
      <c r="H3015" s="2" t="s">
        <v>251</v>
      </c>
      <c r="I3015" s="2" t="s">
        <v>3493</v>
      </c>
    </row>
    <row r="3016" spans="1:9" ht="14.5" x14ac:dyDescent="0.35">
      <c r="A3016" s="2">
        <v>97661</v>
      </c>
      <c r="B3016" s="2" t="str">
        <f>"5271014102910002"</f>
        <v>5271014102910002</v>
      </c>
      <c r="C3016" s="2" t="s">
        <v>3645</v>
      </c>
      <c r="D3016" s="2" t="s">
        <v>10</v>
      </c>
      <c r="E3016" s="2" t="s">
        <v>11</v>
      </c>
      <c r="F3016" s="2" t="s">
        <v>2820</v>
      </c>
      <c r="G3016" s="2" t="s">
        <v>3646</v>
      </c>
      <c r="H3016" s="2" t="s">
        <v>3647</v>
      </c>
      <c r="I3016" s="2" t="s">
        <v>3648</v>
      </c>
    </row>
    <row r="3017" spans="1:9" ht="14.5" x14ac:dyDescent="0.35">
      <c r="A3017" s="2">
        <v>2549017</v>
      </c>
      <c r="B3017" s="2" t="str">
        <f>"5271014102910002"</f>
        <v>5271014102910002</v>
      </c>
      <c r="C3017" s="2" t="s">
        <v>3649</v>
      </c>
      <c r="D3017" s="2" t="s">
        <v>17</v>
      </c>
      <c r="E3017" s="2" t="s">
        <v>11</v>
      </c>
      <c r="F3017" s="2" t="s">
        <v>18</v>
      </c>
      <c r="G3017" s="2" t="s">
        <v>19</v>
      </c>
      <c r="H3017" s="2" t="s">
        <v>251</v>
      </c>
      <c r="I3017" s="2" t="s">
        <v>3432</v>
      </c>
    </row>
    <row r="3018" spans="1:9" ht="14.5" x14ac:dyDescent="0.35">
      <c r="A3018" s="2">
        <v>408309</v>
      </c>
      <c r="B3018" s="2" t="str">
        <f>"9171025003880004"</f>
        <v>9171025003880004</v>
      </c>
      <c r="C3018" s="2" t="s">
        <v>3650</v>
      </c>
      <c r="D3018" s="2" t="s">
        <v>10</v>
      </c>
      <c r="E3018" s="2" t="s">
        <v>11</v>
      </c>
      <c r="F3018" s="2" t="s">
        <v>783</v>
      </c>
      <c r="G3018" s="2" t="s">
        <v>1112</v>
      </c>
      <c r="H3018" s="2" t="s">
        <v>3651</v>
      </c>
      <c r="I3018" s="2" t="s">
        <v>3652</v>
      </c>
    </row>
    <row r="3019" spans="1:9" ht="14.5" x14ac:dyDescent="0.35">
      <c r="A3019" s="2">
        <v>2550450</v>
      </c>
      <c r="B3019" s="2" t="str">
        <f>"9171025003880004"</f>
        <v>9171025003880004</v>
      </c>
      <c r="C3019" s="2" t="s">
        <v>3650</v>
      </c>
      <c r="D3019" s="2" t="s">
        <v>17</v>
      </c>
      <c r="E3019" s="2" t="s">
        <v>11</v>
      </c>
      <c r="F3019" s="2" t="s">
        <v>18</v>
      </c>
      <c r="G3019" s="2" t="s">
        <v>19</v>
      </c>
      <c r="H3019" s="2" t="s">
        <v>251</v>
      </c>
      <c r="I3019" s="2" t="s">
        <v>3414</v>
      </c>
    </row>
    <row r="3020" spans="1:9" ht="14.5" x14ac:dyDescent="0.35">
      <c r="A3020" s="2">
        <v>53067</v>
      </c>
      <c r="B3020" s="2" t="str">
        <f>"1203042307031001"</f>
        <v>1203042307031001</v>
      </c>
      <c r="C3020" s="2" t="s">
        <v>3653</v>
      </c>
      <c r="D3020" s="2" t="s">
        <v>10</v>
      </c>
      <c r="E3020" s="2" t="s">
        <v>11</v>
      </c>
      <c r="F3020" s="2" t="s">
        <v>667</v>
      </c>
      <c r="G3020" s="2" t="s">
        <v>3654</v>
      </c>
      <c r="H3020" s="2" t="s">
        <v>3655</v>
      </c>
      <c r="I3020" s="2" t="s">
        <v>3656</v>
      </c>
    </row>
    <row r="3021" spans="1:9" ht="14.5" x14ac:dyDescent="0.35">
      <c r="A3021" s="2">
        <v>2553474</v>
      </c>
      <c r="B3021" s="2" t="str">
        <f>"1203042307031001"</f>
        <v>1203042307031001</v>
      </c>
      <c r="C3021" s="2" t="s">
        <v>3657</v>
      </c>
      <c r="D3021" s="2" t="s">
        <v>17</v>
      </c>
      <c r="E3021" s="2" t="s">
        <v>11</v>
      </c>
      <c r="F3021" s="2" t="s">
        <v>18</v>
      </c>
      <c r="G3021" s="2" t="s">
        <v>19</v>
      </c>
      <c r="H3021" s="2" t="s">
        <v>348</v>
      </c>
      <c r="I3021" s="2" t="s">
        <v>3658</v>
      </c>
    </row>
    <row r="3022" spans="1:9" ht="14.5" x14ac:dyDescent="0.35">
      <c r="A3022" s="2">
        <v>2091986</v>
      </c>
      <c r="B3022" s="2" t="str">
        <f>"1301032412970003"</f>
        <v>1301032412970003</v>
      </c>
      <c r="C3022" s="2" t="s">
        <v>3659</v>
      </c>
      <c r="D3022" s="2" t="s">
        <v>10</v>
      </c>
      <c r="E3022" s="2" t="s">
        <v>11</v>
      </c>
      <c r="F3022" s="2" t="s">
        <v>18</v>
      </c>
      <c r="G3022" s="2" t="s">
        <v>19</v>
      </c>
      <c r="H3022" s="2" t="s">
        <v>348</v>
      </c>
      <c r="I3022" s="2" t="s">
        <v>3660</v>
      </c>
    </row>
    <row r="3023" spans="1:9" ht="14.5" x14ac:dyDescent="0.35">
      <c r="A3023" s="2">
        <v>423792</v>
      </c>
      <c r="B3023" s="2" t="str">
        <f>"1301032412970003"</f>
        <v>1301032412970003</v>
      </c>
      <c r="C3023" s="2" t="s">
        <v>3661</v>
      </c>
      <c r="D3023" s="2" t="s">
        <v>10</v>
      </c>
      <c r="E3023" s="2" t="s">
        <v>57</v>
      </c>
      <c r="F3023" s="2" t="s">
        <v>18</v>
      </c>
      <c r="G3023" s="2" t="s">
        <v>268</v>
      </c>
      <c r="H3023" s="2" t="s">
        <v>277</v>
      </c>
      <c r="I3023" s="2" t="s">
        <v>278</v>
      </c>
    </row>
    <row r="3024" spans="1:9" ht="14.5" x14ac:dyDescent="0.35">
      <c r="A3024" s="2">
        <v>475667</v>
      </c>
      <c r="B3024" s="2" t="str">
        <f>"3171071012961003"</f>
        <v>3171071012961003</v>
      </c>
      <c r="C3024" s="2" t="s">
        <v>3662</v>
      </c>
      <c r="D3024" s="2" t="s">
        <v>10</v>
      </c>
      <c r="E3024" s="2" t="s">
        <v>11</v>
      </c>
      <c r="F3024" s="2" t="s">
        <v>50</v>
      </c>
      <c r="G3024" s="2" t="s">
        <v>280</v>
      </c>
      <c r="H3024" s="2" t="s">
        <v>281</v>
      </c>
      <c r="I3024" s="2" t="s">
        <v>3663</v>
      </c>
    </row>
    <row r="3025" spans="1:9" ht="14.5" x14ac:dyDescent="0.35">
      <c r="A3025" s="2">
        <v>2551338</v>
      </c>
      <c r="B3025" s="2" t="str">
        <f>"3171071012961003"</f>
        <v>3171071012961003</v>
      </c>
      <c r="C3025" s="2" t="s">
        <v>3664</v>
      </c>
      <c r="D3025" s="2" t="s">
        <v>17</v>
      </c>
      <c r="E3025" s="2" t="s">
        <v>11</v>
      </c>
      <c r="F3025" s="2" t="s">
        <v>18</v>
      </c>
      <c r="G3025" s="2" t="s">
        <v>19</v>
      </c>
      <c r="H3025" s="2" t="s">
        <v>348</v>
      </c>
      <c r="I3025" s="2" t="s">
        <v>459</v>
      </c>
    </row>
    <row r="3026" spans="1:9" ht="14.5" x14ac:dyDescent="0.35">
      <c r="A3026" s="2">
        <v>1296697</v>
      </c>
      <c r="B3026" s="2" t="str">
        <f>"3172035401710006"</f>
        <v>3172035401710006</v>
      </c>
      <c r="C3026" s="2" t="s">
        <v>3665</v>
      </c>
      <c r="D3026" s="2" t="s">
        <v>10</v>
      </c>
      <c r="E3026" s="2" t="s">
        <v>11</v>
      </c>
      <c r="F3026" s="2" t="s">
        <v>50</v>
      </c>
      <c r="G3026" s="2" t="s">
        <v>51</v>
      </c>
      <c r="H3026" s="2" t="s">
        <v>284</v>
      </c>
      <c r="I3026" s="2" t="s">
        <v>2196</v>
      </c>
    </row>
    <row r="3027" spans="1:9" ht="14.5" x14ac:dyDescent="0.35">
      <c r="A3027" s="2">
        <v>2552984</v>
      </c>
      <c r="B3027" s="2" t="str">
        <f>"3172035401710006"</f>
        <v>3172035401710006</v>
      </c>
      <c r="C3027" s="2" t="s">
        <v>3665</v>
      </c>
      <c r="D3027" s="2" t="s">
        <v>17</v>
      </c>
      <c r="E3027" s="2" t="s">
        <v>11</v>
      </c>
      <c r="F3027" s="2" t="s">
        <v>18</v>
      </c>
      <c r="G3027" s="2" t="s">
        <v>19</v>
      </c>
      <c r="H3027" s="2" t="s">
        <v>348</v>
      </c>
      <c r="I3027" s="2" t="s">
        <v>3666</v>
      </c>
    </row>
    <row r="3028" spans="1:9" ht="14.5" x14ac:dyDescent="0.35">
      <c r="A3028" s="2">
        <v>1310604</v>
      </c>
      <c r="B3028" s="2" t="str">
        <f>"3172036405920009"</f>
        <v>3172036405920009</v>
      </c>
      <c r="C3028" s="2" t="s">
        <v>3667</v>
      </c>
      <c r="D3028" s="2" t="s">
        <v>10</v>
      </c>
      <c r="E3028" s="2" t="s">
        <v>11</v>
      </c>
      <c r="F3028" s="2" t="s">
        <v>50</v>
      </c>
      <c r="G3028" s="2" t="s">
        <v>51</v>
      </c>
      <c r="H3028" s="2" t="s">
        <v>284</v>
      </c>
      <c r="I3028" s="2" t="s">
        <v>285</v>
      </c>
    </row>
    <row r="3029" spans="1:9" ht="14.5" x14ac:dyDescent="0.35">
      <c r="A3029" s="2">
        <v>2552663</v>
      </c>
      <c r="B3029" s="2" t="str">
        <f>"3172036405920009"</f>
        <v>3172036405920009</v>
      </c>
      <c r="C3029" s="2" t="s">
        <v>3667</v>
      </c>
      <c r="D3029" s="2" t="s">
        <v>17</v>
      </c>
      <c r="E3029" s="2" t="s">
        <v>11</v>
      </c>
      <c r="F3029" s="2" t="s">
        <v>18</v>
      </c>
      <c r="G3029" s="2" t="s">
        <v>19</v>
      </c>
      <c r="H3029" s="2" t="s">
        <v>348</v>
      </c>
      <c r="I3029" s="2" t="s">
        <v>3668</v>
      </c>
    </row>
    <row r="3030" spans="1:9" ht="14.5" x14ac:dyDescent="0.35">
      <c r="A3030" s="2">
        <v>2551476</v>
      </c>
      <c r="B3030" s="2" t="str">
        <f>"3174030212860001"</f>
        <v>3174030212860001</v>
      </c>
      <c r="C3030" s="2" t="s">
        <v>3669</v>
      </c>
      <c r="D3030" s="2" t="s">
        <v>17</v>
      </c>
      <c r="E3030" s="2" t="s">
        <v>11</v>
      </c>
      <c r="F3030" s="2" t="s">
        <v>18</v>
      </c>
      <c r="G3030" s="2" t="s">
        <v>19</v>
      </c>
      <c r="H3030" s="2" t="s">
        <v>348</v>
      </c>
      <c r="I3030" s="2" t="s">
        <v>3670</v>
      </c>
    </row>
    <row r="3031" spans="1:9" ht="14.5" x14ac:dyDescent="0.35">
      <c r="A3031" s="2">
        <v>222709</v>
      </c>
      <c r="B3031" s="2" t="str">
        <f>"3174030212860001"</f>
        <v>3174030212860001</v>
      </c>
      <c r="C3031" s="2" t="s">
        <v>3669</v>
      </c>
      <c r="D3031" s="2" t="s">
        <v>10</v>
      </c>
      <c r="E3031" s="2" t="s">
        <v>11</v>
      </c>
      <c r="F3031" s="2" t="s">
        <v>50</v>
      </c>
      <c r="G3031" s="2" t="s">
        <v>58</v>
      </c>
      <c r="H3031" s="2" t="s">
        <v>2527</v>
      </c>
      <c r="I3031" s="2" t="s">
        <v>3671</v>
      </c>
    </row>
    <row r="3032" spans="1:9" ht="14.5" x14ac:dyDescent="0.35">
      <c r="A3032" s="2">
        <v>188728</v>
      </c>
      <c r="B3032" s="2" t="str">
        <f>"3174102002860001"</f>
        <v>3174102002860001</v>
      </c>
      <c r="C3032" s="2" t="s">
        <v>3672</v>
      </c>
      <c r="D3032" s="2" t="s">
        <v>10</v>
      </c>
      <c r="E3032" s="2" t="s">
        <v>11</v>
      </c>
      <c r="F3032" s="2" t="s">
        <v>12</v>
      </c>
      <c r="G3032" s="2" t="s">
        <v>3673</v>
      </c>
      <c r="H3032" s="2" t="s">
        <v>3674</v>
      </c>
      <c r="I3032" s="2" t="s">
        <v>3675</v>
      </c>
    </row>
    <row r="3033" spans="1:9" ht="14.5" x14ac:dyDescent="0.35">
      <c r="A3033" s="2">
        <v>2553444</v>
      </c>
      <c r="B3033" s="2" t="str">
        <f>"3174102002860001"</f>
        <v>3174102002860001</v>
      </c>
      <c r="C3033" s="2" t="s">
        <v>3676</v>
      </c>
      <c r="D3033" s="2" t="s">
        <v>17</v>
      </c>
      <c r="E3033" s="2" t="s">
        <v>11</v>
      </c>
      <c r="F3033" s="2" t="s">
        <v>18</v>
      </c>
      <c r="G3033" s="2" t="s">
        <v>19</v>
      </c>
      <c r="H3033" s="2" t="s">
        <v>348</v>
      </c>
      <c r="I3033" s="2" t="s">
        <v>3677</v>
      </c>
    </row>
    <row r="3034" spans="1:9" ht="14.5" x14ac:dyDescent="0.35">
      <c r="A3034" s="2">
        <v>2551727</v>
      </c>
      <c r="B3034" s="2" t="str">
        <f>"3175011103580004"</f>
        <v>3175011103580004</v>
      </c>
      <c r="C3034" s="2" t="s">
        <v>3678</v>
      </c>
      <c r="D3034" s="2" t="s">
        <v>17</v>
      </c>
      <c r="E3034" s="2" t="s">
        <v>11</v>
      </c>
      <c r="F3034" s="2" t="s">
        <v>18</v>
      </c>
      <c r="G3034" s="2" t="s">
        <v>19</v>
      </c>
      <c r="H3034" s="2" t="s">
        <v>348</v>
      </c>
      <c r="I3034" s="2" t="s">
        <v>3679</v>
      </c>
    </row>
    <row r="3035" spans="1:9" ht="14.5" x14ac:dyDescent="0.35">
      <c r="A3035" s="2">
        <v>2402927</v>
      </c>
      <c r="B3035" s="2" t="str">
        <f>"3175011103580004"</f>
        <v>3175011103580004</v>
      </c>
      <c r="C3035" s="2" t="s">
        <v>3680</v>
      </c>
      <c r="D3035" s="2" t="s">
        <v>189</v>
      </c>
      <c r="E3035" s="2" t="s">
        <v>11</v>
      </c>
      <c r="F3035" s="2" t="s">
        <v>50</v>
      </c>
      <c r="G3035" s="2" t="s">
        <v>58</v>
      </c>
      <c r="H3035" s="2" t="s">
        <v>406</v>
      </c>
      <c r="I3035" s="2" t="s">
        <v>3116</v>
      </c>
    </row>
    <row r="3036" spans="1:9" ht="14.5" x14ac:dyDescent="0.35">
      <c r="A3036" s="2">
        <v>678355</v>
      </c>
      <c r="B3036" s="2" t="str">
        <f>"3209224810900005"</f>
        <v>3209224810900005</v>
      </c>
      <c r="C3036" s="2" t="s">
        <v>3681</v>
      </c>
      <c r="D3036" s="2" t="s">
        <v>10</v>
      </c>
      <c r="E3036" s="2" t="s">
        <v>11</v>
      </c>
      <c r="F3036" s="2" t="s">
        <v>91</v>
      </c>
      <c r="G3036" s="2" t="s">
        <v>985</v>
      </c>
      <c r="H3036" s="2" t="s">
        <v>3682</v>
      </c>
      <c r="I3036" s="2" t="s">
        <v>3682</v>
      </c>
    </row>
    <row r="3037" spans="1:9" ht="14.5" x14ac:dyDescent="0.35">
      <c r="A3037" s="2">
        <v>2553161</v>
      </c>
      <c r="B3037" s="2" t="str">
        <f>"3209224810900005"</f>
        <v>3209224810900005</v>
      </c>
      <c r="C3037" s="2" t="s">
        <v>3681</v>
      </c>
      <c r="D3037" s="2" t="s">
        <v>17</v>
      </c>
      <c r="E3037" s="2" t="s">
        <v>11</v>
      </c>
      <c r="F3037" s="2" t="s">
        <v>18</v>
      </c>
      <c r="G3037" s="2" t="s">
        <v>19</v>
      </c>
      <c r="H3037" s="2" t="s">
        <v>348</v>
      </c>
      <c r="I3037" s="2" t="s">
        <v>3683</v>
      </c>
    </row>
    <row r="3038" spans="1:9" ht="14.5" x14ac:dyDescent="0.35">
      <c r="A3038" s="2">
        <v>28971</v>
      </c>
      <c r="B3038" s="2" t="str">
        <f>"3210081411870081"</f>
        <v>3210081411870081</v>
      </c>
      <c r="C3038" s="2" t="s">
        <v>3684</v>
      </c>
      <c r="D3038" s="2" t="s">
        <v>10</v>
      </c>
      <c r="E3038" s="2" t="s">
        <v>11</v>
      </c>
      <c r="F3038" s="2" t="s">
        <v>91</v>
      </c>
      <c r="G3038" s="2" t="s">
        <v>631</v>
      </c>
      <c r="H3038" s="2" t="s">
        <v>3685</v>
      </c>
      <c r="I3038" s="2" t="s">
        <v>3686</v>
      </c>
    </row>
    <row r="3039" spans="1:9" ht="14.5" x14ac:dyDescent="0.35">
      <c r="A3039" s="2">
        <v>2551821</v>
      </c>
      <c r="B3039" s="2" t="str">
        <f>"3210081411870081"</f>
        <v>3210081411870081</v>
      </c>
      <c r="C3039" s="2" t="s">
        <v>3687</v>
      </c>
      <c r="D3039" s="2" t="s">
        <v>17</v>
      </c>
      <c r="E3039" s="2" t="s">
        <v>11</v>
      </c>
      <c r="F3039" s="2" t="s">
        <v>18</v>
      </c>
      <c r="G3039" s="2" t="s">
        <v>19</v>
      </c>
      <c r="H3039" s="2" t="s">
        <v>348</v>
      </c>
      <c r="I3039" s="2" t="s">
        <v>3688</v>
      </c>
    </row>
    <row r="3040" spans="1:9" ht="14.5" x14ac:dyDescent="0.35">
      <c r="A3040" s="2">
        <v>1283349</v>
      </c>
      <c r="B3040" s="2" t="str">
        <f>"3215043011970001"</f>
        <v>3215043011970001</v>
      </c>
      <c r="C3040" s="2" t="s">
        <v>3689</v>
      </c>
      <c r="D3040" s="2" t="s">
        <v>10</v>
      </c>
      <c r="E3040" s="2" t="s">
        <v>11</v>
      </c>
      <c r="F3040" s="2" t="s">
        <v>91</v>
      </c>
      <c r="G3040" s="2" t="s">
        <v>320</v>
      </c>
      <c r="H3040" s="2" t="s">
        <v>3690</v>
      </c>
      <c r="I3040" s="2" t="s">
        <v>3691</v>
      </c>
    </row>
    <row r="3041" spans="1:9" ht="14.5" x14ac:dyDescent="0.35">
      <c r="A3041" s="2">
        <v>2552746</v>
      </c>
      <c r="B3041" s="2" t="str">
        <f>"3215043011970001"</f>
        <v>3215043011970001</v>
      </c>
      <c r="C3041" s="2" t="s">
        <v>3689</v>
      </c>
      <c r="D3041" s="2" t="s">
        <v>17</v>
      </c>
      <c r="E3041" s="2" t="s">
        <v>11</v>
      </c>
      <c r="F3041" s="2" t="s">
        <v>18</v>
      </c>
      <c r="G3041" s="2" t="s">
        <v>19</v>
      </c>
      <c r="H3041" s="2" t="s">
        <v>348</v>
      </c>
      <c r="I3041" s="2" t="s">
        <v>1777</v>
      </c>
    </row>
    <row r="3042" spans="1:9" ht="14.5" x14ac:dyDescent="0.35">
      <c r="A3042" s="2">
        <v>2181159</v>
      </c>
      <c r="B3042" s="2" t="str">
        <f>"3216071109830007"</f>
        <v>3216071109830007</v>
      </c>
      <c r="C3042" s="2" t="s">
        <v>3692</v>
      </c>
      <c r="D3042" s="2" t="s">
        <v>10</v>
      </c>
      <c r="E3042" s="2" t="s">
        <v>11</v>
      </c>
      <c r="F3042" s="2" t="s">
        <v>91</v>
      </c>
      <c r="G3042" s="2" t="s">
        <v>92</v>
      </c>
      <c r="H3042" s="2" t="s">
        <v>287</v>
      </c>
      <c r="I3042" s="2" t="s">
        <v>3234</v>
      </c>
    </row>
    <row r="3043" spans="1:9" ht="14.5" x14ac:dyDescent="0.35">
      <c r="A3043" s="2">
        <v>2553229</v>
      </c>
      <c r="B3043" s="2" t="str">
        <f>"3216071109830007"</f>
        <v>3216071109830007</v>
      </c>
      <c r="C3043" s="2" t="s">
        <v>3692</v>
      </c>
      <c r="D3043" s="2" t="s">
        <v>17</v>
      </c>
      <c r="E3043" s="2" t="s">
        <v>11</v>
      </c>
      <c r="F3043" s="2" t="s">
        <v>18</v>
      </c>
      <c r="G3043" s="2" t="s">
        <v>19</v>
      </c>
      <c r="H3043" s="2" t="s">
        <v>348</v>
      </c>
      <c r="I3043" s="2" t="s">
        <v>3683</v>
      </c>
    </row>
    <row r="3044" spans="1:9" ht="14.5" x14ac:dyDescent="0.35">
      <c r="A3044" s="2">
        <v>1725642</v>
      </c>
      <c r="B3044" s="2" t="str">
        <f>"3216082609790001"</f>
        <v>3216082609790001</v>
      </c>
      <c r="C3044" s="2" t="s">
        <v>3693</v>
      </c>
      <c r="D3044" s="2" t="s">
        <v>10</v>
      </c>
      <c r="E3044" s="2" t="s">
        <v>11</v>
      </c>
      <c r="F3044" s="2" t="s">
        <v>91</v>
      </c>
      <c r="G3044" s="2" t="s">
        <v>92</v>
      </c>
      <c r="H3044" s="2" t="s">
        <v>105</v>
      </c>
      <c r="I3044" s="2" t="s">
        <v>3694</v>
      </c>
    </row>
    <row r="3045" spans="1:9" ht="14.5" x14ac:dyDescent="0.35">
      <c r="A3045" s="2">
        <v>2551632</v>
      </c>
      <c r="B3045" s="2" t="str">
        <f>"3216082609790001"</f>
        <v>3216082609790001</v>
      </c>
      <c r="C3045" s="2" t="s">
        <v>3695</v>
      </c>
      <c r="D3045" s="2" t="s">
        <v>17</v>
      </c>
      <c r="E3045" s="2" t="s">
        <v>11</v>
      </c>
      <c r="F3045" s="2" t="s">
        <v>18</v>
      </c>
      <c r="G3045" s="2" t="s">
        <v>19</v>
      </c>
      <c r="H3045" s="2" t="s">
        <v>348</v>
      </c>
      <c r="I3045" s="2" t="s">
        <v>3696</v>
      </c>
    </row>
    <row r="3046" spans="1:9" ht="14.5" x14ac:dyDescent="0.35">
      <c r="A3046" s="2">
        <v>1725643</v>
      </c>
      <c r="B3046" s="2" t="str">
        <f>"3216086210810003"</f>
        <v>3216086210810003</v>
      </c>
      <c r="C3046" s="2" t="s">
        <v>3697</v>
      </c>
      <c r="D3046" s="2" t="s">
        <v>10</v>
      </c>
      <c r="E3046" s="2" t="s">
        <v>11</v>
      </c>
      <c r="F3046" s="2" t="s">
        <v>91</v>
      </c>
      <c r="G3046" s="2" t="s">
        <v>92</v>
      </c>
      <c r="H3046" s="2" t="s">
        <v>105</v>
      </c>
      <c r="I3046" s="2" t="s">
        <v>3694</v>
      </c>
    </row>
    <row r="3047" spans="1:9" ht="14.5" x14ac:dyDescent="0.35">
      <c r="A3047" s="2">
        <v>2551633</v>
      </c>
      <c r="B3047" s="2" t="str">
        <f>"3216086210810003"</f>
        <v>3216086210810003</v>
      </c>
      <c r="C3047" s="2" t="s">
        <v>3698</v>
      </c>
      <c r="D3047" s="2" t="s">
        <v>17</v>
      </c>
      <c r="E3047" s="2" t="s">
        <v>11</v>
      </c>
      <c r="F3047" s="2" t="s">
        <v>18</v>
      </c>
      <c r="G3047" s="2" t="s">
        <v>19</v>
      </c>
      <c r="H3047" s="2" t="s">
        <v>348</v>
      </c>
      <c r="I3047" s="2" t="s">
        <v>3696</v>
      </c>
    </row>
    <row r="3048" spans="1:9" ht="14.5" x14ac:dyDescent="0.35">
      <c r="A3048" s="2">
        <v>454062</v>
      </c>
      <c r="B3048" s="2" t="str">
        <f>"3216160203950004"</f>
        <v>3216160203950004</v>
      </c>
      <c r="C3048" s="2" t="s">
        <v>3699</v>
      </c>
      <c r="D3048" s="2" t="s">
        <v>10</v>
      </c>
      <c r="E3048" s="2" t="s">
        <v>11</v>
      </c>
      <c r="F3048" s="2" t="s">
        <v>91</v>
      </c>
      <c r="G3048" s="2" t="s">
        <v>92</v>
      </c>
      <c r="H3048" s="2" t="s">
        <v>3700</v>
      </c>
      <c r="I3048" s="2" t="s">
        <v>3701</v>
      </c>
    </row>
    <row r="3049" spans="1:9" ht="14.5" x14ac:dyDescent="0.35">
      <c r="A3049" s="2">
        <v>2552407</v>
      </c>
      <c r="B3049" s="2" t="str">
        <f>"3216160203950004"</f>
        <v>3216160203950004</v>
      </c>
      <c r="C3049" s="2" t="s">
        <v>3699</v>
      </c>
      <c r="D3049" s="2" t="s">
        <v>17</v>
      </c>
      <c r="E3049" s="2" t="s">
        <v>11</v>
      </c>
      <c r="F3049" s="2" t="s">
        <v>18</v>
      </c>
      <c r="G3049" s="2" t="s">
        <v>19</v>
      </c>
      <c r="H3049" s="2" t="s">
        <v>348</v>
      </c>
      <c r="I3049" s="2" t="s">
        <v>3660</v>
      </c>
    </row>
    <row r="3050" spans="1:9" ht="14.5" x14ac:dyDescent="0.35">
      <c r="A3050" s="2">
        <v>1206986</v>
      </c>
      <c r="B3050" s="2" t="str">
        <f>"3216175207840005"</f>
        <v>3216175207840005</v>
      </c>
      <c r="C3050" s="2" t="s">
        <v>3702</v>
      </c>
      <c r="D3050" s="2" t="s">
        <v>10</v>
      </c>
      <c r="E3050" s="2" t="s">
        <v>11</v>
      </c>
      <c r="F3050" s="2" t="s">
        <v>91</v>
      </c>
      <c r="G3050" s="2" t="s">
        <v>92</v>
      </c>
      <c r="H3050" s="2" t="s">
        <v>3703</v>
      </c>
      <c r="I3050" s="2" t="s">
        <v>3704</v>
      </c>
    </row>
    <row r="3051" spans="1:9" ht="14.5" x14ac:dyDescent="0.35">
      <c r="A3051" s="2">
        <v>2551820</v>
      </c>
      <c r="B3051" s="2" t="str">
        <f>"3216175207840005"</f>
        <v>3216175207840005</v>
      </c>
      <c r="C3051" s="2" t="s">
        <v>3705</v>
      </c>
      <c r="D3051" s="2" t="s">
        <v>17</v>
      </c>
      <c r="E3051" s="2" t="s">
        <v>11</v>
      </c>
      <c r="F3051" s="2" t="s">
        <v>18</v>
      </c>
      <c r="G3051" s="2" t="s">
        <v>19</v>
      </c>
      <c r="H3051" s="2" t="s">
        <v>348</v>
      </c>
      <c r="I3051" s="2" t="s">
        <v>3688</v>
      </c>
    </row>
    <row r="3052" spans="1:9" ht="14.5" x14ac:dyDescent="0.35">
      <c r="A3052" s="2">
        <v>61912</v>
      </c>
      <c r="B3052" s="2" t="str">
        <f>"3275031207820053"</f>
        <v>3275031207820053</v>
      </c>
      <c r="C3052" s="2" t="s">
        <v>3706</v>
      </c>
      <c r="D3052" s="2" t="s">
        <v>10</v>
      </c>
      <c r="E3052" s="2" t="s">
        <v>11</v>
      </c>
      <c r="F3052" s="2" t="s">
        <v>91</v>
      </c>
      <c r="G3052" s="2" t="s">
        <v>159</v>
      </c>
      <c r="H3052" s="2" t="s">
        <v>1828</v>
      </c>
      <c r="I3052" s="2" t="s">
        <v>3707</v>
      </c>
    </row>
    <row r="3053" spans="1:9" ht="14.5" x14ac:dyDescent="0.35">
      <c r="A3053" s="2">
        <v>2551785</v>
      </c>
      <c r="B3053" s="2" t="str">
        <f>"3275031207820053"</f>
        <v>3275031207820053</v>
      </c>
      <c r="C3053" s="2" t="s">
        <v>3706</v>
      </c>
      <c r="D3053" s="2" t="s">
        <v>17</v>
      </c>
      <c r="E3053" s="2" t="s">
        <v>11</v>
      </c>
      <c r="F3053" s="2" t="s">
        <v>18</v>
      </c>
      <c r="G3053" s="2" t="s">
        <v>19</v>
      </c>
      <c r="H3053" s="2" t="s">
        <v>348</v>
      </c>
      <c r="I3053" s="2" t="s">
        <v>3679</v>
      </c>
    </row>
    <row r="3054" spans="1:9" ht="14.5" x14ac:dyDescent="0.35">
      <c r="A3054" s="2">
        <v>2134796</v>
      </c>
      <c r="B3054" s="2" t="str">
        <f>"3275055909990014"</f>
        <v>3275055909990014</v>
      </c>
      <c r="C3054" s="2" t="s">
        <v>3708</v>
      </c>
      <c r="D3054" s="2" t="s">
        <v>10</v>
      </c>
      <c r="E3054" s="2" t="s">
        <v>11</v>
      </c>
      <c r="F3054" s="2" t="s">
        <v>18</v>
      </c>
      <c r="G3054" s="2" t="s">
        <v>19</v>
      </c>
      <c r="H3054" s="2" t="s">
        <v>348</v>
      </c>
      <c r="I3054" s="2" t="s">
        <v>3677</v>
      </c>
    </row>
    <row r="3055" spans="1:9" ht="14.5" x14ac:dyDescent="0.35">
      <c r="A3055" s="2">
        <v>1017573</v>
      </c>
      <c r="B3055" s="2" t="str">
        <f>"3275055909990014"</f>
        <v>3275055909990014</v>
      </c>
      <c r="C3055" s="2" t="s">
        <v>3709</v>
      </c>
      <c r="D3055" s="2" t="s">
        <v>17</v>
      </c>
      <c r="E3055" s="2" t="s">
        <v>11</v>
      </c>
      <c r="F3055" s="2" t="s">
        <v>18</v>
      </c>
      <c r="G3055" s="2" t="s">
        <v>385</v>
      </c>
      <c r="H3055" s="2" t="s">
        <v>2417</v>
      </c>
      <c r="I3055" s="2" t="s">
        <v>2417</v>
      </c>
    </row>
    <row r="3056" spans="1:9" ht="14.5" x14ac:dyDescent="0.35">
      <c r="A3056" s="2">
        <v>198447</v>
      </c>
      <c r="B3056" s="2" t="str">
        <f>"3276020306810021"</f>
        <v>3276020306810021</v>
      </c>
      <c r="C3056" s="2" t="s">
        <v>3710</v>
      </c>
      <c r="D3056" s="2" t="s">
        <v>10</v>
      </c>
      <c r="E3056" s="2" t="s">
        <v>11</v>
      </c>
      <c r="F3056" s="2" t="s">
        <v>91</v>
      </c>
      <c r="G3056" s="2" t="s">
        <v>903</v>
      </c>
      <c r="H3056" s="2" t="s">
        <v>915</v>
      </c>
      <c r="I3056" s="2" t="s">
        <v>1410</v>
      </c>
    </row>
    <row r="3057" spans="1:9" ht="14.5" x14ac:dyDescent="0.35">
      <c r="A3057" s="2">
        <v>2553378</v>
      </c>
      <c r="B3057" s="2" t="str">
        <f>"3276020306810021"</f>
        <v>3276020306810021</v>
      </c>
      <c r="C3057" s="2" t="s">
        <v>3711</v>
      </c>
      <c r="D3057" s="2" t="s">
        <v>17</v>
      </c>
      <c r="E3057" s="2" t="s">
        <v>11</v>
      </c>
      <c r="F3057" s="2" t="s">
        <v>18</v>
      </c>
      <c r="G3057" s="2" t="s">
        <v>19</v>
      </c>
      <c r="H3057" s="2" t="s">
        <v>348</v>
      </c>
      <c r="I3057" s="2" t="s">
        <v>3677</v>
      </c>
    </row>
    <row r="3058" spans="1:9" ht="14.5" x14ac:dyDescent="0.35">
      <c r="A3058" s="2">
        <v>2160243</v>
      </c>
      <c r="B3058" s="2" t="str">
        <f>"3301102901880003"</f>
        <v>3301102901880003</v>
      </c>
      <c r="C3058" s="2" t="s">
        <v>3712</v>
      </c>
      <c r="D3058" s="2" t="s">
        <v>10</v>
      </c>
      <c r="E3058" s="2" t="s">
        <v>11</v>
      </c>
      <c r="F3058" s="2" t="s">
        <v>18</v>
      </c>
      <c r="G3058" s="2" t="s">
        <v>19</v>
      </c>
      <c r="H3058" s="2" t="s">
        <v>348</v>
      </c>
      <c r="I3058" s="2" t="s">
        <v>3696</v>
      </c>
    </row>
    <row r="3059" spans="1:9" ht="14.5" x14ac:dyDescent="0.35">
      <c r="A3059" s="2">
        <v>3122623</v>
      </c>
      <c r="B3059" s="2" t="str">
        <f>"3301102901880003"</f>
        <v>3301102901880003</v>
      </c>
      <c r="C3059" s="2" t="s">
        <v>3713</v>
      </c>
      <c r="D3059" s="2" t="s">
        <v>17</v>
      </c>
      <c r="E3059" s="2" t="s">
        <v>11</v>
      </c>
      <c r="F3059" s="2" t="s">
        <v>18</v>
      </c>
      <c r="G3059" s="2" t="s">
        <v>163</v>
      </c>
      <c r="H3059" s="2" t="s">
        <v>428</v>
      </c>
      <c r="I3059" s="2" t="s">
        <v>3714</v>
      </c>
    </row>
    <row r="3060" spans="1:9" ht="14.5" x14ac:dyDescent="0.35">
      <c r="A3060" s="2">
        <v>276897</v>
      </c>
      <c r="B3060" s="2" t="str">
        <f>"3305202312920001"</f>
        <v>3305202312920001</v>
      </c>
      <c r="C3060" s="2" t="s">
        <v>3715</v>
      </c>
      <c r="D3060" s="2" t="s">
        <v>10</v>
      </c>
      <c r="E3060" s="2" t="s">
        <v>11</v>
      </c>
      <c r="F3060" s="2" t="s">
        <v>18</v>
      </c>
      <c r="G3060" s="2" t="s">
        <v>268</v>
      </c>
      <c r="H3060" s="2" t="s">
        <v>277</v>
      </c>
      <c r="I3060" s="2" t="s">
        <v>3326</v>
      </c>
    </row>
    <row r="3061" spans="1:9" ht="14.5" x14ac:dyDescent="0.35">
      <c r="A3061" s="2">
        <v>2552747</v>
      </c>
      <c r="B3061" s="2" t="str">
        <f>"3305202312920001"</f>
        <v>3305202312920001</v>
      </c>
      <c r="C3061" s="2" t="s">
        <v>3715</v>
      </c>
      <c r="D3061" s="2" t="s">
        <v>17</v>
      </c>
      <c r="E3061" s="2" t="s">
        <v>11</v>
      </c>
      <c r="F3061" s="2" t="s">
        <v>18</v>
      </c>
      <c r="G3061" s="2" t="s">
        <v>19</v>
      </c>
      <c r="H3061" s="2" t="s">
        <v>348</v>
      </c>
      <c r="I3061" s="2" t="s">
        <v>1777</v>
      </c>
    </row>
    <row r="3062" spans="1:9" ht="14.5" x14ac:dyDescent="0.35">
      <c r="A3062" s="2">
        <v>2377104</v>
      </c>
      <c r="B3062" s="2" t="str">
        <f>"3325056604900001"</f>
        <v>3325056604900001</v>
      </c>
      <c r="C3062" s="2" t="s">
        <v>3117</v>
      </c>
      <c r="D3062" s="2" t="s">
        <v>10</v>
      </c>
      <c r="E3062" s="2" t="s">
        <v>11</v>
      </c>
      <c r="F3062" s="2" t="s">
        <v>18</v>
      </c>
      <c r="G3062" s="2" t="s">
        <v>19</v>
      </c>
      <c r="H3062" s="2" t="s">
        <v>348</v>
      </c>
      <c r="I3062" s="2" t="s">
        <v>348</v>
      </c>
    </row>
    <row r="3063" spans="1:9" ht="14.5" x14ac:dyDescent="0.35">
      <c r="A3063" s="2">
        <v>650365</v>
      </c>
      <c r="B3063" s="2" t="str">
        <f>"3325056604900001"</f>
        <v>3325056604900001</v>
      </c>
      <c r="C3063" s="2" t="s">
        <v>3117</v>
      </c>
      <c r="D3063" s="2" t="s">
        <v>17</v>
      </c>
      <c r="E3063" s="2" t="s">
        <v>11</v>
      </c>
      <c r="F3063" s="2" t="s">
        <v>18</v>
      </c>
      <c r="G3063" s="2" t="s">
        <v>190</v>
      </c>
      <c r="H3063" s="2" t="s">
        <v>2651</v>
      </c>
      <c r="I3063" s="2" t="s">
        <v>501</v>
      </c>
    </row>
    <row r="3064" spans="1:9" ht="14.5" x14ac:dyDescent="0.35">
      <c r="A3064" s="2">
        <v>1191471</v>
      </c>
      <c r="B3064" s="2" t="str">
        <f>"3326115307990001"</f>
        <v>3326115307990001</v>
      </c>
      <c r="C3064" s="2" t="s">
        <v>3716</v>
      </c>
      <c r="D3064" s="2" t="s">
        <v>10</v>
      </c>
      <c r="E3064" s="2" t="s">
        <v>11</v>
      </c>
      <c r="F3064" s="2" t="s">
        <v>18</v>
      </c>
      <c r="G3064" s="2" t="s">
        <v>195</v>
      </c>
      <c r="H3064" s="2" t="s">
        <v>906</v>
      </c>
      <c r="I3064" s="2" t="s">
        <v>3717</v>
      </c>
    </row>
    <row r="3065" spans="1:9" ht="14.5" x14ac:dyDescent="0.35">
      <c r="A3065" s="2">
        <v>2551818</v>
      </c>
      <c r="B3065" s="2" t="str">
        <f>"3326115307990001"</f>
        <v>3326115307990001</v>
      </c>
      <c r="C3065" s="2" t="s">
        <v>3718</v>
      </c>
      <c r="D3065" s="2" t="s">
        <v>17</v>
      </c>
      <c r="E3065" s="2" t="s">
        <v>11</v>
      </c>
      <c r="F3065" s="2" t="s">
        <v>18</v>
      </c>
      <c r="G3065" s="2" t="s">
        <v>19</v>
      </c>
      <c r="H3065" s="2" t="s">
        <v>348</v>
      </c>
      <c r="I3065" s="2" t="s">
        <v>3688</v>
      </c>
    </row>
    <row r="3066" spans="1:9" ht="14.5" x14ac:dyDescent="0.35">
      <c r="A3066" s="2">
        <v>293062</v>
      </c>
      <c r="B3066" s="2" t="str">
        <f>"3327125505790009"</f>
        <v>3327125505790009</v>
      </c>
      <c r="C3066" s="2" t="s">
        <v>3719</v>
      </c>
      <c r="D3066" s="2" t="s">
        <v>10</v>
      </c>
      <c r="E3066" s="2" t="s">
        <v>11</v>
      </c>
      <c r="F3066" s="2" t="s">
        <v>18</v>
      </c>
      <c r="G3066" s="2" t="s">
        <v>268</v>
      </c>
      <c r="H3066" s="2" t="s">
        <v>277</v>
      </c>
      <c r="I3066" s="2" t="s">
        <v>2762</v>
      </c>
    </row>
    <row r="3067" spans="1:9" ht="14.5" x14ac:dyDescent="0.35">
      <c r="A3067" s="2">
        <v>2551609</v>
      </c>
      <c r="B3067" s="2" t="str">
        <f>"3327125505790009"</f>
        <v>3327125505790009</v>
      </c>
      <c r="C3067" s="2" t="s">
        <v>3719</v>
      </c>
      <c r="D3067" s="2" t="s">
        <v>17</v>
      </c>
      <c r="E3067" s="2" t="s">
        <v>11</v>
      </c>
      <c r="F3067" s="2" t="s">
        <v>18</v>
      </c>
      <c r="G3067" s="2" t="s">
        <v>19</v>
      </c>
      <c r="H3067" s="2" t="s">
        <v>348</v>
      </c>
      <c r="I3067" s="2" t="s">
        <v>3696</v>
      </c>
    </row>
    <row r="3068" spans="1:9" ht="14.5" x14ac:dyDescent="0.35">
      <c r="A3068" s="2">
        <v>253428</v>
      </c>
      <c r="B3068" s="2" t="str">
        <f>"3328040504880003"</f>
        <v>3328040504880003</v>
      </c>
      <c r="C3068" s="2" t="s">
        <v>3720</v>
      </c>
      <c r="D3068" s="2" t="s">
        <v>10</v>
      </c>
      <c r="E3068" s="2" t="s">
        <v>11</v>
      </c>
      <c r="F3068" s="2" t="s">
        <v>18</v>
      </c>
      <c r="G3068" s="2" t="s">
        <v>268</v>
      </c>
      <c r="H3068" s="2" t="s">
        <v>371</v>
      </c>
      <c r="I3068" s="2" t="s">
        <v>497</v>
      </c>
    </row>
    <row r="3069" spans="1:9" ht="14.5" x14ac:dyDescent="0.35">
      <c r="A3069" s="2">
        <v>2551375</v>
      </c>
      <c r="B3069" s="2" t="str">
        <f>"3328040504880003"</f>
        <v>3328040504880003</v>
      </c>
      <c r="C3069" s="2" t="s">
        <v>3720</v>
      </c>
      <c r="D3069" s="2" t="s">
        <v>17</v>
      </c>
      <c r="E3069" s="2" t="s">
        <v>11</v>
      </c>
      <c r="F3069" s="2" t="s">
        <v>18</v>
      </c>
      <c r="G3069" s="2" t="s">
        <v>19</v>
      </c>
      <c r="H3069" s="2" t="s">
        <v>348</v>
      </c>
      <c r="I3069" s="2" t="s">
        <v>3721</v>
      </c>
    </row>
    <row r="3070" spans="1:9" ht="14.5" x14ac:dyDescent="0.35">
      <c r="A3070" s="2">
        <v>2552288</v>
      </c>
      <c r="B3070" s="2" t="str">
        <f>"3328102802050002"</f>
        <v>3328102802050002</v>
      </c>
      <c r="C3070" s="2" t="s">
        <v>3722</v>
      </c>
      <c r="D3070" s="2" t="s">
        <v>17</v>
      </c>
      <c r="E3070" s="2" t="s">
        <v>11</v>
      </c>
      <c r="F3070" s="2" t="s">
        <v>18</v>
      </c>
      <c r="G3070" s="2" t="s">
        <v>19</v>
      </c>
      <c r="H3070" s="2" t="s">
        <v>348</v>
      </c>
      <c r="I3070" s="2" t="s">
        <v>3723</v>
      </c>
    </row>
    <row r="3071" spans="1:9" ht="14.5" x14ac:dyDescent="0.35">
      <c r="A3071" s="2">
        <v>1351109</v>
      </c>
      <c r="B3071" s="2" t="str">
        <f>"3328102802050002"</f>
        <v>3328102802050002</v>
      </c>
      <c r="C3071" s="2" t="s">
        <v>3724</v>
      </c>
      <c r="D3071" s="2" t="s">
        <v>10</v>
      </c>
      <c r="E3071" s="2" t="s">
        <v>57</v>
      </c>
      <c r="F3071" s="2" t="s">
        <v>303</v>
      </c>
      <c r="G3071" s="2" t="s">
        <v>608</v>
      </c>
      <c r="H3071" s="2" t="s">
        <v>609</v>
      </c>
      <c r="I3071" s="2" t="s">
        <v>610</v>
      </c>
    </row>
    <row r="3072" spans="1:9" ht="14.5" x14ac:dyDescent="0.35">
      <c r="A3072" s="2">
        <v>709166</v>
      </c>
      <c r="B3072" s="2" t="str">
        <f>"3328110101660013"</f>
        <v>3328110101660013</v>
      </c>
      <c r="C3072" s="2" t="s">
        <v>3725</v>
      </c>
      <c r="D3072" s="2" t="s">
        <v>10</v>
      </c>
      <c r="E3072" s="2" t="s">
        <v>11</v>
      </c>
      <c r="F3072" s="2" t="s">
        <v>18</v>
      </c>
      <c r="G3072" s="2" t="s">
        <v>264</v>
      </c>
      <c r="H3072" s="2" t="s">
        <v>248</v>
      </c>
      <c r="I3072" s="2" t="s">
        <v>1630</v>
      </c>
    </row>
    <row r="3073" spans="1:9" ht="14.5" x14ac:dyDescent="0.35">
      <c r="A3073" s="2">
        <v>2552508</v>
      </c>
      <c r="B3073" s="2" t="str">
        <f>"3328110101660013"</f>
        <v>3328110101660013</v>
      </c>
      <c r="C3073" s="2" t="s">
        <v>3726</v>
      </c>
      <c r="D3073" s="2" t="s">
        <v>17</v>
      </c>
      <c r="E3073" s="2" t="s">
        <v>11</v>
      </c>
      <c r="F3073" s="2" t="s">
        <v>18</v>
      </c>
      <c r="G3073" s="2" t="s">
        <v>19</v>
      </c>
      <c r="H3073" s="2" t="s">
        <v>348</v>
      </c>
      <c r="I3073" s="2" t="s">
        <v>3727</v>
      </c>
    </row>
    <row r="3074" spans="1:9" ht="14.5" x14ac:dyDescent="0.35">
      <c r="A3074" s="2">
        <v>2112682</v>
      </c>
      <c r="B3074" s="2" t="str">
        <f>"3328110107040076"</f>
        <v>3328110107040076</v>
      </c>
      <c r="C3074" s="2" t="s">
        <v>3728</v>
      </c>
      <c r="D3074" s="2" t="s">
        <v>10</v>
      </c>
      <c r="E3074" s="2" t="s">
        <v>11</v>
      </c>
      <c r="F3074" s="2" t="s">
        <v>18</v>
      </c>
      <c r="G3074" s="2" t="s">
        <v>19</v>
      </c>
      <c r="H3074" s="2" t="s">
        <v>348</v>
      </c>
      <c r="I3074" s="2" t="s">
        <v>1777</v>
      </c>
    </row>
    <row r="3075" spans="1:9" ht="14.5" x14ac:dyDescent="0.35">
      <c r="A3075" s="2">
        <v>1351105</v>
      </c>
      <c r="B3075" s="2" t="str">
        <f>"3328110107040076"</f>
        <v>3328110107040076</v>
      </c>
      <c r="C3075" s="2" t="s">
        <v>3728</v>
      </c>
      <c r="D3075" s="2" t="s">
        <v>10</v>
      </c>
      <c r="E3075" s="2" t="s">
        <v>57</v>
      </c>
      <c r="F3075" s="2" t="s">
        <v>303</v>
      </c>
      <c r="G3075" s="2" t="s">
        <v>608</v>
      </c>
      <c r="H3075" s="2" t="s">
        <v>609</v>
      </c>
      <c r="I3075" s="2" t="s">
        <v>610</v>
      </c>
    </row>
    <row r="3076" spans="1:9" ht="14.5" x14ac:dyDescent="0.35">
      <c r="A3076" s="2">
        <v>2146663</v>
      </c>
      <c r="B3076" s="2" t="str">
        <f>"3328110109040008"</f>
        <v>3328110109040008</v>
      </c>
      <c r="C3076" s="2" t="s">
        <v>3729</v>
      </c>
      <c r="D3076" s="2" t="s">
        <v>10</v>
      </c>
      <c r="E3076" s="2" t="s">
        <v>11</v>
      </c>
      <c r="F3076" s="2" t="s">
        <v>18</v>
      </c>
      <c r="G3076" s="2" t="s">
        <v>19</v>
      </c>
      <c r="H3076" s="2" t="s">
        <v>348</v>
      </c>
      <c r="I3076" s="2" t="s">
        <v>3730</v>
      </c>
    </row>
    <row r="3077" spans="1:9" ht="14.5" x14ac:dyDescent="0.35">
      <c r="A3077" s="2">
        <v>1351100</v>
      </c>
      <c r="B3077" s="2" t="str">
        <f>"3328110109040008"</f>
        <v>3328110109040008</v>
      </c>
      <c r="C3077" s="2" t="s">
        <v>3729</v>
      </c>
      <c r="D3077" s="2" t="s">
        <v>10</v>
      </c>
      <c r="E3077" s="2" t="s">
        <v>57</v>
      </c>
      <c r="F3077" s="2" t="s">
        <v>303</v>
      </c>
      <c r="G3077" s="2" t="s">
        <v>608</v>
      </c>
      <c r="H3077" s="2" t="s">
        <v>609</v>
      </c>
      <c r="I3077" s="2" t="s">
        <v>610</v>
      </c>
    </row>
    <row r="3078" spans="1:9" ht="14.5" x14ac:dyDescent="0.35">
      <c r="A3078" s="2">
        <v>2016355</v>
      </c>
      <c r="B3078" s="2" t="str">
        <f>"3328110211060002"</f>
        <v>3328110211060002</v>
      </c>
      <c r="C3078" s="2" t="s">
        <v>3731</v>
      </c>
      <c r="D3078" s="2" t="s">
        <v>189</v>
      </c>
      <c r="E3078" s="2" t="s">
        <v>11</v>
      </c>
      <c r="F3078" s="2" t="s">
        <v>18</v>
      </c>
      <c r="G3078" s="2" t="s">
        <v>19</v>
      </c>
      <c r="H3078" s="2" t="s">
        <v>348</v>
      </c>
      <c r="I3078" s="2" t="s">
        <v>349</v>
      </c>
    </row>
    <row r="3079" spans="1:9" ht="14.5" x14ac:dyDescent="0.35">
      <c r="A3079" s="2">
        <v>1349027</v>
      </c>
      <c r="B3079" s="2" t="str">
        <f>"3328110211060002"</f>
        <v>3328110211060002</v>
      </c>
      <c r="C3079" s="2" t="s">
        <v>3731</v>
      </c>
      <c r="D3079" s="2" t="s">
        <v>10</v>
      </c>
      <c r="E3079" s="2" t="s">
        <v>57</v>
      </c>
      <c r="F3079" s="2" t="s">
        <v>303</v>
      </c>
      <c r="G3079" s="2" t="s">
        <v>608</v>
      </c>
      <c r="H3079" s="2" t="s">
        <v>609</v>
      </c>
      <c r="I3079" s="2" t="s">
        <v>610</v>
      </c>
    </row>
    <row r="3080" spans="1:9" ht="14.5" x14ac:dyDescent="0.35">
      <c r="A3080" s="2">
        <v>2380965</v>
      </c>
      <c r="B3080" s="2" t="str">
        <f>"3328110501870013"</f>
        <v>3328110501870013</v>
      </c>
      <c r="C3080" s="2" t="s">
        <v>3732</v>
      </c>
      <c r="D3080" s="2" t="s">
        <v>10</v>
      </c>
      <c r="E3080" s="2" t="s">
        <v>11</v>
      </c>
      <c r="F3080" s="2" t="s">
        <v>18</v>
      </c>
      <c r="G3080" s="2" t="s">
        <v>19</v>
      </c>
      <c r="H3080" s="2" t="s">
        <v>348</v>
      </c>
      <c r="I3080" s="2" t="s">
        <v>348</v>
      </c>
    </row>
    <row r="3081" spans="1:9" ht="14.5" x14ac:dyDescent="0.35">
      <c r="A3081" s="2">
        <v>2613999</v>
      </c>
      <c r="B3081" s="2" t="str">
        <f>"3328110501870013"</f>
        <v>3328110501870013</v>
      </c>
      <c r="C3081" s="2" t="s">
        <v>3733</v>
      </c>
      <c r="D3081" s="2" t="s">
        <v>10</v>
      </c>
      <c r="E3081" s="2" t="s">
        <v>57</v>
      </c>
      <c r="F3081" s="2" t="s">
        <v>18</v>
      </c>
      <c r="G3081" s="2" t="s">
        <v>1438</v>
      </c>
      <c r="H3081" s="2" t="s">
        <v>3511</v>
      </c>
      <c r="I3081" s="2" t="s">
        <v>3086</v>
      </c>
    </row>
    <row r="3082" spans="1:9" ht="14.5" x14ac:dyDescent="0.35">
      <c r="A3082" s="2">
        <v>989582</v>
      </c>
      <c r="B3082" s="2" t="str">
        <f>"3328110502920003"</f>
        <v>3328110502920003</v>
      </c>
      <c r="C3082" s="2" t="s">
        <v>3734</v>
      </c>
      <c r="D3082" s="2" t="s">
        <v>10</v>
      </c>
      <c r="E3082" s="2" t="s">
        <v>11</v>
      </c>
      <c r="F3082" s="2" t="s">
        <v>50</v>
      </c>
      <c r="G3082" s="2" t="s">
        <v>58</v>
      </c>
      <c r="H3082" s="2" t="s">
        <v>406</v>
      </c>
      <c r="I3082" s="2" t="s">
        <v>545</v>
      </c>
    </row>
    <row r="3083" spans="1:9" ht="14.5" x14ac:dyDescent="0.35">
      <c r="A3083" s="2">
        <v>2552800</v>
      </c>
      <c r="B3083" s="2" t="str">
        <f>"3328110502920003"</f>
        <v>3328110502920003</v>
      </c>
      <c r="C3083" s="2" t="s">
        <v>3734</v>
      </c>
      <c r="D3083" s="2" t="s">
        <v>17</v>
      </c>
      <c r="E3083" s="2" t="s">
        <v>11</v>
      </c>
      <c r="F3083" s="2" t="s">
        <v>18</v>
      </c>
      <c r="G3083" s="2" t="s">
        <v>19</v>
      </c>
      <c r="H3083" s="2" t="s">
        <v>348</v>
      </c>
      <c r="I3083" s="2" t="s">
        <v>1777</v>
      </c>
    </row>
    <row r="3084" spans="1:9" ht="14.5" x14ac:dyDescent="0.35">
      <c r="A3084" s="2">
        <v>2048187</v>
      </c>
      <c r="B3084" s="2" t="str">
        <f>"3328110503910007"</f>
        <v>3328110503910007</v>
      </c>
      <c r="C3084" s="2" t="s">
        <v>3735</v>
      </c>
      <c r="D3084" s="2" t="s">
        <v>10</v>
      </c>
      <c r="E3084" s="2" t="s">
        <v>11</v>
      </c>
      <c r="F3084" s="2" t="s">
        <v>18</v>
      </c>
      <c r="G3084" s="2" t="s">
        <v>19</v>
      </c>
      <c r="H3084" s="2" t="s">
        <v>348</v>
      </c>
      <c r="I3084" s="2" t="s">
        <v>3670</v>
      </c>
    </row>
    <row r="3085" spans="1:9" ht="14.5" x14ac:dyDescent="0.35">
      <c r="A3085" s="2">
        <v>1677219</v>
      </c>
      <c r="B3085" s="2" t="str">
        <f>"3328110503910007"</f>
        <v>3328110503910007</v>
      </c>
      <c r="C3085" s="2" t="s">
        <v>3736</v>
      </c>
      <c r="D3085" s="2" t="s">
        <v>17</v>
      </c>
      <c r="E3085" s="2" t="s">
        <v>11</v>
      </c>
      <c r="F3085" s="2" t="s">
        <v>18</v>
      </c>
      <c r="G3085" s="2" t="s">
        <v>264</v>
      </c>
      <c r="H3085" s="2" t="s">
        <v>396</v>
      </c>
      <c r="I3085" s="2" t="s">
        <v>844</v>
      </c>
    </row>
    <row r="3086" spans="1:9" ht="14.5" x14ac:dyDescent="0.35">
      <c r="A3086" s="2">
        <v>2161778</v>
      </c>
      <c r="B3086" s="2" t="str">
        <f>"3328110504860001"</f>
        <v>3328110504860001</v>
      </c>
      <c r="C3086" s="2" t="s">
        <v>3737</v>
      </c>
      <c r="D3086" s="2" t="s">
        <v>10</v>
      </c>
      <c r="E3086" s="2" t="s">
        <v>11</v>
      </c>
      <c r="F3086" s="2" t="s">
        <v>18</v>
      </c>
      <c r="G3086" s="2" t="s">
        <v>19</v>
      </c>
      <c r="H3086" s="2" t="s">
        <v>348</v>
      </c>
      <c r="I3086" s="2" t="s">
        <v>3696</v>
      </c>
    </row>
    <row r="3087" spans="1:9" ht="14.5" x14ac:dyDescent="0.35">
      <c r="A3087" s="2">
        <v>1880578</v>
      </c>
      <c r="B3087" s="2" t="str">
        <f>"3328110504860001"</f>
        <v>3328110504860001</v>
      </c>
      <c r="C3087" s="2" t="s">
        <v>3737</v>
      </c>
      <c r="D3087" s="2" t="s">
        <v>17</v>
      </c>
      <c r="E3087" s="2" t="s">
        <v>11</v>
      </c>
      <c r="F3087" s="2" t="s">
        <v>91</v>
      </c>
      <c r="G3087" s="2" t="s">
        <v>320</v>
      </c>
      <c r="H3087" s="2" t="s">
        <v>2523</v>
      </c>
      <c r="I3087" s="2" t="s">
        <v>2524</v>
      </c>
    </row>
    <row r="3088" spans="1:9" ht="14.5" x14ac:dyDescent="0.35">
      <c r="A3088" s="2">
        <v>2137588</v>
      </c>
      <c r="B3088" s="2" t="str">
        <f>"3328110506950009"</f>
        <v>3328110506950009</v>
      </c>
      <c r="C3088" s="2" t="s">
        <v>3738</v>
      </c>
      <c r="D3088" s="2" t="s">
        <v>10</v>
      </c>
      <c r="E3088" s="2" t="s">
        <v>11</v>
      </c>
      <c r="F3088" s="2" t="s">
        <v>18</v>
      </c>
      <c r="G3088" s="2" t="s">
        <v>19</v>
      </c>
      <c r="H3088" s="2" t="s">
        <v>348</v>
      </c>
      <c r="I3088" s="2" t="s">
        <v>3677</v>
      </c>
    </row>
    <row r="3089" spans="1:9" ht="14.5" x14ac:dyDescent="0.35">
      <c r="A3089" s="2">
        <v>1678687</v>
      </c>
      <c r="B3089" s="2" t="str">
        <f>"3328110506950009"</f>
        <v>3328110506950009</v>
      </c>
      <c r="C3089" s="2" t="s">
        <v>3739</v>
      </c>
      <c r="D3089" s="2" t="s">
        <v>17</v>
      </c>
      <c r="E3089" s="2" t="s">
        <v>11</v>
      </c>
      <c r="F3089" s="2" t="s">
        <v>18</v>
      </c>
      <c r="G3089" s="2" t="s">
        <v>264</v>
      </c>
      <c r="H3089" s="2" t="s">
        <v>265</v>
      </c>
      <c r="I3089" s="2" t="s">
        <v>863</v>
      </c>
    </row>
    <row r="3090" spans="1:9" ht="14.5" x14ac:dyDescent="0.35">
      <c r="A3090" s="2">
        <v>2090941</v>
      </c>
      <c r="B3090" s="2" t="str">
        <f>"3328110508760006"</f>
        <v>3328110508760006</v>
      </c>
      <c r="C3090" s="2" t="s">
        <v>3740</v>
      </c>
      <c r="D3090" s="2" t="s">
        <v>189</v>
      </c>
      <c r="E3090" s="2" t="s">
        <v>11</v>
      </c>
      <c r="F3090" s="2" t="s">
        <v>18</v>
      </c>
      <c r="G3090" s="2" t="s">
        <v>19</v>
      </c>
      <c r="H3090" s="2" t="s">
        <v>348</v>
      </c>
      <c r="I3090" s="2" t="s">
        <v>3660</v>
      </c>
    </row>
    <row r="3091" spans="1:9" ht="14.5" x14ac:dyDescent="0.35">
      <c r="A3091" s="2">
        <v>1803383</v>
      </c>
      <c r="B3091" s="2" t="str">
        <f>"3328110508760006"</f>
        <v>3328110508760006</v>
      </c>
      <c r="C3091" s="2" t="s">
        <v>3741</v>
      </c>
      <c r="D3091" s="2" t="s">
        <v>17</v>
      </c>
      <c r="E3091" s="2" t="s">
        <v>11</v>
      </c>
      <c r="F3091" s="2" t="s">
        <v>50</v>
      </c>
      <c r="G3091" s="2" t="s">
        <v>72</v>
      </c>
      <c r="H3091" s="2" t="s">
        <v>703</v>
      </c>
      <c r="I3091" s="2" t="s">
        <v>2222</v>
      </c>
    </row>
    <row r="3092" spans="1:9" ht="14.5" x14ac:dyDescent="0.35">
      <c r="A3092" s="2">
        <v>2103021</v>
      </c>
      <c r="B3092" s="2" t="str">
        <f>"3328110510050009"</f>
        <v>3328110510050009</v>
      </c>
      <c r="C3092" s="2" t="s">
        <v>3742</v>
      </c>
      <c r="D3092" s="2" t="s">
        <v>189</v>
      </c>
      <c r="E3092" s="2" t="s">
        <v>11</v>
      </c>
      <c r="F3092" s="2" t="s">
        <v>18</v>
      </c>
      <c r="G3092" s="2" t="s">
        <v>19</v>
      </c>
      <c r="H3092" s="2" t="s">
        <v>348</v>
      </c>
      <c r="I3092" s="2" t="s">
        <v>3727</v>
      </c>
    </row>
    <row r="3093" spans="1:9" ht="14.5" x14ac:dyDescent="0.35">
      <c r="A3093" s="2">
        <v>1351090</v>
      </c>
      <c r="B3093" s="2" t="str">
        <f>"3328110510050009"</f>
        <v>3328110510050009</v>
      </c>
      <c r="C3093" s="2" t="s">
        <v>3743</v>
      </c>
      <c r="D3093" s="2" t="s">
        <v>10</v>
      </c>
      <c r="E3093" s="2" t="s">
        <v>57</v>
      </c>
      <c r="F3093" s="2" t="s">
        <v>303</v>
      </c>
      <c r="G3093" s="2" t="s">
        <v>608</v>
      </c>
      <c r="H3093" s="2" t="s">
        <v>609</v>
      </c>
      <c r="I3093" s="2" t="s">
        <v>610</v>
      </c>
    </row>
    <row r="3094" spans="1:9" ht="14.5" x14ac:dyDescent="0.35">
      <c r="A3094" s="2">
        <v>18145</v>
      </c>
      <c r="B3094" s="2" t="str">
        <f>"3328110712970006"</f>
        <v>3328110712970006</v>
      </c>
      <c r="C3094" s="2" t="s">
        <v>3744</v>
      </c>
      <c r="D3094" s="2" t="s">
        <v>10</v>
      </c>
      <c r="E3094" s="2" t="s">
        <v>11</v>
      </c>
      <c r="F3094" s="2" t="s">
        <v>2545</v>
      </c>
      <c r="G3094" s="2" t="s">
        <v>3745</v>
      </c>
      <c r="H3094" s="2" t="s">
        <v>3746</v>
      </c>
      <c r="I3094" s="2" t="s">
        <v>3747</v>
      </c>
    </row>
    <row r="3095" spans="1:9" ht="14.5" x14ac:dyDescent="0.35">
      <c r="A3095" s="2">
        <v>2552672</v>
      </c>
      <c r="B3095" s="2" t="str">
        <f>"3328110712970006"</f>
        <v>3328110712970006</v>
      </c>
      <c r="C3095" s="2" t="s">
        <v>3744</v>
      </c>
      <c r="D3095" s="2" t="s">
        <v>17</v>
      </c>
      <c r="E3095" s="2" t="s">
        <v>11</v>
      </c>
      <c r="F3095" s="2" t="s">
        <v>18</v>
      </c>
      <c r="G3095" s="2" t="s">
        <v>19</v>
      </c>
      <c r="H3095" s="2" t="s">
        <v>348</v>
      </c>
      <c r="I3095" s="2" t="s">
        <v>3668</v>
      </c>
    </row>
    <row r="3096" spans="1:9" ht="14.5" x14ac:dyDescent="0.35">
      <c r="A3096" s="2">
        <v>359283</v>
      </c>
      <c r="B3096" s="2" t="str">
        <f>"3328110805860007"</f>
        <v>3328110805860007</v>
      </c>
      <c r="C3096" s="2" t="s">
        <v>3748</v>
      </c>
      <c r="D3096" s="2" t="s">
        <v>10</v>
      </c>
      <c r="E3096" s="2" t="s">
        <v>11</v>
      </c>
      <c r="F3096" s="2" t="s">
        <v>91</v>
      </c>
      <c r="G3096" s="2" t="s">
        <v>92</v>
      </c>
      <c r="H3096" s="2" t="s">
        <v>105</v>
      </c>
      <c r="I3096" s="2" t="s">
        <v>106</v>
      </c>
    </row>
    <row r="3097" spans="1:9" ht="14.5" x14ac:dyDescent="0.35">
      <c r="A3097" s="2">
        <v>2551397</v>
      </c>
      <c r="B3097" s="2" t="str">
        <f>"3328110805860007"</f>
        <v>3328110805860007</v>
      </c>
      <c r="C3097" s="2" t="s">
        <v>3749</v>
      </c>
      <c r="D3097" s="2" t="s">
        <v>17</v>
      </c>
      <c r="E3097" s="2" t="s">
        <v>11</v>
      </c>
      <c r="F3097" s="2" t="s">
        <v>18</v>
      </c>
      <c r="G3097" s="2" t="s">
        <v>19</v>
      </c>
      <c r="H3097" s="2" t="s">
        <v>348</v>
      </c>
      <c r="I3097" s="2" t="s">
        <v>3721</v>
      </c>
    </row>
    <row r="3098" spans="1:9" ht="14.5" x14ac:dyDescent="0.35">
      <c r="A3098" s="2">
        <v>215622</v>
      </c>
      <c r="B3098" s="2" t="str">
        <f>"3328110806800017"</f>
        <v>3328110806800017</v>
      </c>
      <c r="C3098" s="2" t="s">
        <v>3750</v>
      </c>
      <c r="D3098" s="2" t="s">
        <v>10</v>
      </c>
      <c r="E3098" s="2" t="s">
        <v>11</v>
      </c>
      <c r="F3098" s="2" t="s">
        <v>18</v>
      </c>
      <c r="G3098" s="2" t="s">
        <v>268</v>
      </c>
      <c r="H3098" s="2" t="s">
        <v>371</v>
      </c>
      <c r="I3098" s="2" t="s">
        <v>2772</v>
      </c>
    </row>
    <row r="3099" spans="1:9" ht="14.5" x14ac:dyDescent="0.35">
      <c r="A3099" s="2">
        <v>2552272</v>
      </c>
      <c r="B3099" s="2" t="str">
        <f>"3328110806800017"</f>
        <v>3328110806800017</v>
      </c>
      <c r="C3099" s="2" t="s">
        <v>3750</v>
      </c>
      <c r="D3099" s="2" t="s">
        <v>17</v>
      </c>
      <c r="E3099" s="2" t="s">
        <v>11</v>
      </c>
      <c r="F3099" s="2" t="s">
        <v>18</v>
      </c>
      <c r="G3099" s="2" t="s">
        <v>19</v>
      </c>
      <c r="H3099" s="2" t="s">
        <v>348</v>
      </c>
      <c r="I3099" s="2" t="s">
        <v>3723</v>
      </c>
    </row>
    <row r="3100" spans="1:9" ht="14.5" x14ac:dyDescent="0.35">
      <c r="A3100" s="2">
        <v>2234046</v>
      </c>
      <c r="B3100" s="2" t="str">
        <f>"3328110806890012"</f>
        <v>3328110806890012</v>
      </c>
      <c r="C3100" s="2" t="s">
        <v>3751</v>
      </c>
      <c r="D3100" s="2" t="s">
        <v>10</v>
      </c>
      <c r="E3100" s="2" t="s">
        <v>11</v>
      </c>
      <c r="F3100" s="2" t="s">
        <v>18</v>
      </c>
      <c r="G3100" s="2" t="s">
        <v>19</v>
      </c>
      <c r="H3100" s="2" t="s">
        <v>348</v>
      </c>
      <c r="I3100" s="2" t="s">
        <v>459</v>
      </c>
    </row>
    <row r="3101" spans="1:9" ht="14.5" x14ac:dyDescent="0.35">
      <c r="A3101" s="2">
        <v>1693863</v>
      </c>
      <c r="B3101" s="2" t="str">
        <f>"3328110806890012"</f>
        <v>3328110806890012</v>
      </c>
      <c r="C3101" s="2" t="s">
        <v>3751</v>
      </c>
      <c r="D3101" s="2" t="s">
        <v>17</v>
      </c>
      <c r="E3101" s="2" t="s">
        <v>11</v>
      </c>
      <c r="F3101" s="2" t="s">
        <v>18</v>
      </c>
      <c r="G3101" s="2" t="s">
        <v>264</v>
      </c>
      <c r="H3101" s="2" t="s">
        <v>265</v>
      </c>
      <c r="I3101" s="2" t="s">
        <v>459</v>
      </c>
    </row>
    <row r="3102" spans="1:9" ht="14.5" x14ac:dyDescent="0.35">
      <c r="A3102" s="2">
        <v>678356</v>
      </c>
      <c r="B3102" s="2" t="str">
        <f>"3328110906870005"</f>
        <v>3328110906870005</v>
      </c>
      <c r="C3102" s="2" t="s">
        <v>3752</v>
      </c>
      <c r="D3102" s="2" t="s">
        <v>10</v>
      </c>
      <c r="E3102" s="2" t="s">
        <v>11</v>
      </c>
      <c r="F3102" s="2" t="s">
        <v>91</v>
      </c>
      <c r="G3102" s="2" t="s">
        <v>985</v>
      </c>
      <c r="H3102" s="2" t="s">
        <v>3682</v>
      </c>
      <c r="I3102" s="2" t="s">
        <v>3682</v>
      </c>
    </row>
    <row r="3103" spans="1:9" ht="14.5" x14ac:dyDescent="0.35">
      <c r="A3103" s="2">
        <v>2553160</v>
      </c>
      <c r="B3103" s="2" t="str">
        <f>"3328110906870005"</f>
        <v>3328110906870005</v>
      </c>
      <c r="C3103" s="2" t="s">
        <v>3752</v>
      </c>
      <c r="D3103" s="2" t="s">
        <v>17</v>
      </c>
      <c r="E3103" s="2" t="s">
        <v>11</v>
      </c>
      <c r="F3103" s="2" t="s">
        <v>18</v>
      </c>
      <c r="G3103" s="2" t="s">
        <v>19</v>
      </c>
      <c r="H3103" s="2" t="s">
        <v>348</v>
      </c>
      <c r="I3103" s="2" t="s">
        <v>3683</v>
      </c>
    </row>
    <row r="3104" spans="1:9" ht="14.5" x14ac:dyDescent="0.35">
      <c r="A3104" s="2">
        <v>2552505</v>
      </c>
      <c r="B3104" s="2" t="str">
        <f>"3328111002040004"</f>
        <v>3328111002040004</v>
      </c>
      <c r="C3104" s="2" t="s">
        <v>3753</v>
      </c>
      <c r="D3104" s="2" t="s">
        <v>17</v>
      </c>
      <c r="E3104" s="2" t="s">
        <v>11</v>
      </c>
      <c r="F3104" s="2" t="s">
        <v>18</v>
      </c>
      <c r="G3104" s="2" t="s">
        <v>19</v>
      </c>
      <c r="H3104" s="2" t="s">
        <v>348</v>
      </c>
      <c r="I3104" s="2" t="s">
        <v>3727</v>
      </c>
    </row>
    <row r="3105" spans="1:9" ht="14.5" x14ac:dyDescent="0.35">
      <c r="A3105" s="2">
        <v>1351089</v>
      </c>
      <c r="B3105" s="2" t="str">
        <f>"3328111002040004"</f>
        <v>3328111002040004</v>
      </c>
      <c r="C3105" s="2" t="s">
        <v>3754</v>
      </c>
      <c r="D3105" s="2" t="s">
        <v>10</v>
      </c>
      <c r="E3105" s="2" t="s">
        <v>57</v>
      </c>
      <c r="F3105" s="2" t="s">
        <v>303</v>
      </c>
      <c r="G3105" s="2" t="s">
        <v>608</v>
      </c>
      <c r="H3105" s="2" t="s">
        <v>609</v>
      </c>
      <c r="I3105" s="2" t="s">
        <v>610</v>
      </c>
    </row>
    <row r="3106" spans="1:9" ht="14.5" x14ac:dyDescent="0.35">
      <c r="A3106" s="2">
        <v>2179952</v>
      </c>
      <c r="B3106" s="2" t="str">
        <f>"3328111005880003"</f>
        <v>3328111005880003</v>
      </c>
      <c r="C3106" s="2" t="s">
        <v>3755</v>
      </c>
      <c r="D3106" s="2" t="s">
        <v>10</v>
      </c>
      <c r="E3106" s="2" t="s">
        <v>11</v>
      </c>
      <c r="F3106" s="2" t="s">
        <v>18</v>
      </c>
      <c r="G3106" s="2" t="s">
        <v>19</v>
      </c>
      <c r="H3106" s="2" t="s">
        <v>348</v>
      </c>
      <c r="I3106" s="2" t="s">
        <v>3666</v>
      </c>
    </row>
    <row r="3107" spans="1:9" ht="14.5" x14ac:dyDescent="0.35">
      <c r="A3107" s="2">
        <v>1934907</v>
      </c>
      <c r="B3107" s="2" t="str">
        <f>"3328111005880003"</f>
        <v>3328111005880003</v>
      </c>
      <c r="C3107" s="2" t="s">
        <v>3755</v>
      </c>
      <c r="D3107" s="2" t="s">
        <v>17</v>
      </c>
      <c r="E3107" s="2" t="s">
        <v>11</v>
      </c>
      <c r="F3107" s="2" t="s">
        <v>50</v>
      </c>
      <c r="G3107" s="2" t="s">
        <v>86</v>
      </c>
      <c r="H3107" s="2" t="s">
        <v>925</v>
      </c>
      <c r="I3107" s="2" t="s">
        <v>1929</v>
      </c>
    </row>
    <row r="3108" spans="1:9" ht="14.5" x14ac:dyDescent="0.35">
      <c r="A3108" s="2">
        <v>2115605</v>
      </c>
      <c r="B3108" s="2" t="str">
        <f>"3328111006040002"</f>
        <v>3328111006040002</v>
      </c>
      <c r="C3108" s="2" t="s">
        <v>3756</v>
      </c>
      <c r="D3108" s="2" t="s">
        <v>10</v>
      </c>
      <c r="E3108" s="2" t="s">
        <v>11</v>
      </c>
      <c r="F3108" s="2" t="s">
        <v>18</v>
      </c>
      <c r="G3108" s="2" t="s">
        <v>19</v>
      </c>
      <c r="H3108" s="2" t="s">
        <v>348</v>
      </c>
      <c r="I3108" s="2" t="s">
        <v>1777</v>
      </c>
    </row>
    <row r="3109" spans="1:9" ht="14.5" x14ac:dyDescent="0.35">
      <c r="A3109" s="2">
        <v>2084836</v>
      </c>
      <c r="B3109" s="2" t="str">
        <f>"3328111006040002"</f>
        <v>3328111006040002</v>
      </c>
      <c r="C3109" s="2" t="s">
        <v>3757</v>
      </c>
      <c r="D3109" s="2" t="s">
        <v>17</v>
      </c>
      <c r="E3109" s="2" t="s">
        <v>57</v>
      </c>
      <c r="F3109" s="2" t="s">
        <v>18</v>
      </c>
      <c r="G3109" s="2" t="s">
        <v>962</v>
      </c>
      <c r="H3109" s="2" t="s">
        <v>1046</v>
      </c>
      <c r="I3109" s="2" t="s">
        <v>1046</v>
      </c>
    </row>
    <row r="3110" spans="1:9" ht="14.5" x14ac:dyDescent="0.35">
      <c r="A3110" s="2">
        <v>282219</v>
      </c>
      <c r="B3110" s="2" t="str">
        <f>"3328111006960008"</f>
        <v>3328111006960008</v>
      </c>
      <c r="C3110" s="2" t="s">
        <v>3758</v>
      </c>
      <c r="D3110" s="2" t="s">
        <v>10</v>
      </c>
      <c r="E3110" s="2" t="s">
        <v>11</v>
      </c>
      <c r="F3110" s="2" t="s">
        <v>18</v>
      </c>
      <c r="G3110" s="2" t="s">
        <v>268</v>
      </c>
      <c r="H3110" s="2" t="s">
        <v>277</v>
      </c>
      <c r="I3110" s="2" t="s">
        <v>884</v>
      </c>
    </row>
    <row r="3111" spans="1:9" ht="14.5" x14ac:dyDescent="0.35">
      <c r="A3111" s="2">
        <v>2552213</v>
      </c>
      <c r="B3111" s="2" t="str">
        <f>"3328111006960008"</f>
        <v>3328111006960008</v>
      </c>
      <c r="C3111" s="2" t="s">
        <v>3758</v>
      </c>
      <c r="D3111" s="2" t="s">
        <v>17</v>
      </c>
      <c r="E3111" s="2" t="s">
        <v>11</v>
      </c>
      <c r="F3111" s="2" t="s">
        <v>18</v>
      </c>
      <c r="G3111" s="2" t="s">
        <v>19</v>
      </c>
      <c r="H3111" s="2" t="s">
        <v>348</v>
      </c>
      <c r="I3111" s="2" t="s">
        <v>3723</v>
      </c>
    </row>
    <row r="3112" spans="1:9" ht="14.5" x14ac:dyDescent="0.35">
      <c r="A3112" s="2">
        <v>2662103</v>
      </c>
      <c r="B3112" s="2" t="str">
        <f>"3328111008870010"</f>
        <v>3328111008870010</v>
      </c>
      <c r="C3112" s="2" t="s">
        <v>3759</v>
      </c>
      <c r="D3112" s="2" t="s">
        <v>10</v>
      </c>
      <c r="E3112" s="2" t="s">
        <v>57</v>
      </c>
      <c r="F3112" s="2" t="s">
        <v>18</v>
      </c>
      <c r="G3112" s="2" t="s">
        <v>199</v>
      </c>
      <c r="H3112" s="2" t="s">
        <v>208</v>
      </c>
      <c r="I3112" s="2" t="s">
        <v>209</v>
      </c>
    </row>
    <row r="3113" spans="1:9" ht="14.5" x14ac:dyDescent="0.35">
      <c r="A3113" s="2">
        <v>2099956</v>
      </c>
      <c r="B3113" s="2" t="str">
        <f>"3328111008870010"</f>
        <v>3328111008870010</v>
      </c>
      <c r="C3113" s="2" t="s">
        <v>3759</v>
      </c>
      <c r="D3113" s="2" t="s">
        <v>189</v>
      </c>
      <c r="E3113" s="2" t="s">
        <v>11</v>
      </c>
      <c r="F3113" s="2" t="s">
        <v>18</v>
      </c>
      <c r="G3113" s="2" t="s">
        <v>19</v>
      </c>
      <c r="H3113" s="2" t="s">
        <v>348</v>
      </c>
      <c r="I3113" s="2" t="s">
        <v>3727</v>
      </c>
    </row>
    <row r="3114" spans="1:9" ht="14.5" x14ac:dyDescent="0.35">
      <c r="A3114" s="2">
        <v>2021143</v>
      </c>
      <c r="B3114" s="2" t="str">
        <f>"3328111105060002"</f>
        <v>3328111105060002</v>
      </c>
      <c r="C3114" s="2" t="s">
        <v>3760</v>
      </c>
      <c r="D3114" s="2" t="s">
        <v>189</v>
      </c>
      <c r="E3114" s="2" t="s">
        <v>11</v>
      </c>
      <c r="F3114" s="2" t="s">
        <v>18</v>
      </c>
      <c r="G3114" s="2" t="s">
        <v>19</v>
      </c>
      <c r="H3114" s="2" t="s">
        <v>348</v>
      </c>
      <c r="I3114" s="2" t="s">
        <v>349</v>
      </c>
    </row>
    <row r="3115" spans="1:9" ht="14.5" x14ac:dyDescent="0.35">
      <c r="A3115" s="2">
        <v>1351111</v>
      </c>
      <c r="B3115" s="2" t="str">
        <f>"3328111105060002"</f>
        <v>3328111105060002</v>
      </c>
      <c r="C3115" s="2" t="s">
        <v>3760</v>
      </c>
      <c r="D3115" s="2" t="s">
        <v>10</v>
      </c>
      <c r="E3115" s="2" t="s">
        <v>57</v>
      </c>
      <c r="F3115" s="2" t="s">
        <v>303</v>
      </c>
      <c r="G3115" s="2" t="s">
        <v>608</v>
      </c>
      <c r="H3115" s="2" t="s">
        <v>609</v>
      </c>
      <c r="I3115" s="2" t="s">
        <v>610</v>
      </c>
    </row>
    <row r="3116" spans="1:9" ht="14.5" x14ac:dyDescent="0.35">
      <c r="A3116" s="2">
        <v>323569</v>
      </c>
      <c r="B3116" s="2" t="str">
        <f>"3328111105940004"</f>
        <v>3328111105940004</v>
      </c>
      <c r="C3116" s="2" t="s">
        <v>3761</v>
      </c>
      <c r="D3116" s="2" t="s">
        <v>10</v>
      </c>
      <c r="E3116" s="2" t="s">
        <v>11</v>
      </c>
      <c r="F3116" s="2" t="s">
        <v>18</v>
      </c>
      <c r="G3116" s="2" t="s">
        <v>268</v>
      </c>
      <c r="H3116" s="2" t="s">
        <v>277</v>
      </c>
      <c r="I3116" s="2" t="s">
        <v>278</v>
      </c>
    </row>
    <row r="3117" spans="1:9" ht="14.5" x14ac:dyDescent="0.35">
      <c r="A3117" s="2">
        <v>2553370</v>
      </c>
      <c r="B3117" s="2" t="str">
        <f>"3328111105940004"</f>
        <v>3328111105940004</v>
      </c>
      <c r="C3117" s="2" t="s">
        <v>3762</v>
      </c>
      <c r="D3117" s="2" t="s">
        <v>17</v>
      </c>
      <c r="E3117" s="2" t="s">
        <v>11</v>
      </c>
      <c r="F3117" s="2" t="s">
        <v>18</v>
      </c>
      <c r="G3117" s="2" t="s">
        <v>19</v>
      </c>
      <c r="H3117" s="2" t="s">
        <v>348</v>
      </c>
      <c r="I3117" s="2" t="s">
        <v>3677</v>
      </c>
    </row>
    <row r="3118" spans="1:9" ht="14.5" x14ac:dyDescent="0.35">
      <c r="A3118" s="2">
        <v>2021140</v>
      </c>
      <c r="B3118" s="2" t="str">
        <f>"3328111109810006"</f>
        <v>3328111109810006</v>
      </c>
      <c r="C3118" s="2" t="s">
        <v>3763</v>
      </c>
      <c r="D3118" s="2" t="s">
        <v>189</v>
      </c>
      <c r="E3118" s="2" t="s">
        <v>11</v>
      </c>
      <c r="F3118" s="2" t="s">
        <v>18</v>
      </c>
      <c r="G3118" s="2" t="s">
        <v>19</v>
      </c>
      <c r="H3118" s="2" t="s">
        <v>348</v>
      </c>
      <c r="I3118" s="2" t="s">
        <v>349</v>
      </c>
    </row>
    <row r="3119" spans="1:9" ht="14.5" x14ac:dyDescent="0.35">
      <c r="A3119" s="2">
        <v>1133217</v>
      </c>
      <c r="B3119" s="2" t="str">
        <f>"3328111109810006"</f>
        <v>3328111109810006</v>
      </c>
      <c r="C3119" s="2" t="s">
        <v>3764</v>
      </c>
      <c r="D3119" s="2" t="s">
        <v>17</v>
      </c>
      <c r="E3119" s="2" t="s">
        <v>11</v>
      </c>
      <c r="F3119" s="2" t="s">
        <v>303</v>
      </c>
      <c r="G3119" s="2" t="s">
        <v>1584</v>
      </c>
      <c r="H3119" s="2" t="s">
        <v>1584</v>
      </c>
      <c r="I3119" s="2" t="s">
        <v>3765</v>
      </c>
    </row>
    <row r="3120" spans="1:9" ht="14.5" x14ac:dyDescent="0.35">
      <c r="A3120" s="2">
        <v>2021806</v>
      </c>
      <c r="B3120" s="2" t="str">
        <f>"3328111110910015"</f>
        <v>3328111110910015</v>
      </c>
      <c r="C3120" s="2" t="s">
        <v>3766</v>
      </c>
      <c r="D3120" s="2" t="s">
        <v>10</v>
      </c>
      <c r="E3120" s="2" t="s">
        <v>11</v>
      </c>
      <c r="F3120" s="2" t="s">
        <v>18</v>
      </c>
      <c r="G3120" s="2" t="s">
        <v>19</v>
      </c>
      <c r="H3120" s="2" t="s">
        <v>348</v>
      </c>
      <c r="I3120" s="2" t="s">
        <v>349</v>
      </c>
    </row>
    <row r="3121" spans="1:9" ht="14.5" x14ac:dyDescent="0.35">
      <c r="A3121" s="2">
        <v>2613991</v>
      </c>
      <c r="B3121" s="2" t="str">
        <f>"3328111110910015"</f>
        <v>3328111110910015</v>
      </c>
      <c r="C3121" s="2" t="s">
        <v>3767</v>
      </c>
      <c r="D3121" s="2" t="s">
        <v>10</v>
      </c>
      <c r="E3121" s="2" t="s">
        <v>57</v>
      </c>
      <c r="F3121" s="2" t="s">
        <v>18</v>
      </c>
      <c r="G3121" s="2" t="s">
        <v>1438</v>
      </c>
      <c r="H3121" s="2" t="s">
        <v>3511</v>
      </c>
      <c r="I3121" s="2" t="s">
        <v>3086</v>
      </c>
    </row>
    <row r="3122" spans="1:9" ht="14.5" x14ac:dyDescent="0.35">
      <c r="A3122" s="2">
        <v>2095130</v>
      </c>
      <c r="B3122" s="2" t="str">
        <f>"3328111205030006"</f>
        <v>3328111205030006</v>
      </c>
      <c r="C3122" s="2" t="s">
        <v>3768</v>
      </c>
      <c r="D3122" s="2" t="s">
        <v>10</v>
      </c>
      <c r="E3122" s="2" t="s">
        <v>11</v>
      </c>
      <c r="F3122" s="2" t="s">
        <v>18</v>
      </c>
      <c r="G3122" s="2" t="s">
        <v>19</v>
      </c>
      <c r="H3122" s="2" t="s">
        <v>348</v>
      </c>
      <c r="I3122" s="2" t="s">
        <v>3660</v>
      </c>
    </row>
    <row r="3123" spans="1:9" ht="14.5" x14ac:dyDescent="0.35">
      <c r="A3123" s="2">
        <v>1351116</v>
      </c>
      <c r="B3123" s="2" t="str">
        <f>"3328111205030006"</f>
        <v>3328111205030006</v>
      </c>
      <c r="C3123" s="2" t="s">
        <v>3768</v>
      </c>
      <c r="D3123" s="2" t="s">
        <v>10</v>
      </c>
      <c r="E3123" s="2" t="s">
        <v>57</v>
      </c>
      <c r="F3123" s="2" t="s">
        <v>303</v>
      </c>
      <c r="G3123" s="2" t="s">
        <v>608</v>
      </c>
      <c r="H3123" s="2" t="s">
        <v>609</v>
      </c>
      <c r="I3123" s="2" t="s">
        <v>610</v>
      </c>
    </row>
    <row r="3124" spans="1:9" ht="14.5" x14ac:dyDescent="0.35">
      <c r="A3124" s="2">
        <v>2135017</v>
      </c>
      <c r="B3124" s="2" t="str">
        <f>"3328111208760008"</f>
        <v>3328111208760008</v>
      </c>
      <c r="C3124" s="2" t="s">
        <v>3769</v>
      </c>
      <c r="D3124" s="2" t="s">
        <v>10</v>
      </c>
      <c r="E3124" s="2" t="s">
        <v>11</v>
      </c>
      <c r="F3124" s="2" t="s">
        <v>18</v>
      </c>
      <c r="G3124" s="2" t="s">
        <v>19</v>
      </c>
      <c r="H3124" s="2" t="s">
        <v>348</v>
      </c>
      <c r="I3124" s="2" t="s">
        <v>3677</v>
      </c>
    </row>
    <row r="3125" spans="1:9" ht="14.5" x14ac:dyDescent="0.35">
      <c r="A3125" s="2">
        <v>736407</v>
      </c>
      <c r="B3125" s="2" t="str">
        <f>"3328111208760008"</f>
        <v>3328111208760008</v>
      </c>
      <c r="C3125" s="2" t="s">
        <v>3769</v>
      </c>
      <c r="D3125" s="2" t="s">
        <v>17</v>
      </c>
      <c r="E3125" s="2" t="s">
        <v>11</v>
      </c>
      <c r="F3125" s="2" t="s">
        <v>18</v>
      </c>
      <c r="G3125" s="2" t="s">
        <v>1381</v>
      </c>
      <c r="H3125" s="2" t="s">
        <v>1381</v>
      </c>
      <c r="I3125" s="2" t="s">
        <v>3770</v>
      </c>
    </row>
    <row r="3126" spans="1:9" ht="14.5" x14ac:dyDescent="0.35">
      <c r="A3126" s="2">
        <v>422267</v>
      </c>
      <c r="B3126" s="2" t="str">
        <f>"3328111303920003"</f>
        <v>3328111303920003</v>
      </c>
      <c r="C3126" s="2" t="s">
        <v>71</v>
      </c>
      <c r="D3126" s="2" t="s">
        <v>17</v>
      </c>
      <c r="E3126" s="2" t="s">
        <v>11</v>
      </c>
      <c r="F3126" s="2" t="s">
        <v>18</v>
      </c>
      <c r="G3126" s="2" t="s">
        <v>268</v>
      </c>
      <c r="H3126" s="2" t="s">
        <v>269</v>
      </c>
      <c r="I3126" s="2" t="s">
        <v>996</v>
      </c>
    </row>
    <row r="3127" spans="1:9" ht="14.5" x14ac:dyDescent="0.35">
      <c r="A3127" s="2">
        <v>2083014</v>
      </c>
      <c r="B3127" s="2" t="str">
        <f>"3328111303920003"</f>
        <v>3328111303920003</v>
      </c>
      <c r="C3127" s="2" t="s">
        <v>71</v>
      </c>
      <c r="D3127" s="2" t="s">
        <v>189</v>
      </c>
      <c r="E3127" s="2" t="s">
        <v>11</v>
      </c>
      <c r="F3127" s="2" t="s">
        <v>18</v>
      </c>
      <c r="G3127" s="2" t="s">
        <v>19</v>
      </c>
      <c r="H3127" s="2" t="s">
        <v>348</v>
      </c>
      <c r="I3127" s="2" t="s">
        <v>3679</v>
      </c>
    </row>
    <row r="3128" spans="1:9" ht="14.5" x14ac:dyDescent="0.35">
      <c r="A3128" s="2">
        <v>1375923</v>
      </c>
      <c r="B3128" s="2" t="str">
        <f>"3328111310910002"</f>
        <v>3328111310910002</v>
      </c>
      <c r="C3128" s="2" t="s">
        <v>3771</v>
      </c>
      <c r="D3128" s="2" t="s">
        <v>10</v>
      </c>
      <c r="E3128" s="2" t="s">
        <v>11</v>
      </c>
      <c r="F3128" s="2" t="s">
        <v>67</v>
      </c>
      <c r="G3128" s="2" t="s">
        <v>890</v>
      </c>
      <c r="H3128" s="2" t="s">
        <v>3772</v>
      </c>
      <c r="I3128" s="2" t="s">
        <v>3773</v>
      </c>
    </row>
    <row r="3129" spans="1:9" ht="14.5" x14ac:dyDescent="0.35">
      <c r="A3129" s="2">
        <v>2553392</v>
      </c>
      <c r="B3129" s="2" t="str">
        <f>"3328111310910002"</f>
        <v>3328111310910002</v>
      </c>
      <c r="C3129" s="2" t="s">
        <v>3771</v>
      </c>
      <c r="D3129" s="2" t="s">
        <v>17</v>
      </c>
      <c r="E3129" s="2" t="s">
        <v>11</v>
      </c>
      <c r="F3129" s="2" t="s">
        <v>18</v>
      </c>
      <c r="G3129" s="2" t="s">
        <v>19</v>
      </c>
      <c r="H3129" s="2" t="s">
        <v>348</v>
      </c>
      <c r="I3129" s="2" t="s">
        <v>3677</v>
      </c>
    </row>
    <row r="3130" spans="1:9" ht="14.5" x14ac:dyDescent="0.35">
      <c r="A3130" s="2">
        <v>2114824</v>
      </c>
      <c r="B3130" s="2" t="str">
        <f>"3328111311040003"</f>
        <v>3328111311040003</v>
      </c>
      <c r="C3130" s="2" t="s">
        <v>3774</v>
      </c>
      <c r="D3130" s="2" t="s">
        <v>10</v>
      </c>
      <c r="E3130" s="2" t="s">
        <v>11</v>
      </c>
      <c r="F3130" s="2" t="s">
        <v>18</v>
      </c>
      <c r="G3130" s="2" t="s">
        <v>19</v>
      </c>
      <c r="H3130" s="2" t="s">
        <v>348</v>
      </c>
      <c r="I3130" s="2" t="s">
        <v>1777</v>
      </c>
    </row>
    <row r="3131" spans="1:9" ht="14.5" x14ac:dyDescent="0.35">
      <c r="A3131" s="2">
        <v>763972</v>
      </c>
      <c r="B3131" s="2" t="str">
        <f>"3328111311040003"</f>
        <v>3328111311040003</v>
      </c>
      <c r="C3131" s="2" t="s">
        <v>3775</v>
      </c>
      <c r="D3131" s="2" t="s">
        <v>10</v>
      </c>
      <c r="E3131" s="2" t="s">
        <v>57</v>
      </c>
      <c r="F3131" s="2" t="s">
        <v>379</v>
      </c>
      <c r="G3131" s="2" t="s">
        <v>711</v>
      </c>
      <c r="H3131" s="2" t="s">
        <v>718</v>
      </c>
      <c r="I3131" s="2" t="s">
        <v>3776</v>
      </c>
    </row>
    <row r="3132" spans="1:9" ht="14.5" x14ac:dyDescent="0.35">
      <c r="A3132" s="2">
        <v>2110848</v>
      </c>
      <c r="B3132" s="2" t="str">
        <f>"3328111401010007"</f>
        <v>3328111401010007</v>
      </c>
      <c r="C3132" s="2" t="s">
        <v>3777</v>
      </c>
      <c r="D3132" s="2" t="s">
        <v>10</v>
      </c>
      <c r="E3132" s="2" t="s">
        <v>11</v>
      </c>
      <c r="F3132" s="2" t="s">
        <v>18</v>
      </c>
      <c r="G3132" s="2" t="s">
        <v>19</v>
      </c>
      <c r="H3132" s="2" t="s">
        <v>348</v>
      </c>
      <c r="I3132" s="2" t="s">
        <v>1777</v>
      </c>
    </row>
    <row r="3133" spans="1:9" ht="14.5" x14ac:dyDescent="0.35">
      <c r="A3133" s="2">
        <v>1351103</v>
      </c>
      <c r="B3133" s="2" t="str">
        <f>"3328111401010007"</f>
        <v>3328111401010007</v>
      </c>
      <c r="C3133" s="2" t="s">
        <v>3777</v>
      </c>
      <c r="D3133" s="2" t="s">
        <v>10</v>
      </c>
      <c r="E3133" s="2" t="s">
        <v>57</v>
      </c>
      <c r="F3133" s="2" t="s">
        <v>303</v>
      </c>
      <c r="G3133" s="2" t="s">
        <v>608</v>
      </c>
      <c r="H3133" s="2" t="s">
        <v>609</v>
      </c>
      <c r="I3133" s="2" t="s">
        <v>610</v>
      </c>
    </row>
    <row r="3134" spans="1:9" ht="14.5" x14ac:dyDescent="0.35">
      <c r="A3134" s="2">
        <v>2111365</v>
      </c>
      <c r="B3134" s="2" t="str">
        <f>"3328111405040005"</f>
        <v>3328111405040005</v>
      </c>
      <c r="C3134" s="2" t="s">
        <v>3778</v>
      </c>
      <c r="D3134" s="2" t="s">
        <v>10</v>
      </c>
      <c r="E3134" s="2" t="s">
        <v>11</v>
      </c>
      <c r="F3134" s="2" t="s">
        <v>18</v>
      </c>
      <c r="G3134" s="2" t="s">
        <v>19</v>
      </c>
      <c r="H3134" s="2" t="s">
        <v>348</v>
      </c>
      <c r="I3134" s="2" t="s">
        <v>1777</v>
      </c>
    </row>
    <row r="3135" spans="1:9" ht="14.5" x14ac:dyDescent="0.35">
      <c r="A3135" s="2">
        <v>1351104</v>
      </c>
      <c r="B3135" s="2" t="str">
        <f>"3328111405040005"</f>
        <v>3328111405040005</v>
      </c>
      <c r="C3135" s="2" t="s">
        <v>3778</v>
      </c>
      <c r="D3135" s="2" t="s">
        <v>10</v>
      </c>
      <c r="E3135" s="2" t="s">
        <v>57</v>
      </c>
      <c r="F3135" s="2" t="s">
        <v>303</v>
      </c>
      <c r="G3135" s="2" t="s">
        <v>608</v>
      </c>
      <c r="H3135" s="2" t="s">
        <v>609</v>
      </c>
      <c r="I3135" s="2" t="s">
        <v>610</v>
      </c>
    </row>
    <row r="3136" spans="1:9" ht="14.5" x14ac:dyDescent="0.35">
      <c r="A3136" s="2">
        <v>2552164</v>
      </c>
      <c r="B3136" s="2" t="str">
        <f>"3328111405990006"</f>
        <v>3328111405990006</v>
      </c>
      <c r="C3136" s="2" t="s">
        <v>3779</v>
      </c>
      <c r="D3136" s="2" t="s">
        <v>17</v>
      </c>
      <c r="E3136" s="2" t="s">
        <v>11</v>
      </c>
      <c r="F3136" s="2" t="s">
        <v>18</v>
      </c>
      <c r="G3136" s="2" t="s">
        <v>19</v>
      </c>
      <c r="H3136" s="2" t="s">
        <v>348</v>
      </c>
      <c r="I3136" s="2" t="s">
        <v>349</v>
      </c>
    </row>
    <row r="3137" spans="1:9" ht="14.5" x14ac:dyDescent="0.35">
      <c r="A3137" s="2">
        <v>1351112</v>
      </c>
      <c r="B3137" s="2" t="str">
        <f>"3328111405990006"</f>
        <v>3328111405990006</v>
      </c>
      <c r="C3137" s="2" t="s">
        <v>3780</v>
      </c>
      <c r="D3137" s="2" t="s">
        <v>10</v>
      </c>
      <c r="E3137" s="2" t="s">
        <v>57</v>
      </c>
      <c r="F3137" s="2" t="s">
        <v>303</v>
      </c>
      <c r="G3137" s="2" t="s">
        <v>608</v>
      </c>
      <c r="H3137" s="2" t="s">
        <v>609</v>
      </c>
      <c r="I3137" s="2" t="s">
        <v>610</v>
      </c>
    </row>
    <row r="3138" spans="1:9" ht="14.5" x14ac:dyDescent="0.35">
      <c r="A3138" s="2">
        <v>1289844</v>
      </c>
      <c r="B3138" s="2" t="str">
        <f>"3328111410920003"</f>
        <v>3328111410920003</v>
      </c>
      <c r="C3138" s="2" t="s">
        <v>3781</v>
      </c>
      <c r="D3138" s="2" t="s">
        <v>10</v>
      </c>
      <c r="E3138" s="2" t="s">
        <v>11</v>
      </c>
      <c r="F3138" s="2" t="s">
        <v>91</v>
      </c>
      <c r="G3138" s="2" t="s">
        <v>159</v>
      </c>
      <c r="H3138" s="2" t="s">
        <v>3107</v>
      </c>
      <c r="I3138" s="2" t="s">
        <v>3107</v>
      </c>
    </row>
    <row r="3139" spans="1:9" ht="14.5" x14ac:dyDescent="0.35">
      <c r="A3139" s="2">
        <v>2552212</v>
      </c>
      <c r="B3139" s="2" t="str">
        <f>"3328111410920003"</f>
        <v>3328111410920003</v>
      </c>
      <c r="C3139" s="2" t="s">
        <v>3782</v>
      </c>
      <c r="D3139" s="2" t="s">
        <v>17</v>
      </c>
      <c r="E3139" s="2" t="s">
        <v>11</v>
      </c>
      <c r="F3139" s="2" t="s">
        <v>18</v>
      </c>
      <c r="G3139" s="2" t="s">
        <v>19</v>
      </c>
      <c r="H3139" s="2" t="s">
        <v>348</v>
      </c>
      <c r="I3139" s="2" t="s">
        <v>3723</v>
      </c>
    </row>
    <row r="3140" spans="1:9" ht="14.5" x14ac:dyDescent="0.35">
      <c r="A3140" s="2">
        <v>2036854</v>
      </c>
      <c r="B3140" s="2" t="str">
        <f>"3328111410970003"</f>
        <v>3328111410970003</v>
      </c>
      <c r="C3140" s="2" t="s">
        <v>3783</v>
      </c>
      <c r="D3140" s="2" t="s">
        <v>189</v>
      </c>
      <c r="E3140" s="2" t="s">
        <v>11</v>
      </c>
      <c r="F3140" s="2" t="s">
        <v>18</v>
      </c>
      <c r="G3140" s="2" t="s">
        <v>19</v>
      </c>
      <c r="H3140" s="2" t="s">
        <v>348</v>
      </c>
      <c r="I3140" s="2" t="s">
        <v>3721</v>
      </c>
    </row>
    <row r="3141" spans="1:9" ht="14.5" x14ac:dyDescent="0.35">
      <c r="A3141" s="2">
        <v>761825</v>
      </c>
      <c r="B3141" s="2" t="str">
        <f>"3328111410970003"</f>
        <v>3328111410970003</v>
      </c>
      <c r="C3141" s="2" t="s">
        <v>3783</v>
      </c>
      <c r="D3141" s="2" t="s">
        <v>17</v>
      </c>
      <c r="E3141" s="2" t="s">
        <v>11</v>
      </c>
      <c r="F3141" s="2" t="s">
        <v>379</v>
      </c>
      <c r="G3141" s="2" t="s">
        <v>711</v>
      </c>
      <c r="H3141" s="2" t="s">
        <v>3784</v>
      </c>
      <c r="I3141" s="2" t="s">
        <v>3785</v>
      </c>
    </row>
    <row r="3142" spans="1:9" ht="14.5" x14ac:dyDescent="0.35">
      <c r="A3142" s="2">
        <v>2124895</v>
      </c>
      <c r="B3142" s="2" t="str">
        <f>"3328111412850001"</f>
        <v>3328111412850001</v>
      </c>
      <c r="C3142" s="2" t="s">
        <v>744</v>
      </c>
      <c r="D3142" s="2" t="s">
        <v>10</v>
      </c>
      <c r="E3142" s="2" t="s">
        <v>11</v>
      </c>
      <c r="F3142" s="2" t="s">
        <v>18</v>
      </c>
      <c r="G3142" s="2" t="s">
        <v>19</v>
      </c>
      <c r="H3142" s="2" t="s">
        <v>348</v>
      </c>
      <c r="I3142" s="2" t="s">
        <v>1644</v>
      </c>
    </row>
    <row r="3143" spans="1:9" ht="14.5" x14ac:dyDescent="0.35">
      <c r="A3143" s="2">
        <v>1799164</v>
      </c>
      <c r="B3143" s="2" t="str">
        <f>"3328111412850001"</f>
        <v>3328111412850001</v>
      </c>
      <c r="C3143" s="2" t="s">
        <v>3786</v>
      </c>
      <c r="D3143" s="2" t="s">
        <v>17</v>
      </c>
      <c r="E3143" s="2" t="s">
        <v>11</v>
      </c>
      <c r="F3143" s="2" t="s">
        <v>50</v>
      </c>
      <c r="G3143" s="2" t="s">
        <v>72</v>
      </c>
      <c r="H3143" s="2" t="s">
        <v>1840</v>
      </c>
      <c r="I3143" s="2" t="s">
        <v>3787</v>
      </c>
    </row>
    <row r="3144" spans="1:9" ht="14.5" x14ac:dyDescent="0.35">
      <c r="A3144" s="2">
        <v>2379169</v>
      </c>
      <c r="B3144" s="2" t="str">
        <f>"3328111501980007"</f>
        <v>3328111501980007</v>
      </c>
      <c r="C3144" s="2" t="s">
        <v>3788</v>
      </c>
      <c r="D3144" s="2" t="s">
        <v>10</v>
      </c>
      <c r="E3144" s="2" t="s">
        <v>11</v>
      </c>
      <c r="F3144" s="2" t="s">
        <v>18</v>
      </c>
      <c r="G3144" s="2" t="s">
        <v>19</v>
      </c>
      <c r="H3144" s="2" t="s">
        <v>348</v>
      </c>
      <c r="I3144" s="2" t="s">
        <v>348</v>
      </c>
    </row>
    <row r="3145" spans="1:9" ht="14.5" x14ac:dyDescent="0.35">
      <c r="A3145" s="2">
        <v>423840</v>
      </c>
      <c r="B3145" s="2" t="str">
        <f>"3328111501980007"</f>
        <v>3328111501980007</v>
      </c>
      <c r="C3145" s="2" t="s">
        <v>3789</v>
      </c>
      <c r="D3145" s="2" t="s">
        <v>10</v>
      </c>
      <c r="E3145" s="2" t="s">
        <v>57</v>
      </c>
      <c r="F3145" s="2" t="s">
        <v>18</v>
      </c>
      <c r="G3145" s="2" t="s">
        <v>268</v>
      </c>
      <c r="H3145" s="2" t="s">
        <v>277</v>
      </c>
      <c r="I3145" s="2" t="s">
        <v>278</v>
      </c>
    </row>
    <row r="3146" spans="1:9" ht="14.5" x14ac:dyDescent="0.35">
      <c r="A3146" s="2">
        <v>2154770</v>
      </c>
      <c r="B3146" s="2" t="str">
        <f>"3328111504710011"</f>
        <v>3328111504710011</v>
      </c>
      <c r="C3146" s="2" t="s">
        <v>1190</v>
      </c>
      <c r="D3146" s="2" t="s">
        <v>10</v>
      </c>
      <c r="E3146" s="2" t="s">
        <v>11</v>
      </c>
      <c r="F3146" s="2" t="s">
        <v>18</v>
      </c>
      <c r="G3146" s="2" t="s">
        <v>19</v>
      </c>
      <c r="H3146" s="2" t="s">
        <v>348</v>
      </c>
      <c r="I3146" s="2" t="s">
        <v>3688</v>
      </c>
    </row>
    <row r="3147" spans="1:9" ht="14.5" x14ac:dyDescent="0.35">
      <c r="A3147" s="2">
        <v>1884360</v>
      </c>
      <c r="B3147" s="2" t="str">
        <f>"3328111504710011"</f>
        <v>3328111504710011</v>
      </c>
      <c r="C3147" s="2" t="s">
        <v>3790</v>
      </c>
      <c r="D3147" s="2" t="s">
        <v>17</v>
      </c>
      <c r="E3147" s="2" t="s">
        <v>57</v>
      </c>
      <c r="F3147" s="2" t="s">
        <v>91</v>
      </c>
      <c r="G3147" s="2" t="s">
        <v>159</v>
      </c>
      <c r="H3147" s="2" t="s">
        <v>685</v>
      </c>
      <c r="I3147" s="2" t="s">
        <v>686</v>
      </c>
    </row>
    <row r="3148" spans="1:9" ht="14.5" x14ac:dyDescent="0.35">
      <c r="A3148" s="2">
        <v>2119123</v>
      </c>
      <c r="B3148" s="2" t="str">
        <f>"3328111507870018"</f>
        <v>3328111507870018</v>
      </c>
      <c r="C3148" s="2" t="s">
        <v>3791</v>
      </c>
      <c r="D3148" s="2" t="s">
        <v>10</v>
      </c>
      <c r="E3148" s="2" t="s">
        <v>11</v>
      </c>
      <c r="F3148" s="2" t="s">
        <v>18</v>
      </c>
      <c r="G3148" s="2" t="s">
        <v>19</v>
      </c>
      <c r="H3148" s="2" t="s">
        <v>348</v>
      </c>
      <c r="I3148" s="2" t="s">
        <v>1777</v>
      </c>
    </row>
    <row r="3149" spans="1:9" ht="14.5" x14ac:dyDescent="0.35">
      <c r="A3149" s="2">
        <v>423863</v>
      </c>
      <c r="B3149" s="2" t="str">
        <f>"3328111507870018"</f>
        <v>3328111507870018</v>
      </c>
      <c r="C3149" s="2" t="s">
        <v>3792</v>
      </c>
      <c r="D3149" s="2" t="s">
        <v>10</v>
      </c>
      <c r="E3149" s="2" t="s">
        <v>57</v>
      </c>
      <c r="F3149" s="2" t="s">
        <v>18</v>
      </c>
      <c r="G3149" s="2" t="s">
        <v>268</v>
      </c>
      <c r="H3149" s="2" t="s">
        <v>277</v>
      </c>
      <c r="I3149" s="2" t="s">
        <v>278</v>
      </c>
    </row>
    <row r="3150" spans="1:9" ht="14.5" x14ac:dyDescent="0.35">
      <c r="A3150" s="2">
        <v>1291111</v>
      </c>
      <c r="B3150" s="2" t="str">
        <f>"3328111601780009"</f>
        <v>3328111601780009</v>
      </c>
      <c r="C3150" s="2" t="s">
        <v>2314</v>
      </c>
      <c r="D3150" s="2" t="s">
        <v>10</v>
      </c>
      <c r="E3150" s="2" t="s">
        <v>11</v>
      </c>
      <c r="F3150" s="2" t="s">
        <v>91</v>
      </c>
      <c r="G3150" s="2" t="s">
        <v>92</v>
      </c>
      <c r="H3150" s="2" t="s">
        <v>571</v>
      </c>
      <c r="I3150" s="2" t="s">
        <v>3309</v>
      </c>
    </row>
    <row r="3151" spans="1:9" ht="14.5" x14ac:dyDescent="0.35">
      <c r="A3151" s="2">
        <v>2551792</v>
      </c>
      <c r="B3151" s="2" t="str">
        <f>"3328111601780009"</f>
        <v>3328111601780009</v>
      </c>
      <c r="C3151" s="2" t="s">
        <v>2314</v>
      </c>
      <c r="D3151" s="2" t="s">
        <v>17</v>
      </c>
      <c r="E3151" s="2" t="s">
        <v>11</v>
      </c>
      <c r="F3151" s="2" t="s">
        <v>18</v>
      </c>
      <c r="G3151" s="2" t="s">
        <v>19</v>
      </c>
      <c r="H3151" s="2" t="s">
        <v>348</v>
      </c>
      <c r="I3151" s="2" t="s">
        <v>3679</v>
      </c>
    </row>
    <row r="3152" spans="1:9" ht="14.5" x14ac:dyDescent="0.35">
      <c r="A3152" s="2">
        <v>2136037</v>
      </c>
      <c r="B3152" s="2" t="str">
        <f>"3328111603870008"</f>
        <v>3328111603870008</v>
      </c>
      <c r="C3152" s="2" t="s">
        <v>3793</v>
      </c>
      <c r="D3152" s="2" t="s">
        <v>10</v>
      </c>
      <c r="E3152" s="2" t="s">
        <v>11</v>
      </c>
      <c r="F3152" s="2" t="s">
        <v>18</v>
      </c>
      <c r="G3152" s="2" t="s">
        <v>19</v>
      </c>
      <c r="H3152" s="2" t="s">
        <v>348</v>
      </c>
      <c r="I3152" s="2" t="s">
        <v>3677</v>
      </c>
    </row>
    <row r="3153" spans="1:9" ht="14.5" x14ac:dyDescent="0.35">
      <c r="A3153" s="2">
        <v>2429718</v>
      </c>
      <c r="B3153" s="2" t="str">
        <f>"3328111603870008"</f>
        <v>3328111603870008</v>
      </c>
      <c r="C3153" s="2" t="s">
        <v>3793</v>
      </c>
      <c r="D3153" s="2" t="s">
        <v>17</v>
      </c>
      <c r="E3153" s="2" t="s">
        <v>11</v>
      </c>
      <c r="F3153" s="2" t="s">
        <v>50</v>
      </c>
      <c r="G3153" s="2" t="s">
        <v>58</v>
      </c>
      <c r="H3153" s="2" t="s">
        <v>1283</v>
      </c>
      <c r="I3153" s="2" t="s">
        <v>2273</v>
      </c>
    </row>
    <row r="3154" spans="1:9" ht="14.5" x14ac:dyDescent="0.35">
      <c r="A3154" s="2">
        <v>209303</v>
      </c>
      <c r="B3154" s="2" t="str">
        <f>"3328111605820010"</f>
        <v>3328111605820010</v>
      </c>
      <c r="C3154" s="2" t="s">
        <v>3794</v>
      </c>
      <c r="D3154" s="2" t="s">
        <v>10</v>
      </c>
      <c r="E3154" s="2" t="s">
        <v>11</v>
      </c>
      <c r="F3154" s="2" t="s">
        <v>18</v>
      </c>
      <c r="G3154" s="2" t="s">
        <v>268</v>
      </c>
      <c r="H3154" s="2" t="s">
        <v>371</v>
      </c>
      <c r="I3154" s="2" t="s">
        <v>2772</v>
      </c>
    </row>
    <row r="3155" spans="1:9" ht="14.5" x14ac:dyDescent="0.35">
      <c r="A3155" s="2">
        <v>2553274</v>
      </c>
      <c r="B3155" s="2" t="str">
        <f>"3328111605820010"</f>
        <v>3328111605820010</v>
      </c>
      <c r="C3155" s="2" t="s">
        <v>3795</v>
      </c>
      <c r="D3155" s="2" t="s">
        <v>17</v>
      </c>
      <c r="E3155" s="2" t="s">
        <v>11</v>
      </c>
      <c r="F3155" s="2" t="s">
        <v>18</v>
      </c>
      <c r="G3155" s="2" t="s">
        <v>19</v>
      </c>
      <c r="H3155" s="2" t="s">
        <v>348</v>
      </c>
      <c r="I3155" s="2" t="s">
        <v>1644</v>
      </c>
    </row>
    <row r="3156" spans="1:9" ht="14.5" x14ac:dyDescent="0.35">
      <c r="A3156" s="2">
        <v>2125200</v>
      </c>
      <c r="B3156" s="2" t="str">
        <f>"3328111612040007"</f>
        <v>3328111612040007</v>
      </c>
      <c r="C3156" s="2" t="s">
        <v>3796</v>
      </c>
      <c r="D3156" s="2" t="s">
        <v>10</v>
      </c>
      <c r="E3156" s="2" t="s">
        <v>11</v>
      </c>
      <c r="F3156" s="2" t="s">
        <v>18</v>
      </c>
      <c r="G3156" s="2" t="s">
        <v>19</v>
      </c>
      <c r="H3156" s="2" t="s">
        <v>348</v>
      </c>
      <c r="I3156" s="2" t="s">
        <v>1644</v>
      </c>
    </row>
    <row r="3157" spans="1:9" ht="14.5" x14ac:dyDescent="0.35">
      <c r="A3157" s="2">
        <v>1351095</v>
      </c>
      <c r="B3157" s="2" t="str">
        <f>"3328111612040007"</f>
        <v>3328111612040007</v>
      </c>
      <c r="C3157" s="2" t="s">
        <v>3796</v>
      </c>
      <c r="D3157" s="2" t="s">
        <v>10</v>
      </c>
      <c r="E3157" s="2" t="s">
        <v>57</v>
      </c>
      <c r="F3157" s="2" t="s">
        <v>303</v>
      </c>
      <c r="G3157" s="2" t="s">
        <v>608</v>
      </c>
      <c r="H3157" s="2" t="s">
        <v>609</v>
      </c>
      <c r="I3157" s="2" t="s">
        <v>610</v>
      </c>
    </row>
    <row r="3158" spans="1:9" ht="14.5" x14ac:dyDescent="0.35">
      <c r="A3158" s="2">
        <v>361306</v>
      </c>
      <c r="B3158" s="2" t="str">
        <f>"3328111703760006"</f>
        <v>3328111703760006</v>
      </c>
      <c r="C3158" s="2" t="s">
        <v>3797</v>
      </c>
      <c r="D3158" s="2" t="s">
        <v>17</v>
      </c>
      <c r="E3158" s="2" t="s">
        <v>11</v>
      </c>
      <c r="F3158" s="2" t="s">
        <v>379</v>
      </c>
      <c r="G3158" s="2" t="s">
        <v>380</v>
      </c>
      <c r="H3158" s="2" t="s">
        <v>2015</v>
      </c>
      <c r="I3158" s="2" t="s">
        <v>3798</v>
      </c>
    </row>
    <row r="3159" spans="1:9" ht="14.5" x14ac:dyDescent="0.35">
      <c r="A3159" s="2">
        <v>2020897</v>
      </c>
      <c r="B3159" s="2" t="str">
        <f>"3328111703760006"</f>
        <v>3328111703760006</v>
      </c>
      <c r="C3159" s="2" t="s">
        <v>3797</v>
      </c>
      <c r="D3159" s="2" t="s">
        <v>189</v>
      </c>
      <c r="E3159" s="2" t="s">
        <v>11</v>
      </c>
      <c r="F3159" s="2" t="s">
        <v>18</v>
      </c>
      <c r="G3159" s="2" t="s">
        <v>19</v>
      </c>
      <c r="H3159" s="2" t="s">
        <v>348</v>
      </c>
      <c r="I3159" s="2" t="s">
        <v>349</v>
      </c>
    </row>
    <row r="3160" spans="1:9" ht="14.5" x14ac:dyDescent="0.35">
      <c r="A3160" s="2">
        <v>2162159</v>
      </c>
      <c r="B3160" s="2" t="str">
        <f>"3328111710930004"</f>
        <v>3328111710930004</v>
      </c>
      <c r="C3160" s="2" t="s">
        <v>3799</v>
      </c>
      <c r="D3160" s="2" t="s">
        <v>189</v>
      </c>
      <c r="E3160" s="2" t="s">
        <v>11</v>
      </c>
      <c r="F3160" s="2" t="s">
        <v>18</v>
      </c>
      <c r="G3160" s="2" t="s">
        <v>19</v>
      </c>
      <c r="H3160" s="2" t="s">
        <v>348</v>
      </c>
      <c r="I3160" s="2" t="s">
        <v>3696</v>
      </c>
    </row>
    <row r="3161" spans="1:9" ht="14.5" x14ac:dyDescent="0.35">
      <c r="A3161" s="2">
        <v>697586</v>
      </c>
      <c r="B3161" s="2" t="str">
        <f>"3328111710930004"</f>
        <v>3328111710930004</v>
      </c>
      <c r="C3161" s="2" t="s">
        <v>3800</v>
      </c>
      <c r="D3161" s="2" t="s">
        <v>17</v>
      </c>
      <c r="E3161" s="2" t="s">
        <v>11</v>
      </c>
      <c r="F3161" s="2" t="s">
        <v>18</v>
      </c>
      <c r="G3161" s="2" t="s">
        <v>190</v>
      </c>
      <c r="H3161" s="2" t="s">
        <v>3801</v>
      </c>
      <c r="I3161" s="2" t="s">
        <v>3802</v>
      </c>
    </row>
    <row r="3162" spans="1:9" ht="14.5" x14ac:dyDescent="0.35">
      <c r="A3162" s="2">
        <v>967158</v>
      </c>
      <c r="B3162" s="2" t="str">
        <f>"3328112002900004"</f>
        <v>3328112002900004</v>
      </c>
      <c r="C3162" s="2" t="s">
        <v>3803</v>
      </c>
      <c r="D3162" s="2" t="s">
        <v>10</v>
      </c>
      <c r="E3162" s="2" t="s">
        <v>11</v>
      </c>
      <c r="F3162" s="2" t="s">
        <v>303</v>
      </c>
      <c r="G3162" s="2" t="s">
        <v>1584</v>
      </c>
      <c r="H3162" s="2" t="s">
        <v>3587</v>
      </c>
      <c r="I3162" s="2" t="s">
        <v>3588</v>
      </c>
    </row>
    <row r="3163" spans="1:9" ht="14.5" x14ac:dyDescent="0.35">
      <c r="A3163" s="2">
        <v>2552402</v>
      </c>
      <c r="B3163" s="2" t="str">
        <f>"3328112002900004"</f>
        <v>3328112002900004</v>
      </c>
      <c r="C3163" s="2" t="s">
        <v>3804</v>
      </c>
      <c r="D3163" s="2" t="s">
        <v>17</v>
      </c>
      <c r="E3163" s="2" t="s">
        <v>11</v>
      </c>
      <c r="F3163" s="2" t="s">
        <v>18</v>
      </c>
      <c r="G3163" s="2" t="s">
        <v>19</v>
      </c>
      <c r="H3163" s="2" t="s">
        <v>348</v>
      </c>
      <c r="I3163" s="2" t="s">
        <v>3660</v>
      </c>
    </row>
    <row r="3164" spans="1:9" ht="14.5" x14ac:dyDescent="0.35">
      <c r="A3164" s="2">
        <v>2552163</v>
      </c>
      <c r="B3164" s="2" t="str">
        <f>"3328112006040008"</f>
        <v>3328112006040008</v>
      </c>
      <c r="C3164" s="2" t="s">
        <v>3805</v>
      </c>
      <c r="D3164" s="2" t="s">
        <v>17</v>
      </c>
      <c r="E3164" s="2" t="s">
        <v>11</v>
      </c>
      <c r="F3164" s="2" t="s">
        <v>18</v>
      </c>
      <c r="G3164" s="2" t="s">
        <v>19</v>
      </c>
      <c r="H3164" s="2" t="s">
        <v>348</v>
      </c>
      <c r="I3164" s="2" t="s">
        <v>349</v>
      </c>
    </row>
    <row r="3165" spans="1:9" ht="14.5" x14ac:dyDescent="0.35">
      <c r="A3165" s="2">
        <v>1351113</v>
      </c>
      <c r="B3165" s="2" t="str">
        <f>"3328112006040008"</f>
        <v>3328112006040008</v>
      </c>
      <c r="C3165" s="2" t="s">
        <v>3805</v>
      </c>
      <c r="D3165" s="2" t="s">
        <v>10</v>
      </c>
      <c r="E3165" s="2" t="s">
        <v>57</v>
      </c>
      <c r="F3165" s="2" t="s">
        <v>303</v>
      </c>
      <c r="G3165" s="2" t="s">
        <v>608</v>
      </c>
      <c r="H3165" s="2" t="s">
        <v>609</v>
      </c>
      <c r="I3165" s="2" t="s">
        <v>610</v>
      </c>
    </row>
    <row r="3166" spans="1:9" ht="14.5" x14ac:dyDescent="0.35">
      <c r="A3166" s="2">
        <v>416497</v>
      </c>
      <c r="B3166" s="2" t="str">
        <f>"3328112201060005"</f>
        <v>3328112201060005</v>
      </c>
      <c r="C3166" s="2" t="s">
        <v>3806</v>
      </c>
      <c r="D3166" s="2" t="s">
        <v>10</v>
      </c>
      <c r="E3166" s="2" t="s">
        <v>11</v>
      </c>
      <c r="F3166" s="2" t="s">
        <v>18</v>
      </c>
      <c r="G3166" s="2" t="s">
        <v>268</v>
      </c>
      <c r="H3166" s="2" t="s">
        <v>448</v>
      </c>
      <c r="I3166" s="2" t="s">
        <v>888</v>
      </c>
    </row>
    <row r="3167" spans="1:9" ht="14.5" x14ac:dyDescent="0.35">
      <c r="A3167" s="2">
        <v>2553163</v>
      </c>
      <c r="B3167" s="2" t="str">
        <f>"3328112201060005"</f>
        <v>3328112201060005</v>
      </c>
      <c r="C3167" s="2" t="s">
        <v>3806</v>
      </c>
      <c r="D3167" s="2" t="s">
        <v>17</v>
      </c>
      <c r="E3167" s="2" t="s">
        <v>11</v>
      </c>
      <c r="F3167" s="2" t="s">
        <v>18</v>
      </c>
      <c r="G3167" s="2" t="s">
        <v>19</v>
      </c>
      <c r="H3167" s="2" t="s">
        <v>348</v>
      </c>
      <c r="I3167" s="2" t="s">
        <v>3683</v>
      </c>
    </row>
    <row r="3168" spans="1:9" ht="14.5" x14ac:dyDescent="0.35">
      <c r="A3168" s="2">
        <v>2090942</v>
      </c>
      <c r="B3168" s="2" t="str">
        <f>"3328112201070002"</f>
        <v>3328112201070002</v>
      </c>
      <c r="C3168" s="2" t="s">
        <v>3807</v>
      </c>
      <c r="D3168" s="2" t="s">
        <v>189</v>
      </c>
      <c r="E3168" s="2" t="s">
        <v>11</v>
      </c>
      <c r="F3168" s="2" t="s">
        <v>18</v>
      </c>
      <c r="G3168" s="2" t="s">
        <v>19</v>
      </c>
      <c r="H3168" s="2" t="s">
        <v>348</v>
      </c>
      <c r="I3168" s="2" t="s">
        <v>3660</v>
      </c>
    </row>
    <row r="3169" spans="1:9" ht="14.5" x14ac:dyDescent="0.35">
      <c r="A3169" s="2">
        <v>1803336</v>
      </c>
      <c r="B3169" s="2" t="str">
        <f>"3328112201070002"</f>
        <v>3328112201070002</v>
      </c>
      <c r="C3169" s="2" t="s">
        <v>3808</v>
      </c>
      <c r="D3169" s="2" t="s">
        <v>17</v>
      </c>
      <c r="E3169" s="2" t="s">
        <v>11</v>
      </c>
      <c r="F3169" s="2" t="s">
        <v>50</v>
      </c>
      <c r="G3169" s="2" t="s">
        <v>72</v>
      </c>
      <c r="H3169" s="2" t="s">
        <v>703</v>
      </c>
      <c r="I3169" s="2" t="s">
        <v>2222</v>
      </c>
    </row>
    <row r="3170" spans="1:9" ht="14.5" x14ac:dyDescent="0.35">
      <c r="A3170" s="2">
        <v>2092276</v>
      </c>
      <c r="B3170" s="2" t="str">
        <f>"3328112204030004"</f>
        <v>3328112204030004</v>
      </c>
      <c r="C3170" s="2" t="s">
        <v>3809</v>
      </c>
      <c r="D3170" s="2" t="s">
        <v>10</v>
      </c>
      <c r="E3170" s="2" t="s">
        <v>11</v>
      </c>
      <c r="F3170" s="2" t="s">
        <v>18</v>
      </c>
      <c r="G3170" s="2" t="s">
        <v>19</v>
      </c>
      <c r="H3170" s="2" t="s">
        <v>348</v>
      </c>
      <c r="I3170" s="2" t="s">
        <v>3660</v>
      </c>
    </row>
    <row r="3171" spans="1:9" ht="14.5" x14ac:dyDescent="0.35">
      <c r="A3171" s="2">
        <v>1351087</v>
      </c>
      <c r="B3171" s="2" t="str">
        <f>"3328112204030004"</f>
        <v>3328112204030004</v>
      </c>
      <c r="C3171" s="2" t="s">
        <v>3809</v>
      </c>
      <c r="D3171" s="2" t="s">
        <v>10</v>
      </c>
      <c r="E3171" s="2" t="s">
        <v>57</v>
      </c>
      <c r="F3171" s="2" t="s">
        <v>303</v>
      </c>
      <c r="G3171" s="2" t="s">
        <v>608</v>
      </c>
      <c r="H3171" s="2" t="s">
        <v>609</v>
      </c>
      <c r="I3171" s="2" t="s">
        <v>610</v>
      </c>
    </row>
    <row r="3172" spans="1:9" ht="14.5" x14ac:dyDescent="0.35">
      <c r="A3172" s="2">
        <v>2553364</v>
      </c>
      <c r="B3172" s="2" t="str">
        <f>"3328112302040003"</f>
        <v>3328112302040003</v>
      </c>
      <c r="C3172" s="2" t="s">
        <v>3810</v>
      </c>
      <c r="D3172" s="2" t="s">
        <v>17</v>
      </c>
      <c r="E3172" s="2" t="s">
        <v>11</v>
      </c>
      <c r="F3172" s="2" t="s">
        <v>18</v>
      </c>
      <c r="G3172" s="2" t="s">
        <v>19</v>
      </c>
      <c r="H3172" s="2" t="s">
        <v>348</v>
      </c>
      <c r="I3172" s="2" t="s">
        <v>3730</v>
      </c>
    </row>
    <row r="3173" spans="1:9" ht="14.5" x14ac:dyDescent="0.35">
      <c r="A3173" s="2">
        <v>1351101</v>
      </c>
      <c r="B3173" s="2" t="str">
        <f>"3328112302040003"</f>
        <v>3328112302040003</v>
      </c>
      <c r="C3173" s="2" t="s">
        <v>3810</v>
      </c>
      <c r="D3173" s="2" t="s">
        <v>10</v>
      </c>
      <c r="E3173" s="2" t="s">
        <v>57</v>
      </c>
      <c r="F3173" s="2" t="s">
        <v>303</v>
      </c>
      <c r="G3173" s="2" t="s">
        <v>608</v>
      </c>
      <c r="H3173" s="2" t="s">
        <v>609</v>
      </c>
      <c r="I3173" s="2" t="s">
        <v>610</v>
      </c>
    </row>
    <row r="3174" spans="1:9" ht="14.5" x14ac:dyDescent="0.35">
      <c r="A3174" s="2">
        <v>2113385</v>
      </c>
      <c r="B3174" s="2" t="str">
        <f>"3328112308860006"</f>
        <v>3328112308860006</v>
      </c>
      <c r="C3174" s="2" t="s">
        <v>3811</v>
      </c>
      <c r="D3174" s="2" t="s">
        <v>10</v>
      </c>
      <c r="E3174" s="2" t="s">
        <v>11</v>
      </c>
      <c r="F3174" s="2" t="s">
        <v>18</v>
      </c>
      <c r="G3174" s="2" t="s">
        <v>19</v>
      </c>
      <c r="H3174" s="2" t="s">
        <v>348</v>
      </c>
      <c r="I3174" s="2" t="s">
        <v>1777</v>
      </c>
    </row>
    <row r="3175" spans="1:9" ht="14.5" x14ac:dyDescent="0.35">
      <c r="A3175" s="2">
        <v>1106074</v>
      </c>
      <c r="B3175" s="2" t="str">
        <f>"3328112308860006"</f>
        <v>3328112308860006</v>
      </c>
      <c r="C3175" s="2" t="s">
        <v>3811</v>
      </c>
      <c r="D3175" s="2" t="s">
        <v>17</v>
      </c>
      <c r="E3175" s="2" t="s">
        <v>11</v>
      </c>
      <c r="F3175" s="2" t="s">
        <v>18</v>
      </c>
      <c r="G3175" s="2" t="s">
        <v>171</v>
      </c>
      <c r="H3175" s="2" t="s">
        <v>3812</v>
      </c>
      <c r="I3175" s="2" t="s">
        <v>1619</v>
      </c>
    </row>
    <row r="3176" spans="1:9" ht="14.5" x14ac:dyDescent="0.35">
      <c r="A3176" s="2">
        <v>636216</v>
      </c>
      <c r="B3176" s="2" t="str">
        <f>"3328112311060006"</f>
        <v>3328112311060006</v>
      </c>
      <c r="C3176" s="2" t="s">
        <v>3813</v>
      </c>
      <c r="D3176" s="2" t="s">
        <v>17</v>
      </c>
      <c r="E3176" s="2" t="s">
        <v>57</v>
      </c>
      <c r="F3176" s="2" t="s">
        <v>18</v>
      </c>
      <c r="G3176" s="2" t="s">
        <v>190</v>
      </c>
      <c r="H3176" s="2" t="s">
        <v>1497</v>
      </c>
      <c r="I3176" s="2" t="s">
        <v>1498</v>
      </c>
    </row>
    <row r="3177" spans="1:9" ht="14.5" x14ac:dyDescent="0.35">
      <c r="A3177" s="2">
        <v>2158962</v>
      </c>
      <c r="B3177" s="2" t="str">
        <f>"3328112311060006"</f>
        <v>3328112311060006</v>
      </c>
      <c r="C3177" s="2" t="s">
        <v>3813</v>
      </c>
      <c r="D3177" s="2" t="s">
        <v>189</v>
      </c>
      <c r="E3177" s="2" t="s">
        <v>11</v>
      </c>
      <c r="F3177" s="2" t="s">
        <v>18</v>
      </c>
      <c r="G3177" s="2" t="s">
        <v>19</v>
      </c>
      <c r="H3177" s="2" t="s">
        <v>348</v>
      </c>
      <c r="I3177" s="2" t="s">
        <v>3688</v>
      </c>
    </row>
    <row r="3178" spans="1:9" ht="14.5" x14ac:dyDescent="0.35">
      <c r="A3178" s="2">
        <v>2373994</v>
      </c>
      <c r="B3178" s="2" t="str">
        <f>"3328112311900007"</f>
        <v>3328112311900007</v>
      </c>
      <c r="C3178" s="2" t="s">
        <v>3814</v>
      </c>
      <c r="D3178" s="2" t="s">
        <v>10</v>
      </c>
      <c r="E3178" s="2" t="s">
        <v>11</v>
      </c>
      <c r="F3178" s="2" t="s">
        <v>18</v>
      </c>
      <c r="G3178" s="2" t="s">
        <v>19</v>
      </c>
      <c r="H3178" s="2" t="s">
        <v>348</v>
      </c>
      <c r="I3178" s="2" t="s">
        <v>348</v>
      </c>
    </row>
    <row r="3179" spans="1:9" ht="14.5" x14ac:dyDescent="0.35">
      <c r="A3179" s="2">
        <v>1562658</v>
      </c>
      <c r="B3179" s="2" t="str">
        <f>"3328112311900007"</f>
        <v>3328112311900007</v>
      </c>
      <c r="C3179" s="2" t="s">
        <v>3815</v>
      </c>
      <c r="D3179" s="2" t="s">
        <v>17</v>
      </c>
      <c r="E3179" s="2" t="s">
        <v>11</v>
      </c>
      <c r="F3179" s="2" t="s">
        <v>18</v>
      </c>
      <c r="G3179" s="2" t="s">
        <v>195</v>
      </c>
      <c r="H3179" s="2" t="s">
        <v>906</v>
      </c>
      <c r="I3179" s="2" t="s">
        <v>3816</v>
      </c>
    </row>
    <row r="3180" spans="1:9" ht="14.5" x14ac:dyDescent="0.35">
      <c r="A3180" s="2">
        <v>2168540</v>
      </c>
      <c r="B3180" s="2" t="str">
        <f>"3328112405020005"</f>
        <v>3328112405020005</v>
      </c>
      <c r="C3180" s="2" t="s">
        <v>3817</v>
      </c>
      <c r="D3180" s="2" t="s">
        <v>10</v>
      </c>
      <c r="E3180" s="2" t="s">
        <v>11</v>
      </c>
      <c r="F3180" s="2" t="s">
        <v>18</v>
      </c>
      <c r="G3180" s="2" t="s">
        <v>19</v>
      </c>
      <c r="H3180" s="2" t="s">
        <v>348</v>
      </c>
      <c r="I3180" s="2" t="s">
        <v>3723</v>
      </c>
    </row>
    <row r="3181" spans="1:9" ht="14.5" x14ac:dyDescent="0.35">
      <c r="A3181" s="2">
        <v>1351107</v>
      </c>
      <c r="B3181" s="2" t="str">
        <f>"3328112405020005"</f>
        <v>3328112405020005</v>
      </c>
      <c r="C3181" s="2" t="s">
        <v>3818</v>
      </c>
      <c r="D3181" s="2" t="s">
        <v>10</v>
      </c>
      <c r="E3181" s="2" t="s">
        <v>57</v>
      </c>
      <c r="F3181" s="2" t="s">
        <v>303</v>
      </c>
      <c r="G3181" s="2" t="s">
        <v>608</v>
      </c>
      <c r="H3181" s="2" t="s">
        <v>609</v>
      </c>
      <c r="I3181" s="2" t="s">
        <v>610</v>
      </c>
    </row>
    <row r="3182" spans="1:9" ht="14.5" x14ac:dyDescent="0.35">
      <c r="A3182" s="2">
        <v>460232</v>
      </c>
      <c r="B3182" s="2" t="str">
        <f>"3328112405990005"</f>
        <v>3328112405990005</v>
      </c>
      <c r="C3182" s="2" t="s">
        <v>3819</v>
      </c>
      <c r="D3182" s="2" t="s">
        <v>10</v>
      </c>
      <c r="E3182" s="2" t="s">
        <v>11</v>
      </c>
      <c r="F3182" s="2" t="s">
        <v>91</v>
      </c>
      <c r="G3182" s="2" t="s">
        <v>438</v>
      </c>
      <c r="H3182" s="2" t="s">
        <v>760</v>
      </c>
      <c r="I3182" s="2" t="s">
        <v>3820</v>
      </c>
    </row>
    <row r="3183" spans="1:9" ht="14.5" x14ac:dyDescent="0.35">
      <c r="A3183" s="2">
        <v>2552414</v>
      </c>
      <c r="B3183" s="2" t="str">
        <f>"3328112405990005"</f>
        <v>3328112405990005</v>
      </c>
      <c r="C3183" s="2" t="s">
        <v>3819</v>
      </c>
      <c r="D3183" s="2" t="s">
        <v>17</v>
      </c>
      <c r="E3183" s="2" t="s">
        <v>11</v>
      </c>
      <c r="F3183" s="2" t="s">
        <v>18</v>
      </c>
      <c r="G3183" s="2" t="s">
        <v>19</v>
      </c>
      <c r="H3183" s="2" t="s">
        <v>348</v>
      </c>
      <c r="I3183" s="2" t="s">
        <v>3660</v>
      </c>
    </row>
    <row r="3184" spans="1:9" ht="14.5" x14ac:dyDescent="0.35">
      <c r="A3184" s="2">
        <v>2104819</v>
      </c>
      <c r="B3184" s="2" t="str">
        <f>"3328112508050002"</f>
        <v>3328112508050002</v>
      </c>
      <c r="C3184" s="2" t="s">
        <v>3821</v>
      </c>
      <c r="D3184" s="2" t="s">
        <v>189</v>
      </c>
      <c r="E3184" s="2" t="s">
        <v>11</v>
      </c>
      <c r="F3184" s="2" t="s">
        <v>18</v>
      </c>
      <c r="G3184" s="2" t="s">
        <v>19</v>
      </c>
      <c r="H3184" s="2" t="s">
        <v>348</v>
      </c>
      <c r="I3184" s="2" t="s">
        <v>3668</v>
      </c>
    </row>
    <row r="3185" spans="1:9" ht="14.5" x14ac:dyDescent="0.35">
      <c r="A3185" s="2">
        <v>1351098</v>
      </c>
      <c r="B3185" s="2" t="str">
        <f>"3328112508050002"</f>
        <v>3328112508050002</v>
      </c>
      <c r="C3185" s="2" t="s">
        <v>3821</v>
      </c>
      <c r="D3185" s="2" t="s">
        <v>10</v>
      </c>
      <c r="E3185" s="2" t="s">
        <v>57</v>
      </c>
      <c r="F3185" s="2" t="s">
        <v>303</v>
      </c>
      <c r="G3185" s="2" t="s">
        <v>608</v>
      </c>
      <c r="H3185" s="2" t="s">
        <v>609</v>
      </c>
      <c r="I3185" s="2" t="s">
        <v>610</v>
      </c>
    </row>
    <row r="3186" spans="1:9" ht="14.5" x14ac:dyDescent="0.35">
      <c r="A3186" s="2">
        <v>219387</v>
      </c>
      <c r="B3186" s="2" t="str">
        <f>"3328112511830005"</f>
        <v>3328112511830005</v>
      </c>
      <c r="C3186" s="2" t="s">
        <v>3822</v>
      </c>
      <c r="D3186" s="2" t="s">
        <v>10</v>
      </c>
      <c r="E3186" s="2" t="s">
        <v>11</v>
      </c>
      <c r="F3186" s="2" t="s">
        <v>50</v>
      </c>
      <c r="G3186" s="2" t="s">
        <v>51</v>
      </c>
      <c r="H3186" s="2" t="s">
        <v>52</v>
      </c>
      <c r="I3186" s="2" t="s">
        <v>3823</v>
      </c>
    </row>
    <row r="3187" spans="1:9" ht="14.5" x14ac:dyDescent="0.35">
      <c r="A3187" s="2">
        <v>2551667</v>
      </c>
      <c r="B3187" s="2" t="str">
        <f>"3328112511830005"</f>
        <v>3328112511830005</v>
      </c>
      <c r="C3187" s="2" t="s">
        <v>3822</v>
      </c>
      <c r="D3187" s="2" t="s">
        <v>17</v>
      </c>
      <c r="E3187" s="2" t="s">
        <v>11</v>
      </c>
      <c r="F3187" s="2" t="s">
        <v>18</v>
      </c>
      <c r="G3187" s="2" t="s">
        <v>19</v>
      </c>
      <c r="H3187" s="2" t="s">
        <v>348</v>
      </c>
      <c r="I3187" s="2" t="s">
        <v>3679</v>
      </c>
    </row>
    <row r="3188" spans="1:9" ht="14.5" x14ac:dyDescent="0.35">
      <c r="A3188" s="2">
        <v>422606</v>
      </c>
      <c r="B3188" s="2" t="str">
        <f>"3328112601030012"</f>
        <v>3328112601030012</v>
      </c>
      <c r="C3188" s="2" t="s">
        <v>3824</v>
      </c>
      <c r="D3188" s="2" t="s">
        <v>17</v>
      </c>
      <c r="E3188" s="2" t="s">
        <v>11</v>
      </c>
      <c r="F3188" s="2" t="s">
        <v>18</v>
      </c>
      <c r="G3188" s="2" t="s">
        <v>268</v>
      </c>
      <c r="H3188" s="2" t="s">
        <v>269</v>
      </c>
      <c r="I3188" s="2" t="s">
        <v>270</v>
      </c>
    </row>
    <row r="3189" spans="1:9" ht="14.5" x14ac:dyDescent="0.35">
      <c r="A3189" s="2">
        <v>2551509</v>
      </c>
      <c r="B3189" s="2" t="str">
        <f>"3328112601030012"</f>
        <v>3328112601030012</v>
      </c>
      <c r="C3189" s="2" t="s">
        <v>3824</v>
      </c>
      <c r="D3189" s="2" t="s">
        <v>17</v>
      </c>
      <c r="E3189" s="2" t="s">
        <v>11</v>
      </c>
      <c r="F3189" s="2" t="s">
        <v>18</v>
      </c>
      <c r="G3189" s="2" t="s">
        <v>19</v>
      </c>
      <c r="H3189" s="2" t="s">
        <v>348</v>
      </c>
      <c r="I3189" s="2" t="s">
        <v>3670</v>
      </c>
    </row>
    <row r="3190" spans="1:9" ht="14.5" x14ac:dyDescent="0.35">
      <c r="A3190" s="2">
        <v>2152782</v>
      </c>
      <c r="B3190" s="2" t="str">
        <f>"3328112602060002"</f>
        <v>3328112602060002</v>
      </c>
      <c r="C3190" s="2" t="s">
        <v>3825</v>
      </c>
      <c r="D3190" s="2" t="s">
        <v>189</v>
      </c>
      <c r="E3190" s="2" t="s">
        <v>11</v>
      </c>
      <c r="F3190" s="2" t="s">
        <v>18</v>
      </c>
      <c r="G3190" s="2" t="s">
        <v>19</v>
      </c>
      <c r="H3190" s="2" t="s">
        <v>348</v>
      </c>
      <c r="I3190" s="2" t="s">
        <v>3688</v>
      </c>
    </row>
    <row r="3191" spans="1:9" ht="14.5" x14ac:dyDescent="0.35">
      <c r="A3191" s="2">
        <v>1351088</v>
      </c>
      <c r="B3191" s="2" t="str">
        <f>"3328112602060002"</f>
        <v>3328112602060002</v>
      </c>
      <c r="C3191" s="2" t="s">
        <v>3825</v>
      </c>
      <c r="D3191" s="2" t="s">
        <v>10</v>
      </c>
      <c r="E3191" s="2" t="s">
        <v>57</v>
      </c>
      <c r="F3191" s="2" t="s">
        <v>303</v>
      </c>
      <c r="G3191" s="2" t="s">
        <v>608</v>
      </c>
      <c r="H3191" s="2" t="s">
        <v>609</v>
      </c>
      <c r="I3191" s="2" t="s">
        <v>610</v>
      </c>
    </row>
    <row r="3192" spans="1:9" ht="14.5" x14ac:dyDescent="0.35">
      <c r="A3192" s="2">
        <v>246867</v>
      </c>
      <c r="B3192" s="2" t="str">
        <f>"3328112606820007"</f>
        <v>3328112606820007</v>
      </c>
      <c r="C3192" s="2" t="s">
        <v>3826</v>
      </c>
      <c r="D3192" s="2" t="s">
        <v>10</v>
      </c>
      <c r="E3192" s="2" t="s">
        <v>11</v>
      </c>
      <c r="F3192" s="2" t="s">
        <v>18</v>
      </c>
      <c r="G3192" s="2" t="s">
        <v>268</v>
      </c>
      <c r="H3192" s="2" t="s">
        <v>371</v>
      </c>
      <c r="I3192" s="2" t="s">
        <v>497</v>
      </c>
    </row>
    <row r="3193" spans="1:9" ht="14.5" x14ac:dyDescent="0.35">
      <c r="A3193" s="2">
        <v>2552742</v>
      </c>
      <c r="B3193" s="2" t="str">
        <f>"3328112606820007"</f>
        <v>3328112606820007</v>
      </c>
      <c r="C3193" s="2" t="s">
        <v>3826</v>
      </c>
      <c r="D3193" s="2" t="s">
        <v>17</v>
      </c>
      <c r="E3193" s="2" t="s">
        <v>11</v>
      </c>
      <c r="F3193" s="2" t="s">
        <v>18</v>
      </c>
      <c r="G3193" s="2" t="s">
        <v>19</v>
      </c>
      <c r="H3193" s="2" t="s">
        <v>348</v>
      </c>
      <c r="I3193" s="2" t="s">
        <v>1777</v>
      </c>
    </row>
    <row r="3194" spans="1:9" ht="14.5" x14ac:dyDescent="0.35">
      <c r="A3194" s="2">
        <v>2233854</v>
      </c>
      <c r="B3194" s="2" t="str">
        <f>"3328112703990015"</f>
        <v>3328112703990015</v>
      </c>
      <c r="C3194" s="2" t="s">
        <v>3827</v>
      </c>
      <c r="D3194" s="2" t="s">
        <v>10</v>
      </c>
      <c r="E3194" s="2" t="s">
        <v>11</v>
      </c>
      <c r="F3194" s="2" t="s">
        <v>18</v>
      </c>
      <c r="G3194" s="2" t="s">
        <v>19</v>
      </c>
      <c r="H3194" s="2" t="s">
        <v>348</v>
      </c>
      <c r="I3194" s="2" t="s">
        <v>459</v>
      </c>
    </row>
    <row r="3195" spans="1:9" ht="14.5" x14ac:dyDescent="0.35">
      <c r="A3195" s="2">
        <v>1693938</v>
      </c>
      <c r="B3195" s="2" t="str">
        <f>"3328112703990015"</f>
        <v>3328112703990015</v>
      </c>
      <c r="C3195" s="2" t="s">
        <v>3827</v>
      </c>
      <c r="D3195" s="2" t="s">
        <v>17</v>
      </c>
      <c r="E3195" s="2" t="s">
        <v>11</v>
      </c>
      <c r="F3195" s="2" t="s">
        <v>18</v>
      </c>
      <c r="G3195" s="2" t="s">
        <v>264</v>
      </c>
      <c r="H3195" s="2" t="s">
        <v>265</v>
      </c>
      <c r="I3195" s="2" t="s">
        <v>1576</v>
      </c>
    </row>
    <row r="3196" spans="1:9" ht="14.5" x14ac:dyDescent="0.35">
      <c r="A3196" s="2">
        <v>2082985</v>
      </c>
      <c r="B3196" s="2" t="str">
        <f>"3328112707960001"</f>
        <v>3328112707960001</v>
      </c>
      <c r="C3196" s="2" t="s">
        <v>3828</v>
      </c>
      <c r="D3196" s="2" t="s">
        <v>189</v>
      </c>
      <c r="E3196" s="2" t="s">
        <v>11</v>
      </c>
      <c r="F3196" s="2" t="s">
        <v>18</v>
      </c>
      <c r="G3196" s="2" t="s">
        <v>19</v>
      </c>
      <c r="H3196" s="2" t="s">
        <v>348</v>
      </c>
      <c r="I3196" s="2" t="s">
        <v>3679</v>
      </c>
    </row>
    <row r="3197" spans="1:9" ht="14.5" x14ac:dyDescent="0.35">
      <c r="A3197" s="2">
        <v>308934</v>
      </c>
      <c r="B3197" s="2" t="str">
        <f>"3328112707960001"</f>
        <v>3328112707960001</v>
      </c>
      <c r="C3197" s="2" t="s">
        <v>1030</v>
      </c>
      <c r="D3197" s="2" t="s">
        <v>10</v>
      </c>
      <c r="E3197" s="2" t="s">
        <v>11</v>
      </c>
      <c r="F3197" s="2" t="s">
        <v>50</v>
      </c>
      <c r="G3197" s="2" t="s">
        <v>58</v>
      </c>
      <c r="H3197" s="2" t="s">
        <v>2527</v>
      </c>
      <c r="I3197" s="2" t="s">
        <v>2528</v>
      </c>
    </row>
    <row r="3198" spans="1:9" ht="14.5" x14ac:dyDescent="0.35">
      <c r="A3198" s="2">
        <v>2170113</v>
      </c>
      <c r="B3198" s="2" t="str">
        <f>"3328112712030004"</f>
        <v>3328112712030004</v>
      </c>
      <c r="C3198" s="2" t="s">
        <v>3829</v>
      </c>
      <c r="D3198" s="2" t="s">
        <v>10</v>
      </c>
      <c r="E3198" s="2" t="s">
        <v>11</v>
      </c>
      <c r="F3198" s="2" t="s">
        <v>18</v>
      </c>
      <c r="G3198" s="2" t="s">
        <v>19</v>
      </c>
      <c r="H3198" s="2" t="s">
        <v>348</v>
      </c>
      <c r="I3198" s="2" t="s">
        <v>3723</v>
      </c>
    </row>
    <row r="3199" spans="1:9" ht="14.5" x14ac:dyDescent="0.35">
      <c r="A3199" s="2">
        <v>1351108</v>
      </c>
      <c r="B3199" s="2" t="str">
        <f>"3328112712030004"</f>
        <v>3328112712030004</v>
      </c>
      <c r="C3199" s="2" t="s">
        <v>3829</v>
      </c>
      <c r="D3199" s="2" t="s">
        <v>10</v>
      </c>
      <c r="E3199" s="2" t="s">
        <v>57</v>
      </c>
      <c r="F3199" s="2" t="s">
        <v>303</v>
      </c>
      <c r="G3199" s="2" t="s">
        <v>608</v>
      </c>
      <c r="H3199" s="2" t="s">
        <v>609</v>
      </c>
      <c r="I3199" s="2" t="s">
        <v>610</v>
      </c>
    </row>
    <row r="3200" spans="1:9" ht="14.5" x14ac:dyDescent="0.35">
      <c r="A3200" s="2">
        <v>2021274</v>
      </c>
      <c r="B3200" s="2" t="str">
        <f>"3328112809060009"</f>
        <v>3328112809060009</v>
      </c>
      <c r="C3200" s="2" t="s">
        <v>3830</v>
      </c>
      <c r="D3200" s="2" t="s">
        <v>189</v>
      </c>
      <c r="E3200" s="2" t="s">
        <v>11</v>
      </c>
      <c r="F3200" s="2" t="s">
        <v>18</v>
      </c>
      <c r="G3200" s="2" t="s">
        <v>19</v>
      </c>
      <c r="H3200" s="2" t="s">
        <v>348</v>
      </c>
      <c r="I3200" s="2" t="s">
        <v>349</v>
      </c>
    </row>
    <row r="3201" spans="1:9" ht="14.5" x14ac:dyDescent="0.35">
      <c r="A3201" s="2">
        <v>1351114</v>
      </c>
      <c r="B3201" s="2" t="str">
        <f>"3328112809060009"</f>
        <v>3328112809060009</v>
      </c>
      <c r="C3201" s="2" t="s">
        <v>3831</v>
      </c>
      <c r="D3201" s="2" t="s">
        <v>10</v>
      </c>
      <c r="E3201" s="2" t="s">
        <v>57</v>
      </c>
      <c r="F3201" s="2" t="s">
        <v>303</v>
      </c>
      <c r="G3201" s="2" t="s">
        <v>608</v>
      </c>
      <c r="H3201" s="2" t="s">
        <v>609</v>
      </c>
      <c r="I3201" s="2" t="s">
        <v>610</v>
      </c>
    </row>
    <row r="3202" spans="1:9" ht="14.5" x14ac:dyDescent="0.35">
      <c r="A3202" s="2">
        <v>2086753</v>
      </c>
      <c r="B3202" s="2" t="str">
        <f>"3328112905050010"</f>
        <v>3328112905050010</v>
      </c>
      <c r="C3202" s="2" t="s">
        <v>3832</v>
      </c>
      <c r="D3202" s="2" t="s">
        <v>10</v>
      </c>
      <c r="E3202" s="2" t="s">
        <v>11</v>
      </c>
      <c r="F3202" s="2" t="s">
        <v>18</v>
      </c>
      <c r="G3202" s="2" t="s">
        <v>19</v>
      </c>
      <c r="H3202" s="2" t="s">
        <v>348</v>
      </c>
      <c r="I3202" s="2" t="s">
        <v>3679</v>
      </c>
    </row>
    <row r="3203" spans="1:9" ht="14.5" x14ac:dyDescent="0.35">
      <c r="A3203" s="2">
        <v>1351102</v>
      </c>
      <c r="B3203" s="2" t="str">
        <f>"3328112905050010"</f>
        <v>3328112905050010</v>
      </c>
      <c r="C3203" s="2" t="s">
        <v>3832</v>
      </c>
      <c r="D3203" s="2" t="s">
        <v>10</v>
      </c>
      <c r="E3203" s="2" t="s">
        <v>57</v>
      </c>
      <c r="F3203" s="2" t="s">
        <v>303</v>
      </c>
      <c r="G3203" s="2" t="s">
        <v>608</v>
      </c>
      <c r="H3203" s="2" t="s">
        <v>609</v>
      </c>
      <c r="I3203" s="2" t="s">
        <v>610</v>
      </c>
    </row>
    <row r="3204" spans="1:9" ht="14.5" x14ac:dyDescent="0.35">
      <c r="A3204" s="2">
        <v>2124857</v>
      </c>
      <c r="B3204" s="2" t="str">
        <f>"3328112909040010"</f>
        <v>3328112909040010</v>
      </c>
      <c r="C3204" s="2" t="s">
        <v>3833</v>
      </c>
      <c r="D3204" s="2" t="s">
        <v>10</v>
      </c>
      <c r="E3204" s="2" t="s">
        <v>11</v>
      </c>
      <c r="F3204" s="2" t="s">
        <v>18</v>
      </c>
      <c r="G3204" s="2" t="s">
        <v>19</v>
      </c>
      <c r="H3204" s="2" t="s">
        <v>348</v>
      </c>
      <c r="I3204" s="2" t="s">
        <v>1644</v>
      </c>
    </row>
    <row r="3205" spans="1:9" ht="14.5" x14ac:dyDescent="0.35">
      <c r="A3205" s="2">
        <v>1351096</v>
      </c>
      <c r="B3205" s="2" t="str">
        <f>"3328112909040010"</f>
        <v>3328112909040010</v>
      </c>
      <c r="C3205" s="2" t="s">
        <v>3833</v>
      </c>
      <c r="D3205" s="2" t="s">
        <v>10</v>
      </c>
      <c r="E3205" s="2" t="s">
        <v>57</v>
      </c>
      <c r="F3205" s="2" t="s">
        <v>303</v>
      </c>
      <c r="G3205" s="2" t="s">
        <v>608</v>
      </c>
      <c r="H3205" s="2" t="s">
        <v>609</v>
      </c>
      <c r="I3205" s="2" t="s">
        <v>610</v>
      </c>
    </row>
    <row r="3206" spans="1:9" ht="14.5" x14ac:dyDescent="0.35">
      <c r="A3206" s="2">
        <v>282218</v>
      </c>
      <c r="B3206" s="2" t="str">
        <f>"3328113008860002"</f>
        <v>3328113008860002</v>
      </c>
      <c r="C3206" s="2" t="s">
        <v>3834</v>
      </c>
      <c r="D3206" s="2" t="s">
        <v>10</v>
      </c>
      <c r="E3206" s="2" t="s">
        <v>11</v>
      </c>
      <c r="F3206" s="2" t="s">
        <v>18</v>
      </c>
      <c r="G3206" s="2" t="s">
        <v>268</v>
      </c>
      <c r="H3206" s="2" t="s">
        <v>277</v>
      </c>
      <c r="I3206" s="2" t="s">
        <v>884</v>
      </c>
    </row>
    <row r="3207" spans="1:9" ht="14.5" x14ac:dyDescent="0.35">
      <c r="A3207" s="2">
        <v>2552217</v>
      </c>
      <c r="B3207" s="2" t="str">
        <f>"3328113008860002"</f>
        <v>3328113008860002</v>
      </c>
      <c r="C3207" s="2" t="s">
        <v>3835</v>
      </c>
      <c r="D3207" s="2" t="s">
        <v>17</v>
      </c>
      <c r="E3207" s="2" t="s">
        <v>11</v>
      </c>
      <c r="F3207" s="2" t="s">
        <v>18</v>
      </c>
      <c r="G3207" s="2" t="s">
        <v>19</v>
      </c>
      <c r="H3207" s="2" t="s">
        <v>348</v>
      </c>
      <c r="I3207" s="2" t="s">
        <v>3723</v>
      </c>
    </row>
    <row r="3208" spans="1:9" ht="14.5" x14ac:dyDescent="0.35">
      <c r="A3208" s="2">
        <v>2169862</v>
      </c>
      <c r="B3208" s="2" t="str">
        <f>"3328113108050010"</f>
        <v>3328113108050010</v>
      </c>
      <c r="C3208" s="2" t="s">
        <v>3836</v>
      </c>
      <c r="D3208" s="2" t="s">
        <v>10</v>
      </c>
      <c r="E3208" s="2" t="s">
        <v>11</v>
      </c>
      <c r="F3208" s="2" t="s">
        <v>18</v>
      </c>
      <c r="G3208" s="2" t="s">
        <v>19</v>
      </c>
      <c r="H3208" s="2" t="s">
        <v>348</v>
      </c>
      <c r="I3208" s="2" t="s">
        <v>3723</v>
      </c>
    </row>
    <row r="3209" spans="1:9" ht="14.5" x14ac:dyDescent="0.35">
      <c r="A3209" s="2">
        <v>1351110</v>
      </c>
      <c r="B3209" s="2" t="str">
        <f>"3328113108050010"</f>
        <v>3328113108050010</v>
      </c>
      <c r="C3209" s="2" t="s">
        <v>3836</v>
      </c>
      <c r="D3209" s="2" t="s">
        <v>10</v>
      </c>
      <c r="E3209" s="2" t="s">
        <v>57</v>
      </c>
      <c r="F3209" s="2" t="s">
        <v>303</v>
      </c>
      <c r="G3209" s="2" t="s">
        <v>608</v>
      </c>
      <c r="H3209" s="2" t="s">
        <v>609</v>
      </c>
      <c r="I3209" s="2" t="s">
        <v>610</v>
      </c>
    </row>
    <row r="3210" spans="1:9" ht="14.5" x14ac:dyDescent="0.35">
      <c r="A3210" s="2">
        <v>982554</v>
      </c>
      <c r="B3210" s="2" t="str">
        <f>"3328113112760053"</f>
        <v>3328113112760053</v>
      </c>
      <c r="C3210" s="2" t="s">
        <v>3837</v>
      </c>
      <c r="D3210" s="2" t="s">
        <v>10</v>
      </c>
      <c r="E3210" s="2" t="s">
        <v>11</v>
      </c>
      <c r="F3210" s="2" t="s">
        <v>50</v>
      </c>
      <c r="G3210" s="2" t="s">
        <v>51</v>
      </c>
      <c r="H3210" s="2" t="s">
        <v>78</v>
      </c>
      <c r="I3210" s="2" t="s">
        <v>81</v>
      </c>
    </row>
    <row r="3211" spans="1:9" ht="14.5" x14ac:dyDescent="0.35">
      <c r="A3211" s="2">
        <v>2551735</v>
      </c>
      <c r="B3211" s="2" t="str">
        <f>"3328113112760053"</f>
        <v>3328113112760053</v>
      </c>
      <c r="C3211" s="2" t="s">
        <v>3837</v>
      </c>
      <c r="D3211" s="2" t="s">
        <v>17</v>
      </c>
      <c r="E3211" s="2" t="s">
        <v>11</v>
      </c>
      <c r="F3211" s="2" t="s">
        <v>18</v>
      </c>
      <c r="G3211" s="2" t="s">
        <v>19</v>
      </c>
      <c r="H3211" s="2" t="s">
        <v>348</v>
      </c>
      <c r="I3211" s="2" t="s">
        <v>3679</v>
      </c>
    </row>
    <row r="3212" spans="1:9" ht="14.5" x14ac:dyDescent="0.35">
      <c r="A3212" s="2">
        <v>2083054</v>
      </c>
      <c r="B3212" s="2" t="str">
        <f>"3328114101020008"</f>
        <v>3328114101020008</v>
      </c>
      <c r="C3212" s="2" t="s">
        <v>3838</v>
      </c>
      <c r="D3212" s="2" t="s">
        <v>10</v>
      </c>
      <c r="E3212" s="2" t="s">
        <v>11</v>
      </c>
      <c r="F3212" s="2" t="s">
        <v>18</v>
      </c>
      <c r="G3212" s="2" t="s">
        <v>19</v>
      </c>
      <c r="H3212" s="2" t="s">
        <v>348</v>
      </c>
      <c r="I3212" s="2" t="s">
        <v>3679</v>
      </c>
    </row>
    <row r="3213" spans="1:9" ht="14.5" x14ac:dyDescent="0.35">
      <c r="A3213" s="2">
        <v>423845</v>
      </c>
      <c r="B3213" s="2" t="str">
        <f>"3328114101020008"</f>
        <v>3328114101020008</v>
      </c>
      <c r="C3213" s="2" t="s">
        <v>3839</v>
      </c>
      <c r="D3213" s="2" t="s">
        <v>10</v>
      </c>
      <c r="E3213" s="2" t="s">
        <v>57</v>
      </c>
      <c r="F3213" s="2" t="s">
        <v>18</v>
      </c>
      <c r="G3213" s="2" t="s">
        <v>268</v>
      </c>
      <c r="H3213" s="2" t="s">
        <v>277</v>
      </c>
      <c r="I3213" s="2" t="s">
        <v>278</v>
      </c>
    </row>
    <row r="3214" spans="1:9" ht="14.5" x14ac:dyDescent="0.35">
      <c r="A3214" s="2">
        <v>2021891</v>
      </c>
      <c r="B3214" s="2" t="str">
        <f>"3328114102070003"</f>
        <v>3328114102070003</v>
      </c>
      <c r="C3214" s="2" t="s">
        <v>3840</v>
      </c>
      <c r="D3214" s="2" t="s">
        <v>189</v>
      </c>
      <c r="E3214" s="2" t="s">
        <v>11</v>
      </c>
      <c r="F3214" s="2" t="s">
        <v>18</v>
      </c>
      <c r="G3214" s="2" t="s">
        <v>19</v>
      </c>
      <c r="H3214" s="2" t="s">
        <v>348</v>
      </c>
      <c r="I3214" s="2" t="s">
        <v>349</v>
      </c>
    </row>
    <row r="3215" spans="1:9" ht="14.5" x14ac:dyDescent="0.35">
      <c r="A3215" s="2">
        <v>1352167</v>
      </c>
      <c r="B3215" s="2" t="str">
        <f>"3328114102070003"</f>
        <v>3328114102070003</v>
      </c>
      <c r="C3215" s="2" t="s">
        <v>3841</v>
      </c>
      <c r="D3215" s="2" t="s">
        <v>10</v>
      </c>
      <c r="E3215" s="2" t="s">
        <v>57</v>
      </c>
      <c r="F3215" s="2" t="s">
        <v>303</v>
      </c>
      <c r="G3215" s="2" t="s">
        <v>608</v>
      </c>
      <c r="H3215" s="2" t="s">
        <v>609</v>
      </c>
      <c r="I3215" s="2" t="s">
        <v>610</v>
      </c>
    </row>
    <row r="3216" spans="1:9" ht="14.5" x14ac:dyDescent="0.35">
      <c r="A3216" s="2">
        <v>2154664</v>
      </c>
      <c r="B3216" s="2" t="str">
        <f>"3328114207820004"</f>
        <v>3328114207820004</v>
      </c>
      <c r="C3216" s="2" t="s">
        <v>3842</v>
      </c>
      <c r="D3216" s="2" t="s">
        <v>10</v>
      </c>
      <c r="E3216" s="2" t="s">
        <v>11</v>
      </c>
      <c r="F3216" s="2" t="s">
        <v>18</v>
      </c>
      <c r="G3216" s="2" t="s">
        <v>19</v>
      </c>
      <c r="H3216" s="2" t="s">
        <v>348</v>
      </c>
      <c r="I3216" s="2" t="s">
        <v>3688</v>
      </c>
    </row>
    <row r="3217" spans="1:9" ht="14.5" x14ac:dyDescent="0.35">
      <c r="A3217" s="2">
        <v>2430440</v>
      </c>
      <c r="B3217" s="2" t="str">
        <f>"3328114207820004"</f>
        <v>3328114207820004</v>
      </c>
      <c r="C3217" s="2" t="s">
        <v>3843</v>
      </c>
      <c r="D3217" s="2" t="s">
        <v>17</v>
      </c>
      <c r="E3217" s="2" t="s">
        <v>11</v>
      </c>
      <c r="F3217" s="2" t="s">
        <v>50</v>
      </c>
      <c r="G3217" s="2" t="s">
        <v>58</v>
      </c>
      <c r="H3217" s="2" t="s">
        <v>417</v>
      </c>
      <c r="I3217" s="2" t="s">
        <v>2271</v>
      </c>
    </row>
    <row r="3218" spans="1:9" ht="14.5" x14ac:dyDescent="0.35">
      <c r="A3218" s="2">
        <v>1880676</v>
      </c>
      <c r="B3218" s="2" t="str">
        <f>"3328114305880004"</f>
        <v>3328114305880004</v>
      </c>
      <c r="C3218" s="2" t="s">
        <v>3844</v>
      </c>
      <c r="D3218" s="2" t="s">
        <v>10</v>
      </c>
      <c r="E3218" s="2" t="s">
        <v>11</v>
      </c>
      <c r="F3218" s="2" t="s">
        <v>67</v>
      </c>
      <c r="G3218" s="2" t="s">
        <v>68</v>
      </c>
      <c r="H3218" s="2" t="s">
        <v>2924</v>
      </c>
      <c r="I3218" s="2" t="s">
        <v>3845</v>
      </c>
    </row>
    <row r="3219" spans="1:9" ht="14.5" x14ac:dyDescent="0.35">
      <c r="A3219" s="2">
        <v>2553084</v>
      </c>
      <c r="B3219" s="2" t="str">
        <f>"3328114305880004"</f>
        <v>3328114305880004</v>
      </c>
      <c r="C3219" s="2" t="s">
        <v>3846</v>
      </c>
      <c r="D3219" s="2" t="s">
        <v>17</v>
      </c>
      <c r="E3219" s="2" t="s">
        <v>11</v>
      </c>
      <c r="F3219" s="2" t="s">
        <v>18</v>
      </c>
      <c r="G3219" s="2" t="s">
        <v>19</v>
      </c>
      <c r="H3219" s="2" t="s">
        <v>348</v>
      </c>
      <c r="I3219" s="2" t="s">
        <v>3666</v>
      </c>
    </row>
    <row r="3220" spans="1:9" ht="14.5" x14ac:dyDescent="0.35">
      <c r="A3220" s="2">
        <v>342350</v>
      </c>
      <c r="B3220" s="2" t="str">
        <f>"3328114401030003"</f>
        <v>3328114401030003</v>
      </c>
      <c r="C3220" s="2" t="s">
        <v>3847</v>
      </c>
      <c r="D3220" s="2" t="s">
        <v>10</v>
      </c>
      <c r="E3220" s="2" t="s">
        <v>11</v>
      </c>
      <c r="F3220" s="2" t="s">
        <v>379</v>
      </c>
      <c r="G3220" s="2" t="s">
        <v>380</v>
      </c>
      <c r="H3220" s="2" t="s">
        <v>3848</v>
      </c>
      <c r="I3220" s="2" t="s">
        <v>3849</v>
      </c>
    </row>
    <row r="3221" spans="1:9" ht="14.5" x14ac:dyDescent="0.35">
      <c r="A3221" s="2">
        <v>2551997</v>
      </c>
      <c r="B3221" s="2" t="str">
        <f>"3328114401030003"</f>
        <v>3328114401030003</v>
      </c>
      <c r="C3221" s="2" t="s">
        <v>3850</v>
      </c>
      <c r="D3221" s="2" t="s">
        <v>17</v>
      </c>
      <c r="E3221" s="2" t="s">
        <v>11</v>
      </c>
      <c r="F3221" s="2" t="s">
        <v>18</v>
      </c>
      <c r="G3221" s="2" t="s">
        <v>19</v>
      </c>
      <c r="H3221" s="2" t="s">
        <v>348</v>
      </c>
      <c r="I3221" s="2" t="s">
        <v>3688</v>
      </c>
    </row>
    <row r="3222" spans="1:9" ht="14.5" x14ac:dyDescent="0.35">
      <c r="A3222" s="2">
        <v>2136036</v>
      </c>
      <c r="B3222" s="2" t="str">
        <f>"3328114511880007"</f>
        <v>3328114511880007</v>
      </c>
      <c r="C3222" s="2" t="s">
        <v>3851</v>
      </c>
      <c r="D3222" s="2" t="s">
        <v>10</v>
      </c>
      <c r="E3222" s="2" t="s">
        <v>11</v>
      </c>
      <c r="F3222" s="2" t="s">
        <v>18</v>
      </c>
      <c r="G3222" s="2" t="s">
        <v>19</v>
      </c>
      <c r="H3222" s="2" t="s">
        <v>348</v>
      </c>
      <c r="I3222" s="2" t="s">
        <v>3677</v>
      </c>
    </row>
    <row r="3223" spans="1:9" ht="14.5" x14ac:dyDescent="0.35">
      <c r="A3223" s="2">
        <v>2429719</v>
      </c>
      <c r="B3223" s="2" t="str">
        <f>"3328114511880007"</f>
        <v>3328114511880007</v>
      </c>
      <c r="C3223" s="2" t="s">
        <v>3851</v>
      </c>
      <c r="D3223" s="2" t="s">
        <v>17</v>
      </c>
      <c r="E3223" s="2" t="s">
        <v>11</v>
      </c>
      <c r="F3223" s="2" t="s">
        <v>50</v>
      </c>
      <c r="G3223" s="2" t="s">
        <v>58</v>
      </c>
      <c r="H3223" s="2" t="s">
        <v>1283</v>
      </c>
      <c r="I3223" s="2" t="s">
        <v>2273</v>
      </c>
    </row>
    <row r="3224" spans="1:9" ht="14.5" x14ac:dyDescent="0.35">
      <c r="A3224" s="2">
        <v>188872</v>
      </c>
      <c r="B3224" s="2" t="str">
        <f>"3328114608950006"</f>
        <v>3328114608950006</v>
      </c>
      <c r="C3224" s="2" t="s">
        <v>3852</v>
      </c>
      <c r="D3224" s="2" t="s">
        <v>10</v>
      </c>
      <c r="E3224" s="2" t="s">
        <v>11</v>
      </c>
      <c r="F3224" s="2" t="s">
        <v>12</v>
      </c>
      <c r="G3224" s="2" t="s">
        <v>3673</v>
      </c>
      <c r="H3224" s="2" t="s">
        <v>3674</v>
      </c>
      <c r="I3224" s="2" t="s">
        <v>3675</v>
      </c>
    </row>
    <row r="3225" spans="1:9" ht="14.5" x14ac:dyDescent="0.35">
      <c r="A3225" s="2">
        <v>2553445</v>
      </c>
      <c r="B3225" s="2" t="str">
        <f>"3328114608950006"</f>
        <v>3328114608950006</v>
      </c>
      <c r="C3225" s="2" t="s">
        <v>3853</v>
      </c>
      <c r="D3225" s="2" t="s">
        <v>17</v>
      </c>
      <c r="E3225" s="2" t="s">
        <v>11</v>
      </c>
      <c r="F3225" s="2" t="s">
        <v>18</v>
      </c>
      <c r="G3225" s="2" t="s">
        <v>19</v>
      </c>
      <c r="H3225" s="2" t="s">
        <v>348</v>
      </c>
      <c r="I3225" s="2" t="s">
        <v>3677</v>
      </c>
    </row>
    <row r="3226" spans="1:9" ht="14.5" x14ac:dyDescent="0.35">
      <c r="A3226" s="2">
        <v>2378836</v>
      </c>
      <c r="B3226" s="2" t="str">
        <f>"3328114612990003"</f>
        <v>3328114612990003</v>
      </c>
      <c r="C3226" s="2" t="s">
        <v>3854</v>
      </c>
      <c r="D3226" s="2" t="s">
        <v>10</v>
      </c>
      <c r="E3226" s="2" t="s">
        <v>11</v>
      </c>
      <c r="F3226" s="2" t="s">
        <v>18</v>
      </c>
      <c r="G3226" s="2" t="s">
        <v>19</v>
      </c>
      <c r="H3226" s="2" t="s">
        <v>348</v>
      </c>
      <c r="I3226" s="2" t="s">
        <v>348</v>
      </c>
    </row>
    <row r="3227" spans="1:9" ht="14.5" x14ac:dyDescent="0.35">
      <c r="A3227" s="2">
        <v>1636583</v>
      </c>
      <c r="B3227" s="2" t="str">
        <f>"3328114612990003"</f>
        <v>3328114612990003</v>
      </c>
      <c r="C3227" s="2" t="s">
        <v>3854</v>
      </c>
      <c r="D3227" s="2" t="s">
        <v>17</v>
      </c>
      <c r="E3227" s="2" t="s">
        <v>11</v>
      </c>
      <c r="F3227" s="2" t="s">
        <v>18</v>
      </c>
      <c r="G3227" s="2" t="s">
        <v>264</v>
      </c>
      <c r="H3227" s="2" t="s">
        <v>477</v>
      </c>
      <c r="I3227" s="2" t="s">
        <v>3855</v>
      </c>
    </row>
    <row r="3228" spans="1:9" ht="14.5" x14ac:dyDescent="0.35">
      <c r="A3228" s="2">
        <v>2154083</v>
      </c>
      <c r="B3228" s="2" t="str">
        <f>"3328114612990007"</f>
        <v>3328114612990007</v>
      </c>
      <c r="C3228" s="2" t="s">
        <v>3856</v>
      </c>
      <c r="D3228" s="2" t="s">
        <v>10</v>
      </c>
      <c r="E3228" s="2" t="s">
        <v>11</v>
      </c>
      <c r="F3228" s="2" t="s">
        <v>18</v>
      </c>
      <c r="G3228" s="2" t="s">
        <v>19</v>
      </c>
      <c r="H3228" s="2" t="s">
        <v>348</v>
      </c>
      <c r="I3228" s="2" t="s">
        <v>3688</v>
      </c>
    </row>
    <row r="3229" spans="1:9" ht="14.5" x14ac:dyDescent="0.35">
      <c r="A3229" s="2">
        <v>818152</v>
      </c>
      <c r="B3229" s="2" t="str">
        <f>"3328114612990007"</f>
        <v>3328114612990007</v>
      </c>
      <c r="C3229" s="2" t="s">
        <v>3857</v>
      </c>
      <c r="D3229" s="2" t="s">
        <v>17</v>
      </c>
      <c r="E3229" s="2" t="s">
        <v>11</v>
      </c>
      <c r="F3229" s="2" t="s">
        <v>18</v>
      </c>
      <c r="G3229" s="2" t="s">
        <v>951</v>
      </c>
      <c r="H3229" s="2" t="s">
        <v>3858</v>
      </c>
      <c r="I3229" s="2" t="s">
        <v>3859</v>
      </c>
    </row>
    <row r="3230" spans="1:9" ht="14.5" x14ac:dyDescent="0.35">
      <c r="A3230" s="2">
        <v>2219957</v>
      </c>
      <c r="B3230" s="2" t="str">
        <f>"3328114701000003"</f>
        <v>3328114701000003</v>
      </c>
      <c r="C3230" s="2" t="s">
        <v>3860</v>
      </c>
      <c r="D3230" s="2" t="s">
        <v>10</v>
      </c>
      <c r="E3230" s="2" t="s">
        <v>11</v>
      </c>
      <c r="F3230" s="2" t="s">
        <v>18</v>
      </c>
      <c r="G3230" s="2" t="s">
        <v>19</v>
      </c>
      <c r="H3230" s="2" t="s">
        <v>348</v>
      </c>
      <c r="I3230" s="2" t="s">
        <v>3861</v>
      </c>
    </row>
    <row r="3231" spans="1:9" ht="14.5" x14ac:dyDescent="0.35">
      <c r="A3231" s="2">
        <v>1018611</v>
      </c>
      <c r="B3231" s="2" t="str">
        <f>"3328114701000003"</f>
        <v>3328114701000003</v>
      </c>
      <c r="C3231" s="2" t="s">
        <v>3860</v>
      </c>
      <c r="D3231" s="2" t="s">
        <v>17</v>
      </c>
      <c r="E3231" s="2" t="s">
        <v>11</v>
      </c>
      <c r="F3231" s="2" t="s">
        <v>18</v>
      </c>
      <c r="G3231" s="2" t="s">
        <v>385</v>
      </c>
      <c r="H3231" s="2" t="s">
        <v>3862</v>
      </c>
      <c r="I3231" s="2" t="s">
        <v>1127</v>
      </c>
    </row>
    <row r="3232" spans="1:9" ht="14.5" x14ac:dyDescent="0.35">
      <c r="A3232" s="2">
        <v>2167894</v>
      </c>
      <c r="B3232" s="2" t="str">
        <f>"3328114702940003"</f>
        <v>3328114702940003</v>
      </c>
      <c r="C3232" s="2" t="s">
        <v>3863</v>
      </c>
      <c r="D3232" s="2" t="s">
        <v>10</v>
      </c>
      <c r="E3232" s="2" t="s">
        <v>11</v>
      </c>
      <c r="F3232" s="2" t="s">
        <v>18</v>
      </c>
      <c r="G3232" s="2" t="s">
        <v>19</v>
      </c>
      <c r="H3232" s="2" t="s">
        <v>348</v>
      </c>
      <c r="I3232" s="2" t="s">
        <v>3683</v>
      </c>
    </row>
    <row r="3233" spans="1:9" ht="14.5" x14ac:dyDescent="0.35">
      <c r="A3233" s="2">
        <v>873367</v>
      </c>
      <c r="B3233" s="2" t="str">
        <f>"3328114702940003"</f>
        <v>3328114702940003</v>
      </c>
      <c r="C3233" s="2" t="s">
        <v>3863</v>
      </c>
      <c r="D3233" s="2" t="s">
        <v>17</v>
      </c>
      <c r="E3233" s="2" t="s">
        <v>11</v>
      </c>
      <c r="F3233" s="2" t="s">
        <v>379</v>
      </c>
      <c r="G3233" s="2" t="s">
        <v>1206</v>
      </c>
      <c r="H3233" s="2" t="s">
        <v>3864</v>
      </c>
      <c r="I3233" s="2" t="s">
        <v>3865</v>
      </c>
    </row>
    <row r="3234" spans="1:9" ht="14.5" x14ac:dyDescent="0.35">
      <c r="A3234" s="2">
        <v>2234754</v>
      </c>
      <c r="B3234" s="2" t="str">
        <f>"3328114911910005"</f>
        <v>3328114911910005</v>
      </c>
      <c r="C3234" s="2" t="s">
        <v>3866</v>
      </c>
      <c r="D3234" s="2" t="s">
        <v>10</v>
      </c>
      <c r="E3234" s="2" t="s">
        <v>11</v>
      </c>
      <c r="F3234" s="2" t="s">
        <v>18</v>
      </c>
      <c r="G3234" s="2" t="s">
        <v>19</v>
      </c>
      <c r="H3234" s="2" t="s">
        <v>348</v>
      </c>
      <c r="I3234" s="2" t="s">
        <v>459</v>
      </c>
    </row>
    <row r="3235" spans="1:9" ht="14.5" x14ac:dyDescent="0.35">
      <c r="A3235" s="2">
        <v>1691115</v>
      </c>
      <c r="B3235" s="2" t="str">
        <f>"3328114911910005"</f>
        <v>3328114911910005</v>
      </c>
      <c r="C3235" s="2" t="s">
        <v>3866</v>
      </c>
      <c r="D3235" s="2" t="s">
        <v>17</v>
      </c>
      <c r="E3235" s="2" t="s">
        <v>11</v>
      </c>
      <c r="F3235" s="2" t="s">
        <v>18</v>
      </c>
      <c r="G3235" s="2" t="s">
        <v>264</v>
      </c>
      <c r="H3235" s="2" t="s">
        <v>265</v>
      </c>
      <c r="I3235" s="2" t="s">
        <v>266</v>
      </c>
    </row>
    <row r="3236" spans="1:9" ht="14.5" x14ac:dyDescent="0.35">
      <c r="A3236" s="2">
        <v>2160242</v>
      </c>
      <c r="B3236" s="2" t="str">
        <f>"3328115103870004"</f>
        <v>3328115103870004</v>
      </c>
      <c r="C3236" s="2" t="s">
        <v>3867</v>
      </c>
      <c r="D3236" s="2" t="s">
        <v>10</v>
      </c>
      <c r="E3236" s="2" t="s">
        <v>11</v>
      </c>
      <c r="F3236" s="2" t="s">
        <v>18</v>
      </c>
      <c r="G3236" s="2" t="s">
        <v>19</v>
      </c>
      <c r="H3236" s="2" t="s">
        <v>348</v>
      </c>
      <c r="I3236" s="2" t="s">
        <v>3696</v>
      </c>
    </row>
    <row r="3237" spans="1:9" ht="14.5" x14ac:dyDescent="0.35">
      <c r="A3237" s="2">
        <v>3122624</v>
      </c>
      <c r="B3237" s="2" t="str">
        <f>"3328115103870004"</f>
        <v>3328115103870004</v>
      </c>
      <c r="C3237" s="2" t="s">
        <v>3867</v>
      </c>
      <c r="D3237" s="2" t="s">
        <v>17</v>
      </c>
      <c r="E3237" s="2" t="s">
        <v>11</v>
      </c>
      <c r="F3237" s="2" t="s">
        <v>18</v>
      </c>
      <c r="G3237" s="2" t="s">
        <v>163</v>
      </c>
      <c r="H3237" s="2" t="s">
        <v>428</v>
      </c>
      <c r="I3237" s="2" t="s">
        <v>3714</v>
      </c>
    </row>
    <row r="3238" spans="1:9" ht="14.5" x14ac:dyDescent="0.35">
      <c r="A3238" s="2">
        <v>421560</v>
      </c>
      <c r="B3238" s="2" t="str">
        <f>"3328115204940004"</f>
        <v>3328115204940004</v>
      </c>
      <c r="C3238" s="2" t="s">
        <v>3868</v>
      </c>
      <c r="D3238" s="2" t="s">
        <v>17</v>
      </c>
      <c r="E3238" s="2" t="s">
        <v>11</v>
      </c>
      <c r="F3238" s="2" t="s">
        <v>18</v>
      </c>
      <c r="G3238" s="2" t="s">
        <v>268</v>
      </c>
      <c r="H3238" s="2" t="s">
        <v>371</v>
      </c>
      <c r="I3238" s="2" t="s">
        <v>2346</v>
      </c>
    </row>
    <row r="3239" spans="1:9" ht="14.5" x14ac:dyDescent="0.35">
      <c r="A3239" s="2">
        <v>2233965</v>
      </c>
      <c r="B3239" s="2" t="str">
        <f>"3328115204940004"</f>
        <v>3328115204940004</v>
      </c>
      <c r="C3239" s="2" t="s">
        <v>3869</v>
      </c>
      <c r="D3239" s="2" t="s">
        <v>189</v>
      </c>
      <c r="E3239" s="2" t="s">
        <v>11</v>
      </c>
      <c r="F3239" s="2" t="s">
        <v>18</v>
      </c>
      <c r="G3239" s="2" t="s">
        <v>19</v>
      </c>
      <c r="H3239" s="2" t="s">
        <v>348</v>
      </c>
      <c r="I3239" s="2" t="s">
        <v>459</v>
      </c>
    </row>
    <row r="3240" spans="1:9" ht="14.5" x14ac:dyDescent="0.35">
      <c r="A3240" s="2">
        <v>2161777</v>
      </c>
      <c r="B3240" s="2" t="str">
        <f>"3328115210870007"</f>
        <v>3328115210870007</v>
      </c>
      <c r="C3240" s="2" t="s">
        <v>3870</v>
      </c>
      <c r="D3240" s="2" t="s">
        <v>10</v>
      </c>
      <c r="E3240" s="2" t="s">
        <v>11</v>
      </c>
      <c r="F3240" s="2" t="s">
        <v>18</v>
      </c>
      <c r="G3240" s="2" t="s">
        <v>19</v>
      </c>
      <c r="H3240" s="2" t="s">
        <v>348</v>
      </c>
      <c r="I3240" s="2" t="s">
        <v>3696</v>
      </c>
    </row>
    <row r="3241" spans="1:9" ht="14.5" x14ac:dyDescent="0.35">
      <c r="A3241" s="2">
        <v>1880580</v>
      </c>
      <c r="B3241" s="2" t="str">
        <f>"3328115210870007"</f>
        <v>3328115210870007</v>
      </c>
      <c r="C3241" s="2" t="s">
        <v>3870</v>
      </c>
      <c r="D3241" s="2" t="s">
        <v>17</v>
      </c>
      <c r="E3241" s="2" t="s">
        <v>11</v>
      </c>
      <c r="F3241" s="2" t="s">
        <v>91</v>
      </c>
      <c r="G3241" s="2" t="s">
        <v>320</v>
      </c>
      <c r="H3241" s="2" t="s">
        <v>2523</v>
      </c>
      <c r="I3241" s="2" t="s">
        <v>2524</v>
      </c>
    </row>
    <row r="3242" spans="1:9" ht="14.5" x14ac:dyDescent="0.35">
      <c r="A3242" s="2">
        <v>2174326</v>
      </c>
      <c r="B3242" s="2" t="str">
        <f>"3328115304780001"</f>
        <v>3328115304780001</v>
      </c>
      <c r="C3242" s="2" t="s">
        <v>3871</v>
      </c>
      <c r="D3242" s="2" t="s">
        <v>10</v>
      </c>
      <c r="E3242" s="2" t="s">
        <v>11</v>
      </c>
      <c r="F3242" s="2" t="s">
        <v>18</v>
      </c>
      <c r="G3242" s="2" t="s">
        <v>19</v>
      </c>
      <c r="H3242" s="2" t="s">
        <v>348</v>
      </c>
      <c r="I3242" s="2" t="s">
        <v>3872</v>
      </c>
    </row>
    <row r="3243" spans="1:9" ht="14.5" x14ac:dyDescent="0.35">
      <c r="A3243" s="2">
        <v>1692324</v>
      </c>
      <c r="B3243" s="2" t="str">
        <f>"3328115304780001"</f>
        <v>3328115304780001</v>
      </c>
      <c r="C3243" s="2" t="s">
        <v>3873</v>
      </c>
      <c r="D3243" s="2" t="s">
        <v>17</v>
      </c>
      <c r="E3243" s="2" t="s">
        <v>11</v>
      </c>
      <c r="F3243" s="2" t="s">
        <v>18</v>
      </c>
      <c r="G3243" s="2" t="s">
        <v>264</v>
      </c>
      <c r="H3243" s="2" t="s">
        <v>265</v>
      </c>
      <c r="I3243" s="2" t="s">
        <v>1869</v>
      </c>
    </row>
    <row r="3244" spans="1:9" ht="14.5" x14ac:dyDescent="0.35">
      <c r="A3244" s="2">
        <v>2099575</v>
      </c>
      <c r="B3244" s="2" t="str">
        <f>"3328115305040008"</f>
        <v>3328115305040008</v>
      </c>
      <c r="C3244" s="2" t="s">
        <v>3874</v>
      </c>
      <c r="D3244" s="2" t="s">
        <v>10</v>
      </c>
      <c r="E3244" s="2" t="s">
        <v>11</v>
      </c>
      <c r="F3244" s="2" t="s">
        <v>18</v>
      </c>
      <c r="G3244" s="2" t="s">
        <v>19</v>
      </c>
      <c r="H3244" s="2" t="s">
        <v>348</v>
      </c>
      <c r="I3244" s="2" t="s">
        <v>3727</v>
      </c>
    </row>
    <row r="3245" spans="1:9" ht="14.5" x14ac:dyDescent="0.35">
      <c r="A3245" s="2">
        <v>762542</v>
      </c>
      <c r="B3245" s="2" t="str">
        <f>"3328115305040008"</f>
        <v>3328115305040008</v>
      </c>
      <c r="C3245" s="2" t="s">
        <v>3875</v>
      </c>
      <c r="D3245" s="2" t="s">
        <v>10</v>
      </c>
      <c r="E3245" s="2" t="s">
        <v>57</v>
      </c>
      <c r="F3245" s="2" t="s">
        <v>379</v>
      </c>
      <c r="G3245" s="2" t="s">
        <v>711</v>
      </c>
      <c r="H3245" s="2" t="s">
        <v>718</v>
      </c>
      <c r="I3245" s="2" t="s">
        <v>719</v>
      </c>
    </row>
    <row r="3246" spans="1:9" ht="14.5" x14ac:dyDescent="0.35">
      <c r="A3246" s="2">
        <v>2381283</v>
      </c>
      <c r="B3246" s="2" t="str">
        <f>"3328115405980004"</f>
        <v>3328115405980004</v>
      </c>
      <c r="C3246" s="2" t="s">
        <v>3876</v>
      </c>
      <c r="D3246" s="2" t="s">
        <v>10</v>
      </c>
      <c r="E3246" s="2" t="s">
        <v>11</v>
      </c>
      <c r="F3246" s="2" t="s">
        <v>18</v>
      </c>
      <c r="G3246" s="2" t="s">
        <v>19</v>
      </c>
      <c r="H3246" s="2" t="s">
        <v>348</v>
      </c>
      <c r="I3246" s="2" t="s">
        <v>348</v>
      </c>
    </row>
    <row r="3247" spans="1:9" ht="14.5" x14ac:dyDescent="0.35">
      <c r="A3247" s="2">
        <v>421071</v>
      </c>
      <c r="B3247" s="2" t="str">
        <f>"3328115405980004"</f>
        <v>3328115405980004</v>
      </c>
      <c r="C3247" s="2" t="s">
        <v>3877</v>
      </c>
      <c r="D3247" s="2" t="s">
        <v>17</v>
      </c>
      <c r="E3247" s="2" t="s">
        <v>11</v>
      </c>
      <c r="F3247" s="2" t="s">
        <v>18</v>
      </c>
      <c r="G3247" s="2" t="s">
        <v>268</v>
      </c>
      <c r="H3247" s="2" t="s">
        <v>448</v>
      </c>
      <c r="I3247" s="2" t="s">
        <v>448</v>
      </c>
    </row>
    <row r="3248" spans="1:9" ht="14.5" x14ac:dyDescent="0.35">
      <c r="A3248" s="2">
        <v>2115887</v>
      </c>
      <c r="B3248" s="2" t="str">
        <f>"3328115512960004"</f>
        <v>3328115512960004</v>
      </c>
      <c r="C3248" s="2" t="s">
        <v>3878</v>
      </c>
      <c r="D3248" s="2" t="s">
        <v>10</v>
      </c>
      <c r="E3248" s="2" t="s">
        <v>11</v>
      </c>
      <c r="F3248" s="2" t="s">
        <v>18</v>
      </c>
      <c r="G3248" s="2" t="s">
        <v>19</v>
      </c>
      <c r="H3248" s="2" t="s">
        <v>348</v>
      </c>
      <c r="I3248" s="2" t="s">
        <v>1777</v>
      </c>
    </row>
    <row r="3249" spans="1:9" ht="14.5" x14ac:dyDescent="0.35">
      <c r="A3249" s="2">
        <v>1236915</v>
      </c>
      <c r="B3249" s="2" t="str">
        <f>"3328115512960004"</f>
        <v>3328115512960004</v>
      </c>
      <c r="C3249" s="2" t="s">
        <v>3879</v>
      </c>
      <c r="D3249" s="2" t="s">
        <v>17</v>
      </c>
      <c r="E3249" s="2" t="s">
        <v>11</v>
      </c>
      <c r="F3249" s="2" t="s">
        <v>91</v>
      </c>
      <c r="G3249" s="2" t="s">
        <v>2364</v>
      </c>
      <c r="H3249" s="2" t="s">
        <v>3880</v>
      </c>
      <c r="I3249" s="2" t="s">
        <v>20</v>
      </c>
    </row>
    <row r="3250" spans="1:9" ht="14.5" x14ac:dyDescent="0.35">
      <c r="A3250" s="2">
        <v>198446</v>
      </c>
      <c r="B3250" s="2" t="str">
        <f>"3328115609870004"</f>
        <v>3328115609870004</v>
      </c>
      <c r="C3250" s="2" t="s">
        <v>3881</v>
      </c>
      <c r="D3250" s="2" t="s">
        <v>10</v>
      </c>
      <c r="E3250" s="2" t="s">
        <v>11</v>
      </c>
      <c r="F3250" s="2" t="s">
        <v>91</v>
      </c>
      <c r="G3250" s="2" t="s">
        <v>903</v>
      </c>
      <c r="H3250" s="2" t="s">
        <v>915</v>
      </c>
      <c r="I3250" s="2" t="s">
        <v>1410</v>
      </c>
    </row>
    <row r="3251" spans="1:9" ht="14.5" x14ac:dyDescent="0.35">
      <c r="A3251" s="2">
        <v>2553377</v>
      </c>
      <c r="B3251" s="2" t="str">
        <f>"3328115609870004"</f>
        <v>3328115609870004</v>
      </c>
      <c r="C3251" s="2" t="s">
        <v>3881</v>
      </c>
      <c r="D3251" s="2" t="s">
        <v>17</v>
      </c>
      <c r="E3251" s="2" t="s">
        <v>11</v>
      </c>
      <c r="F3251" s="2" t="s">
        <v>18</v>
      </c>
      <c r="G3251" s="2" t="s">
        <v>19</v>
      </c>
      <c r="H3251" s="2" t="s">
        <v>348</v>
      </c>
      <c r="I3251" s="2" t="s">
        <v>3677</v>
      </c>
    </row>
    <row r="3252" spans="1:9" ht="14.5" x14ac:dyDescent="0.35">
      <c r="A3252" s="2">
        <v>213156</v>
      </c>
      <c r="B3252" s="2" t="str">
        <f>"3328115703060002"</f>
        <v>3328115703060002</v>
      </c>
      <c r="C3252" s="2" t="s">
        <v>3882</v>
      </c>
      <c r="D3252" s="2" t="s">
        <v>10</v>
      </c>
      <c r="E3252" s="2" t="s">
        <v>11</v>
      </c>
      <c r="F3252" s="2" t="s">
        <v>18</v>
      </c>
      <c r="G3252" s="2" t="s">
        <v>268</v>
      </c>
      <c r="H3252" s="2" t="s">
        <v>371</v>
      </c>
      <c r="I3252" s="2" t="s">
        <v>2772</v>
      </c>
    </row>
    <row r="3253" spans="1:9" ht="14.5" x14ac:dyDescent="0.35">
      <c r="A3253" s="2">
        <v>2553147</v>
      </c>
      <c r="B3253" s="2" t="str">
        <f>"3328115703060002"</f>
        <v>3328115703060002</v>
      </c>
      <c r="C3253" s="2" t="s">
        <v>3882</v>
      </c>
      <c r="D3253" s="2" t="s">
        <v>17</v>
      </c>
      <c r="E3253" s="2" t="s">
        <v>11</v>
      </c>
      <c r="F3253" s="2" t="s">
        <v>18</v>
      </c>
      <c r="G3253" s="2" t="s">
        <v>19</v>
      </c>
      <c r="H3253" s="2" t="s">
        <v>348</v>
      </c>
      <c r="I3253" s="2" t="s">
        <v>3683</v>
      </c>
    </row>
    <row r="3254" spans="1:9" ht="14.5" x14ac:dyDescent="0.35">
      <c r="A3254" s="2">
        <v>2104732</v>
      </c>
      <c r="B3254" s="2" t="str">
        <f>"3328115704010004"</f>
        <v>3328115704010004</v>
      </c>
      <c r="C3254" s="2" t="s">
        <v>3883</v>
      </c>
      <c r="D3254" s="2" t="s">
        <v>10</v>
      </c>
      <c r="E3254" s="2" t="s">
        <v>11</v>
      </c>
      <c r="F3254" s="2" t="s">
        <v>18</v>
      </c>
      <c r="G3254" s="2" t="s">
        <v>19</v>
      </c>
      <c r="H3254" s="2" t="s">
        <v>348</v>
      </c>
      <c r="I3254" s="2" t="s">
        <v>3668</v>
      </c>
    </row>
    <row r="3255" spans="1:9" ht="14.5" x14ac:dyDescent="0.35">
      <c r="A3255" s="2">
        <v>762385</v>
      </c>
      <c r="B3255" s="2" t="str">
        <f>"3328115704010004"</f>
        <v>3328115704010004</v>
      </c>
      <c r="C3255" s="2" t="s">
        <v>3884</v>
      </c>
      <c r="D3255" s="2" t="s">
        <v>10</v>
      </c>
      <c r="E3255" s="2" t="s">
        <v>57</v>
      </c>
      <c r="F3255" s="2" t="s">
        <v>379</v>
      </c>
      <c r="G3255" s="2" t="s">
        <v>711</v>
      </c>
      <c r="H3255" s="2" t="s">
        <v>718</v>
      </c>
      <c r="I3255" s="2" t="s">
        <v>719</v>
      </c>
    </row>
    <row r="3256" spans="1:9" ht="14.5" x14ac:dyDescent="0.35">
      <c r="A3256" s="2">
        <v>1684993</v>
      </c>
      <c r="B3256" s="2" t="str">
        <f>"3328115901060005"</f>
        <v>3328115901060005</v>
      </c>
      <c r="C3256" s="2" t="s">
        <v>3885</v>
      </c>
      <c r="D3256" s="2" t="s">
        <v>10</v>
      </c>
      <c r="E3256" s="2" t="s">
        <v>57</v>
      </c>
      <c r="F3256" s="2" t="s">
        <v>18</v>
      </c>
      <c r="G3256" s="2" t="s">
        <v>184</v>
      </c>
      <c r="H3256" s="2" t="s">
        <v>1085</v>
      </c>
      <c r="I3256" s="2" t="s">
        <v>1086</v>
      </c>
    </row>
    <row r="3257" spans="1:9" ht="14.5" x14ac:dyDescent="0.35">
      <c r="A3257" s="2">
        <v>2168515</v>
      </c>
      <c r="B3257" s="2" t="str">
        <f>"3328115901060005"</f>
        <v>3328115901060005</v>
      </c>
      <c r="C3257" s="2" t="s">
        <v>3885</v>
      </c>
      <c r="D3257" s="2" t="s">
        <v>189</v>
      </c>
      <c r="E3257" s="2" t="s">
        <v>11</v>
      </c>
      <c r="F3257" s="2" t="s">
        <v>18</v>
      </c>
      <c r="G3257" s="2" t="s">
        <v>19</v>
      </c>
      <c r="H3257" s="2" t="s">
        <v>348</v>
      </c>
      <c r="I3257" s="2" t="s">
        <v>3723</v>
      </c>
    </row>
    <row r="3258" spans="1:9" ht="14.5" x14ac:dyDescent="0.35">
      <c r="A3258" s="2">
        <v>2112333</v>
      </c>
      <c r="B3258" s="2" t="str">
        <f>"3328115905020006"</f>
        <v>3328115905020006</v>
      </c>
      <c r="C3258" s="2" t="s">
        <v>3886</v>
      </c>
      <c r="D3258" s="2" t="s">
        <v>10</v>
      </c>
      <c r="E3258" s="2" t="s">
        <v>11</v>
      </c>
      <c r="F3258" s="2" t="s">
        <v>18</v>
      </c>
      <c r="G3258" s="2" t="s">
        <v>19</v>
      </c>
      <c r="H3258" s="2" t="s">
        <v>348</v>
      </c>
      <c r="I3258" s="2" t="s">
        <v>1777</v>
      </c>
    </row>
    <row r="3259" spans="1:9" ht="14.5" x14ac:dyDescent="0.35">
      <c r="A3259" s="2">
        <v>1352872</v>
      </c>
      <c r="B3259" s="2" t="str">
        <f>"3328115905020006"</f>
        <v>3328115905020006</v>
      </c>
      <c r="C3259" s="2" t="s">
        <v>3886</v>
      </c>
      <c r="D3259" s="2" t="s">
        <v>10</v>
      </c>
      <c r="E3259" s="2" t="s">
        <v>57</v>
      </c>
      <c r="F3259" s="2" t="s">
        <v>303</v>
      </c>
      <c r="G3259" s="2" t="s">
        <v>608</v>
      </c>
      <c r="H3259" s="2" t="s">
        <v>609</v>
      </c>
      <c r="I3259" s="2" t="s">
        <v>610</v>
      </c>
    </row>
    <row r="3260" spans="1:9" ht="14.5" x14ac:dyDescent="0.35">
      <c r="A3260" s="2">
        <v>1796049</v>
      </c>
      <c r="B3260" s="2" t="str">
        <f>"3328116001000013"</f>
        <v>3328116001000013</v>
      </c>
      <c r="C3260" s="2" t="s">
        <v>3887</v>
      </c>
      <c r="D3260" s="2" t="s">
        <v>17</v>
      </c>
      <c r="E3260" s="2" t="s">
        <v>11</v>
      </c>
      <c r="F3260" s="2" t="s">
        <v>50</v>
      </c>
      <c r="G3260" s="2" t="s">
        <v>72</v>
      </c>
      <c r="H3260" s="2" t="s">
        <v>803</v>
      </c>
      <c r="I3260" s="2" t="s">
        <v>2244</v>
      </c>
    </row>
    <row r="3261" spans="1:9" ht="14.5" x14ac:dyDescent="0.35">
      <c r="A3261" s="2">
        <v>2157387</v>
      </c>
      <c r="B3261" s="2" t="str">
        <f>"3328116001000013"</f>
        <v>3328116001000013</v>
      </c>
      <c r="C3261" s="2" t="s">
        <v>3887</v>
      </c>
      <c r="D3261" s="2" t="s">
        <v>189</v>
      </c>
      <c r="E3261" s="2" t="s">
        <v>11</v>
      </c>
      <c r="F3261" s="2" t="s">
        <v>18</v>
      </c>
      <c r="G3261" s="2" t="s">
        <v>19</v>
      </c>
      <c r="H3261" s="2" t="s">
        <v>348</v>
      </c>
      <c r="I3261" s="2" t="s">
        <v>3688</v>
      </c>
    </row>
    <row r="3262" spans="1:9" ht="14.5" x14ac:dyDescent="0.35">
      <c r="A3262" s="2">
        <v>2036139</v>
      </c>
      <c r="B3262" s="2" t="str">
        <f>"3328116009020006"</f>
        <v>3328116009020006</v>
      </c>
      <c r="C3262" s="2" t="s">
        <v>3888</v>
      </c>
      <c r="D3262" s="2" t="s">
        <v>189</v>
      </c>
      <c r="E3262" s="2" t="s">
        <v>11</v>
      </c>
      <c r="F3262" s="2" t="s">
        <v>18</v>
      </c>
      <c r="G3262" s="2" t="s">
        <v>19</v>
      </c>
      <c r="H3262" s="2" t="s">
        <v>348</v>
      </c>
      <c r="I3262" s="2" t="s">
        <v>3721</v>
      </c>
    </row>
    <row r="3263" spans="1:9" ht="14.5" x14ac:dyDescent="0.35">
      <c r="A3263" s="2">
        <v>2111611</v>
      </c>
      <c r="B3263" s="2" t="str">
        <f>"3328116009020006"</f>
        <v>3328116009020006</v>
      </c>
      <c r="C3263" s="2" t="s">
        <v>3888</v>
      </c>
      <c r="D3263" s="2" t="s">
        <v>17</v>
      </c>
      <c r="E3263" s="2" t="s">
        <v>11</v>
      </c>
      <c r="F3263" s="2" t="s">
        <v>67</v>
      </c>
      <c r="G3263" s="2" t="s">
        <v>638</v>
      </c>
      <c r="H3263" s="2" t="s">
        <v>3889</v>
      </c>
      <c r="I3263" s="2" t="s">
        <v>3890</v>
      </c>
    </row>
    <row r="3264" spans="1:9" ht="14.5" x14ac:dyDescent="0.35">
      <c r="A3264" s="2">
        <v>2090940</v>
      </c>
      <c r="B3264" s="2" t="str">
        <f>"3328116010780009"</f>
        <v>3328116010780009</v>
      </c>
      <c r="C3264" s="2" t="s">
        <v>3891</v>
      </c>
      <c r="D3264" s="2" t="s">
        <v>189</v>
      </c>
      <c r="E3264" s="2" t="s">
        <v>11</v>
      </c>
      <c r="F3264" s="2" t="s">
        <v>18</v>
      </c>
      <c r="G3264" s="2" t="s">
        <v>19</v>
      </c>
      <c r="H3264" s="2" t="s">
        <v>348</v>
      </c>
      <c r="I3264" s="2" t="s">
        <v>3660</v>
      </c>
    </row>
    <row r="3265" spans="1:9" ht="14.5" x14ac:dyDescent="0.35">
      <c r="A3265" s="2">
        <v>1803381</v>
      </c>
      <c r="B3265" s="2" t="str">
        <f>"3328116010780009"</f>
        <v>3328116010780009</v>
      </c>
      <c r="C3265" s="2" t="s">
        <v>3892</v>
      </c>
      <c r="D3265" s="2" t="s">
        <v>17</v>
      </c>
      <c r="E3265" s="2" t="s">
        <v>11</v>
      </c>
      <c r="F3265" s="2" t="s">
        <v>50</v>
      </c>
      <c r="G3265" s="2" t="s">
        <v>72</v>
      </c>
      <c r="H3265" s="2" t="s">
        <v>703</v>
      </c>
      <c r="I3265" s="2" t="s">
        <v>2222</v>
      </c>
    </row>
    <row r="3266" spans="1:9" ht="14.5" x14ac:dyDescent="0.35">
      <c r="A3266" s="2">
        <v>1369520</v>
      </c>
      <c r="B3266" s="2" t="str">
        <f>"3328116510050011"</f>
        <v>3328116510050011</v>
      </c>
      <c r="C3266" s="2" t="s">
        <v>3893</v>
      </c>
      <c r="D3266" s="2" t="s">
        <v>10</v>
      </c>
      <c r="E3266" s="2" t="s">
        <v>11</v>
      </c>
      <c r="F3266" s="2" t="s">
        <v>91</v>
      </c>
      <c r="G3266" s="2" t="s">
        <v>159</v>
      </c>
      <c r="H3266" s="2" t="s">
        <v>160</v>
      </c>
      <c r="I3266" s="2" t="s">
        <v>161</v>
      </c>
    </row>
    <row r="3267" spans="1:9" ht="14.5" x14ac:dyDescent="0.35">
      <c r="A3267" s="2">
        <v>2553479</v>
      </c>
      <c r="B3267" s="2" t="str">
        <f>"3328116510050011"</f>
        <v>3328116510050011</v>
      </c>
      <c r="C3267" s="2" t="s">
        <v>3894</v>
      </c>
      <c r="D3267" s="2" t="s">
        <v>17</v>
      </c>
      <c r="E3267" s="2" t="s">
        <v>11</v>
      </c>
      <c r="F3267" s="2" t="s">
        <v>18</v>
      </c>
      <c r="G3267" s="2" t="s">
        <v>19</v>
      </c>
      <c r="H3267" s="2" t="s">
        <v>348</v>
      </c>
      <c r="I3267" s="2" t="s">
        <v>3658</v>
      </c>
    </row>
    <row r="3268" spans="1:9" ht="14.5" x14ac:dyDescent="0.35">
      <c r="A3268" s="2">
        <v>2016348</v>
      </c>
      <c r="B3268" s="2" t="str">
        <f>"3328116701070010"</f>
        <v>3328116701070010</v>
      </c>
      <c r="C3268" s="2" t="s">
        <v>3895</v>
      </c>
      <c r="D3268" s="2" t="s">
        <v>189</v>
      </c>
      <c r="E3268" s="2" t="s">
        <v>11</v>
      </c>
      <c r="F3268" s="2" t="s">
        <v>18</v>
      </c>
      <c r="G3268" s="2" t="s">
        <v>19</v>
      </c>
      <c r="H3268" s="2" t="s">
        <v>348</v>
      </c>
      <c r="I3268" s="2" t="s">
        <v>349</v>
      </c>
    </row>
    <row r="3269" spans="1:9" ht="14.5" x14ac:dyDescent="0.35">
      <c r="A3269" s="2">
        <v>2084633</v>
      </c>
      <c r="B3269" s="2" t="str">
        <f>"3328116701070010"</f>
        <v>3328116701070010</v>
      </c>
      <c r="C3269" s="2" t="s">
        <v>3895</v>
      </c>
      <c r="D3269" s="2" t="s">
        <v>17</v>
      </c>
      <c r="E3269" s="2" t="s">
        <v>57</v>
      </c>
      <c r="F3269" s="2" t="s">
        <v>18</v>
      </c>
      <c r="G3269" s="2" t="s">
        <v>962</v>
      </c>
      <c r="H3269" s="2" t="s">
        <v>1046</v>
      </c>
      <c r="I3269" s="2" t="s">
        <v>1146</v>
      </c>
    </row>
    <row r="3270" spans="1:9" ht="14.5" x14ac:dyDescent="0.35">
      <c r="A3270" s="2">
        <v>388869</v>
      </c>
      <c r="B3270" s="2" t="str">
        <f>"3328116705050008"</f>
        <v>3328116705050008</v>
      </c>
      <c r="C3270" s="2" t="s">
        <v>3896</v>
      </c>
      <c r="D3270" s="2" t="s">
        <v>10</v>
      </c>
      <c r="E3270" s="2" t="s">
        <v>11</v>
      </c>
      <c r="F3270" s="2" t="s">
        <v>18</v>
      </c>
      <c r="G3270" s="2" t="s">
        <v>268</v>
      </c>
      <c r="H3270" s="2" t="s">
        <v>448</v>
      </c>
      <c r="I3270" s="2" t="s">
        <v>3897</v>
      </c>
    </row>
    <row r="3271" spans="1:9" ht="14.5" x14ac:dyDescent="0.35">
      <c r="A3271" s="2">
        <v>2551984</v>
      </c>
      <c r="B3271" s="2" t="str">
        <f>"3328116705050008"</f>
        <v>3328116705050008</v>
      </c>
      <c r="C3271" s="2" t="s">
        <v>3898</v>
      </c>
      <c r="D3271" s="2" t="s">
        <v>17</v>
      </c>
      <c r="E3271" s="2" t="s">
        <v>11</v>
      </c>
      <c r="F3271" s="2" t="s">
        <v>18</v>
      </c>
      <c r="G3271" s="2" t="s">
        <v>19</v>
      </c>
      <c r="H3271" s="2" t="s">
        <v>348</v>
      </c>
      <c r="I3271" s="2" t="s">
        <v>3688</v>
      </c>
    </row>
    <row r="3272" spans="1:9" ht="14.5" x14ac:dyDescent="0.35">
      <c r="A3272" s="2">
        <v>416498</v>
      </c>
      <c r="B3272" s="2" t="str">
        <f>"3328116706820006"</f>
        <v>3328116706820006</v>
      </c>
      <c r="C3272" s="2" t="s">
        <v>3899</v>
      </c>
      <c r="D3272" s="2" t="s">
        <v>10</v>
      </c>
      <c r="E3272" s="2" t="s">
        <v>11</v>
      </c>
      <c r="F3272" s="2" t="s">
        <v>18</v>
      </c>
      <c r="G3272" s="2" t="s">
        <v>268</v>
      </c>
      <c r="H3272" s="2" t="s">
        <v>448</v>
      </c>
      <c r="I3272" s="2" t="s">
        <v>888</v>
      </c>
    </row>
    <row r="3273" spans="1:9" ht="14.5" x14ac:dyDescent="0.35">
      <c r="A3273" s="2">
        <v>2553162</v>
      </c>
      <c r="B3273" s="2" t="str">
        <f>"3328116706820006"</f>
        <v>3328116706820006</v>
      </c>
      <c r="C3273" s="2" t="s">
        <v>3899</v>
      </c>
      <c r="D3273" s="2" t="s">
        <v>17</v>
      </c>
      <c r="E3273" s="2" t="s">
        <v>11</v>
      </c>
      <c r="F3273" s="2" t="s">
        <v>18</v>
      </c>
      <c r="G3273" s="2" t="s">
        <v>19</v>
      </c>
      <c r="H3273" s="2" t="s">
        <v>348</v>
      </c>
      <c r="I3273" s="2" t="s">
        <v>3683</v>
      </c>
    </row>
    <row r="3274" spans="1:9" ht="14.5" x14ac:dyDescent="0.35">
      <c r="A3274" s="2">
        <v>2038010</v>
      </c>
      <c r="B3274" s="2" t="str">
        <f>"3328116708990008"</f>
        <v>3328116708990008</v>
      </c>
      <c r="C3274" s="2" t="s">
        <v>3900</v>
      </c>
      <c r="D3274" s="2" t="s">
        <v>10</v>
      </c>
      <c r="E3274" s="2" t="s">
        <v>11</v>
      </c>
      <c r="F3274" s="2" t="s">
        <v>18</v>
      </c>
      <c r="G3274" s="2" t="s">
        <v>19</v>
      </c>
      <c r="H3274" s="2" t="s">
        <v>348</v>
      </c>
      <c r="I3274" s="2" t="s">
        <v>3721</v>
      </c>
    </row>
    <row r="3275" spans="1:9" ht="14.5" x14ac:dyDescent="0.35">
      <c r="A3275" s="2">
        <v>735107</v>
      </c>
      <c r="B3275" s="2" t="str">
        <f>"3328116708990008"</f>
        <v>3328116708990008</v>
      </c>
      <c r="C3275" s="2" t="s">
        <v>3900</v>
      </c>
      <c r="D3275" s="2" t="s">
        <v>17</v>
      </c>
      <c r="E3275" s="2" t="s">
        <v>11</v>
      </c>
      <c r="F3275" s="2" t="s">
        <v>18</v>
      </c>
      <c r="G3275" s="2" t="s">
        <v>1381</v>
      </c>
      <c r="H3275" s="2" t="s">
        <v>3901</v>
      </c>
      <c r="I3275" s="2" t="s">
        <v>3902</v>
      </c>
    </row>
    <row r="3276" spans="1:9" ht="14.5" x14ac:dyDescent="0.35">
      <c r="A3276" s="2">
        <v>2021308</v>
      </c>
      <c r="B3276" s="2" t="str">
        <f>"3328116710020002"</f>
        <v>3328116710020002</v>
      </c>
      <c r="C3276" s="2" t="s">
        <v>3903</v>
      </c>
      <c r="D3276" s="2" t="s">
        <v>10</v>
      </c>
      <c r="E3276" s="2" t="s">
        <v>11</v>
      </c>
      <c r="F3276" s="2" t="s">
        <v>18</v>
      </c>
      <c r="G3276" s="2" t="s">
        <v>19</v>
      </c>
      <c r="H3276" s="2" t="s">
        <v>348</v>
      </c>
      <c r="I3276" s="2" t="s">
        <v>349</v>
      </c>
    </row>
    <row r="3277" spans="1:9" ht="14.5" x14ac:dyDescent="0.35">
      <c r="A3277" s="2">
        <v>1862483</v>
      </c>
      <c r="B3277" s="2" t="str">
        <f>"3328116710020002"</f>
        <v>3328116710020002</v>
      </c>
      <c r="C3277" s="2" t="s">
        <v>3903</v>
      </c>
      <c r="D3277" s="2" t="s">
        <v>10</v>
      </c>
      <c r="E3277" s="2" t="s">
        <v>57</v>
      </c>
      <c r="F3277" s="2" t="s">
        <v>18</v>
      </c>
      <c r="G3277" s="2" t="s">
        <v>733</v>
      </c>
      <c r="H3277" s="2" t="s">
        <v>733</v>
      </c>
      <c r="I3277" s="2" t="s">
        <v>734</v>
      </c>
    </row>
    <row r="3278" spans="1:9" ht="14.5" x14ac:dyDescent="0.35">
      <c r="A3278" s="2">
        <v>2048679</v>
      </c>
      <c r="B3278" s="2" t="str">
        <f>"3328116809790001"</f>
        <v>3328116809790001</v>
      </c>
      <c r="C3278" s="2" t="s">
        <v>3904</v>
      </c>
      <c r="D3278" s="2" t="s">
        <v>10</v>
      </c>
      <c r="E3278" s="2" t="s">
        <v>11</v>
      </c>
      <c r="F3278" s="2" t="s">
        <v>18</v>
      </c>
      <c r="G3278" s="2" t="s">
        <v>19</v>
      </c>
      <c r="H3278" s="2" t="s">
        <v>348</v>
      </c>
      <c r="I3278" s="2" t="s">
        <v>3670</v>
      </c>
    </row>
    <row r="3279" spans="1:9" ht="14.5" x14ac:dyDescent="0.35">
      <c r="A3279" s="2">
        <v>1635490</v>
      </c>
      <c r="B3279" s="2" t="str">
        <f>"3328116809790001"</f>
        <v>3328116809790001</v>
      </c>
      <c r="C3279" s="2" t="s">
        <v>3905</v>
      </c>
      <c r="D3279" s="2" t="s">
        <v>17</v>
      </c>
      <c r="E3279" s="2" t="s">
        <v>11</v>
      </c>
      <c r="F3279" s="2" t="s">
        <v>18</v>
      </c>
      <c r="G3279" s="2" t="s">
        <v>167</v>
      </c>
      <c r="H3279" s="2" t="s">
        <v>352</v>
      </c>
      <c r="I3279" s="2" t="s">
        <v>3906</v>
      </c>
    </row>
    <row r="3280" spans="1:9" ht="14.5" x14ac:dyDescent="0.35">
      <c r="A3280" s="2">
        <v>530729</v>
      </c>
      <c r="B3280" s="2" t="str">
        <f>"3328116906980003"</f>
        <v>3328116906980003</v>
      </c>
      <c r="C3280" s="2" t="s">
        <v>3907</v>
      </c>
      <c r="D3280" s="2" t="s">
        <v>10</v>
      </c>
      <c r="E3280" s="2" t="s">
        <v>11</v>
      </c>
      <c r="F3280" s="2" t="s">
        <v>67</v>
      </c>
      <c r="G3280" s="2" t="s">
        <v>791</v>
      </c>
      <c r="H3280" s="2" t="s">
        <v>1796</v>
      </c>
      <c r="I3280" s="2" t="s">
        <v>3908</v>
      </c>
    </row>
    <row r="3281" spans="1:9" ht="14.5" x14ac:dyDescent="0.35">
      <c r="A3281" s="2">
        <v>2553178</v>
      </c>
      <c r="B3281" s="2" t="str">
        <f>"3328116906980003"</f>
        <v>3328116906980003</v>
      </c>
      <c r="C3281" s="2" t="s">
        <v>3907</v>
      </c>
      <c r="D3281" s="2" t="s">
        <v>17</v>
      </c>
      <c r="E3281" s="2" t="s">
        <v>11</v>
      </c>
      <c r="F3281" s="2" t="s">
        <v>18</v>
      </c>
      <c r="G3281" s="2" t="s">
        <v>19</v>
      </c>
      <c r="H3281" s="2" t="s">
        <v>348</v>
      </c>
      <c r="I3281" s="2" t="s">
        <v>3683</v>
      </c>
    </row>
    <row r="3282" spans="1:9" ht="14.5" x14ac:dyDescent="0.35">
      <c r="A3282" s="2">
        <v>2135014</v>
      </c>
      <c r="B3282" s="2" t="str">
        <f>"3328117012850008"</f>
        <v>3328117012850008</v>
      </c>
      <c r="C3282" s="2" t="s">
        <v>3909</v>
      </c>
      <c r="D3282" s="2" t="s">
        <v>10</v>
      </c>
      <c r="E3282" s="2" t="s">
        <v>11</v>
      </c>
      <c r="F3282" s="2" t="s">
        <v>18</v>
      </c>
      <c r="G3282" s="2" t="s">
        <v>19</v>
      </c>
      <c r="H3282" s="2" t="s">
        <v>348</v>
      </c>
      <c r="I3282" s="2" t="s">
        <v>3677</v>
      </c>
    </row>
    <row r="3283" spans="1:9" ht="14.5" x14ac:dyDescent="0.35">
      <c r="A3283" s="2">
        <v>736408</v>
      </c>
      <c r="B3283" s="2" t="str">
        <f>"3328117012850008"</f>
        <v>3328117012850008</v>
      </c>
      <c r="C3283" s="2" t="s">
        <v>3909</v>
      </c>
      <c r="D3283" s="2" t="s">
        <v>17</v>
      </c>
      <c r="E3283" s="2" t="s">
        <v>11</v>
      </c>
      <c r="F3283" s="2" t="s">
        <v>18</v>
      </c>
      <c r="G3283" s="2" t="s">
        <v>1381</v>
      </c>
      <c r="H3283" s="2" t="s">
        <v>1381</v>
      </c>
      <c r="I3283" s="2" t="s">
        <v>3770</v>
      </c>
    </row>
    <row r="3284" spans="1:9" ht="14.5" x14ac:dyDescent="0.35">
      <c r="A3284" s="2">
        <v>2153105</v>
      </c>
      <c r="B3284" s="2" t="str">
        <f>"3328117103990007"</f>
        <v>3328117103990007</v>
      </c>
      <c r="C3284" s="2" t="s">
        <v>3910</v>
      </c>
      <c r="D3284" s="2" t="s">
        <v>10</v>
      </c>
      <c r="E3284" s="2" t="s">
        <v>11</v>
      </c>
      <c r="F3284" s="2" t="s">
        <v>18</v>
      </c>
      <c r="G3284" s="2" t="s">
        <v>19</v>
      </c>
      <c r="H3284" s="2" t="s">
        <v>348</v>
      </c>
      <c r="I3284" s="2" t="s">
        <v>3688</v>
      </c>
    </row>
    <row r="3285" spans="1:9" ht="14.5" x14ac:dyDescent="0.35">
      <c r="A3285" s="2">
        <v>1689177</v>
      </c>
      <c r="B3285" s="2" t="str">
        <f>"3328117103990007"</f>
        <v>3328117103990007</v>
      </c>
      <c r="C3285" s="2" t="s">
        <v>3911</v>
      </c>
      <c r="D3285" s="2" t="s">
        <v>17</v>
      </c>
      <c r="E3285" s="2" t="s">
        <v>11</v>
      </c>
      <c r="F3285" s="2" t="s">
        <v>18</v>
      </c>
      <c r="G3285" s="2" t="s">
        <v>264</v>
      </c>
      <c r="H3285" s="2" t="s">
        <v>273</v>
      </c>
      <c r="I3285" s="2" t="s">
        <v>1156</v>
      </c>
    </row>
    <row r="3286" spans="1:9" ht="14.5" x14ac:dyDescent="0.35">
      <c r="A3286" s="2">
        <v>2374620</v>
      </c>
      <c r="B3286" s="2" t="str">
        <f>"3328117108880008"</f>
        <v>3328117108880008</v>
      </c>
      <c r="C3286" s="2" t="s">
        <v>3912</v>
      </c>
      <c r="D3286" s="2" t="s">
        <v>10</v>
      </c>
      <c r="E3286" s="2" t="s">
        <v>11</v>
      </c>
      <c r="F3286" s="2" t="s">
        <v>18</v>
      </c>
      <c r="G3286" s="2" t="s">
        <v>19</v>
      </c>
      <c r="H3286" s="2" t="s">
        <v>348</v>
      </c>
      <c r="I3286" s="2" t="s">
        <v>348</v>
      </c>
    </row>
    <row r="3287" spans="1:9" ht="14.5" x14ac:dyDescent="0.35">
      <c r="A3287" s="2">
        <v>423753</v>
      </c>
      <c r="B3287" s="2" t="str">
        <f>"3328117108880008"</f>
        <v>3328117108880008</v>
      </c>
      <c r="C3287" s="2" t="s">
        <v>3913</v>
      </c>
      <c r="D3287" s="2" t="s">
        <v>10</v>
      </c>
      <c r="E3287" s="2" t="s">
        <v>57</v>
      </c>
      <c r="F3287" s="2" t="s">
        <v>18</v>
      </c>
      <c r="G3287" s="2" t="s">
        <v>268</v>
      </c>
      <c r="H3287" s="2" t="s">
        <v>277</v>
      </c>
      <c r="I3287" s="2" t="s">
        <v>278</v>
      </c>
    </row>
    <row r="3288" spans="1:9" ht="14.5" x14ac:dyDescent="0.35">
      <c r="A3288" s="2">
        <v>2117676</v>
      </c>
      <c r="B3288" s="2" t="str">
        <f>"3328120102860005"</f>
        <v>3328120102860005</v>
      </c>
      <c r="C3288" s="2" t="s">
        <v>3914</v>
      </c>
      <c r="D3288" s="2" t="s">
        <v>10</v>
      </c>
      <c r="E3288" s="2" t="s">
        <v>11</v>
      </c>
      <c r="F3288" s="2" t="s">
        <v>18</v>
      </c>
      <c r="G3288" s="2" t="s">
        <v>19</v>
      </c>
      <c r="H3288" s="2" t="s">
        <v>348</v>
      </c>
      <c r="I3288" s="2" t="s">
        <v>1777</v>
      </c>
    </row>
    <row r="3289" spans="1:9" ht="14.5" x14ac:dyDescent="0.35">
      <c r="A3289" s="2">
        <v>423783</v>
      </c>
      <c r="B3289" s="2" t="str">
        <f>"3328120102860005"</f>
        <v>3328120102860005</v>
      </c>
      <c r="C3289" s="2" t="s">
        <v>3915</v>
      </c>
      <c r="D3289" s="2" t="s">
        <v>10</v>
      </c>
      <c r="E3289" s="2" t="s">
        <v>57</v>
      </c>
      <c r="F3289" s="2" t="s">
        <v>18</v>
      </c>
      <c r="G3289" s="2" t="s">
        <v>268</v>
      </c>
      <c r="H3289" s="2" t="s">
        <v>277</v>
      </c>
      <c r="I3289" s="2" t="s">
        <v>278</v>
      </c>
    </row>
    <row r="3290" spans="1:9" ht="14.5" x14ac:dyDescent="0.35">
      <c r="A3290" s="2">
        <v>2117675</v>
      </c>
      <c r="B3290" s="2" t="str">
        <f>"3328124505870014"</f>
        <v>3328124505870014</v>
      </c>
      <c r="C3290" s="2" t="s">
        <v>3916</v>
      </c>
      <c r="D3290" s="2" t="s">
        <v>10</v>
      </c>
      <c r="E3290" s="2" t="s">
        <v>11</v>
      </c>
      <c r="F3290" s="2" t="s">
        <v>18</v>
      </c>
      <c r="G3290" s="2" t="s">
        <v>19</v>
      </c>
      <c r="H3290" s="2" t="s">
        <v>348</v>
      </c>
      <c r="I3290" s="2" t="s">
        <v>1777</v>
      </c>
    </row>
    <row r="3291" spans="1:9" ht="14.5" x14ac:dyDescent="0.35">
      <c r="A3291" s="2">
        <v>423877</v>
      </c>
      <c r="B3291" s="2" t="str">
        <f>"3328124505870014"</f>
        <v>3328124505870014</v>
      </c>
      <c r="C3291" s="2" t="s">
        <v>3917</v>
      </c>
      <c r="D3291" s="2" t="s">
        <v>10</v>
      </c>
      <c r="E3291" s="2" t="s">
        <v>57</v>
      </c>
      <c r="F3291" s="2" t="s">
        <v>18</v>
      </c>
      <c r="G3291" s="2" t="s">
        <v>268</v>
      </c>
      <c r="H3291" s="2" t="s">
        <v>277</v>
      </c>
      <c r="I3291" s="2" t="s">
        <v>278</v>
      </c>
    </row>
    <row r="3292" spans="1:9" ht="14.5" x14ac:dyDescent="0.35">
      <c r="A3292" s="2">
        <v>2152255</v>
      </c>
      <c r="B3292" s="2" t="str">
        <f>"3328130412010005"</f>
        <v>3328130412010005</v>
      </c>
      <c r="C3292" s="2" t="s">
        <v>3918</v>
      </c>
      <c r="D3292" s="2" t="s">
        <v>10</v>
      </c>
      <c r="E3292" s="2" t="s">
        <v>11</v>
      </c>
      <c r="F3292" s="2" t="s">
        <v>18</v>
      </c>
      <c r="G3292" s="2" t="s">
        <v>19</v>
      </c>
      <c r="H3292" s="2" t="s">
        <v>348</v>
      </c>
      <c r="I3292" s="2" t="s">
        <v>3688</v>
      </c>
    </row>
    <row r="3293" spans="1:9" ht="14.5" x14ac:dyDescent="0.35">
      <c r="A3293" s="2">
        <v>1952220</v>
      </c>
      <c r="B3293" s="2" t="str">
        <f>"3328130412010005"</f>
        <v>3328130412010005</v>
      </c>
      <c r="C3293" s="2" t="s">
        <v>3919</v>
      </c>
      <c r="D3293" s="2" t="s">
        <v>17</v>
      </c>
      <c r="E3293" s="2" t="s">
        <v>11</v>
      </c>
      <c r="F3293" s="2" t="s">
        <v>50</v>
      </c>
      <c r="G3293" s="2" t="s">
        <v>86</v>
      </c>
      <c r="H3293" s="2" t="s">
        <v>313</v>
      </c>
      <c r="I3293" s="2" t="s">
        <v>3920</v>
      </c>
    </row>
    <row r="3294" spans="1:9" ht="14.5" x14ac:dyDescent="0.35">
      <c r="A3294" s="2">
        <v>2152384</v>
      </c>
      <c r="B3294" s="2" t="str">
        <f>"3328134810830003"</f>
        <v>3328134810830003</v>
      </c>
      <c r="C3294" s="2" t="s">
        <v>3921</v>
      </c>
      <c r="D3294" s="2" t="s">
        <v>10</v>
      </c>
      <c r="E3294" s="2" t="s">
        <v>11</v>
      </c>
      <c r="F3294" s="2" t="s">
        <v>18</v>
      </c>
      <c r="G3294" s="2" t="s">
        <v>19</v>
      </c>
      <c r="H3294" s="2" t="s">
        <v>348</v>
      </c>
      <c r="I3294" s="2" t="s">
        <v>3688</v>
      </c>
    </row>
    <row r="3295" spans="1:9" ht="14.5" x14ac:dyDescent="0.35">
      <c r="A3295" s="2">
        <v>1952224</v>
      </c>
      <c r="B3295" s="2" t="str">
        <f>"3328134810830003"</f>
        <v>3328134810830003</v>
      </c>
      <c r="C3295" s="2" t="s">
        <v>3922</v>
      </c>
      <c r="D3295" s="2" t="s">
        <v>17</v>
      </c>
      <c r="E3295" s="2" t="s">
        <v>11</v>
      </c>
      <c r="F3295" s="2" t="s">
        <v>50</v>
      </c>
      <c r="G3295" s="2" t="s">
        <v>86</v>
      </c>
      <c r="H3295" s="2" t="s">
        <v>313</v>
      </c>
      <c r="I3295" s="2" t="s">
        <v>3920</v>
      </c>
    </row>
    <row r="3296" spans="1:9" ht="14.5" x14ac:dyDescent="0.35">
      <c r="A3296" s="2">
        <v>215624</v>
      </c>
      <c r="B3296" s="2" t="str">
        <f>"3328137004840004"</f>
        <v>3328137004840004</v>
      </c>
      <c r="C3296" s="2" t="s">
        <v>3923</v>
      </c>
      <c r="D3296" s="2" t="s">
        <v>10</v>
      </c>
      <c r="E3296" s="2" t="s">
        <v>11</v>
      </c>
      <c r="F3296" s="2" t="s">
        <v>18</v>
      </c>
      <c r="G3296" s="2" t="s">
        <v>268</v>
      </c>
      <c r="H3296" s="2" t="s">
        <v>371</v>
      </c>
      <c r="I3296" s="2" t="s">
        <v>2772</v>
      </c>
    </row>
    <row r="3297" spans="1:9" ht="14.5" x14ac:dyDescent="0.35">
      <c r="A3297" s="2">
        <v>2552274</v>
      </c>
      <c r="B3297" s="2" t="str">
        <f>"3328137004840004"</f>
        <v>3328137004840004</v>
      </c>
      <c r="C3297" s="2" t="s">
        <v>3924</v>
      </c>
      <c r="D3297" s="2" t="s">
        <v>17</v>
      </c>
      <c r="E3297" s="2" t="s">
        <v>11</v>
      </c>
      <c r="F3297" s="2" t="s">
        <v>18</v>
      </c>
      <c r="G3297" s="2" t="s">
        <v>19</v>
      </c>
      <c r="H3297" s="2" t="s">
        <v>348</v>
      </c>
      <c r="I3297" s="2" t="s">
        <v>3723</v>
      </c>
    </row>
    <row r="3298" spans="1:9" ht="14.5" x14ac:dyDescent="0.35">
      <c r="A3298" s="2">
        <v>1361780</v>
      </c>
      <c r="B3298" s="2" t="str">
        <f>"3329036308990002"</f>
        <v>3329036308990002</v>
      </c>
      <c r="C3298" s="2" t="s">
        <v>3925</v>
      </c>
      <c r="D3298" s="2" t="s">
        <v>10</v>
      </c>
      <c r="E3298" s="2" t="s">
        <v>11</v>
      </c>
      <c r="F3298" s="2" t="s">
        <v>18</v>
      </c>
      <c r="G3298" s="2" t="s">
        <v>264</v>
      </c>
      <c r="H3298" s="2" t="s">
        <v>461</v>
      </c>
      <c r="I3298" s="2" t="s">
        <v>461</v>
      </c>
    </row>
    <row r="3299" spans="1:9" ht="14.5" x14ac:dyDescent="0.35">
      <c r="A3299" s="2">
        <v>2552326</v>
      </c>
      <c r="B3299" s="2" t="str">
        <f>"3329036308990002"</f>
        <v>3329036308990002</v>
      </c>
      <c r="C3299" s="2" t="s">
        <v>3926</v>
      </c>
      <c r="D3299" s="2" t="s">
        <v>17</v>
      </c>
      <c r="E3299" s="2" t="s">
        <v>11</v>
      </c>
      <c r="F3299" s="2" t="s">
        <v>18</v>
      </c>
      <c r="G3299" s="2" t="s">
        <v>19</v>
      </c>
      <c r="H3299" s="2" t="s">
        <v>348</v>
      </c>
      <c r="I3299" s="2" t="s">
        <v>3660</v>
      </c>
    </row>
    <row r="3300" spans="1:9" ht="14.5" x14ac:dyDescent="0.35">
      <c r="A3300" s="2">
        <v>1439996</v>
      </c>
      <c r="B3300" s="2" t="str">
        <f>"3329055901880001"</f>
        <v>3329055901880001</v>
      </c>
      <c r="C3300" s="2" t="s">
        <v>3927</v>
      </c>
      <c r="D3300" s="2" t="s">
        <v>10</v>
      </c>
      <c r="E3300" s="2" t="s">
        <v>11</v>
      </c>
      <c r="F3300" s="2" t="s">
        <v>18</v>
      </c>
      <c r="G3300" s="2" t="s">
        <v>264</v>
      </c>
      <c r="H3300" s="2" t="s">
        <v>289</v>
      </c>
      <c r="I3300" s="2" t="s">
        <v>3928</v>
      </c>
    </row>
    <row r="3301" spans="1:9" ht="14.5" x14ac:dyDescent="0.35">
      <c r="A3301" s="2">
        <v>2552972</v>
      </c>
      <c r="B3301" s="2" t="str">
        <f>"3329055901880001"</f>
        <v>3329055901880001</v>
      </c>
      <c r="C3301" s="2" t="s">
        <v>3929</v>
      </c>
      <c r="D3301" s="2" t="s">
        <v>17</v>
      </c>
      <c r="E3301" s="2" t="s">
        <v>11</v>
      </c>
      <c r="F3301" s="2" t="s">
        <v>18</v>
      </c>
      <c r="G3301" s="2" t="s">
        <v>19</v>
      </c>
      <c r="H3301" s="2" t="s">
        <v>348</v>
      </c>
      <c r="I3301" s="2" t="s">
        <v>3666</v>
      </c>
    </row>
    <row r="3302" spans="1:9" ht="14.5" x14ac:dyDescent="0.35">
      <c r="A3302" s="2">
        <v>1381246</v>
      </c>
      <c r="B3302" s="2" t="str">
        <f>"3329070805850004"</f>
        <v>3329070805850004</v>
      </c>
      <c r="C3302" s="2" t="s">
        <v>3930</v>
      </c>
      <c r="D3302" s="2" t="s">
        <v>10</v>
      </c>
      <c r="E3302" s="2" t="s">
        <v>11</v>
      </c>
      <c r="F3302" s="2" t="s">
        <v>18</v>
      </c>
      <c r="G3302" s="2" t="s">
        <v>264</v>
      </c>
      <c r="H3302" s="2" t="s">
        <v>265</v>
      </c>
      <c r="I3302" s="2" t="s">
        <v>1628</v>
      </c>
    </row>
    <row r="3303" spans="1:9" ht="14.5" x14ac:dyDescent="0.35">
      <c r="A3303" s="2">
        <v>2551340</v>
      </c>
      <c r="B3303" s="2" t="str">
        <f>"3329070805850004"</f>
        <v>3329070805850004</v>
      </c>
      <c r="C3303" s="2" t="s">
        <v>3931</v>
      </c>
      <c r="D3303" s="2" t="s">
        <v>17</v>
      </c>
      <c r="E3303" s="2" t="s">
        <v>11</v>
      </c>
      <c r="F3303" s="2" t="s">
        <v>18</v>
      </c>
      <c r="G3303" s="2" t="s">
        <v>19</v>
      </c>
      <c r="H3303" s="2" t="s">
        <v>348</v>
      </c>
      <c r="I3303" s="2" t="s">
        <v>459</v>
      </c>
    </row>
    <row r="3304" spans="1:9" ht="14.5" x14ac:dyDescent="0.35">
      <c r="A3304" s="2">
        <v>2235059</v>
      </c>
      <c r="B3304" s="2" t="str">
        <f>"3329070809990002"</f>
        <v>3329070809990002</v>
      </c>
      <c r="C3304" s="2" t="s">
        <v>3932</v>
      </c>
      <c r="D3304" s="2" t="s">
        <v>10</v>
      </c>
      <c r="E3304" s="2" t="s">
        <v>11</v>
      </c>
      <c r="F3304" s="2" t="s">
        <v>18</v>
      </c>
      <c r="G3304" s="2" t="s">
        <v>19</v>
      </c>
      <c r="H3304" s="2" t="s">
        <v>348</v>
      </c>
      <c r="I3304" s="2" t="s">
        <v>459</v>
      </c>
    </row>
    <row r="3305" spans="1:9" ht="14.5" x14ac:dyDescent="0.35">
      <c r="A3305" s="2">
        <v>1694850</v>
      </c>
      <c r="B3305" s="2" t="str">
        <f>"3329070809990002"</f>
        <v>3329070809990002</v>
      </c>
      <c r="C3305" s="2" t="s">
        <v>3933</v>
      </c>
      <c r="D3305" s="2" t="s">
        <v>17</v>
      </c>
      <c r="E3305" s="2" t="s">
        <v>11</v>
      </c>
      <c r="F3305" s="2" t="s">
        <v>18</v>
      </c>
      <c r="G3305" s="2" t="s">
        <v>264</v>
      </c>
      <c r="H3305" s="2" t="s">
        <v>265</v>
      </c>
      <c r="I3305" s="2" t="s">
        <v>1598</v>
      </c>
    </row>
    <row r="3306" spans="1:9" ht="14.5" x14ac:dyDescent="0.35">
      <c r="A3306" s="2">
        <v>1284480</v>
      </c>
      <c r="B3306" s="2" t="str">
        <f>"3329071006640002"</f>
        <v>3329071006640002</v>
      </c>
      <c r="C3306" s="2" t="s">
        <v>3092</v>
      </c>
      <c r="D3306" s="2" t="s">
        <v>10</v>
      </c>
      <c r="E3306" s="2" t="s">
        <v>11</v>
      </c>
      <c r="F3306" s="2" t="s">
        <v>18</v>
      </c>
      <c r="G3306" s="2" t="s">
        <v>264</v>
      </c>
      <c r="H3306" s="2" t="s">
        <v>265</v>
      </c>
      <c r="I3306" s="2" t="s">
        <v>1598</v>
      </c>
    </row>
    <row r="3307" spans="1:9" ht="14.5" x14ac:dyDescent="0.35">
      <c r="A3307" s="2">
        <v>2551456</v>
      </c>
      <c r="B3307" s="2" t="str">
        <f>"3329071006640002"</f>
        <v>3329071006640002</v>
      </c>
      <c r="C3307" s="2" t="s">
        <v>3092</v>
      </c>
      <c r="D3307" s="2" t="s">
        <v>17</v>
      </c>
      <c r="E3307" s="2" t="s">
        <v>11</v>
      </c>
      <c r="F3307" s="2" t="s">
        <v>18</v>
      </c>
      <c r="G3307" s="2" t="s">
        <v>19</v>
      </c>
      <c r="H3307" s="2" t="s">
        <v>348</v>
      </c>
      <c r="I3307" s="2" t="s">
        <v>3721</v>
      </c>
    </row>
    <row r="3308" spans="1:9" ht="14.5" x14ac:dyDescent="0.35">
      <c r="A3308" s="2">
        <v>2055679</v>
      </c>
      <c r="B3308" s="2" t="str">
        <f>"3329071306510001"</f>
        <v>3329071306510001</v>
      </c>
      <c r="C3308" s="2" t="s">
        <v>3934</v>
      </c>
      <c r="D3308" s="2" t="s">
        <v>10</v>
      </c>
      <c r="E3308" s="2" t="s">
        <v>11</v>
      </c>
      <c r="F3308" s="2" t="s">
        <v>18</v>
      </c>
      <c r="G3308" s="2" t="s">
        <v>19</v>
      </c>
      <c r="H3308" s="2" t="s">
        <v>348</v>
      </c>
      <c r="I3308" s="2" t="s">
        <v>3658</v>
      </c>
    </row>
    <row r="3309" spans="1:9" ht="14.5" x14ac:dyDescent="0.35">
      <c r="A3309" s="2">
        <v>1682393</v>
      </c>
      <c r="B3309" s="2" t="str">
        <f>"3329071306510001"</f>
        <v>3329071306510001</v>
      </c>
      <c r="C3309" s="2" t="s">
        <v>3934</v>
      </c>
      <c r="D3309" s="2" t="s">
        <v>17</v>
      </c>
      <c r="E3309" s="2" t="s">
        <v>11</v>
      </c>
      <c r="F3309" s="2" t="s">
        <v>18</v>
      </c>
      <c r="G3309" s="2" t="s">
        <v>264</v>
      </c>
      <c r="H3309" s="2" t="s">
        <v>265</v>
      </c>
      <c r="I3309" s="2" t="s">
        <v>3935</v>
      </c>
    </row>
    <row r="3310" spans="1:9" ht="14.5" x14ac:dyDescent="0.35">
      <c r="A3310" s="2">
        <v>2551303</v>
      </c>
      <c r="B3310" s="2" t="str">
        <f>"3329072106840004"</f>
        <v>3329072106840004</v>
      </c>
      <c r="C3310" s="2" t="s">
        <v>3936</v>
      </c>
      <c r="D3310" s="2" t="s">
        <v>17</v>
      </c>
      <c r="E3310" s="2" t="s">
        <v>11</v>
      </c>
      <c r="F3310" s="2" t="s">
        <v>18</v>
      </c>
      <c r="G3310" s="2" t="s">
        <v>19</v>
      </c>
      <c r="H3310" s="2" t="s">
        <v>348</v>
      </c>
      <c r="I3310" s="2" t="s">
        <v>459</v>
      </c>
    </row>
    <row r="3311" spans="1:9" ht="14.5" x14ac:dyDescent="0.35">
      <c r="A3311" s="2">
        <v>1252806</v>
      </c>
      <c r="B3311" s="2" t="str">
        <f>"3329072106840004"</f>
        <v>3329072106840004</v>
      </c>
      <c r="C3311" s="2" t="s">
        <v>851</v>
      </c>
      <c r="D3311" s="2" t="s">
        <v>189</v>
      </c>
      <c r="E3311" s="2" t="s">
        <v>11</v>
      </c>
      <c r="F3311" s="2" t="s">
        <v>18</v>
      </c>
      <c r="G3311" s="2" t="s">
        <v>264</v>
      </c>
      <c r="H3311" s="2" t="s">
        <v>265</v>
      </c>
      <c r="I3311" s="2" t="s">
        <v>266</v>
      </c>
    </row>
    <row r="3312" spans="1:9" ht="14.5" x14ac:dyDescent="0.35">
      <c r="A3312" s="2">
        <v>1284481</v>
      </c>
      <c r="B3312" s="2" t="str">
        <f>"3329074107670057"</f>
        <v>3329074107670057</v>
      </c>
      <c r="C3312" s="2" t="s">
        <v>1143</v>
      </c>
      <c r="D3312" s="2" t="s">
        <v>10</v>
      </c>
      <c r="E3312" s="2" t="s">
        <v>11</v>
      </c>
      <c r="F3312" s="2" t="s">
        <v>18</v>
      </c>
      <c r="G3312" s="2" t="s">
        <v>264</v>
      </c>
      <c r="H3312" s="2" t="s">
        <v>265</v>
      </c>
      <c r="I3312" s="2" t="s">
        <v>1598</v>
      </c>
    </row>
    <row r="3313" spans="1:9" ht="14.5" x14ac:dyDescent="0.35">
      <c r="A3313" s="2">
        <v>2551457</v>
      </c>
      <c r="B3313" s="2" t="str">
        <f>"3329074107670057"</f>
        <v>3329074107670057</v>
      </c>
      <c r="C3313" s="2" t="s">
        <v>1143</v>
      </c>
      <c r="D3313" s="2" t="s">
        <v>17</v>
      </c>
      <c r="E3313" s="2" t="s">
        <v>11</v>
      </c>
      <c r="F3313" s="2" t="s">
        <v>18</v>
      </c>
      <c r="G3313" s="2" t="s">
        <v>19</v>
      </c>
      <c r="H3313" s="2" t="s">
        <v>348</v>
      </c>
      <c r="I3313" s="2" t="s">
        <v>3721</v>
      </c>
    </row>
    <row r="3314" spans="1:9" ht="14.5" x14ac:dyDescent="0.35">
      <c r="A3314" s="2">
        <v>2055678</v>
      </c>
      <c r="B3314" s="2" t="str">
        <f>"3329075405550002"</f>
        <v>3329075405550002</v>
      </c>
      <c r="C3314" s="2" t="s">
        <v>3937</v>
      </c>
      <c r="D3314" s="2" t="s">
        <v>10</v>
      </c>
      <c r="E3314" s="2" t="s">
        <v>11</v>
      </c>
      <c r="F3314" s="2" t="s">
        <v>18</v>
      </c>
      <c r="G3314" s="2" t="s">
        <v>19</v>
      </c>
      <c r="H3314" s="2" t="s">
        <v>348</v>
      </c>
      <c r="I3314" s="2" t="s">
        <v>3658</v>
      </c>
    </row>
    <row r="3315" spans="1:9" ht="14.5" x14ac:dyDescent="0.35">
      <c r="A3315" s="2">
        <v>1682138</v>
      </c>
      <c r="B3315" s="2" t="str">
        <f>"3329075405550002"</f>
        <v>3329075405550002</v>
      </c>
      <c r="C3315" s="2" t="s">
        <v>3937</v>
      </c>
      <c r="D3315" s="2" t="s">
        <v>17</v>
      </c>
      <c r="E3315" s="2" t="s">
        <v>11</v>
      </c>
      <c r="F3315" s="2" t="s">
        <v>18</v>
      </c>
      <c r="G3315" s="2" t="s">
        <v>264</v>
      </c>
      <c r="H3315" s="2" t="s">
        <v>265</v>
      </c>
      <c r="I3315" s="2" t="s">
        <v>3935</v>
      </c>
    </row>
    <row r="3316" spans="1:9" ht="14.5" x14ac:dyDescent="0.35">
      <c r="A3316" s="2">
        <v>1284760</v>
      </c>
      <c r="B3316" s="2" t="str">
        <f>"3329076508870001"</f>
        <v>3329076508870001</v>
      </c>
      <c r="C3316" s="2" t="s">
        <v>3938</v>
      </c>
      <c r="D3316" s="2" t="s">
        <v>10</v>
      </c>
      <c r="E3316" s="2" t="s">
        <v>11</v>
      </c>
      <c r="F3316" s="2" t="s">
        <v>18</v>
      </c>
      <c r="G3316" s="2" t="s">
        <v>264</v>
      </c>
      <c r="H3316" s="2" t="s">
        <v>265</v>
      </c>
      <c r="I3316" s="2" t="s">
        <v>1598</v>
      </c>
    </row>
    <row r="3317" spans="1:9" ht="14.5" x14ac:dyDescent="0.35">
      <c r="A3317" s="2">
        <v>2551437</v>
      </c>
      <c r="B3317" s="2" t="str">
        <f>"3329076508870001"</f>
        <v>3329076508870001</v>
      </c>
      <c r="C3317" s="2" t="s">
        <v>3939</v>
      </c>
      <c r="D3317" s="2" t="s">
        <v>17</v>
      </c>
      <c r="E3317" s="2" t="s">
        <v>11</v>
      </c>
      <c r="F3317" s="2" t="s">
        <v>18</v>
      </c>
      <c r="G3317" s="2" t="s">
        <v>19</v>
      </c>
      <c r="H3317" s="2" t="s">
        <v>348</v>
      </c>
      <c r="I3317" s="2" t="s">
        <v>3721</v>
      </c>
    </row>
    <row r="3318" spans="1:9" ht="14.5" x14ac:dyDescent="0.35">
      <c r="A3318" s="2">
        <v>2234807</v>
      </c>
      <c r="B3318" s="2" t="str">
        <f>"3329083012790006"</f>
        <v>3329083012790006</v>
      </c>
      <c r="C3318" s="2" t="s">
        <v>3940</v>
      </c>
      <c r="D3318" s="2" t="s">
        <v>10</v>
      </c>
      <c r="E3318" s="2" t="s">
        <v>11</v>
      </c>
      <c r="F3318" s="2" t="s">
        <v>18</v>
      </c>
      <c r="G3318" s="2" t="s">
        <v>19</v>
      </c>
      <c r="H3318" s="2" t="s">
        <v>348</v>
      </c>
      <c r="I3318" s="2" t="s">
        <v>459</v>
      </c>
    </row>
    <row r="3319" spans="1:9" ht="14.5" x14ac:dyDescent="0.35">
      <c r="A3319" s="2">
        <v>1625408</v>
      </c>
      <c r="B3319" s="2" t="str">
        <f>"3329083012790006"</f>
        <v>3329083012790006</v>
      </c>
      <c r="C3319" s="2" t="s">
        <v>3940</v>
      </c>
      <c r="D3319" s="2" t="s">
        <v>17</v>
      </c>
      <c r="E3319" s="2" t="s">
        <v>11</v>
      </c>
      <c r="F3319" s="2" t="s">
        <v>18</v>
      </c>
      <c r="G3319" s="2" t="s">
        <v>264</v>
      </c>
      <c r="H3319" s="2" t="s">
        <v>248</v>
      </c>
      <c r="I3319" s="2" t="s">
        <v>3941</v>
      </c>
    </row>
    <row r="3320" spans="1:9" ht="14.5" x14ac:dyDescent="0.35">
      <c r="A3320" s="2">
        <v>2553749</v>
      </c>
      <c r="B3320" s="2" t="str">
        <f>"3329090108030003"</f>
        <v>3329090108030003</v>
      </c>
      <c r="C3320" s="2" t="s">
        <v>3942</v>
      </c>
      <c r="D3320" s="2" t="s">
        <v>17</v>
      </c>
      <c r="E3320" s="2" t="s">
        <v>11</v>
      </c>
      <c r="F3320" s="2" t="s">
        <v>18</v>
      </c>
      <c r="G3320" s="2" t="s">
        <v>19</v>
      </c>
      <c r="H3320" s="2" t="s">
        <v>348</v>
      </c>
      <c r="I3320" s="2" t="s">
        <v>3861</v>
      </c>
    </row>
    <row r="3321" spans="1:9" ht="14.5" x14ac:dyDescent="0.35">
      <c r="A3321" s="2">
        <v>1684623</v>
      </c>
      <c r="B3321" s="2" t="str">
        <f>"3329090108030003"</f>
        <v>3329090108030003</v>
      </c>
      <c r="C3321" s="2" t="s">
        <v>3943</v>
      </c>
      <c r="D3321" s="2" t="s">
        <v>17</v>
      </c>
      <c r="E3321" s="2" t="s">
        <v>11</v>
      </c>
      <c r="F3321" s="2" t="s">
        <v>18</v>
      </c>
      <c r="G3321" s="2" t="s">
        <v>264</v>
      </c>
      <c r="H3321" s="2" t="s">
        <v>265</v>
      </c>
      <c r="I3321" s="2" t="s">
        <v>3944</v>
      </c>
    </row>
    <row r="3322" spans="1:9" ht="14.5" x14ac:dyDescent="0.35">
      <c r="A3322" s="2">
        <v>959946</v>
      </c>
      <c r="B3322" s="2" t="str">
        <f>"3329093112810008"</f>
        <v>3329093112810008</v>
      </c>
      <c r="C3322" s="2" t="s">
        <v>3945</v>
      </c>
      <c r="D3322" s="2" t="s">
        <v>10</v>
      </c>
      <c r="E3322" s="2" t="s">
        <v>11</v>
      </c>
      <c r="F3322" s="2" t="s">
        <v>18</v>
      </c>
      <c r="G3322" s="2" t="s">
        <v>264</v>
      </c>
      <c r="H3322" s="2" t="s">
        <v>264</v>
      </c>
      <c r="I3322" s="2" t="s">
        <v>2074</v>
      </c>
    </row>
    <row r="3323" spans="1:9" ht="14.5" x14ac:dyDescent="0.35">
      <c r="A3323" s="2">
        <v>2553449</v>
      </c>
      <c r="B3323" s="2" t="str">
        <f>"3329093112810008"</f>
        <v>3329093112810008</v>
      </c>
      <c r="C3323" s="2" t="s">
        <v>3945</v>
      </c>
      <c r="D3323" s="2" t="s">
        <v>17</v>
      </c>
      <c r="E3323" s="2" t="s">
        <v>11</v>
      </c>
      <c r="F3323" s="2" t="s">
        <v>18</v>
      </c>
      <c r="G3323" s="2" t="s">
        <v>19</v>
      </c>
      <c r="H3323" s="2" t="s">
        <v>348</v>
      </c>
      <c r="I3323" s="2" t="s">
        <v>3677</v>
      </c>
    </row>
    <row r="3324" spans="1:9" ht="14.5" x14ac:dyDescent="0.35">
      <c r="A3324" s="2">
        <v>1606854</v>
      </c>
      <c r="B3324" s="2" t="str">
        <f>"3329094107480265"</f>
        <v>3329094107480265</v>
      </c>
      <c r="C3324" s="2" t="s">
        <v>3946</v>
      </c>
      <c r="D3324" s="2" t="s">
        <v>17</v>
      </c>
      <c r="E3324" s="2" t="s">
        <v>11</v>
      </c>
      <c r="F3324" s="2" t="s">
        <v>18</v>
      </c>
      <c r="G3324" s="2" t="s">
        <v>264</v>
      </c>
      <c r="H3324" s="2" t="s">
        <v>264</v>
      </c>
      <c r="I3324" s="2" t="s">
        <v>3727</v>
      </c>
    </row>
    <row r="3325" spans="1:9" ht="14.5" x14ac:dyDescent="0.35">
      <c r="A3325" s="2">
        <v>2234078</v>
      </c>
      <c r="B3325" s="2" t="str">
        <f>"3329094107480265"</f>
        <v>3329094107480265</v>
      </c>
      <c r="C3325" s="2" t="s">
        <v>3946</v>
      </c>
      <c r="D3325" s="2" t="s">
        <v>189</v>
      </c>
      <c r="E3325" s="2" t="s">
        <v>11</v>
      </c>
      <c r="F3325" s="2" t="s">
        <v>18</v>
      </c>
      <c r="G3325" s="2" t="s">
        <v>19</v>
      </c>
      <c r="H3325" s="2" t="s">
        <v>348</v>
      </c>
      <c r="I3325" s="2" t="s">
        <v>459</v>
      </c>
    </row>
    <row r="3326" spans="1:9" ht="14.5" x14ac:dyDescent="0.35">
      <c r="A3326" s="2">
        <v>837615</v>
      </c>
      <c r="B3326" s="2" t="str">
        <f>"3329094603980001"</f>
        <v>3329094603980001</v>
      </c>
      <c r="C3326" s="2" t="s">
        <v>3947</v>
      </c>
      <c r="D3326" s="2" t="s">
        <v>10</v>
      </c>
      <c r="E3326" s="2" t="s">
        <v>11</v>
      </c>
      <c r="F3326" s="2" t="s">
        <v>18</v>
      </c>
      <c r="G3326" s="2" t="s">
        <v>264</v>
      </c>
      <c r="H3326" s="2" t="s">
        <v>264</v>
      </c>
      <c r="I3326" s="2" t="s">
        <v>264</v>
      </c>
    </row>
    <row r="3327" spans="1:9" ht="14.5" x14ac:dyDescent="0.35">
      <c r="A3327" s="2">
        <v>2552080</v>
      </c>
      <c r="B3327" s="2" t="str">
        <f>"3329094603980001"</f>
        <v>3329094603980001</v>
      </c>
      <c r="C3327" s="2" t="s">
        <v>3947</v>
      </c>
      <c r="D3327" s="2" t="s">
        <v>17</v>
      </c>
      <c r="E3327" s="2" t="s">
        <v>11</v>
      </c>
      <c r="F3327" s="2" t="s">
        <v>18</v>
      </c>
      <c r="G3327" s="2" t="s">
        <v>19</v>
      </c>
      <c r="H3327" s="2" t="s">
        <v>348</v>
      </c>
      <c r="I3327" s="2" t="s">
        <v>349</v>
      </c>
    </row>
    <row r="3328" spans="1:9" ht="14.5" x14ac:dyDescent="0.35">
      <c r="A3328" s="2">
        <v>2383044</v>
      </c>
      <c r="B3328" s="2" t="str">
        <f>"3329106106950003"</f>
        <v>3329106106950003</v>
      </c>
      <c r="C3328" s="2" t="s">
        <v>3948</v>
      </c>
      <c r="D3328" s="2" t="s">
        <v>10</v>
      </c>
      <c r="E3328" s="2" t="s">
        <v>11</v>
      </c>
      <c r="F3328" s="2" t="s">
        <v>18</v>
      </c>
      <c r="G3328" s="2" t="s">
        <v>19</v>
      </c>
      <c r="H3328" s="2" t="s">
        <v>348</v>
      </c>
      <c r="I3328" s="2" t="s">
        <v>348</v>
      </c>
    </row>
    <row r="3329" spans="1:9" ht="14.5" x14ac:dyDescent="0.35">
      <c r="A3329" s="2">
        <v>1695426</v>
      </c>
      <c r="B3329" s="2" t="str">
        <f>"3329106106950003"</f>
        <v>3329106106950003</v>
      </c>
      <c r="C3329" s="2" t="s">
        <v>3948</v>
      </c>
      <c r="D3329" s="2" t="s">
        <v>17</v>
      </c>
      <c r="E3329" s="2" t="s">
        <v>11</v>
      </c>
      <c r="F3329" s="2" t="s">
        <v>18</v>
      </c>
      <c r="G3329" s="2" t="s">
        <v>264</v>
      </c>
      <c r="H3329" s="2" t="s">
        <v>273</v>
      </c>
      <c r="I3329" s="2" t="s">
        <v>875</v>
      </c>
    </row>
    <row r="3330" spans="1:9" ht="14.5" x14ac:dyDescent="0.35">
      <c r="A3330" s="2">
        <v>557697</v>
      </c>
      <c r="B3330" s="2" t="str">
        <f>"3329120702810008"</f>
        <v>3329120702810008</v>
      </c>
      <c r="C3330" s="2" t="s">
        <v>3949</v>
      </c>
      <c r="D3330" s="2" t="s">
        <v>10</v>
      </c>
      <c r="E3330" s="2" t="s">
        <v>11</v>
      </c>
      <c r="F3330" s="2" t="s">
        <v>18</v>
      </c>
      <c r="G3330" s="2" t="s">
        <v>264</v>
      </c>
      <c r="H3330" s="2" t="s">
        <v>877</v>
      </c>
      <c r="I3330" s="2" t="s">
        <v>3950</v>
      </c>
    </row>
    <row r="3331" spans="1:9" ht="14.5" x14ac:dyDescent="0.35">
      <c r="A3331" s="2">
        <v>2551670</v>
      </c>
      <c r="B3331" s="2" t="str">
        <f>"3329120702810008"</f>
        <v>3329120702810008</v>
      </c>
      <c r="C3331" s="2" t="s">
        <v>3951</v>
      </c>
      <c r="D3331" s="2" t="s">
        <v>17</v>
      </c>
      <c r="E3331" s="2" t="s">
        <v>11</v>
      </c>
      <c r="F3331" s="2" t="s">
        <v>18</v>
      </c>
      <c r="G3331" s="2" t="s">
        <v>19</v>
      </c>
      <c r="H3331" s="2" t="s">
        <v>348</v>
      </c>
      <c r="I3331" s="2" t="s">
        <v>3679</v>
      </c>
    </row>
    <row r="3332" spans="1:9" ht="14.5" x14ac:dyDescent="0.35">
      <c r="A3332" s="2">
        <v>2231293</v>
      </c>
      <c r="B3332" s="2" t="str">
        <f>"3329142808930001"</f>
        <v>3329142808930001</v>
      </c>
      <c r="C3332" s="2" t="s">
        <v>3952</v>
      </c>
      <c r="D3332" s="2" t="s">
        <v>10</v>
      </c>
      <c r="E3332" s="2" t="s">
        <v>11</v>
      </c>
      <c r="F3332" s="2" t="s">
        <v>18</v>
      </c>
      <c r="G3332" s="2" t="s">
        <v>19</v>
      </c>
      <c r="H3332" s="2" t="s">
        <v>348</v>
      </c>
      <c r="I3332" s="2" t="s">
        <v>459</v>
      </c>
    </row>
    <row r="3333" spans="1:9" ht="14.5" x14ac:dyDescent="0.35">
      <c r="A3333" s="2">
        <v>1633227</v>
      </c>
      <c r="B3333" s="2" t="str">
        <f>"3329142808930001"</f>
        <v>3329142808930001</v>
      </c>
      <c r="C3333" s="2" t="s">
        <v>3952</v>
      </c>
      <c r="D3333" s="2" t="s">
        <v>17</v>
      </c>
      <c r="E3333" s="2" t="s">
        <v>11</v>
      </c>
      <c r="F3333" s="2" t="s">
        <v>18</v>
      </c>
      <c r="G3333" s="2" t="s">
        <v>264</v>
      </c>
      <c r="H3333" s="2" t="s">
        <v>477</v>
      </c>
      <c r="I3333" s="2" t="s">
        <v>3953</v>
      </c>
    </row>
    <row r="3334" spans="1:9" ht="14.5" x14ac:dyDescent="0.35">
      <c r="A3334" s="2">
        <v>397492</v>
      </c>
      <c r="B3334" s="2" t="str">
        <f>"3329145410980005"</f>
        <v>3329145410980005</v>
      </c>
      <c r="C3334" s="2" t="s">
        <v>3954</v>
      </c>
      <c r="D3334" s="2" t="s">
        <v>10</v>
      </c>
      <c r="E3334" s="2" t="s">
        <v>11</v>
      </c>
      <c r="F3334" s="2" t="s">
        <v>18</v>
      </c>
      <c r="G3334" s="2" t="s">
        <v>264</v>
      </c>
      <c r="H3334" s="2" t="s">
        <v>477</v>
      </c>
      <c r="I3334" s="2" t="s">
        <v>3955</v>
      </c>
    </row>
    <row r="3335" spans="1:9" ht="14.5" x14ac:dyDescent="0.35">
      <c r="A3335" s="2">
        <v>2570054</v>
      </c>
      <c r="B3335" s="2" t="str">
        <f>"3329145410980005"</f>
        <v>3329145410980005</v>
      </c>
      <c r="C3335" s="2" t="s">
        <v>3954</v>
      </c>
      <c r="D3335" s="2" t="s">
        <v>17</v>
      </c>
      <c r="E3335" s="2" t="s">
        <v>11</v>
      </c>
      <c r="F3335" s="2" t="s">
        <v>18</v>
      </c>
      <c r="G3335" s="2" t="s">
        <v>19</v>
      </c>
      <c r="H3335" s="2" t="s">
        <v>348</v>
      </c>
      <c r="I3335" s="2" t="s">
        <v>348</v>
      </c>
    </row>
    <row r="3336" spans="1:9" ht="14.5" x14ac:dyDescent="0.35">
      <c r="A3336" s="2">
        <v>2378622</v>
      </c>
      <c r="B3336" s="2" t="str">
        <f>"3329145906840004"</f>
        <v>3329145906840004</v>
      </c>
      <c r="C3336" s="2" t="s">
        <v>3956</v>
      </c>
      <c r="D3336" s="2" t="s">
        <v>10</v>
      </c>
      <c r="E3336" s="2" t="s">
        <v>11</v>
      </c>
      <c r="F3336" s="2" t="s">
        <v>18</v>
      </c>
      <c r="G3336" s="2" t="s">
        <v>19</v>
      </c>
      <c r="H3336" s="2" t="s">
        <v>348</v>
      </c>
      <c r="I3336" s="2" t="s">
        <v>348</v>
      </c>
    </row>
    <row r="3337" spans="1:9" ht="14.5" x14ac:dyDescent="0.35">
      <c r="A3337" s="2">
        <v>1156181</v>
      </c>
      <c r="B3337" s="2" t="str">
        <f>"3329145906840004"</f>
        <v>3329145906840004</v>
      </c>
      <c r="C3337" s="2" t="s">
        <v>3957</v>
      </c>
      <c r="D3337" s="2" t="s">
        <v>17</v>
      </c>
      <c r="E3337" s="2" t="s">
        <v>11</v>
      </c>
      <c r="F3337" s="2" t="s">
        <v>18</v>
      </c>
      <c r="G3337" s="2" t="s">
        <v>180</v>
      </c>
      <c r="H3337" s="2" t="s">
        <v>3958</v>
      </c>
      <c r="I3337" s="2" t="s">
        <v>3959</v>
      </c>
    </row>
    <row r="3338" spans="1:9" ht="14.5" x14ac:dyDescent="0.35">
      <c r="A3338" s="2">
        <v>726844</v>
      </c>
      <c r="B3338" s="2" t="str">
        <f>"3329150603950003"</f>
        <v>3329150603950003</v>
      </c>
      <c r="C3338" s="2" t="s">
        <v>3960</v>
      </c>
      <c r="D3338" s="2" t="s">
        <v>10</v>
      </c>
      <c r="E3338" s="2" t="s">
        <v>11</v>
      </c>
      <c r="F3338" s="2" t="s">
        <v>18</v>
      </c>
      <c r="G3338" s="2" t="s">
        <v>264</v>
      </c>
      <c r="H3338" s="2" t="s">
        <v>330</v>
      </c>
      <c r="I3338" s="2" t="s">
        <v>2093</v>
      </c>
    </row>
    <row r="3339" spans="1:9" ht="14.5" x14ac:dyDescent="0.35">
      <c r="A3339" s="2">
        <v>2553411</v>
      </c>
      <c r="B3339" s="2" t="str">
        <f>"3329150603950003"</f>
        <v>3329150603950003</v>
      </c>
      <c r="C3339" s="2" t="s">
        <v>3960</v>
      </c>
      <c r="D3339" s="2" t="s">
        <v>17</v>
      </c>
      <c r="E3339" s="2" t="s">
        <v>11</v>
      </c>
      <c r="F3339" s="2" t="s">
        <v>18</v>
      </c>
      <c r="G3339" s="2" t="s">
        <v>19</v>
      </c>
      <c r="H3339" s="2" t="s">
        <v>348</v>
      </c>
      <c r="I3339" s="2" t="s">
        <v>3677</v>
      </c>
    </row>
    <row r="3340" spans="1:9" ht="14.5" x14ac:dyDescent="0.35">
      <c r="A3340" s="2">
        <v>2152819</v>
      </c>
      <c r="B3340" s="2" t="str">
        <f>"3329150707900003"</f>
        <v>3329150707900003</v>
      </c>
      <c r="C3340" s="2" t="s">
        <v>3961</v>
      </c>
      <c r="D3340" s="2" t="s">
        <v>10</v>
      </c>
      <c r="E3340" s="2" t="s">
        <v>11</v>
      </c>
      <c r="F3340" s="2" t="s">
        <v>18</v>
      </c>
      <c r="G3340" s="2" t="s">
        <v>19</v>
      </c>
      <c r="H3340" s="2" t="s">
        <v>348</v>
      </c>
      <c r="I3340" s="2" t="s">
        <v>3688</v>
      </c>
    </row>
    <row r="3341" spans="1:9" ht="14.5" x14ac:dyDescent="0.35">
      <c r="A3341" s="2">
        <v>1133705</v>
      </c>
      <c r="B3341" s="2" t="str">
        <f>"3329150707900003"</f>
        <v>3329150707900003</v>
      </c>
      <c r="C3341" s="2" t="s">
        <v>3962</v>
      </c>
      <c r="D3341" s="2" t="s">
        <v>189</v>
      </c>
      <c r="E3341" s="2" t="s">
        <v>11</v>
      </c>
      <c r="F3341" s="2" t="s">
        <v>18</v>
      </c>
      <c r="G3341" s="2" t="s">
        <v>264</v>
      </c>
      <c r="H3341" s="2" t="s">
        <v>330</v>
      </c>
      <c r="I3341" s="2" t="s">
        <v>489</v>
      </c>
    </row>
    <row r="3342" spans="1:9" ht="14.5" x14ac:dyDescent="0.35">
      <c r="A3342" s="2">
        <v>1552148</v>
      </c>
      <c r="B3342" s="2" t="str">
        <f>"3329151105940002"</f>
        <v>3329151105940002</v>
      </c>
      <c r="C3342" s="2" t="s">
        <v>3963</v>
      </c>
      <c r="D3342" s="2" t="s">
        <v>10</v>
      </c>
      <c r="E3342" s="2" t="s">
        <v>11</v>
      </c>
      <c r="F3342" s="2" t="s">
        <v>18</v>
      </c>
      <c r="G3342" s="2" t="s">
        <v>264</v>
      </c>
      <c r="H3342" s="2" t="s">
        <v>330</v>
      </c>
      <c r="I3342" s="2" t="s">
        <v>331</v>
      </c>
    </row>
    <row r="3343" spans="1:9" ht="14.5" x14ac:dyDescent="0.35">
      <c r="A3343" s="2">
        <v>2551812</v>
      </c>
      <c r="B3343" s="2" t="str">
        <f>"3329151105940002"</f>
        <v>3329151105940002</v>
      </c>
      <c r="C3343" s="2" t="s">
        <v>3964</v>
      </c>
      <c r="D3343" s="2" t="s">
        <v>17</v>
      </c>
      <c r="E3343" s="2" t="s">
        <v>11</v>
      </c>
      <c r="F3343" s="2" t="s">
        <v>18</v>
      </c>
      <c r="G3343" s="2" t="s">
        <v>19</v>
      </c>
      <c r="H3343" s="2" t="s">
        <v>348</v>
      </c>
      <c r="I3343" s="2" t="s">
        <v>3688</v>
      </c>
    </row>
    <row r="3344" spans="1:9" ht="14.5" x14ac:dyDescent="0.35">
      <c r="A3344" s="2">
        <v>718465</v>
      </c>
      <c r="B3344" s="2" t="str">
        <f>"3329155407860009"</f>
        <v>3329155407860009</v>
      </c>
      <c r="C3344" s="2" t="s">
        <v>3965</v>
      </c>
      <c r="D3344" s="2" t="s">
        <v>10</v>
      </c>
      <c r="E3344" s="2" t="s">
        <v>11</v>
      </c>
      <c r="F3344" s="2" t="s">
        <v>18</v>
      </c>
      <c r="G3344" s="2" t="s">
        <v>264</v>
      </c>
      <c r="H3344" s="2" t="s">
        <v>330</v>
      </c>
      <c r="I3344" s="2" t="s">
        <v>2093</v>
      </c>
    </row>
    <row r="3345" spans="1:9" ht="14.5" x14ac:dyDescent="0.35">
      <c r="A3345" s="2">
        <v>2551783</v>
      </c>
      <c r="B3345" s="2" t="str">
        <f>"3329155407860009"</f>
        <v>3329155407860009</v>
      </c>
      <c r="C3345" s="2" t="s">
        <v>3965</v>
      </c>
      <c r="D3345" s="2" t="s">
        <v>17</v>
      </c>
      <c r="E3345" s="2" t="s">
        <v>11</v>
      </c>
      <c r="F3345" s="2" t="s">
        <v>18</v>
      </c>
      <c r="G3345" s="2" t="s">
        <v>19</v>
      </c>
      <c r="H3345" s="2" t="s">
        <v>348</v>
      </c>
      <c r="I3345" s="2" t="s">
        <v>3679</v>
      </c>
    </row>
    <row r="3346" spans="1:9" ht="14.5" x14ac:dyDescent="0.35">
      <c r="A3346" s="2">
        <v>328238</v>
      </c>
      <c r="B3346" s="2" t="str">
        <f>"3376010705950001"</f>
        <v>3376010705950001</v>
      </c>
      <c r="C3346" s="2" t="s">
        <v>3966</v>
      </c>
      <c r="D3346" s="2" t="s">
        <v>189</v>
      </c>
      <c r="E3346" s="2" t="s">
        <v>11</v>
      </c>
      <c r="F3346" s="2" t="s">
        <v>18</v>
      </c>
      <c r="G3346" s="2" t="s">
        <v>268</v>
      </c>
      <c r="H3346" s="2" t="s">
        <v>277</v>
      </c>
      <c r="I3346" s="2" t="s">
        <v>278</v>
      </c>
    </row>
    <row r="3347" spans="1:9" ht="14.5" x14ac:dyDescent="0.35">
      <c r="A3347" s="2">
        <v>2552461</v>
      </c>
      <c r="B3347" s="2" t="str">
        <f>"3376010705950001"</f>
        <v>3376010705950001</v>
      </c>
      <c r="C3347" s="2" t="s">
        <v>3967</v>
      </c>
      <c r="D3347" s="2" t="s">
        <v>17</v>
      </c>
      <c r="E3347" s="2" t="s">
        <v>11</v>
      </c>
      <c r="F3347" s="2" t="s">
        <v>18</v>
      </c>
      <c r="G3347" s="2" t="s">
        <v>19</v>
      </c>
      <c r="H3347" s="2" t="s">
        <v>348</v>
      </c>
      <c r="I3347" s="2" t="s">
        <v>3660</v>
      </c>
    </row>
    <row r="3348" spans="1:9" ht="14.5" x14ac:dyDescent="0.35">
      <c r="A3348" s="2">
        <v>293063</v>
      </c>
      <c r="B3348" s="2" t="str">
        <f>"3376011410810002"</f>
        <v>3376011410810002</v>
      </c>
      <c r="C3348" s="2" t="s">
        <v>1370</v>
      </c>
      <c r="D3348" s="2" t="s">
        <v>10</v>
      </c>
      <c r="E3348" s="2" t="s">
        <v>11</v>
      </c>
      <c r="F3348" s="2" t="s">
        <v>18</v>
      </c>
      <c r="G3348" s="2" t="s">
        <v>268</v>
      </c>
      <c r="H3348" s="2" t="s">
        <v>277</v>
      </c>
      <c r="I3348" s="2" t="s">
        <v>2762</v>
      </c>
    </row>
    <row r="3349" spans="1:9" ht="14.5" x14ac:dyDescent="0.35">
      <c r="A3349" s="2">
        <v>2551608</v>
      </c>
      <c r="B3349" s="2" t="str">
        <f>"3376011410810002"</f>
        <v>3376011410810002</v>
      </c>
      <c r="C3349" s="2" t="s">
        <v>1370</v>
      </c>
      <c r="D3349" s="2" t="s">
        <v>17</v>
      </c>
      <c r="E3349" s="2" t="s">
        <v>11</v>
      </c>
      <c r="F3349" s="2" t="s">
        <v>18</v>
      </c>
      <c r="G3349" s="2" t="s">
        <v>19</v>
      </c>
      <c r="H3349" s="2" t="s">
        <v>348</v>
      </c>
      <c r="I3349" s="2" t="s">
        <v>3696</v>
      </c>
    </row>
    <row r="3350" spans="1:9" ht="14.5" x14ac:dyDescent="0.35">
      <c r="A3350" s="2">
        <v>301990</v>
      </c>
      <c r="B3350" s="2" t="str">
        <f>"3376011602740001"</f>
        <v>3376011602740001</v>
      </c>
      <c r="C3350" s="2" t="s">
        <v>3968</v>
      </c>
      <c r="D3350" s="2" t="s">
        <v>10</v>
      </c>
      <c r="E3350" s="2" t="s">
        <v>11</v>
      </c>
      <c r="F3350" s="2" t="s">
        <v>18</v>
      </c>
      <c r="G3350" s="2" t="s">
        <v>268</v>
      </c>
      <c r="H3350" s="2" t="s">
        <v>277</v>
      </c>
      <c r="I3350" s="2" t="s">
        <v>2762</v>
      </c>
    </row>
    <row r="3351" spans="1:9" ht="14.5" x14ac:dyDescent="0.35">
      <c r="A3351" s="2">
        <v>2553059</v>
      </c>
      <c r="B3351" s="2" t="str">
        <f>"3376011602740001"</f>
        <v>3376011602740001</v>
      </c>
      <c r="C3351" s="2" t="s">
        <v>3968</v>
      </c>
      <c r="D3351" s="2" t="s">
        <v>17</v>
      </c>
      <c r="E3351" s="2" t="s">
        <v>11</v>
      </c>
      <c r="F3351" s="2" t="s">
        <v>18</v>
      </c>
      <c r="G3351" s="2" t="s">
        <v>19</v>
      </c>
      <c r="H3351" s="2" t="s">
        <v>348</v>
      </c>
      <c r="I3351" s="2" t="s">
        <v>3666</v>
      </c>
    </row>
    <row r="3352" spans="1:9" ht="14.5" x14ac:dyDescent="0.35">
      <c r="A3352" s="2">
        <v>323570</v>
      </c>
      <c r="B3352" s="2" t="str">
        <f>"3376016005930002"</f>
        <v>3376016005930002</v>
      </c>
      <c r="C3352" s="2" t="s">
        <v>3969</v>
      </c>
      <c r="D3352" s="2" t="s">
        <v>10</v>
      </c>
      <c r="E3352" s="2" t="s">
        <v>11</v>
      </c>
      <c r="F3352" s="2" t="s">
        <v>18</v>
      </c>
      <c r="G3352" s="2" t="s">
        <v>268</v>
      </c>
      <c r="H3352" s="2" t="s">
        <v>277</v>
      </c>
      <c r="I3352" s="2" t="s">
        <v>278</v>
      </c>
    </row>
    <row r="3353" spans="1:9" ht="14.5" x14ac:dyDescent="0.35">
      <c r="A3353" s="2">
        <v>2553371</v>
      </c>
      <c r="B3353" s="2" t="str">
        <f>"3376016005930002"</f>
        <v>3376016005930002</v>
      </c>
      <c r="C3353" s="2" t="s">
        <v>3970</v>
      </c>
      <c r="D3353" s="2" t="s">
        <v>17</v>
      </c>
      <c r="E3353" s="2" t="s">
        <v>11</v>
      </c>
      <c r="F3353" s="2" t="s">
        <v>18</v>
      </c>
      <c r="G3353" s="2" t="s">
        <v>19</v>
      </c>
      <c r="H3353" s="2" t="s">
        <v>348</v>
      </c>
      <c r="I3353" s="2" t="s">
        <v>3677</v>
      </c>
    </row>
    <row r="3354" spans="1:9" ht="14.5" x14ac:dyDescent="0.35">
      <c r="A3354" s="2">
        <v>301991</v>
      </c>
      <c r="B3354" s="2" t="str">
        <f>"3376016512750001"</f>
        <v>3376016512750001</v>
      </c>
      <c r="C3354" s="2" t="s">
        <v>3971</v>
      </c>
      <c r="D3354" s="2" t="s">
        <v>10</v>
      </c>
      <c r="E3354" s="2" t="s">
        <v>11</v>
      </c>
      <c r="F3354" s="2" t="s">
        <v>18</v>
      </c>
      <c r="G3354" s="2" t="s">
        <v>268</v>
      </c>
      <c r="H3354" s="2" t="s">
        <v>277</v>
      </c>
      <c r="I3354" s="2" t="s">
        <v>2762</v>
      </c>
    </row>
    <row r="3355" spans="1:9" ht="14.5" x14ac:dyDescent="0.35">
      <c r="A3355" s="2">
        <v>2553060</v>
      </c>
      <c r="B3355" s="2" t="str">
        <f>"3376016512750001"</f>
        <v>3376016512750001</v>
      </c>
      <c r="C3355" s="2" t="s">
        <v>3971</v>
      </c>
      <c r="D3355" s="2" t="s">
        <v>17</v>
      </c>
      <c r="E3355" s="2" t="s">
        <v>11</v>
      </c>
      <c r="F3355" s="2" t="s">
        <v>18</v>
      </c>
      <c r="G3355" s="2" t="s">
        <v>19</v>
      </c>
      <c r="H3355" s="2" t="s">
        <v>348</v>
      </c>
      <c r="I3355" s="2" t="s">
        <v>3666</v>
      </c>
    </row>
    <row r="3356" spans="1:9" ht="14.5" x14ac:dyDescent="0.35">
      <c r="A3356" s="2">
        <v>308226</v>
      </c>
      <c r="B3356" s="2" t="str">
        <f>"3376021905980001"</f>
        <v>3376021905980001</v>
      </c>
      <c r="C3356" s="2" t="s">
        <v>3972</v>
      </c>
      <c r="D3356" s="2" t="s">
        <v>10</v>
      </c>
      <c r="E3356" s="2" t="s">
        <v>11</v>
      </c>
      <c r="F3356" s="2" t="s">
        <v>18</v>
      </c>
      <c r="G3356" s="2" t="s">
        <v>268</v>
      </c>
      <c r="H3356" s="2" t="s">
        <v>269</v>
      </c>
      <c r="I3356" s="2" t="s">
        <v>1398</v>
      </c>
    </row>
    <row r="3357" spans="1:9" ht="14.5" x14ac:dyDescent="0.35">
      <c r="A3357" s="2">
        <v>2553211</v>
      </c>
      <c r="B3357" s="2" t="str">
        <f>"3376021905980001"</f>
        <v>3376021905980001</v>
      </c>
      <c r="C3357" s="2" t="s">
        <v>3973</v>
      </c>
      <c r="D3357" s="2" t="s">
        <v>17</v>
      </c>
      <c r="E3357" s="2" t="s">
        <v>11</v>
      </c>
      <c r="F3357" s="2" t="s">
        <v>18</v>
      </c>
      <c r="G3357" s="2" t="s">
        <v>19</v>
      </c>
      <c r="H3357" s="2" t="s">
        <v>348</v>
      </c>
      <c r="I3357" s="2" t="s">
        <v>3683</v>
      </c>
    </row>
    <row r="3358" spans="1:9" ht="14.5" x14ac:dyDescent="0.35">
      <c r="A3358" s="2">
        <v>237254</v>
      </c>
      <c r="B3358" s="2" t="str">
        <f>"3376022206900002"</f>
        <v>3376022206900002</v>
      </c>
      <c r="C3358" s="2" t="s">
        <v>3974</v>
      </c>
      <c r="D3358" s="2" t="s">
        <v>10</v>
      </c>
      <c r="E3358" s="2" t="s">
        <v>11</v>
      </c>
      <c r="F3358" s="2" t="s">
        <v>18</v>
      </c>
      <c r="G3358" s="2" t="s">
        <v>268</v>
      </c>
      <c r="H3358" s="2" t="s">
        <v>371</v>
      </c>
      <c r="I3358" s="2" t="s">
        <v>372</v>
      </c>
    </row>
    <row r="3359" spans="1:9" ht="14.5" x14ac:dyDescent="0.35">
      <c r="A3359" s="2">
        <v>2570035</v>
      </c>
      <c r="B3359" s="2" t="str">
        <f>"3376022206900002"</f>
        <v>3376022206900002</v>
      </c>
      <c r="C3359" s="2" t="s">
        <v>3974</v>
      </c>
      <c r="D3359" s="2" t="s">
        <v>17</v>
      </c>
      <c r="E3359" s="2" t="s">
        <v>11</v>
      </c>
      <c r="F3359" s="2" t="s">
        <v>18</v>
      </c>
      <c r="G3359" s="2" t="s">
        <v>19</v>
      </c>
      <c r="H3359" s="2" t="s">
        <v>348</v>
      </c>
      <c r="I3359" s="2" t="s">
        <v>348</v>
      </c>
    </row>
    <row r="3360" spans="1:9" ht="14.5" x14ac:dyDescent="0.35">
      <c r="A3360" s="2">
        <v>217227</v>
      </c>
      <c r="B3360" s="2" t="str">
        <f>"3376025507000003"</f>
        <v>3376025507000003</v>
      </c>
      <c r="C3360" s="2" t="s">
        <v>3975</v>
      </c>
      <c r="D3360" s="2" t="s">
        <v>10</v>
      </c>
      <c r="E3360" s="2" t="s">
        <v>11</v>
      </c>
      <c r="F3360" s="2" t="s">
        <v>18</v>
      </c>
      <c r="G3360" s="2" t="s">
        <v>268</v>
      </c>
      <c r="H3360" s="2" t="s">
        <v>371</v>
      </c>
      <c r="I3360" s="2" t="s">
        <v>2772</v>
      </c>
    </row>
    <row r="3361" spans="1:9" ht="14.5" x14ac:dyDescent="0.35">
      <c r="A3361" s="2">
        <v>2553086</v>
      </c>
      <c r="B3361" s="2" t="str">
        <f>"3376025507000003"</f>
        <v>3376025507000003</v>
      </c>
      <c r="C3361" s="2" t="s">
        <v>3975</v>
      </c>
      <c r="D3361" s="2" t="s">
        <v>17</v>
      </c>
      <c r="E3361" s="2" t="s">
        <v>11</v>
      </c>
      <c r="F3361" s="2" t="s">
        <v>18</v>
      </c>
      <c r="G3361" s="2" t="s">
        <v>19</v>
      </c>
      <c r="H3361" s="2" t="s">
        <v>348</v>
      </c>
      <c r="I3361" s="2" t="s">
        <v>3666</v>
      </c>
    </row>
    <row r="3362" spans="1:9" ht="14.5" x14ac:dyDescent="0.35">
      <c r="A3362" s="2">
        <v>366862</v>
      </c>
      <c r="B3362" s="2" t="str">
        <f>"3376030510940001"</f>
        <v>3376030510940001</v>
      </c>
      <c r="C3362" s="2" t="s">
        <v>3976</v>
      </c>
      <c r="D3362" s="2" t="s">
        <v>10</v>
      </c>
      <c r="E3362" s="2" t="s">
        <v>11</v>
      </c>
      <c r="F3362" s="2" t="s">
        <v>18</v>
      </c>
      <c r="G3362" s="2" t="s">
        <v>268</v>
      </c>
      <c r="H3362" s="2" t="s">
        <v>269</v>
      </c>
      <c r="I3362" s="2" t="s">
        <v>996</v>
      </c>
    </row>
    <row r="3363" spans="1:9" ht="14.5" x14ac:dyDescent="0.35">
      <c r="A3363" s="2">
        <v>2551390</v>
      </c>
      <c r="B3363" s="2" t="str">
        <f>"3376030510940001"</f>
        <v>3376030510940001</v>
      </c>
      <c r="C3363" s="2" t="s">
        <v>3976</v>
      </c>
      <c r="D3363" s="2" t="s">
        <v>17</v>
      </c>
      <c r="E3363" s="2" t="s">
        <v>11</v>
      </c>
      <c r="F3363" s="2" t="s">
        <v>18</v>
      </c>
      <c r="G3363" s="2" t="s">
        <v>19</v>
      </c>
      <c r="H3363" s="2" t="s">
        <v>348</v>
      </c>
      <c r="I3363" s="2" t="s">
        <v>3721</v>
      </c>
    </row>
    <row r="3364" spans="1:9" ht="14.5" x14ac:dyDescent="0.35">
      <c r="A3364" s="2">
        <v>342783</v>
      </c>
      <c r="B3364" s="2" t="str">
        <f>"3376031202910001"</f>
        <v>3376031202910001</v>
      </c>
      <c r="C3364" s="2" t="s">
        <v>3977</v>
      </c>
      <c r="D3364" s="2" t="s">
        <v>10</v>
      </c>
      <c r="E3364" s="2" t="s">
        <v>11</v>
      </c>
      <c r="F3364" s="2" t="s">
        <v>18</v>
      </c>
      <c r="G3364" s="2" t="s">
        <v>268</v>
      </c>
      <c r="H3364" s="2" t="s">
        <v>269</v>
      </c>
      <c r="I3364" s="2" t="s">
        <v>3978</v>
      </c>
    </row>
    <row r="3365" spans="1:9" ht="14.5" x14ac:dyDescent="0.35">
      <c r="A3365" s="2">
        <v>2553399</v>
      </c>
      <c r="B3365" s="2" t="str">
        <f>"3376031202910001"</f>
        <v>3376031202910001</v>
      </c>
      <c r="C3365" s="2" t="s">
        <v>3977</v>
      </c>
      <c r="D3365" s="2" t="s">
        <v>17</v>
      </c>
      <c r="E3365" s="2" t="s">
        <v>11</v>
      </c>
      <c r="F3365" s="2" t="s">
        <v>18</v>
      </c>
      <c r="G3365" s="2" t="s">
        <v>19</v>
      </c>
      <c r="H3365" s="2" t="s">
        <v>348</v>
      </c>
      <c r="I3365" s="2" t="s">
        <v>3677</v>
      </c>
    </row>
    <row r="3366" spans="1:9" ht="14.5" x14ac:dyDescent="0.35">
      <c r="A3366" s="2">
        <v>407838</v>
      </c>
      <c r="B3366" s="2" t="str">
        <f>"3376041804940001"</f>
        <v>3376041804940001</v>
      </c>
      <c r="C3366" s="2" t="s">
        <v>3979</v>
      </c>
      <c r="D3366" s="2" t="s">
        <v>10</v>
      </c>
      <c r="E3366" s="2" t="s">
        <v>11</v>
      </c>
      <c r="F3366" s="2" t="s">
        <v>18</v>
      </c>
      <c r="G3366" s="2" t="s">
        <v>268</v>
      </c>
      <c r="H3366" s="2" t="s">
        <v>448</v>
      </c>
      <c r="I3366" s="2" t="s">
        <v>448</v>
      </c>
    </row>
    <row r="3367" spans="1:9" ht="14.5" x14ac:dyDescent="0.35">
      <c r="A3367" s="2">
        <v>2551515</v>
      </c>
      <c r="B3367" s="2" t="str">
        <f>"3376041804940001"</f>
        <v>3376041804940001</v>
      </c>
      <c r="C3367" s="2" t="s">
        <v>3979</v>
      </c>
      <c r="D3367" s="2" t="s">
        <v>17</v>
      </c>
      <c r="E3367" s="2" t="s">
        <v>11</v>
      </c>
      <c r="F3367" s="2" t="s">
        <v>18</v>
      </c>
      <c r="G3367" s="2" t="s">
        <v>19</v>
      </c>
      <c r="H3367" s="2" t="s">
        <v>348</v>
      </c>
      <c r="I3367" s="2" t="s">
        <v>3670</v>
      </c>
    </row>
    <row r="3368" spans="1:9" ht="14.5" x14ac:dyDescent="0.35">
      <c r="A3368" s="2">
        <v>407837</v>
      </c>
      <c r="B3368" s="2" t="str">
        <f>"3376044712950001"</f>
        <v>3376044712950001</v>
      </c>
      <c r="C3368" s="2" t="s">
        <v>3980</v>
      </c>
      <c r="D3368" s="2" t="s">
        <v>10</v>
      </c>
      <c r="E3368" s="2" t="s">
        <v>11</v>
      </c>
      <c r="F3368" s="2" t="s">
        <v>18</v>
      </c>
      <c r="G3368" s="2" t="s">
        <v>268</v>
      </c>
      <c r="H3368" s="2" t="s">
        <v>448</v>
      </c>
      <c r="I3368" s="2" t="s">
        <v>448</v>
      </c>
    </row>
    <row r="3369" spans="1:9" ht="14.5" x14ac:dyDescent="0.35">
      <c r="A3369" s="2">
        <v>2551516</v>
      </c>
      <c r="B3369" s="2" t="str">
        <f>"3376044712950001"</f>
        <v>3376044712950001</v>
      </c>
      <c r="C3369" s="2" t="s">
        <v>3980</v>
      </c>
      <c r="D3369" s="2" t="s">
        <v>17</v>
      </c>
      <c r="E3369" s="2" t="s">
        <v>11</v>
      </c>
      <c r="F3369" s="2" t="s">
        <v>18</v>
      </c>
      <c r="G3369" s="2" t="s">
        <v>19</v>
      </c>
      <c r="H3369" s="2" t="s">
        <v>348</v>
      </c>
      <c r="I3369" s="2" t="s">
        <v>3670</v>
      </c>
    </row>
    <row r="3370" spans="1:9" ht="14.5" x14ac:dyDescent="0.35">
      <c r="A3370" s="2">
        <v>575769</v>
      </c>
      <c r="B3370" s="2" t="str">
        <f>"3526184205970002"</f>
        <v>3526184205970002</v>
      </c>
      <c r="C3370" s="2" t="s">
        <v>3981</v>
      </c>
      <c r="D3370" s="2" t="s">
        <v>10</v>
      </c>
      <c r="E3370" s="2" t="s">
        <v>11</v>
      </c>
      <c r="F3370" s="2" t="s">
        <v>303</v>
      </c>
      <c r="G3370" s="2" t="s">
        <v>1676</v>
      </c>
      <c r="H3370" s="2" t="s">
        <v>3982</v>
      </c>
      <c r="I3370" s="2" t="s">
        <v>3983</v>
      </c>
    </row>
    <row r="3371" spans="1:9" ht="14.5" x14ac:dyDescent="0.35">
      <c r="A3371" s="2">
        <v>2552797</v>
      </c>
      <c r="B3371" s="2" t="str">
        <f>"3526184205970002"</f>
        <v>3526184205970002</v>
      </c>
      <c r="C3371" s="2" t="s">
        <v>3981</v>
      </c>
      <c r="D3371" s="2" t="s">
        <v>17</v>
      </c>
      <c r="E3371" s="2" t="s">
        <v>11</v>
      </c>
      <c r="F3371" s="2" t="s">
        <v>18</v>
      </c>
      <c r="G3371" s="2" t="s">
        <v>19</v>
      </c>
      <c r="H3371" s="2" t="s">
        <v>348</v>
      </c>
      <c r="I3371" s="2" t="s">
        <v>1777</v>
      </c>
    </row>
    <row r="3372" spans="1:9" ht="14.5" x14ac:dyDescent="0.35">
      <c r="A3372" s="2">
        <v>2315668</v>
      </c>
      <c r="B3372" s="2" t="str">
        <f>"3603121203660003"</f>
        <v>3603121203660003</v>
      </c>
      <c r="C3372" s="2" t="s">
        <v>3984</v>
      </c>
      <c r="D3372" s="2" t="s">
        <v>10</v>
      </c>
      <c r="E3372" s="2" t="s">
        <v>11</v>
      </c>
      <c r="F3372" s="2" t="s">
        <v>67</v>
      </c>
      <c r="G3372" s="2" t="s">
        <v>791</v>
      </c>
      <c r="H3372" s="2" t="s">
        <v>792</v>
      </c>
      <c r="I3372" s="2" t="s">
        <v>793</v>
      </c>
    </row>
    <row r="3373" spans="1:9" ht="14.5" x14ac:dyDescent="0.35">
      <c r="A3373" s="2">
        <v>2551443</v>
      </c>
      <c r="B3373" s="2" t="str">
        <f>"3603121203660003"</f>
        <v>3603121203660003</v>
      </c>
      <c r="C3373" s="2" t="s">
        <v>3985</v>
      </c>
      <c r="D3373" s="2" t="s">
        <v>17</v>
      </c>
      <c r="E3373" s="2" t="s">
        <v>11</v>
      </c>
      <c r="F3373" s="2" t="s">
        <v>18</v>
      </c>
      <c r="G3373" s="2" t="s">
        <v>19</v>
      </c>
      <c r="H3373" s="2" t="s">
        <v>348</v>
      </c>
      <c r="I3373" s="2" t="s">
        <v>3721</v>
      </c>
    </row>
    <row r="3374" spans="1:9" ht="14.5" x14ac:dyDescent="0.35">
      <c r="A3374" s="2">
        <v>2315605</v>
      </c>
      <c r="B3374" s="2" t="str">
        <f>"3603122801880006"</f>
        <v>3603122801880006</v>
      </c>
      <c r="C3374" s="2" t="s">
        <v>3986</v>
      </c>
      <c r="D3374" s="2" t="s">
        <v>10</v>
      </c>
      <c r="E3374" s="2" t="s">
        <v>11</v>
      </c>
      <c r="F3374" s="2" t="s">
        <v>67</v>
      </c>
      <c r="G3374" s="2" t="s">
        <v>791</v>
      </c>
      <c r="H3374" s="2" t="s">
        <v>792</v>
      </c>
      <c r="I3374" s="2" t="s">
        <v>793</v>
      </c>
    </row>
    <row r="3375" spans="1:9" ht="14.5" x14ac:dyDescent="0.35">
      <c r="A3375" s="2">
        <v>2551445</v>
      </c>
      <c r="B3375" s="2" t="str">
        <f>"3603122801880006"</f>
        <v>3603122801880006</v>
      </c>
      <c r="C3375" s="2" t="s">
        <v>3987</v>
      </c>
      <c r="D3375" s="2" t="s">
        <v>17</v>
      </c>
      <c r="E3375" s="2" t="s">
        <v>11</v>
      </c>
      <c r="F3375" s="2" t="s">
        <v>18</v>
      </c>
      <c r="G3375" s="2" t="s">
        <v>19</v>
      </c>
      <c r="H3375" s="2" t="s">
        <v>348</v>
      </c>
      <c r="I3375" s="2" t="s">
        <v>3721</v>
      </c>
    </row>
    <row r="3376" spans="1:9" ht="14.5" x14ac:dyDescent="0.35">
      <c r="A3376" s="2">
        <v>2315667</v>
      </c>
      <c r="B3376" s="2" t="str">
        <f>"3603124904710003"</f>
        <v>3603124904710003</v>
      </c>
      <c r="C3376" s="2" t="s">
        <v>3988</v>
      </c>
      <c r="D3376" s="2" t="s">
        <v>10</v>
      </c>
      <c r="E3376" s="2" t="s">
        <v>11</v>
      </c>
      <c r="F3376" s="2" t="s">
        <v>67</v>
      </c>
      <c r="G3376" s="2" t="s">
        <v>791</v>
      </c>
      <c r="H3376" s="2" t="s">
        <v>792</v>
      </c>
      <c r="I3376" s="2" t="s">
        <v>793</v>
      </c>
    </row>
    <row r="3377" spans="1:9" ht="14.5" x14ac:dyDescent="0.35">
      <c r="A3377" s="2">
        <v>2551444</v>
      </c>
      <c r="B3377" s="2" t="str">
        <f>"3603124904710003"</f>
        <v>3603124904710003</v>
      </c>
      <c r="C3377" s="2" t="s">
        <v>3988</v>
      </c>
      <c r="D3377" s="2" t="s">
        <v>17</v>
      </c>
      <c r="E3377" s="2" t="s">
        <v>11</v>
      </c>
      <c r="F3377" s="2" t="s">
        <v>18</v>
      </c>
      <c r="G3377" s="2" t="s">
        <v>19</v>
      </c>
      <c r="H3377" s="2" t="s">
        <v>348</v>
      </c>
      <c r="I3377" s="2" t="s">
        <v>3721</v>
      </c>
    </row>
    <row r="3378" spans="1:9" ht="14.5" x14ac:dyDescent="0.35">
      <c r="A3378" s="2">
        <v>1711023</v>
      </c>
      <c r="B3378" s="2" t="str">
        <f>"3671060708910010"</f>
        <v>3671060708910010</v>
      </c>
      <c r="C3378" s="2" t="s">
        <v>3989</v>
      </c>
      <c r="D3378" s="2" t="s">
        <v>10</v>
      </c>
      <c r="E3378" s="2" t="s">
        <v>11</v>
      </c>
      <c r="F3378" s="2" t="s">
        <v>67</v>
      </c>
      <c r="G3378" s="2" t="s">
        <v>512</v>
      </c>
      <c r="H3378" s="2" t="s">
        <v>513</v>
      </c>
      <c r="I3378" s="2" t="s">
        <v>3990</v>
      </c>
    </row>
    <row r="3379" spans="1:9" ht="14.5" x14ac:dyDescent="0.35">
      <c r="A3379" s="2">
        <v>2553294</v>
      </c>
      <c r="B3379" s="2" t="str">
        <f>"3671060708910010"</f>
        <v>3671060708910010</v>
      </c>
      <c r="C3379" s="2" t="s">
        <v>3991</v>
      </c>
      <c r="D3379" s="2" t="s">
        <v>17</v>
      </c>
      <c r="E3379" s="2" t="s">
        <v>11</v>
      </c>
      <c r="F3379" s="2" t="s">
        <v>18</v>
      </c>
      <c r="G3379" s="2" t="s">
        <v>19</v>
      </c>
      <c r="H3379" s="2" t="s">
        <v>348</v>
      </c>
      <c r="I3379" s="2" t="s">
        <v>1644</v>
      </c>
    </row>
    <row r="3380" spans="1:9" ht="14.5" x14ac:dyDescent="0.35">
      <c r="A3380" s="2">
        <v>784054</v>
      </c>
      <c r="B3380" s="2" t="str">
        <f>"3674040112030006"</f>
        <v>3674040112030006</v>
      </c>
      <c r="C3380" s="2" t="s">
        <v>3992</v>
      </c>
      <c r="D3380" s="2" t="s">
        <v>10</v>
      </c>
      <c r="E3380" s="2" t="s">
        <v>11</v>
      </c>
      <c r="F3380" s="2" t="s">
        <v>50</v>
      </c>
      <c r="G3380" s="2" t="s">
        <v>72</v>
      </c>
      <c r="H3380" s="2" t="s">
        <v>1093</v>
      </c>
      <c r="I3380" s="2" t="s">
        <v>3993</v>
      </c>
    </row>
    <row r="3381" spans="1:9" ht="14.5" x14ac:dyDescent="0.35">
      <c r="A3381" s="2">
        <v>2552367</v>
      </c>
      <c r="B3381" s="2" t="str">
        <f>"3674040112030006"</f>
        <v>3674040112030006</v>
      </c>
      <c r="C3381" s="2" t="s">
        <v>3992</v>
      </c>
      <c r="D3381" s="2" t="s">
        <v>17</v>
      </c>
      <c r="E3381" s="2" t="s">
        <v>11</v>
      </c>
      <c r="F3381" s="2" t="s">
        <v>18</v>
      </c>
      <c r="G3381" s="2" t="s">
        <v>19</v>
      </c>
      <c r="H3381" s="2" t="s">
        <v>348</v>
      </c>
      <c r="I3381" s="2" t="s">
        <v>3660</v>
      </c>
    </row>
    <row r="3382" spans="1:9" ht="14.5" x14ac:dyDescent="0.35">
      <c r="A3382" s="2">
        <v>216265</v>
      </c>
      <c r="B3382" s="2" t="str">
        <f>"6207082308810001"</f>
        <v>6207082308810001</v>
      </c>
      <c r="C3382" s="2" t="s">
        <v>3994</v>
      </c>
      <c r="D3382" s="2" t="s">
        <v>10</v>
      </c>
      <c r="E3382" s="2" t="s">
        <v>11</v>
      </c>
      <c r="F3382" s="2" t="s">
        <v>521</v>
      </c>
      <c r="G3382" s="2" t="s">
        <v>1449</v>
      </c>
      <c r="H3382" s="2" t="s">
        <v>3995</v>
      </c>
      <c r="I3382" s="2" t="s">
        <v>3996</v>
      </c>
    </row>
    <row r="3383" spans="1:9" ht="14.5" x14ac:dyDescent="0.35">
      <c r="A3383" s="2">
        <v>2553759</v>
      </c>
      <c r="B3383" s="2" t="str">
        <f>"6207082308810001"</f>
        <v>6207082308810001</v>
      </c>
      <c r="C3383" s="2" t="s">
        <v>3997</v>
      </c>
      <c r="D3383" s="2" t="s">
        <v>17</v>
      </c>
      <c r="E3383" s="2" t="s">
        <v>11</v>
      </c>
      <c r="F3383" s="2" t="s">
        <v>18</v>
      </c>
      <c r="G3383" s="2" t="s">
        <v>19</v>
      </c>
      <c r="H3383" s="2" t="s">
        <v>348</v>
      </c>
      <c r="I3383" s="2" t="s">
        <v>3861</v>
      </c>
    </row>
    <row r="3384" spans="1:9" ht="14.5" x14ac:dyDescent="0.35">
      <c r="A3384" s="2">
        <v>873809</v>
      </c>
      <c r="B3384" s="2" t="str">
        <f>"1611033008900002"</f>
        <v>1611033008900002</v>
      </c>
      <c r="C3384" s="2" t="s">
        <v>3998</v>
      </c>
      <c r="D3384" s="2" t="s">
        <v>10</v>
      </c>
      <c r="E3384" s="2" t="s">
        <v>11</v>
      </c>
      <c r="F3384" s="2" t="s">
        <v>91</v>
      </c>
      <c r="G3384" s="2" t="s">
        <v>114</v>
      </c>
      <c r="H3384" s="2" t="s">
        <v>3246</v>
      </c>
      <c r="I3384" s="2" t="s">
        <v>3247</v>
      </c>
    </row>
    <row r="3385" spans="1:9" ht="14.5" x14ac:dyDescent="0.35">
      <c r="A3385" s="2">
        <v>2554447</v>
      </c>
      <c r="B3385" s="2" t="str">
        <f>"1611033008900002"</f>
        <v>1611033008900002</v>
      </c>
      <c r="C3385" s="2" t="s">
        <v>3998</v>
      </c>
      <c r="D3385" s="2" t="s">
        <v>17</v>
      </c>
      <c r="E3385" s="2" t="s">
        <v>11</v>
      </c>
      <c r="F3385" s="2" t="s">
        <v>18</v>
      </c>
      <c r="G3385" s="2" t="s">
        <v>19</v>
      </c>
      <c r="H3385" s="2" t="s">
        <v>3354</v>
      </c>
      <c r="I3385" s="2" t="s">
        <v>3999</v>
      </c>
    </row>
    <row r="3386" spans="1:9" ht="14.5" x14ac:dyDescent="0.35">
      <c r="A3386" s="2">
        <v>814001</v>
      </c>
      <c r="B3386" s="2" t="str">
        <f>"1871074601700001"</f>
        <v>1871074601700001</v>
      </c>
      <c r="C3386" s="2" t="s">
        <v>4000</v>
      </c>
      <c r="D3386" s="2" t="s">
        <v>10</v>
      </c>
      <c r="E3386" s="2" t="s">
        <v>11</v>
      </c>
      <c r="F3386" s="2" t="s">
        <v>44</v>
      </c>
      <c r="G3386" s="2" t="s">
        <v>1594</v>
      </c>
      <c r="H3386" s="2" t="s">
        <v>4001</v>
      </c>
      <c r="I3386" s="2" t="s">
        <v>4002</v>
      </c>
    </row>
    <row r="3387" spans="1:9" ht="14.5" x14ac:dyDescent="0.35">
      <c r="A3387" s="2">
        <v>2554675</v>
      </c>
      <c r="B3387" s="2" t="str">
        <f>"1871074601700001"</f>
        <v>1871074601700001</v>
      </c>
      <c r="C3387" s="2" t="s">
        <v>4000</v>
      </c>
      <c r="D3387" s="2" t="s">
        <v>17</v>
      </c>
      <c r="E3387" s="2" t="s">
        <v>11</v>
      </c>
      <c r="F3387" s="2" t="s">
        <v>18</v>
      </c>
      <c r="G3387" s="2" t="s">
        <v>19</v>
      </c>
      <c r="H3387" s="2" t="s">
        <v>3354</v>
      </c>
      <c r="I3387" s="2" t="s">
        <v>4003</v>
      </c>
    </row>
    <row r="3388" spans="1:9" ht="14.5" x14ac:dyDescent="0.35">
      <c r="A3388" s="2">
        <v>75769</v>
      </c>
      <c r="B3388" s="2" t="str">
        <f>"3171025009830006"</f>
        <v>3171025009830006</v>
      </c>
      <c r="C3388" s="2" t="s">
        <v>401</v>
      </c>
      <c r="D3388" s="2" t="s">
        <v>10</v>
      </c>
      <c r="E3388" s="2" t="s">
        <v>11</v>
      </c>
      <c r="F3388" s="2" t="s">
        <v>50</v>
      </c>
      <c r="G3388" s="2" t="s">
        <v>280</v>
      </c>
      <c r="H3388" s="2" t="s">
        <v>455</v>
      </c>
      <c r="I3388" s="2" t="s">
        <v>456</v>
      </c>
    </row>
    <row r="3389" spans="1:9" ht="14.5" x14ac:dyDescent="0.35">
      <c r="A3389" s="2">
        <v>2554876</v>
      </c>
      <c r="B3389" s="2" t="str">
        <f>"3171025009830006"</f>
        <v>3171025009830006</v>
      </c>
      <c r="C3389" s="2" t="s">
        <v>4004</v>
      </c>
      <c r="D3389" s="2" t="s">
        <v>17</v>
      </c>
      <c r="E3389" s="2" t="s">
        <v>11</v>
      </c>
      <c r="F3389" s="2" t="s">
        <v>18</v>
      </c>
      <c r="G3389" s="2" t="s">
        <v>19</v>
      </c>
      <c r="H3389" s="2" t="s">
        <v>3354</v>
      </c>
      <c r="I3389" s="2" t="s">
        <v>1954</v>
      </c>
    </row>
    <row r="3390" spans="1:9" ht="14.5" x14ac:dyDescent="0.35">
      <c r="A3390" s="2">
        <v>75606</v>
      </c>
      <c r="B3390" s="2" t="str">
        <f>"3171025410060002"</f>
        <v>3171025410060002</v>
      </c>
      <c r="C3390" s="2" t="s">
        <v>4005</v>
      </c>
      <c r="D3390" s="2" t="s">
        <v>10</v>
      </c>
      <c r="E3390" s="2" t="s">
        <v>11</v>
      </c>
      <c r="F3390" s="2" t="s">
        <v>50</v>
      </c>
      <c r="G3390" s="2" t="s">
        <v>280</v>
      </c>
      <c r="H3390" s="2" t="s">
        <v>455</v>
      </c>
      <c r="I3390" s="2" t="s">
        <v>456</v>
      </c>
    </row>
    <row r="3391" spans="1:9" ht="14.5" x14ac:dyDescent="0.35">
      <c r="A3391" s="2">
        <v>2554877</v>
      </c>
      <c r="B3391" s="2" t="str">
        <f>"3171025410060002"</f>
        <v>3171025410060002</v>
      </c>
      <c r="C3391" s="2" t="s">
        <v>4006</v>
      </c>
      <c r="D3391" s="2" t="s">
        <v>17</v>
      </c>
      <c r="E3391" s="2" t="s">
        <v>11</v>
      </c>
      <c r="F3391" s="2" t="s">
        <v>18</v>
      </c>
      <c r="G3391" s="2" t="s">
        <v>19</v>
      </c>
      <c r="H3391" s="2" t="s">
        <v>3354</v>
      </c>
      <c r="I3391" s="2" t="s">
        <v>1954</v>
      </c>
    </row>
    <row r="3392" spans="1:9" ht="14.5" x14ac:dyDescent="0.35">
      <c r="A3392" s="2">
        <v>2459171</v>
      </c>
      <c r="B3392" s="2" t="str">
        <f>"3171082108790001"</f>
        <v>3171082108790001</v>
      </c>
      <c r="C3392" s="2" t="s">
        <v>4007</v>
      </c>
      <c r="D3392" s="2" t="s">
        <v>10</v>
      </c>
      <c r="E3392" s="2" t="s">
        <v>11</v>
      </c>
      <c r="F3392" s="2" t="s">
        <v>18</v>
      </c>
      <c r="G3392" s="2" t="s">
        <v>19</v>
      </c>
      <c r="H3392" s="2" t="s">
        <v>3354</v>
      </c>
      <c r="I3392" s="2" t="s">
        <v>4008</v>
      </c>
    </row>
    <row r="3393" spans="1:9" ht="14.5" x14ac:dyDescent="0.35">
      <c r="A3393" s="2">
        <v>2416977</v>
      </c>
      <c r="B3393" s="2" t="str">
        <f>"3171082108790001"</f>
        <v>3171082108790001</v>
      </c>
      <c r="C3393" s="2" t="s">
        <v>4009</v>
      </c>
      <c r="D3393" s="2" t="s">
        <v>10</v>
      </c>
      <c r="E3393" s="2" t="s">
        <v>57</v>
      </c>
      <c r="F3393" s="2" t="s">
        <v>50</v>
      </c>
      <c r="G3393" s="2" t="s">
        <v>58</v>
      </c>
      <c r="H3393" s="2" t="s">
        <v>59</v>
      </c>
      <c r="I3393" s="2" t="s">
        <v>60</v>
      </c>
    </row>
    <row r="3394" spans="1:9" ht="14.5" x14ac:dyDescent="0.35">
      <c r="A3394" s="2">
        <v>208646</v>
      </c>
      <c r="B3394" s="2" t="str">
        <f>"3172041703840002"</f>
        <v>3172041703840002</v>
      </c>
      <c r="C3394" s="2" t="s">
        <v>4010</v>
      </c>
      <c r="D3394" s="2" t="s">
        <v>10</v>
      </c>
      <c r="E3394" s="2" t="s">
        <v>11</v>
      </c>
      <c r="F3394" s="2" t="s">
        <v>50</v>
      </c>
      <c r="G3394" s="2" t="s">
        <v>51</v>
      </c>
      <c r="H3394" s="2" t="s">
        <v>78</v>
      </c>
      <c r="I3394" s="2" t="s">
        <v>436</v>
      </c>
    </row>
    <row r="3395" spans="1:9" ht="14.5" x14ac:dyDescent="0.35">
      <c r="A3395" s="2">
        <v>2328611</v>
      </c>
      <c r="B3395" s="2" t="str">
        <f>"3172041703840002"</f>
        <v>3172041703840002</v>
      </c>
      <c r="C3395" s="2" t="s">
        <v>4011</v>
      </c>
      <c r="D3395" s="2" t="s">
        <v>189</v>
      </c>
      <c r="E3395" s="2" t="s">
        <v>11</v>
      </c>
      <c r="F3395" s="2" t="s">
        <v>18</v>
      </c>
      <c r="G3395" s="2" t="s">
        <v>19</v>
      </c>
      <c r="H3395" s="2" t="s">
        <v>3354</v>
      </c>
      <c r="I3395" s="2" t="s">
        <v>307</v>
      </c>
    </row>
    <row r="3396" spans="1:9" ht="14.5" x14ac:dyDescent="0.35">
      <c r="A3396" s="2">
        <v>957867</v>
      </c>
      <c r="B3396" s="2" t="str">
        <f>"3172046810760021"</f>
        <v>3172046810760021</v>
      </c>
      <c r="C3396" s="2" t="s">
        <v>2870</v>
      </c>
      <c r="D3396" s="2" t="s">
        <v>10</v>
      </c>
      <c r="E3396" s="2" t="s">
        <v>11</v>
      </c>
      <c r="F3396" s="2" t="s">
        <v>50</v>
      </c>
      <c r="G3396" s="2" t="s">
        <v>51</v>
      </c>
      <c r="H3396" s="2" t="s">
        <v>78</v>
      </c>
      <c r="I3396" s="2" t="s">
        <v>81</v>
      </c>
    </row>
    <row r="3397" spans="1:9" ht="14.5" x14ac:dyDescent="0.35">
      <c r="A3397" s="2">
        <v>2554231</v>
      </c>
      <c r="B3397" s="2" t="str">
        <f>"3172046810760021"</f>
        <v>3172046810760021</v>
      </c>
      <c r="C3397" s="2" t="s">
        <v>2870</v>
      </c>
      <c r="D3397" s="2" t="s">
        <v>17</v>
      </c>
      <c r="E3397" s="2" t="s">
        <v>11</v>
      </c>
      <c r="F3397" s="2" t="s">
        <v>18</v>
      </c>
      <c r="G3397" s="2" t="s">
        <v>19</v>
      </c>
      <c r="H3397" s="2" t="s">
        <v>3354</v>
      </c>
      <c r="I3397" s="2" t="s">
        <v>4012</v>
      </c>
    </row>
    <row r="3398" spans="1:9" ht="14.5" x14ac:dyDescent="0.35">
      <c r="A3398" s="2">
        <v>287709</v>
      </c>
      <c r="B3398" s="2" t="str">
        <f>"3173021111780005"</f>
        <v>3173021111780005</v>
      </c>
      <c r="C3398" s="2" t="s">
        <v>4013</v>
      </c>
      <c r="D3398" s="2" t="s">
        <v>10</v>
      </c>
      <c r="E3398" s="2" t="s">
        <v>11</v>
      </c>
      <c r="F3398" s="2" t="s">
        <v>50</v>
      </c>
      <c r="G3398" s="2" t="s">
        <v>86</v>
      </c>
      <c r="H3398" s="2" t="s">
        <v>205</v>
      </c>
      <c r="I3398" s="2" t="s">
        <v>2635</v>
      </c>
    </row>
    <row r="3399" spans="1:9" ht="14.5" x14ac:dyDescent="0.35">
      <c r="A3399" s="2">
        <v>2555251</v>
      </c>
      <c r="B3399" s="2" t="str">
        <f>"3173021111780005"</f>
        <v>3173021111780005</v>
      </c>
      <c r="C3399" s="2" t="s">
        <v>4013</v>
      </c>
      <c r="D3399" s="2" t="s">
        <v>17</v>
      </c>
      <c r="E3399" s="2" t="s">
        <v>11</v>
      </c>
      <c r="F3399" s="2" t="s">
        <v>18</v>
      </c>
      <c r="G3399" s="2" t="s">
        <v>19</v>
      </c>
      <c r="H3399" s="2" t="s">
        <v>3354</v>
      </c>
      <c r="I3399" s="2" t="s">
        <v>4014</v>
      </c>
    </row>
    <row r="3400" spans="1:9" ht="14.5" x14ac:dyDescent="0.35">
      <c r="A3400" s="2">
        <v>287710</v>
      </c>
      <c r="B3400" s="2" t="str">
        <f>"3173024501061001"</f>
        <v>3173024501061001</v>
      </c>
      <c r="C3400" s="2" t="s">
        <v>4015</v>
      </c>
      <c r="D3400" s="2" t="s">
        <v>10</v>
      </c>
      <c r="E3400" s="2" t="s">
        <v>11</v>
      </c>
      <c r="F3400" s="2" t="s">
        <v>50</v>
      </c>
      <c r="G3400" s="2" t="s">
        <v>86</v>
      </c>
      <c r="H3400" s="2" t="s">
        <v>205</v>
      </c>
      <c r="I3400" s="2" t="s">
        <v>2635</v>
      </c>
    </row>
    <row r="3401" spans="1:9" ht="14.5" x14ac:dyDescent="0.35">
      <c r="A3401" s="2">
        <v>2555253</v>
      </c>
      <c r="B3401" s="2" t="str">
        <f>"3173024501061001"</f>
        <v>3173024501061001</v>
      </c>
      <c r="C3401" s="2" t="s">
        <v>4015</v>
      </c>
      <c r="D3401" s="2" t="s">
        <v>17</v>
      </c>
      <c r="E3401" s="2" t="s">
        <v>11</v>
      </c>
      <c r="F3401" s="2" t="s">
        <v>18</v>
      </c>
      <c r="G3401" s="2" t="s">
        <v>19</v>
      </c>
      <c r="H3401" s="2" t="s">
        <v>3354</v>
      </c>
      <c r="I3401" s="2" t="s">
        <v>4014</v>
      </c>
    </row>
    <row r="3402" spans="1:9" ht="14.5" x14ac:dyDescent="0.35">
      <c r="A3402" s="2">
        <v>287708</v>
      </c>
      <c r="B3402" s="2" t="str">
        <f>"3173025101820008"</f>
        <v>3173025101820008</v>
      </c>
      <c r="C3402" s="2" t="s">
        <v>4016</v>
      </c>
      <c r="D3402" s="2" t="s">
        <v>10</v>
      </c>
      <c r="E3402" s="2" t="s">
        <v>11</v>
      </c>
      <c r="F3402" s="2" t="s">
        <v>50</v>
      </c>
      <c r="G3402" s="2" t="s">
        <v>86</v>
      </c>
      <c r="H3402" s="2" t="s">
        <v>205</v>
      </c>
      <c r="I3402" s="2" t="s">
        <v>2635</v>
      </c>
    </row>
    <row r="3403" spans="1:9" ht="14.5" x14ac:dyDescent="0.35">
      <c r="A3403" s="2">
        <v>2555252</v>
      </c>
      <c r="B3403" s="2" t="str">
        <f>"3173025101820008"</f>
        <v>3173025101820008</v>
      </c>
      <c r="C3403" s="2" t="s">
        <v>4016</v>
      </c>
      <c r="D3403" s="2" t="s">
        <v>17</v>
      </c>
      <c r="E3403" s="2" t="s">
        <v>11</v>
      </c>
      <c r="F3403" s="2" t="s">
        <v>18</v>
      </c>
      <c r="G3403" s="2" t="s">
        <v>19</v>
      </c>
      <c r="H3403" s="2" t="s">
        <v>3354</v>
      </c>
      <c r="I3403" s="2" t="s">
        <v>4014</v>
      </c>
    </row>
    <row r="3404" spans="1:9" ht="14.5" x14ac:dyDescent="0.35">
      <c r="A3404" s="2">
        <v>1941953</v>
      </c>
      <c r="B3404" s="2" t="str">
        <f>"3173040708820012"</f>
        <v>3173040708820012</v>
      </c>
      <c r="C3404" s="2" t="s">
        <v>4017</v>
      </c>
      <c r="D3404" s="2" t="s">
        <v>10</v>
      </c>
      <c r="E3404" s="2" t="s">
        <v>11</v>
      </c>
      <c r="F3404" s="2" t="s">
        <v>67</v>
      </c>
      <c r="G3404" s="2" t="s">
        <v>375</v>
      </c>
      <c r="H3404" s="2" t="s">
        <v>4018</v>
      </c>
      <c r="I3404" s="2" t="s">
        <v>4019</v>
      </c>
    </row>
    <row r="3405" spans="1:9" ht="14.5" x14ac:dyDescent="0.35">
      <c r="A3405" s="2">
        <v>2555161</v>
      </c>
      <c r="B3405" s="2" t="str">
        <f>"3173040708820012"</f>
        <v>3173040708820012</v>
      </c>
      <c r="C3405" s="2" t="s">
        <v>4017</v>
      </c>
      <c r="D3405" s="2" t="s">
        <v>17</v>
      </c>
      <c r="E3405" s="2" t="s">
        <v>11</v>
      </c>
      <c r="F3405" s="2" t="s">
        <v>18</v>
      </c>
      <c r="G3405" s="2" t="s">
        <v>19</v>
      </c>
      <c r="H3405" s="2" t="s">
        <v>3354</v>
      </c>
      <c r="I3405" s="2" t="s">
        <v>3354</v>
      </c>
    </row>
    <row r="3406" spans="1:9" ht="14.5" x14ac:dyDescent="0.35">
      <c r="A3406" s="2">
        <v>813193</v>
      </c>
      <c r="B3406" s="2" t="str">
        <f>"3174041605690010"</f>
        <v>3174041605690010</v>
      </c>
      <c r="C3406" s="2" t="s">
        <v>4020</v>
      </c>
      <c r="D3406" s="2" t="s">
        <v>10</v>
      </c>
      <c r="E3406" s="2" t="s">
        <v>11</v>
      </c>
      <c r="F3406" s="2" t="s">
        <v>50</v>
      </c>
      <c r="G3406" s="2" t="s">
        <v>72</v>
      </c>
      <c r="H3406" s="2" t="s">
        <v>73</v>
      </c>
      <c r="I3406" s="2" t="s">
        <v>74</v>
      </c>
    </row>
    <row r="3407" spans="1:9" ht="14.5" x14ac:dyDescent="0.35">
      <c r="A3407" s="2">
        <v>2553862</v>
      </c>
      <c r="B3407" s="2" t="str">
        <f>"3174041605690010"</f>
        <v>3174041605690010</v>
      </c>
      <c r="C3407" s="2" t="s">
        <v>4021</v>
      </c>
      <c r="D3407" s="2" t="s">
        <v>17</v>
      </c>
      <c r="E3407" s="2" t="s">
        <v>11</v>
      </c>
      <c r="F3407" s="2" t="s">
        <v>18</v>
      </c>
      <c r="G3407" s="2" t="s">
        <v>19</v>
      </c>
      <c r="H3407" s="2" t="s">
        <v>3354</v>
      </c>
      <c r="I3407" s="2" t="s">
        <v>4022</v>
      </c>
    </row>
    <row r="3408" spans="1:9" ht="14.5" x14ac:dyDescent="0.35">
      <c r="A3408" s="2">
        <v>878725</v>
      </c>
      <c r="B3408" s="2" t="str">
        <f>"3174051211640007"</f>
        <v>3174051211640007</v>
      </c>
      <c r="C3408" s="2" t="s">
        <v>4023</v>
      </c>
      <c r="D3408" s="2" t="s">
        <v>10</v>
      </c>
      <c r="E3408" s="2" t="s">
        <v>11</v>
      </c>
      <c r="F3408" s="2" t="s">
        <v>50</v>
      </c>
      <c r="G3408" s="2" t="s">
        <v>72</v>
      </c>
      <c r="H3408" s="2" t="s">
        <v>803</v>
      </c>
      <c r="I3408" s="2" t="s">
        <v>2866</v>
      </c>
    </row>
    <row r="3409" spans="1:9" ht="14.5" x14ac:dyDescent="0.35">
      <c r="A3409" s="2">
        <v>2555406</v>
      </c>
      <c r="B3409" s="2" t="str">
        <f>"3174051211640007"</f>
        <v>3174051211640007</v>
      </c>
      <c r="C3409" s="2" t="s">
        <v>4023</v>
      </c>
      <c r="D3409" s="2" t="s">
        <v>17</v>
      </c>
      <c r="E3409" s="2" t="s">
        <v>11</v>
      </c>
      <c r="F3409" s="2" t="s">
        <v>18</v>
      </c>
      <c r="G3409" s="2" t="s">
        <v>19</v>
      </c>
      <c r="H3409" s="2" t="s">
        <v>3354</v>
      </c>
      <c r="I3409" s="2" t="s">
        <v>4014</v>
      </c>
    </row>
    <row r="3410" spans="1:9" ht="14.5" x14ac:dyDescent="0.35">
      <c r="A3410" s="2">
        <v>2337056</v>
      </c>
      <c r="B3410" s="2" t="str">
        <f>"3216020806820018"</f>
        <v>3216020806820018</v>
      </c>
      <c r="C3410" s="2" t="s">
        <v>4024</v>
      </c>
      <c r="D3410" s="2" t="s">
        <v>10</v>
      </c>
      <c r="E3410" s="2" t="s">
        <v>11</v>
      </c>
      <c r="F3410" s="2" t="s">
        <v>91</v>
      </c>
      <c r="G3410" s="2" t="s">
        <v>92</v>
      </c>
      <c r="H3410" s="2" t="s">
        <v>93</v>
      </c>
      <c r="I3410" s="2" t="s">
        <v>4025</v>
      </c>
    </row>
    <row r="3411" spans="1:9" ht="14.5" x14ac:dyDescent="0.35">
      <c r="A3411" s="2">
        <v>2555928</v>
      </c>
      <c r="B3411" s="2" t="str">
        <f>"3216020806820018"</f>
        <v>3216020806820018</v>
      </c>
      <c r="C3411" s="2" t="s">
        <v>4024</v>
      </c>
      <c r="D3411" s="2" t="s">
        <v>17</v>
      </c>
      <c r="E3411" s="2" t="s">
        <v>11</v>
      </c>
      <c r="F3411" s="2" t="s">
        <v>18</v>
      </c>
      <c r="G3411" s="2" t="s">
        <v>19</v>
      </c>
      <c r="H3411" s="2" t="s">
        <v>3354</v>
      </c>
      <c r="I3411" s="2" t="s">
        <v>4026</v>
      </c>
    </row>
    <row r="3412" spans="1:9" ht="14.5" x14ac:dyDescent="0.35">
      <c r="A3412" s="2">
        <v>2337055</v>
      </c>
      <c r="B3412" s="2" t="str">
        <f>"3216025910840005"</f>
        <v>3216025910840005</v>
      </c>
      <c r="C3412" s="2" t="s">
        <v>4027</v>
      </c>
      <c r="D3412" s="2" t="s">
        <v>10</v>
      </c>
      <c r="E3412" s="2" t="s">
        <v>11</v>
      </c>
      <c r="F3412" s="2" t="s">
        <v>91</v>
      </c>
      <c r="G3412" s="2" t="s">
        <v>92</v>
      </c>
      <c r="H3412" s="2" t="s">
        <v>93</v>
      </c>
      <c r="I3412" s="2" t="s">
        <v>4025</v>
      </c>
    </row>
    <row r="3413" spans="1:9" ht="14.5" x14ac:dyDescent="0.35">
      <c r="A3413" s="2">
        <v>2555929</v>
      </c>
      <c r="B3413" s="2" t="str">
        <f>"3216025910840005"</f>
        <v>3216025910840005</v>
      </c>
      <c r="C3413" s="2" t="s">
        <v>4027</v>
      </c>
      <c r="D3413" s="2" t="s">
        <v>17</v>
      </c>
      <c r="E3413" s="2" t="s">
        <v>11</v>
      </c>
      <c r="F3413" s="2" t="s">
        <v>18</v>
      </c>
      <c r="G3413" s="2" t="s">
        <v>19</v>
      </c>
      <c r="H3413" s="2" t="s">
        <v>3354</v>
      </c>
      <c r="I3413" s="2" t="s">
        <v>4026</v>
      </c>
    </row>
    <row r="3414" spans="1:9" ht="14.5" x14ac:dyDescent="0.35">
      <c r="A3414" s="2">
        <v>359292</v>
      </c>
      <c r="B3414" s="2" t="str">
        <f>"3216081206710016"</f>
        <v>3216081206710016</v>
      </c>
      <c r="C3414" s="2" t="s">
        <v>4028</v>
      </c>
      <c r="D3414" s="2" t="s">
        <v>10</v>
      </c>
      <c r="E3414" s="2" t="s">
        <v>11</v>
      </c>
      <c r="F3414" s="2" t="s">
        <v>2889</v>
      </c>
      <c r="G3414" s="2" t="s">
        <v>4029</v>
      </c>
      <c r="H3414" s="2" t="s">
        <v>4030</v>
      </c>
      <c r="I3414" s="2" t="s">
        <v>4031</v>
      </c>
    </row>
    <row r="3415" spans="1:9" ht="14.5" x14ac:dyDescent="0.35">
      <c r="A3415" s="2">
        <v>2554444</v>
      </c>
      <c r="B3415" s="2" t="str">
        <f>"3216081206710016"</f>
        <v>3216081206710016</v>
      </c>
      <c r="C3415" s="2" t="s">
        <v>4028</v>
      </c>
      <c r="D3415" s="2" t="s">
        <v>17</v>
      </c>
      <c r="E3415" s="2" t="s">
        <v>11</v>
      </c>
      <c r="F3415" s="2" t="s">
        <v>18</v>
      </c>
      <c r="G3415" s="2" t="s">
        <v>19</v>
      </c>
      <c r="H3415" s="2" t="s">
        <v>3354</v>
      </c>
      <c r="I3415" s="2" t="s">
        <v>3999</v>
      </c>
    </row>
    <row r="3416" spans="1:9" ht="14.5" x14ac:dyDescent="0.35">
      <c r="A3416" s="2">
        <v>1544437</v>
      </c>
      <c r="B3416" s="2" t="str">
        <f>"3216094206690006"</f>
        <v>3216094206690006</v>
      </c>
      <c r="C3416" s="2" t="s">
        <v>4032</v>
      </c>
      <c r="D3416" s="2" t="s">
        <v>10</v>
      </c>
      <c r="E3416" s="2" t="s">
        <v>11</v>
      </c>
      <c r="F3416" s="2" t="s">
        <v>91</v>
      </c>
      <c r="G3416" s="2" t="s">
        <v>92</v>
      </c>
      <c r="H3416" s="2" t="s">
        <v>128</v>
      </c>
      <c r="I3416" s="2" t="s">
        <v>2066</v>
      </c>
    </row>
    <row r="3417" spans="1:9" ht="14.5" x14ac:dyDescent="0.35">
      <c r="A3417" s="2">
        <v>2555265</v>
      </c>
      <c r="B3417" s="2" t="str">
        <f>"3216094206690006"</f>
        <v>3216094206690006</v>
      </c>
      <c r="C3417" s="2" t="s">
        <v>4033</v>
      </c>
      <c r="D3417" s="2" t="s">
        <v>17</v>
      </c>
      <c r="E3417" s="2" t="s">
        <v>11</v>
      </c>
      <c r="F3417" s="2" t="s">
        <v>18</v>
      </c>
      <c r="G3417" s="2" t="s">
        <v>19</v>
      </c>
      <c r="H3417" s="2" t="s">
        <v>3354</v>
      </c>
      <c r="I3417" s="2" t="s">
        <v>4014</v>
      </c>
    </row>
    <row r="3418" spans="1:9" ht="14.5" x14ac:dyDescent="0.35">
      <c r="A3418" s="2">
        <v>2137738</v>
      </c>
      <c r="B3418" s="2" t="str">
        <f>"3216221112930004"</f>
        <v>3216221112930004</v>
      </c>
      <c r="C3418" s="2" t="s">
        <v>4034</v>
      </c>
      <c r="D3418" s="2" t="s">
        <v>10</v>
      </c>
      <c r="E3418" s="2" t="s">
        <v>11</v>
      </c>
      <c r="F3418" s="2" t="s">
        <v>91</v>
      </c>
      <c r="G3418" s="2" t="s">
        <v>92</v>
      </c>
      <c r="H3418" s="2" t="s">
        <v>4035</v>
      </c>
      <c r="I3418" s="2" t="s">
        <v>4036</v>
      </c>
    </row>
    <row r="3419" spans="1:9" ht="14.5" x14ac:dyDescent="0.35">
      <c r="A3419" s="2">
        <v>2553766</v>
      </c>
      <c r="B3419" s="2" t="str">
        <f>"3216221112930004"</f>
        <v>3216221112930004</v>
      </c>
      <c r="C3419" s="2" t="s">
        <v>4034</v>
      </c>
      <c r="D3419" s="2" t="s">
        <v>17</v>
      </c>
      <c r="E3419" s="2" t="s">
        <v>11</v>
      </c>
      <c r="F3419" s="2" t="s">
        <v>18</v>
      </c>
      <c r="G3419" s="2" t="s">
        <v>19</v>
      </c>
      <c r="H3419" s="2" t="s">
        <v>3354</v>
      </c>
      <c r="I3419" s="2" t="s">
        <v>4022</v>
      </c>
    </row>
    <row r="3420" spans="1:9" ht="14.5" x14ac:dyDescent="0.35">
      <c r="A3420" s="2">
        <v>683371</v>
      </c>
      <c r="B3420" s="2" t="str">
        <f>"3217070606650019"</f>
        <v>3217070606650019</v>
      </c>
      <c r="C3420" s="2" t="s">
        <v>4037</v>
      </c>
      <c r="D3420" s="2" t="s">
        <v>10</v>
      </c>
      <c r="E3420" s="2" t="s">
        <v>11</v>
      </c>
      <c r="F3420" s="2" t="s">
        <v>91</v>
      </c>
      <c r="G3420" s="2" t="s">
        <v>137</v>
      </c>
      <c r="H3420" s="2" t="s">
        <v>4038</v>
      </c>
      <c r="I3420" s="2" t="s">
        <v>4039</v>
      </c>
    </row>
    <row r="3421" spans="1:9" ht="14.5" x14ac:dyDescent="0.35">
      <c r="A3421" s="2">
        <v>2554098</v>
      </c>
      <c r="B3421" s="2" t="str">
        <f>"3217070606650019"</f>
        <v>3217070606650019</v>
      </c>
      <c r="C3421" s="2" t="s">
        <v>4037</v>
      </c>
      <c r="D3421" s="2" t="s">
        <v>17</v>
      </c>
      <c r="E3421" s="2" t="s">
        <v>11</v>
      </c>
      <c r="F3421" s="2" t="s">
        <v>18</v>
      </c>
      <c r="G3421" s="2" t="s">
        <v>19</v>
      </c>
      <c r="H3421" s="2" t="s">
        <v>3354</v>
      </c>
      <c r="I3421" s="2" t="s">
        <v>4040</v>
      </c>
    </row>
    <row r="3422" spans="1:9" ht="14.5" x14ac:dyDescent="0.35">
      <c r="A3422" s="2">
        <v>1948262</v>
      </c>
      <c r="B3422" s="2" t="str">
        <f>"3273151006600005"</f>
        <v>3273151006600005</v>
      </c>
      <c r="C3422" s="2" t="s">
        <v>4041</v>
      </c>
      <c r="D3422" s="2" t="s">
        <v>10</v>
      </c>
      <c r="E3422" s="2" t="s">
        <v>11</v>
      </c>
      <c r="F3422" s="2" t="s">
        <v>91</v>
      </c>
      <c r="G3422" s="2" t="s">
        <v>149</v>
      </c>
      <c r="H3422" s="2" t="s">
        <v>4042</v>
      </c>
      <c r="I3422" s="2" t="s">
        <v>4043</v>
      </c>
    </row>
    <row r="3423" spans="1:9" ht="14.5" x14ac:dyDescent="0.35">
      <c r="A3423" s="2">
        <v>2555628</v>
      </c>
      <c r="B3423" s="2" t="str">
        <f>"3273151006600005"</f>
        <v>3273151006600005</v>
      </c>
      <c r="C3423" s="2" t="s">
        <v>4044</v>
      </c>
      <c r="D3423" s="2" t="s">
        <v>17</v>
      </c>
      <c r="E3423" s="2" t="s">
        <v>11</v>
      </c>
      <c r="F3423" s="2" t="s">
        <v>18</v>
      </c>
      <c r="G3423" s="2" t="s">
        <v>19</v>
      </c>
      <c r="H3423" s="2" t="s">
        <v>3354</v>
      </c>
      <c r="I3423" s="2" t="s">
        <v>613</v>
      </c>
    </row>
    <row r="3424" spans="1:9" ht="14.5" x14ac:dyDescent="0.35">
      <c r="A3424" s="2">
        <v>1435645</v>
      </c>
      <c r="B3424" s="2" t="str">
        <f>"3275041902780013"</f>
        <v>3275041902780013</v>
      </c>
      <c r="C3424" s="2" t="s">
        <v>4045</v>
      </c>
      <c r="D3424" s="2" t="s">
        <v>10</v>
      </c>
      <c r="E3424" s="2" t="s">
        <v>11</v>
      </c>
      <c r="F3424" s="2" t="s">
        <v>91</v>
      </c>
      <c r="G3424" s="2" t="s">
        <v>159</v>
      </c>
      <c r="H3424" s="2" t="s">
        <v>2614</v>
      </c>
      <c r="I3424" s="2" t="s">
        <v>2614</v>
      </c>
    </row>
    <row r="3425" spans="1:9" ht="14.5" x14ac:dyDescent="0.35">
      <c r="A3425" s="2">
        <v>2553881</v>
      </c>
      <c r="B3425" s="2" t="str">
        <f>"3275041902780013"</f>
        <v>3275041902780013</v>
      </c>
      <c r="C3425" s="2" t="s">
        <v>4046</v>
      </c>
      <c r="D3425" s="2" t="s">
        <v>17</v>
      </c>
      <c r="E3425" s="2" t="s">
        <v>11</v>
      </c>
      <c r="F3425" s="2" t="s">
        <v>18</v>
      </c>
      <c r="G3425" s="2" t="s">
        <v>19</v>
      </c>
      <c r="H3425" s="2" t="s">
        <v>3354</v>
      </c>
      <c r="I3425" s="2" t="s">
        <v>4022</v>
      </c>
    </row>
    <row r="3426" spans="1:9" ht="14.5" x14ac:dyDescent="0.35">
      <c r="A3426" s="2">
        <v>544937</v>
      </c>
      <c r="B3426" s="2" t="str">
        <f>"3276101104730005"</f>
        <v>3276101104730005</v>
      </c>
      <c r="C3426" s="2" t="s">
        <v>4047</v>
      </c>
      <c r="D3426" s="2" t="s">
        <v>10</v>
      </c>
      <c r="E3426" s="2" t="s">
        <v>11</v>
      </c>
      <c r="F3426" s="2" t="s">
        <v>91</v>
      </c>
      <c r="G3426" s="2" t="s">
        <v>903</v>
      </c>
      <c r="H3426" s="2" t="s">
        <v>938</v>
      </c>
      <c r="I3426" s="2" t="s">
        <v>4048</v>
      </c>
    </row>
    <row r="3427" spans="1:9" ht="14.5" x14ac:dyDescent="0.35">
      <c r="A3427" s="2">
        <v>2555734</v>
      </c>
      <c r="B3427" s="2" t="str">
        <f>"3276101104730005"</f>
        <v>3276101104730005</v>
      </c>
      <c r="C3427" s="2" t="s">
        <v>4047</v>
      </c>
      <c r="D3427" s="2" t="s">
        <v>17</v>
      </c>
      <c r="E3427" s="2" t="s">
        <v>11</v>
      </c>
      <c r="F3427" s="2" t="s">
        <v>18</v>
      </c>
      <c r="G3427" s="2" t="s">
        <v>19</v>
      </c>
      <c r="H3427" s="2" t="s">
        <v>3354</v>
      </c>
      <c r="I3427" s="2" t="s">
        <v>4049</v>
      </c>
    </row>
    <row r="3428" spans="1:9" ht="14.5" x14ac:dyDescent="0.35">
      <c r="A3428" s="2">
        <v>544940</v>
      </c>
      <c r="B3428" s="2" t="str">
        <f>"3276101208960002"</f>
        <v>3276101208960002</v>
      </c>
      <c r="C3428" s="2" t="s">
        <v>4050</v>
      </c>
      <c r="D3428" s="2" t="s">
        <v>10</v>
      </c>
      <c r="E3428" s="2" t="s">
        <v>11</v>
      </c>
      <c r="F3428" s="2" t="s">
        <v>91</v>
      </c>
      <c r="G3428" s="2" t="s">
        <v>903</v>
      </c>
      <c r="H3428" s="2" t="s">
        <v>938</v>
      </c>
      <c r="I3428" s="2" t="s">
        <v>4048</v>
      </c>
    </row>
    <row r="3429" spans="1:9" ht="14.5" x14ac:dyDescent="0.35">
      <c r="A3429" s="2">
        <v>2555736</v>
      </c>
      <c r="B3429" s="2" t="str">
        <f>"3276101208960002"</f>
        <v>3276101208960002</v>
      </c>
      <c r="C3429" s="2" t="s">
        <v>4050</v>
      </c>
      <c r="D3429" s="2" t="s">
        <v>17</v>
      </c>
      <c r="E3429" s="2" t="s">
        <v>11</v>
      </c>
      <c r="F3429" s="2" t="s">
        <v>18</v>
      </c>
      <c r="G3429" s="2" t="s">
        <v>19</v>
      </c>
      <c r="H3429" s="2" t="s">
        <v>3354</v>
      </c>
      <c r="I3429" s="2" t="s">
        <v>4049</v>
      </c>
    </row>
    <row r="3430" spans="1:9" ht="14.5" x14ac:dyDescent="0.35">
      <c r="A3430" s="2">
        <v>544938</v>
      </c>
      <c r="B3430" s="2" t="str">
        <f>"3276102311020004"</f>
        <v>3276102311020004</v>
      </c>
      <c r="C3430" s="2" t="s">
        <v>4051</v>
      </c>
      <c r="D3430" s="2" t="s">
        <v>10</v>
      </c>
      <c r="E3430" s="2" t="s">
        <v>11</v>
      </c>
      <c r="F3430" s="2" t="s">
        <v>91</v>
      </c>
      <c r="G3430" s="2" t="s">
        <v>903</v>
      </c>
      <c r="H3430" s="2" t="s">
        <v>938</v>
      </c>
      <c r="I3430" s="2" t="s">
        <v>4048</v>
      </c>
    </row>
    <row r="3431" spans="1:9" ht="14.5" x14ac:dyDescent="0.35">
      <c r="A3431" s="2">
        <v>2555737</v>
      </c>
      <c r="B3431" s="2" t="str">
        <f>"3276102311020004"</f>
        <v>3276102311020004</v>
      </c>
      <c r="C3431" s="2" t="s">
        <v>4051</v>
      </c>
      <c r="D3431" s="2" t="s">
        <v>17</v>
      </c>
      <c r="E3431" s="2" t="s">
        <v>11</v>
      </c>
      <c r="F3431" s="2" t="s">
        <v>18</v>
      </c>
      <c r="G3431" s="2" t="s">
        <v>19</v>
      </c>
      <c r="H3431" s="2" t="s">
        <v>3354</v>
      </c>
      <c r="I3431" s="2" t="s">
        <v>4049</v>
      </c>
    </row>
    <row r="3432" spans="1:9" ht="14.5" x14ac:dyDescent="0.35">
      <c r="A3432" s="2">
        <v>544939</v>
      </c>
      <c r="B3432" s="2" t="str">
        <f>"3276106209670001"</f>
        <v>3276106209670001</v>
      </c>
      <c r="C3432" s="2" t="s">
        <v>4052</v>
      </c>
      <c r="D3432" s="2" t="s">
        <v>10</v>
      </c>
      <c r="E3432" s="2" t="s">
        <v>11</v>
      </c>
      <c r="F3432" s="2" t="s">
        <v>91</v>
      </c>
      <c r="G3432" s="2" t="s">
        <v>903</v>
      </c>
      <c r="H3432" s="2" t="s">
        <v>938</v>
      </c>
      <c r="I3432" s="2" t="s">
        <v>4048</v>
      </c>
    </row>
    <row r="3433" spans="1:9" ht="14.5" x14ac:dyDescent="0.35">
      <c r="A3433" s="2">
        <v>2555735</v>
      </c>
      <c r="B3433" s="2" t="str">
        <f>"3276106209670001"</f>
        <v>3276106209670001</v>
      </c>
      <c r="C3433" s="2" t="s">
        <v>4052</v>
      </c>
      <c r="D3433" s="2" t="s">
        <v>17</v>
      </c>
      <c r="E3433" s="2" t="s">
        <v>11</v>
      </c>
      <c r="F3433" s="2" t="s">
        <v>18</v>
      </c>
      <c r="G3433" s="2" t="s">
        <v>19</v>
      </c>
      <c r="H3433" s="2" t="s">
        <v>3354</v>
      </c>
      <c r="I3433" s="2" t="s">
        <v>4049</v>
      </c>
    </row>
    <row r="3434" spans="1:9" ht="14.5" x14ac:dyDescent="0.35">
      <c r="A3434" s="2">
        <v>991204</v>
      </c>
      <c r="B3434" s="2" t="str">
        <f>"3303087008860002"</f>
        <v>3303087008860002</v>
      </c>
      <c r="C3434" s="2" t="s">
        <v>4053</v>
      </c>
      <c r="D3434" s="2" t="s">
        <v>10</v>
      </c>
      <c r="E3434" s="2" t="s">
        <v>11</v>
      </c>
      <c r="F3434" s="2" t="s">
        <v>18</v>
      </c>
      <c r="G3434" s="2" t="s">
        <v>1349</v>
      </c>
      <c r="H3434" s="2" t="s">
        <v>1350</v>
      </c>
      <c r="I3434" s="2" t="s">
        <v>4054</v>
      </c>
    </row>
    <row r="3435" spans="1:9" ht="14.5" x14ac:dyDescent="0.35">
      <c r="A3435" s="2">
        <v>2554913</v>
      </c>
      <c r="B3435" s="2" t="str">
        <f>"3303087008860002"</f>
        <v>3303087008860002</v>
      </c>
      <c r="C3435" s="2" t="s">
        <v>4055</v>
      </c>
      <c r="D3435" s="2" t="s">
        <v>17</v>
      </c>
      <c r="E3435" s="2" t="s">
        <v>11</v>
      </c>
      <c r="F3435" s="2" t="s">
        <v>18</v>
      </c>
      <c r="G3435" s="2" t="s">
        <v>19</v>
      </c>
      <c r="H3435" s="2" t="s">
        <v>3354</v>
      </c>
      <c r="I3435" s="2" t="s">
        <v>1309</v>
      </c>
    </row>
    <row r="3436" spans="1:9" ht="14.5" x14ac:dyDescent="0.35">
      <c r="A3436" s="2">
        <v>2555990</v>
      </c>
      <c r="B3436" s="2" t="str">
        <f>"3307130107980008"</f>
        <v>3307130107980008</v>
      </c>
      <c r="C3436" s="2" t="s">
        <v>4056</v>
      </c>
      <c r="D3436" s="2" t="s">
        <v>17</v>
      </c>
      <c r="E3436" s="2" t="s">
        <v>11</v>
      </c>
      <c r="F3436" s="2" t="s">
        <v>18</v>
      </c>
      <c r="G3436" s="2" t="s">
        <v>19</v>
      </c>
      <c r="H3436" s="2" t="s">
        <v>3354</v>
      </c>
      <c r="I3436" s="2" t="s">
        <v>4057</v>
      </c>
    </row>
    <row r="3437" spans="1:9" ht="14.5" x14ac:dyDescent="0.35">
      <c r="A3437" s="2">
        <v>730943</v>
      </c>
      <c r="B3437" s="2" t="str">
        <f>"3307130107980008"</f>
        <v>3307130107980008</v>
      </c>
      <c r="C3437" s="2" t="s">
        <v>4058</v>
      </c>
      <c r="D3437" s="2" t="s">
        <v>17</v>
      </c>
      <c r="E3437" s="2" t="s">
        <v>11</v>
      </c>
      <c r="F3437" s="2" t="s">
        <v>18</v>
      </c>
      <c r="G3437" s="2" t="s">
        <v>392</v>
      </c>
      <c r="H3437" s="2" t="s">
        <v>4059</v>
      </c>
      <c r="I3437" s="2" t="s">
        <v>4060</v>
      </c>
    </row>
    <row r="3438" spans="1:9" ht="14.5" x14ac:dyDescent="0.35">
      <c r="A3438" s="2">
        <v>2363379</v>
      </c>
      <c r="B3438" s="2" t="str">
        <f>"3325035010870003"</f>
        <v>3325035010870003</v>
      </c>
      <c r="C3438" s="2" t="s">
        <v>4061</v>
      </c>
      <c r="D3438" s="2" t="s">
        <v>10</v>
      </c>
      <c r="E3438" s="2" t="s">
        <v>11</v>
      </c>
      <c r="F3438" s="2" t="s">
        <v>18</v>
      </c>
      <c r="G3438" s="2" t="s">
        <v>19</v>
      </c>
      <c r="H3438" s="2" t="s">
        <v>3354</v>
      </c>
      <c r="I3438" s="2" t="s">
        <v>1309</v>
      </c>
    </row>
    <row r="3439" spans="1:9" ht="14.5" x14ac:dyDescent="0.35">
      <c r="A3439" s="2">
        <v>645202</v>
      </c>
      <c r="B3439" s="2" t="str">
        <f>"3325035010870003"</f>
        <v>3325035010870003</v>
      </c>
      <c r="C3439" s="2" t="s">
        <v>4062</v>
      </c>
      <c r="D3439" s="2" t="s">
        <v>17</v>
      </c>
      <c r="E3439" s="2" t="s">
        <v>11</v>
      </c>
      <c r="F3439" s="2" t="s">
        <v>18</v>
      </c>
      <c r="G3439" s="2" t="s">
        <v>190</v>
      </c>
      <c r="H3439" s="2" t="s">
        <v>4063</v>
      </c>
      <c r="I3439" s="2" t="s">
        <v>4064</v>
      </c>
    </row>
    <row r="3440" spans="1:9" ht="14.5" x14ac:dyDescent="0.35">
      <c r="A3440" s="2">
        <v>380796</v>
      </c>
      <c r="B3440" s="2" t="str">
        <f>"3325131404890003"</f>
        <v>3325131404890003</v>
      </c>
      <c r="C3440" s="2" t="s">
        <v>4065</v>
      </c>
      <c r="D3440" s="2" t="s">
        <v>10</v>
      </c>
      <c r="E3440" s="2" t="s">
        <v>11</v>
      </c>
      <c r="F3440" s="2" t="s">
        <v>18</v>
      </c>
      <c r="G3440" s="2" t="s">
        <v>190</v>
      </c>
      <c r="H3440" s="2" t="s">
        <v>3801</v>
      </c>
      <c r="I3440" s="2" t="s">
        <v>4066</v>
      </c>
    </row>
    <row r="3441" spans="1:9" ht="14.5" x14ac:dyDescent="0.35">
      <c r="A3441" s="2">
        <v>2554631</v>
      </c>
      <c r="B3441" s="2" t="str">
        <f>"3325131404890003"</f>
        <v>3325131404890003</v>
      </c>
      <c r="C3441" s="2" t="s">
        <v>4067</v>
      </c>
      <c r="D3441" s="2" t="s">
        <v>17</v>
      </c>
      <c r="E3441" s="2" t="s">
        <v>11</v>
      </c>
      <c r="F3441" s="2" t="s">
        <v>18</v>
      </c>
      <c r="G3441" s="2" t="s">
        <v>19</v>
      </c>
      <c r="H3441" s="2" t="s">
        <v>3354</v>
      </c>
      <c r="I3441" s="2" t="s">
        <v>4003</v>
      </c>
    </row>
    <row r="3442" spans="1:9" ht="14.5" x14ac:dyDescent="0.35">
      <c r="A3442" s="2">
        <v>2201778</v>
      </c>
      <c r="B3442" s="2" t="str">
        <f>"3326120708790001"</f>
        <v>3326120708790001</v>
      </c>
      <c r="C3442" s="2" t="s">
        <v>4068</v>
      </c>
      <c r="D3442" s="2" t="s">
        <v>10</v>
      </c>
      <c r="E3442" s="2" t="s">
        <v>11</v>
      </c>
      <c r="F3442" s="2" t="s">
        <v>18</v>
      </c>
      <c r="G3442" s="2" t="s">
        <v>19</v>
      </c>
      <c r="H3442" s="2" t="s">
        <v>3354</v>
      </c>
      <c r="I3442" s="2" t="s">
        <v>1954</v>
      </c>
    </row>
    <row r="3443" spans="1:9" ht="14.5" x14ac:dyDescent="0.35">
      <c r="A3443" s="2">
        <v>1566264</v>
      </c>
      <c r="B3443" s="2" t="str">
        <f>"3326120708790001"</f>
        <v>3326120708790001</v>
      </c>
      <c r="C3443" s="2" t="s">
        <v>4068</v>
      </c>
      <c r="D3443" s="2" t="s">
        <v>17</v>
      </c>
      <c r="E3443" s="2" t="s">
        <v>11</v>
      </c>
      <c r="F3443" s="2" t="s">
        <v>18</v>
      </c>
      <c r="G3443" s="2" t="s">
        <v>195</v>
      </c>
      <c r="H3443" s="2" t="s">
        <v>2604</v>
      </c>
      <c r="I3443" s="2" t="s">
        <v>4069</v>
      </c>
    </row>
    <row r="3444" spans="1:9" ht="14.5" x14ac:dyDescent="0.35">
      <c r="A3444" s="2">
        <v>2201779</v>
      </c>
      <c r="B3444" s="2" t="str">
        <f>"3327015712870001"</f>
        <v>3327015712870001</v>
      </c>
      <c r="C3444" s="2" t="s">
        <v>4070</v>
      </c>
      <c r="D3444" s="2" t="s">
        <v>10</v>
      </c>
      <c r="E3444" s="2" t="s">
        <v>11</v>
      </c>
      <c r="F3444" s="2" t="s">
        <v>18</v>
      </c>
      <c r="G3444" s="2" t="s">
        <v>19</v>
      </c>
      <c r="H3444" s="2" t="s">
        <v>3354</v>
      </c>
      <c r="I3444" s="2" t="s">
        <v>1954</v>
      </c>
    </row>
    <row r="3445" spans="1:9" ht="14.5" x14ac:dyDescent="0.35">
      <c r="A3445" s="2">
        <v>1566270</v>
      </c>
      <c r="B3445" s="2" t="str">
        <f>"3327015712870001"</f>
        <v>3327015712870001</v>
      </c>
      <c r="C3445" s="2" t="s">
        <v>4070</v>
      </c>
      <c r="D3445" s="2" t="s">
        <v>17</v>
      </c>
      <c r="E3445" s="2" t="s">
        <v>11</v>
      </c>
      <c r="F3445" s="2" t="s">
        <v>18</v>
      </c>
      <c r="G3445" s="2" t="s">
        <v>195</v>
      </c>
      <c r="H3445" s="2" t="s">
        <v>2604</v>
      </c>
      <c r="I3445" s="2" t="s">
        <v>4069</v>
      </c>
    </row>
    <row r="3446" spans="1:9" ht="14.5" x14ac:dyDescent="0.35">
      <c r="A3446" s="2">
        <v>2279149</v>
      </c>
      <c r="B3446" s="2" t="str">
        <f>"3327022506960001"</f>
        <v>3327022506960001</v>
      </c>
      <c r="C3446" s="2" t="s">
        <v>2920</v>
      </c>
      <c r="D3446" s="2" t="s">
        <v>10</v>
      </c>
      <c r="E3446" s="2" t="s">
        <v>11</v>
      </c>
      <c r="F3446" s="2" t="s">
        <v>18</v>
      </c>
      <c r="G3446" s="2" t="s">
        <v>19</v>
      </c>
      <c r="H3446" s="2" t="s">
        <v>3354</v>
      </c>
      <c r="I3446" s="2" t="s">
        <v>4040</v>
      </c>
    </row>
    <row r="3447" spans="1:9" ht="14.5" x14ac:dyDescent="0.35">
      <c r="A3447" s="2">
        <v>2642828</v>
      </c>
      <c r="B3447" s="2" t="str">
        <f>"3327022506960001"</f>
        <v>3327022506960001</v>
      </c>
      <c r="C3447" s="2" t="s">
        <v>2920</v>
      </c>
      <c r="D3447" s="2" t="s">
        <v>17</v>
      </c>
      <c r="E3447" s="2" t="s">
        <v>11</v>
      </c>
      <c r="F3447" s="2" t="s">
        <v>18</v>
      </c>
      <c r="G3447" s="2" t="s">
        <v>199</v>
      </c>
      <c r="H3447" s="2" t="s">
        <v>595</v>
      </c>
      <c r="I3447" s="2" t="s">
        <v>4071</v>
      </c>
    </row>
    <row r="3448" spans="1:9" ht="14.5" x14ac:dyDescent="0.35">
      <c r="A3448" s="2">
        <v>2638935</v>
      </c>
      <c r="B3448" s="2" t="str">
        <f>"3327065506730009"</f>
        <v>3327065506730009</v>
      </c>
      <c r="C3448" s="2" t="s">
        <v>4072</v>
      </c>
      <c r="D3448" s="2" t="s">
        <v>17</v>
      </c>
      <c r="E3448" s="2" t="s">
        <v>11</v>
      </c>
      <c r="F3448" s="2" t="s">
        <v>18</v>
      </c>
      <c r="G3448" s="2" t="s">
        <v>199</v>
      </c>
      <c r="H3448" s="2" t="s">
        <v>1860</v>
      </c>
      <c r="I3448" s="2" t="s">
        <v>1860</v>
      </c>
    </row>
    <row r="3449" spans="1:9" ht="14.5" x14ac:dyDescent="0.35">
      <c r="A3449" s="2">
        <v>2570532</v>
      </c>
      <c r="B3449" s="2" t="str">
        <f>"3327065506730009"</f>
        <v>3327065506730009</v>
      </c>
      <c r="C3449" s="2" t="s">
        <v>4072</v>
      </c>
      <c r="D3449" s="2" t="s">
        <v>17</v>
      </c>
      <c r="E3449" s="2" t="s">
        <v>11</v>
      </c>
      <c r="F3449" s="2" t="s">
        <v>18</v>
      </c>
      <c r="G3449" s="2" t="s">
        <v>19</v>
      </c>
      <c r="H3449" s="2" t="s">
        <v>3354</v>
      </c>
      <c r="I3449" s="2" t="s">
        <v>613</v>
      </c>
    </row>
    <row r="3450" spans="1:9" ht="14.5" x14ac:dyDescent="0.35">
      <c r="A3450" s="2">
        <v>2003695</v>
      </c>
      <c r="B3450" s="2" t="str">
        <f>"3327104612950001"</f>
        <v>3327104612950001</v>
      </c>
      <c r="C3450" s="2" t="s">
        <v>4073</v>
      </c>
      <c r="D3450" s="2" t="s">
        <v>10</v>
      </c>
      <c r="E3450" s="2" t="s">
        <v>11</v>
      </c>
      <c r="F3450" s="2" t="s">
        <v>18</v>
      </c>
      <c r="G3450" s="2" t="s">
        <v>199</v>
      </c>
      <c r="H3450" s="2" t="s">
        <v>200</v>
      </c>
      <c r="I3450" s="2" t="s">
        <v>4074</v>
      </c>
    </row>
    <row r="3451" spans="1:9" ht="14.5" x14ac:dyDescent="0.35">
      <c r="A3451" s="2">
        <v>2554044</v>
      </c>
      <c r="B3451" s="2" t="str">
        <f>"3327104612950001"</f>
        <v>3327104612950001</v>
      </c>
      <c r="C3451" s="2" t="s">
        <v>4075</v>
      </c>
      <c r="D3451" s="2" t="s">
        <v>17</v>
      </c>
      <c r="E3451" s="2" t="s">
        <v>11</v>
      </c>
      <c r="F3451" s="2" t="s">
        <v>18</v>
      </c>
      <c r="G3451" s="2" t="s">
        <v>19</v>
      </c>
      <c r="H3451" s="2" t="s">
        <v>3354</v>
      </c>
      <c r="I3451" s="2" t="s">
        <v>4076</v>
      </c>
    </row>
    <row r="3452" spans="1:9" ht="14.5" x14ac:dyDescent="0.35">
      <c r="A3452" s="2">
        <v>2553846</v>
      </c>
      <c r="B3452" s="2" t="str">
        <f>"3328095109980001"</f>
        <v>3328095109980001</v>
      </c>
      <c r="C3452" s="2" t="s">
        <v>4077</v>
      </c>
      <c r="D3452" s="2" t="s">
        <v>17</v>
      </c>
      <c r="E3452" s="2" t="s">
        <v>11</v>
      </c>
      <c r="F3452" s="2" t="s">
        <v>18</v>
      </c>
      <c r="G3452" s="2" t="s">
        <v>19</v>
      </c>
      <c r="H3452" s="2" t="s">
        <v>3354</v>
      </c>
      <c r="I3452" s="2" t="s">
        <v>4022</v>
      </c>
    </row>
    <row r="3453" spans="1:9" ht="14.5" x14ac:dyDescent="0.35">
      <c r="A3453" s="2">
        <v>1620218</v>
      </c>
      <c r="B3453" s="2" t="str">
        <f>"3328095109980001"</f>
        <v>3328095109980001</v>
      </c>
      <c r="C3453" s="2" t="s">
        <v>4078</v>
      </c>
      <c r="D3453" s="2" t="s">
        <v>17</v>
      </c>
      <c r="E3453" s="2" t="s">
        <v>11</v>
      </c>
      <c r="F3453" s="2" t="s">
        <v>18</v>
      </c>
      <c r="G3453" s="2" t="s">
        <v>264</v>
      </c>
      <c r="H3453" s="2" t="s">
        <v>773</v>
      </c>
      <c r="I3453" s="2" t="s">
        <v>4079</v>
      </c>
    </row>
    <row r="3454" spans="1:9" ht="14.5" x14ac:dyDescent="0.35">
      <c r="A3454" s="2">
        <v>2200785</v>
      </c>
      <c r="B3454" s="2" t="str">
        <f>"3328113011040005"</f>
        <v>3328113011040005</v>
      </c>
      <c r="C3454" s="2" t="s">
        <v>4080</v>
      </c>
      <c r="D3454" s="2" t="s">
        <v>10</v>
      </c>
      <c r="E3454" s="2" t="s">
        <v>11</v>
      </c>
      <c r="F3454" s="2" t="s">
        <v>18</v>
      </c>
      <c r="G3454" s="2" t="s">
        <v>19</v>
      </c>
      <c r="H3454" s="2" t="s">
        <v>3354</v>
      </c>
      <c r="I3454" s="2" t="s">
        <v>1954</v>
      </c>
    </row>
    <row r="3455" spans="1:9" ht="14.5" x14ac:dyDescent="0.35">
      <c r="A3455" s="2">
        <v>1350426</v>
      </c>
      <c r="B3455" s="2" t="str">
        <f>"3328113011040005"</f>
        <v>3328113011040005</v>
      </c>
      <c r="C3455" s="2" t="s">
        <v>4081</v>
      </c>
      <c r="D3455" s="2" t="s">
        <v>10</v>
      </c>
      <c r="E3455" s="2" t="s">
        <v>57</v>
      </c>
      <c r="F3455" s="2" t="s">
        <v>303</v>
      </c>
      <c r="G3455" s="2" t="s">
        <v>608</v>
      </c>
      <c r="H3455" s="2" t="s">
        <v>609</v>
      </c>
      <c r="I3455" s="2" t="s">
        <v>610</v>
      </c>
    </row>
    <row r="3456" spans="1:9" ht="14.5" x14ac:dyDescent="0.35">
      <c r="A3456" s="2">
        <v>217801</v>
      </c>
      <c r="B3456" s="2" t="str">
        <f>"3328120107940086"</f>
        <v>3328120107940086</v>
      </c>
      <c r="C3456" s="2" t="s">
        <v>4082</v>
      </c>
      <c r="D3456" s="2" t="s">
        <v>10</v>
      </c>
      <c r="E3456" s="2" t="s">
        <v>11</v>
      </c>
      <c r="F3456" s="2" t="s">
        <v>18</v>
      </c>
      <c r="G3456" s="2" t="s">
        <v>268</v>
      </c>
      <c r="H3456" s="2" t="s">
        <v>371</v>
      </c>
      <c r="I3456" s="2" t="s">
        <v>2772</v>
      </c>
    </row>
    <row r="3457" spans="1:9" ht="14.5" x14ac:dyDescent="0.35">
      <c r="A3457" s="2">
        <v>2556022</v>
      </c>
      <c r="B3457" s="2" t="str">
        <f>"3328120107940086"</f>
        <v>3328120107940086</v>
      </c>
      <c r="C3457" s="2" t="s">
        <v>4083</v>
      </c>
      <c r="D3457" s="2" t="s">
        <v>17</v>
      </c>
      <c r="E3457" s="2" t="s">
        <v>11</v>
      </c>
      <c r="F3457" s="2" t="s">
        <v>18</v>
      </c>
      <c r="G3457" s="2" t="s">
        <v>19</v>
      </c>
      <c r="H3457" s="2" t="s">
        <v>3354</v>
      </c>
      <c r="I3457" s="2" t="s">
        <v>4057</v>
      </c>
    </row>
    <row r="3458" spans="1:9" ht="14.5" x14ac:dyDescent="0.35">
      <c r="A3458" s="2">
        <v>2335314</v>
      </c>
      <c r="B3458" s="2" t="str">
        <f>"3328120109620008"</f>
        <v>3328120109620008</v>
      </c>
      <c r="C3458" s="2" t="s">
        <v>4084</v>
      </c>
      <c r="D3458" s="2" t="s">
        <v>189</v>
      </c>
      <c r="E3458" s="2" t="s">
        <v>11</v>
      </c>
      <c r="F3458" s="2" t="s">
        <v>18</v>
      </c>
      <c r="G3458" s="2" t="s">
        <v>19</v>
      </c>
      <c r="H3458" s="2" t="s">
        <v>3354</v>
      </c>
      <c r="I3458" s="2" t="s">
        <v>4026</v>
      </c>
    </row>
    <row r="3459" spans="1:9" ht="14.5" x14ac:dyDescent="0.35">
      <c r="A3459" s="2">
        <v>2419097</v>
      </c>
      <c r="B3459" s="2" t="str">
        <f>"3328120109620008"</f>
        <v>3328120109620008</v>
      </c>
      <c r="C3459" s="2" t="s">
        <v>4085</v>
      </c>
      <c r="D3459" s="2" t="s">
        <v>10</v>
      </c>
      <c r="E3459" s="2" t="s">
        <v>57</v>
      </c>
      <c r="F3459" s="2" t="s">
        <v>50</v>
      </c>
      <c r="G3459" s="2" t="s">
        <v>58</v>
      </c>
      <c r="H3459" s="2" t="s">
        <v>59</v>
      </c>
      <c r="I3459" s="2" t="s">
        <v>60</v>
      </c>
    </row>
    <row r="3460" spans="1:9" ht="14.5" x14ac:dyDescent="0.35">
      <c r="A3460" s="2">
        <v>2237688</v>
      </c>
      <c r="B3460" s="2" t="str">
        <f>"3328120202030012"</f>
        <v>3328120202030012</v>
      </c>
      <c r="C3460" s="2" t="s">
        <v>4086</v>
      </c>
      <c r="D3460" s="2" t="s">
        <v>10</v>
      </c>
      <c r="E3460" s="2" t="s">
        <v>11</v>
      </c>
      <c r="F3460" s="2" t="s">
        <v>18</v>
      </c>
      <c r="G3460" s="2" t="s">
        <v>19</v>
      </c>
      <c r="H3460" s="2" t="s">
        <v>3354</v>
      </c>
      <c r="I3460" s="2" t="s">
        <v>613</v>
      </c>
    </row>
    <row r="3461" spans="1:9" ht="14.5" x14ac:dyDescent="0.35">
      <c r="A3461" s="2">
        <v>1350419</v>
      </c>
      <c r="B3461" s="2" t="str">
        <f>"3328120202030012"</f>
        <v>3328120202030012</v>
      </c>
      <c r="C3461" s="2" t="s">
        <v>4086</v>
      </c>
      <c r="D3461" s="2" t="s">
        <v>10</v>
      </c>
      <c r="E3461" s="2" t="s">
        <v>57</v>
      </c>
      <c r="F3461" s="2" t="s">
        <v>303</v>
      </c>
      <c r="G3461" s="2" t="s">
        <v>608</v>
      </c>
      <c r="H3461" s="2" t="s">
        <v>609</v>
      </c>
      <c r="I3461" s="2" t="s">
        <v>610</v>
      </c>
    </row>
    <row r="3462" spans="1:9" ht="14.5" x14ac:dyDescent="0.35">
      <c r="A3462" s="2">
        <v>2224516</v>
      </c>
      <c r="B3462" s="2" t="str">
        <f>"3328120211770003"</f>
        <v>3328120211770003</v>
      </c>
      <c r="C3462" s="2" t="s">
        <v>1813</v>
      </c>
      <c r="D3462" s="2" t="s">
        <v>10</v>
      </c>
      <c r="E3462" s="2" t="s">
        <v>11</v>
      </c>
      <c r="F3462" s="2" t="s">
        <v>18</v>
      </c>
      <c r="G3462" s="2" t="s">
        <v>19</v>
      </c>
      <c r="H3462" s="2" t="s">
        <v>3354</v>
      </c>
      <c r="I3462" s="2" t="s">
        <v>4003</v>
      </c>
    </row>
    <row r="3463" spans="1:9" ht="14.5" x14ac:dyDescent="0.35">
      <c r="A3463" s="2">
        <v>421318</v>
      </c>
      <c r="B3463" s="2" t="str">
        <f>"3328120211770003"</f>
        <v>3328120211770003</v>
      </c>
      <c r="C3463" s="2" t="s">
        <v>4087</v>
      </c>
      <c r="D3463" s="2" t="s">
        <v>17</v>
      </c>
      <c r="E3463" s="2" t="s">
        <v>11</v>
      </c>
      <c r="F3463" s="2" t="s">
        <v>18</v>
      </c>
      <c r="G3463" s="2" t="s">
        <v>268</v>
      </c>
      <c r="H3463" s="2" t="s">
        <v>371</v>
      </c>
      <c r="I3463" s="2" t="s">
        <v>2769</v>
      </c>
    </row>
    <row r="3464" spans="1:9" ht="14.5" x14ac:dyDescent="0.35">
      <c r="A3464" s="2">
        <v>1877083</v>
      </c>
      <c r="B3464" s="2" t="str">
        <f>"3328120307920006"</f>
        <v>3328120307920006</v>
      </c>
      <c r="C3464" s="2" t="s">
        <v>4088</v>
      </c>
      <c r="D3464" s="2" t="s">
        <v>10</v>
      </c>
      <c r="E3464" s="2" t="s">
        <v>11</v>
      </c>
      <c r="F3464" s="2" t="s">
        <v>303</v>
      </c>
      <c r="G3464" s="2" t="s">
        <v>1808</v>
      </c>
      <c r="H3464" s="2" t="s">
        <v>4089</v>
      </c>
      <c r="I3464" s="2" t="s">
        <v>4090</v>
      </c>
    </row>
    <row r="3465" spans="1:9" ht="14.5" x14ac:dyDescent="0.35">
      <c r="A3465" s="2">
        <v>2555683</v>
      </c>
      <c r="B3465" s="2" t="str">
        <f>"3328120307920006"</f>
        <v>3328120307920006</v>
      </c>
      <c r="C3465" s="2" t="s">
        <v>4088</v>
      </c>
      <c r="D3465" s="2" t="s">
        <v>17</v>
      </c>
      <c r="E3465" s="2" t="s">
        <v>11</v>
      </c>
      <c r="F3465" s="2" t="s">
        <v>18</v>
      </c>
      <c r="G3465" s="2" t="s">
        <v>19</v>
      </c>
      <c r="H3465" s="2" t="s">
        <v>3354</v>
      </c>
      <c r="I3465" s="2" t="s">
        <v>613</v>
      </c>
    </row>
    <row r="3466" spans="1:9" ht="14.5" x14ac:dyDescent="0.35">
      <c r="A3466" s="2">
        <v>2462755</v>
      </c>
      <c r="B3466" s="2" t="str">
        <f>"3328120308910002"</f>
        <v>3328120308910002</v>
      </c>
      <c r="C3466" s="2" t="s">
        <v>4091</v>
      </c>
      <c r="D3466" s="2" t="s">
        <v>10</v>
      </c>
      <c r="E3466" s="2" t="s">
        <v>11</v>
      </c>
      <c r="F3466" s="2" t="s">
        <v>18</v>
      </c>
      <c r="G3466" s="2" t="s">
        <v>19</v>
      </c>
      <c r="H3466" s="2" t="s">
        <v>3354</v>
      </c>
      <c r="I3466" s="2" t="s">
        <v>4008</v>
      </c>
    </row>
    <row r="3467" spans="1:9" ht="14.5" x14ac:dyDescent="0.35">
      <c r="A3467" s="2">
        <v>2662273</v>
      </c>
      <c r="B3467" s="2" t="str">
        <f>"3328120308910002"</f>
        <v>3328120308910002</v>
      </c>
      <c r="C3467" s="2" t="s">
        <v>4092</v>
      </c>
      <c r="D3467" s="2" t="s">
        <v>10</v>
      </c>
      <c r="E3467" s="2" t="s">
        <v>57</v>
      </c>
      <c r="F3467" s="2" t="s">
        <v>18</v>
      </c>
      <c r="G3467" s="2" t="s">
        <v>199</v>
      </c>
      <c r="H3467" s="2" t="s">
        <v>199</v>
      </c>
      <c r="I3467" s="2" t="s">
        <v>839</v>
      </c>
    </row>
    <row r="3468" spans="1:9" ht="14.5" x14ac:dyDescent="0.35">
      <c r="A3468" s="2">
        <v>2330234</v>
      </c>
      <c r="B3468" s="2" t="str">
        <f>"3328120312020015"</f>
        <v>3328120312020015</v>
      </c>
      <c r="C3468" s="2" t="s">
        <v>4093</v>
      </c>
      <c r="D3468" s="2" t="s">
        <v>10</v>
      </c>
      <c r="E3468" s="2" t="s">
        <v>11</v>
      </c>
      <c r="F3468" s="2" t="s">
        <v>18</v>
      </c>
      <c r="G3468" s="2" t="s">
        <v>19</v>
      </c>
      <c r="H3468" s="2" t="s">
        <v>3354</v>
      </c>
      <c r="I3468" s="2" t="s">
        <v>307</v>
      </c>
    </row>
    <row r="3469" spans="1:9" ht="14.5" x14ac:dyDescent="0.35">
      <c r="A3469" s="2">
        <v>1350423</v>
      </c>
      <c r="B3469" s="2" t="str">
        <f>"3328120312020015"</f>
        <v>3328120312020015</v>
      </c>
      <c r="C3469" s="2" t="s">
        <v>4093</v>
      </c>
      <c r="D3469" s="2" t="s">
        <v>10</v>
      </c>
      <c r="E3469" s="2" t="s">
        <v>57</v>
      </c>
      <c r="F3469" s="2" t="s">
        <v>303</v>
      </c>
      <c r="G3469" s="2" t="s">
        <v>608</v>
      </c>
      <c r="H3469" s="2" t="s">
        <v>609</v>
      </c>
      <c r="I3469" s="2" t="s">
        <v>610</v>
      </c>
    </row>
    <row r="3470" spans="1:9" ht="14.5" x14ac:dyDescent="0.35">
      <c r="A3470" s="2">
        <v>2227910</v>
      </c>
      <c r="B3470" s="2" t="str">
        <f>"3328120402480001"</f>
        <v>3328120402480001</v>
      </c>
      <c r="C3470" s="2" t="s">
        <v>508</v>
      </c>
      <c r="D3470" s="2" t="s">
        <v>10</v>
      </c>
      <c r="E3470" s="2" t="s">
        <v>11</v>
      </c>
      <c r="F3470" s="2" t="s">
        <v>18</v>
      </c>
      <c r="G3470" s="2" t="s">
        <v>19</v>
      </c>
      <c r="H3470" s="2" t="s">
        <v>3354</v>
      </c>
      <c r="I3470" s="2" t="s">
        <v>4049</v>
      </c>
    </row>
    <row r="3471" spans="1:9" ht="14.5" x14ac:dyDescent="0.35">
      <c r="A3471" s="2">
        <v>1377712</v>
      </c>
      <c r="B3471" s="2" t="str">
        <f>"3328120402480001"</f>
        <v>3328120402480001</v>
      </c>
      <c r="C3471" s="2" t="s">
        <v>4094</v>
      </c>
      <c r="D3471" s="2" t="s">
        <v>17</v>
      </c>
      <c r="E3471" s="2" t="s">
        <v>11</v>
      </c>
      <c r="F3471" s="2" t="s">
        <v>50</v>
      </c>
      <c r="G3471" s="2" t="s">
        <v>51</v>
      </c>
      <c r="H3471" s="2" t="s">
        <v>62</v>
      </c>
      <c r="I3471" s="2" t="s">
        <v>62</v>
      </c>
    </row>
    <row r="3472" spans="1:9" ht="14.5" x14ac:dyDescent="0.35">
      <c r="A3472" s="2">
        <v>2554026</v>
      </c>
      <c r="B3472" s="2" t="str">
        <f>"3328120407040001"</f>
        <v>3328120407040001</v>
      </c>
      <c r="C3472" s="2" t="s">
        <v>4095</v>
      </c>
      <c r="D3472" s="2" t="s">
        <v>17</v>
      </c>
      <c r="E3472" s="2" t="s">
        <v>11</v>
      </c>
      <c r="F3472" s="2" t="s">
        <v>18</v>
      </c>
      <c r="G3472" s="2" t="s">
        <v>19</v>
      </c>
      <c r="H3472" s="2" t="s">
        <v>3354</v>
      </c>
      <c r="I3472" s="2" t="s">
        <v>4076</v>
      </c>
    </row>
    <row r="3473" spans="1:9" ht="14.5" x14ac:dyDescent="0.35">
      <c r="A3473" s="2">
        <v>2084839</v>
      </c>
      <c r="B3473" s="2" t="str">
        <f>"3328120407040001"</f>
        <v>3328120407040001</v>
      </c>
      <c r="C3473" s="2" t="s">
        <v>4096</v>
      </c>
      <c r="D3473" s="2" t="s">
        <v>17</v>
      </c>
      <c r="E3473" s="2" t="s">
        <v>57</v>
      </c>
      <c r="F3473" s="2" t="s">
        <v>18</v>
      </c>
      <c r="G3473" s="2" t="s">
        <v>962</v>
      </c>
      <c r="H3473" s="2" t="s">
        <v>1046</v>
      </c>
      <c r="I3473" s="2" t="s">
        <v>1046</v>
      </c>
    </row>
    <row r="3474" spans="1:9" ht="14.5" x14ac:dyDescent="0.35">
      <c r="A3474" s="2">
        <v>2194637</v>
      </c>
      <c r="B3474" s="2" t="str">
        <f>"3328120410830002"</f>
        <v>3328120410830002</v>
      </c>
      <c r="C3474" s="2" t="s">
        <v>4097</v>
      </c>
      <c r="D3474" s="2" t="s">
        <v>10</v>
      </c>
      <c r="E3474" s="2" t="s">
        <v>11</v>
      </c>
      <c r="F3474" s="2" t="s">
        <v>18</v>
      </c>
      <c r="G3474" s="2" t="s">
        <v>19</v>
      </c>
      <c r="H3474" s="2" t="s">
        <v>3354</v>
      </c>
      <c r="I3474" s="2" t="s">
        <v>4098</v>
      </c>
    </row>
    <row r="3475" spans="1:9" ht="14.5" x14ac:dyDescent="0.35">
      <c r="A3475" s="2">
        <v>1638084</v>
      </c>
      <c r="B3475" s="2" t="str">
        <f>"3328120410830002"</f>
        <v>3328120410830002</v>
      </c>
      <c r="C3475" s="2" t="s">
        <v>4097</v>
      </c>
      <c r="D3475" s="2" t="s">
        <v>17</v>
      </c>
      <c r="E3475" s="2" t="s">
        <v>11</v>
      </c>
      <c r="F3475" s="2" t="s">
        <v>18</v>
      </c>
      <c r="G3475" s="2" t="s">
        <v>264</v>
      </c>
      <c r="H3475" s="2" t="s">
        <v>264</v>
      </c>
      <c r="I3475" s="2" t="s">
        <v>1637</v>
      </c>
    </row>
    <row r="3476" spans="1:9" ht="14.5" x14ac:dyDescent="0.35">
      <c r="A3476" s="2">
        <v>53327</v>
      </c>
      <c r="B3476" s="2" t="str">
        <f>"3328120503940003"</f>
        <v>3328120503940003</v>
      </c>
      <c r="C3476" s="2" t="s">
        <v>4099</v>
      </c>
      <c r="D3476" s="2" t="s">
        <v>10</v>
      </c>
      <c r="E3476" s="2" t="s">
        <v>11</v>
      </c>
      <c r="F3476" s="2" t="s">
        <v>1374</v>
      </c>
      <c r="G3476" s="2" t="s">
        <v>1375</v>
      </c>
      <c r="H3476" s="2" t="s">
        <v>1376</v>
      </c>
      <c r="I3476" s="2" t="s">
        <v>1377</v>
      </c>
    </row>
    <row r="3477" spans="1:9" ht="14.5" x14ac:dyDescent="0.35">
      <c r="A3477" s="2">
        <v>2556048</v>
      </c>
      <c r="B3477" s="2" t="str">
        <f>"3328120503940003"</f>
        <v>3328120503940003</v>
      </c>
      <c r="C3477" s="2" t="s">
        <v>4099</v>
      </c>
      <c r="D3477" s="2" t="s">
        <v>17</v>
      </c>
      <c r="E3477" s="2" t="s">
        <v>11</v>
      </c>
      <c r="F3477" s="2" t="s">
        <v>18</v>
      </c>
      <c r="G3477" s="2" t="s">
        <v>19</v>
      </c>
      <c r="H3477" s="2" t="s">
        <v>3354</v>
      </c>
      <c r="I3477" s="2" t="s">
        <v>4057</v>
      </c>
    </row>
    <row r="3478" spans="1:9" ht="14.5" x14ac:dyDescent="0.35">
      <c r="A3478" s="2">
        <v>315246</v>
      </c>
      <c r="B3478" s="2" t="str">
        <f>"3328120511920008"</f>
        <v>3328120511920008</v>
      </c>
      <c r="C3478" s="2" t="s">
        <v>4100</v>
      </c>
      <c r="D3478" s="2" t="s">
        <v>10</v>
      </c>
      <c r="E3478" s="2" t="s">
        <v>11</v>
      </c>
      <c r="F3478" s="2" t="s">
        <v>18</v>
      </c>
      <c r="G3478" s="2" t="s">
        <v>268</v>
      </c>
      <c r="H3478" s="2" t="s">
        <v>269</v>
      </c>
      <c r="I3478" s="2" t="s">
        <v>1662</v>
      </c>
    </row>
    <row r="3479" spans="1:9" ht="14.5" x14ac:dyDescent="0.35">
      <c r="A3479" s="2">
        <v>2554686</v>
      </c>
      <c r="B3479" s="2" t="str">
        <f>"3328120511920008"</f>
        <v>3328120511920008</v>
      </c>
      <c r="C3479" s="2" t="s">
        <v>4101</v>
      </c>
      <c r="D3479" s="2" t="s">
        <v>17</v>
      </c>
      <c r="E3479" s="2" t="s">
        <v>11</v>
      </c>
      <c r="F3479" s="2" t="s">
        <v>18</v>
      </c>
      <c r="G3479" s="2" t="s">
        <v>19</v>
      </c>
      <c r="H3479" s="2" t="s">
        <v>3354</v>
      </c>
      <c r="I3479" s="2" t="s">
        <v>4003</v>
      </c>
    </row>
    <row r="3480" spans="1:9" ht="14.5" x14ac:dyDescent="0.35">
      <c r="A3480" s="2">
        <v>179322</v>
      </c>
      <c r="B3480" s="2" t="str">
        <f>"3328120610870001"</f>
        <v>3328120610870001</v>
      </c>
      <c r="C3480" s="2" t="s">
        <v>4102</v>
      </c>
      <c r="D3480" s="2" t="s">
        <v>10</v>
      </c>
      <c r="E3480" s="2" t="s">
        <v>11</v>
      </c>
      <c r="F3480" s="2" t="s">
        <v>18</v>
      </c>
      <c r="G3480" s="2" t="s">
        <v>264</v>
      </c>
      <c r="H3480" s="2" t="s">
        <v>477</v>
      </c>
      <c r="I3480" s="2" t="s">
        <v>478</v>
      </c>
    </row>
    <row r="3481" spans="1:9" ht="14.5" x14ac:dyDescent="0.35">
      <c r="A3481" s="2">
        <v>2554917</v>
      </c>
      <c r="B3481" s="2" t="str">
        <f>"3328120610870001"</f>
        <v>3328120610870001</v>
      </c>
      <c r="C3481" s="2" t="s">
        <v>4102</v>
      </c>
      <c r="D3481" s="2" t="s">
        <v>17</v>
      </c>
      <c r="E3481" s="2" t="s">
        <v>11</v>
      </c>
      <c r="F3481" s="2" t="s">
        <v>18</v>
      </c>
      <c r="G3481" s="2" t="s">
        <v>19</v>
      </c>
      <c r="H3481" s="2" t="s">
        <v>3354</v>
      </c>
      <c r="I3481" s="2" t="s">
        <v>1309</v>
      </c>
    </row>
    <row r="3482" spans="1:9" ht="14.5" x14ac:dyDescent="0.35">
      <c r="A3482" s="2">
        <v>2330653</v>
      </c>
      <c r="B3482" s="2" t="str">
        <f>"3328120705010011"</f>
        <v>3328120705010011</v>
      </c>
      <c r="C3482" s="2" t="s">
        <v>4103</v>
      </c>
      <c r="D3482" s="2" t="s">
        <v>10</v>
      </c>
      <c r="E3482" s="2" t="s">
        <v>11</v>
      </c>
      <c r="F3482" s="2" t="s">
        <v>18</v>
      </c>
      <c r="G3482" s="2" t="s">
        <v>19</v>
      </c>
      <c r="H3482" s="2" t="s">
        <v>3354</v>
      </c>
      <c r="I3482" s="2" t="s">
        <v>307</v>
      </c>
    </row>
    <row r="3483" spans="1:9" ht="14.5" x14ac:dyDescent="0.35">
      <c r="A3483" s="2">
        <v>1350422</v>
      </c>
      <c r="B3483" s="2" t="str">
        <f>"3328120705010011"</f>
        <v>3328120705010011</v>
      </c>
      <c r="C3483" s="2" t="s">
        <v>4104</v>
      </c>
      <c r="D3483" s="2" t="s">
        <v>10</v>
      </c>
      <c r="E3483" s="2" t="s">
        <v>57</v>
      </c>
      <c r="F3483" s="2" t="s">
        <v>303</v>
      </c>
      <c r="G3483" s="2" t="s">
        <v>608</v>
      </c>
      <c r="H3483" s="2" t="s">
        <v>609</v>
      </c>
      <c r="I3483" s="2" t="s">
        <v>610</v>
      </c>
    </row>
    <row r="3484" spans="1:9" ht="14.5" x14ac:dyDescent="0.35">
      <c r="A3484" s="2">
        <v>2339169</v>
      </c>
      <c r="B3484" s="2" t="str">
        <f>"3328120705950001"</f>
        <v>3328120705950001</v>
      </c>
      <c r="C3484" s="2" t="s">
        <v>4105</v>
      </c>
      <c r="D3484" s="2" t="s">
        <v>10</v>
      </c>
      <c r="E3484" s="2" t="s">
        <v>11</v>
      </c>
      <c r="F3484" s="2" t="s">
        <v>18</v>
      </c>
      <c r="G3484" s="2" t="s">
        <v>19</v>
      </c>
      <c r="H3484" s="2" t="s">
        <v>3354</v>
      </c>
      <c r="I3484" s="2" t="s">
        <v>4026</v>
      </c>
    </row>
    <row r="3485" spans="1:9" ht="14.5" x14ac:dyDescent="0.35">
      <c r="A3485" s="2">
        <v>497526</v>
      </c>
      <c r="B3485" s="2" t="str">
        <f>"3328120705950001"</f>
        <v>3328120705950001</v>
      </c>
      <c r="C3485" s="2" t="s">
        <v>4106</v>
      </c>
      <c r="D3485" s="2" t="s">
        <v>17</v>
      </c>
      <c r="E3485" s="2" t="s">
        <v>57</v>
      </c>
      <c r="F3485" s="2" t="s">
        <v>18</v>
      </c>
      <c r="G3485" s="2" t="s">
        <v>2753</v>
      </c>
      <c r="H3485" s="2" t="s">
        <v>4107</v>
      </c>
      <c r="I3485" s="2" t="s">
        <v>4108</v>
      </c>
    </row>
    <row r="3486" spans="1:9" ht="14.5" x14ac:dyDescent="0.35">
      <c r="A3486" s="2">
        <v>501974</v>
      </c>
      <c r="B3486" s="2" t="str">
        <f>"3328120710840002"</f>
        <v>3328120710840002</v>
      </c>
      <c r="C3486" s="2" t="s">
        <v>4109</v>
      </c>
      <c r="D3486" s="2" t="s">
        <v>10</v>
      </c>
      <c r="E3486" s="2" t="s">
        <v>11</v>
      </c>
      <c r="F3486" s="2" t="s">
        <v>18</v>
      </c>
      <c r="G3486" s="2" t="s">
        <v>264</v>
      </c>
      <c r="H3486" s="2" t="s">
        <v>877</v>
      </c>
      <c r="I3486" s="2" t="s">
        <v>4110</v>
      </c>
    </row>
    <row r="3487" spans="1:9" ht="14.5" x14ac:dyDescent="0.35">
      <c r="A3487" s="2">
        <v>2555394</v>
      </c>
      <c r="B3487" s="2" t="str">
        <f>"3328120710840002"</f>
        <v>3328120710840002</v>
      </c>
      <c r="C3487" s="2" t="s">
        <v>4111</v>
      </c>
      <c r="D3487" s="2" t="s">
        <v>17</v>
      </c>
      <c r="E3487" s="2" t="s">
        <v>11</v>
      </c>
      <c r="F3487" s="2" t="s">
        <v>18</v>
      </c>
      <c r="G3487" s="2" t="s">
        <v>19</v>
      </c>
      <c r="H3487" s="2" t="s">
        <v>3354</v>
      </c>
      <c r="I3487" s="2" t="s">
        <v>4014</v>
      </c>
    </row>
    <row r="3488" spans="1:9" ht="14.5" x14ac:dyDescent="0.35">
      <c r="A3488" s="2">
        <v>2554550</v>
      </c>
      <c r="B3488" s="2" t="str">
        <f>"3328120909040002"</f>
        <v>3328120909040002</v>
      </c>
      <c r="C3488" s="2" t="s">
        <v>4112</v>
      </c>
      <c r="D3488" s="2" t="s">
        <v>17</v>
      </c>
      <c r="E3488" s="2" t="s">
        <v>11</v>
      </c>
      <c r="F3488" s="2" t="s">
        <v>18</v>
      </c>
      <c r="G3488" s="2" t="s">
        <v>19</v>
      </c>
      <c r="H3488" s="2" t="s">
        <v>3354</v>
      </c>
      <c r="I3488" s="2" t="s">
        <v>4098</v>
      </c>
    </row>
    <row r="3489" spans="1:9" ht="14.5" x14ac:dyDescent="0.35">
      <c r="A3489" s="2">
        <v>1350420</v>
      </c>
      <c r="B3489" s="2" t="str">
        <f>"3328120909040002"</f>
        <v>3328120909040002</v>
      </c>
      <c r="C3489" s="2" t="s">
        <v>4113</v>
      </c>
      <c r="D3489" s="2" t="s">
        <v>10</v>
      </c>
      <c r="E3489" s="2" t="s">
        <v>57</v>
      </c>
      <c r="F3489" s="2" t="s">
        <v>303</v>
      </c>
      <c r="G3489" s="2" t="s">
        <v>608</v>
      </c>
      <c r="H3489" s="2" t="s">
        <v>609</v>
      </c>
      <c r="I3489" s="2" t="s">
        <v>610</v>
      </c>
    </row>
    <row r="3490" spans="1:9" ht="14.5" x14ac:dyDescent="0.35">
      <c r="A3490" s="2">
        <v>421072</v>
      </c>
      <c r="B3490" s="2" t="str">
        <f>"3328121103990005"</f>
        <v>3328121103990005</v>
      </c>
      <c r="C3490" s="2" t="s">
        <v>4114</v>
      </c>
      <c r="D3490" s="2" t="s">
        <v>17</v>
      </c>
      <c r="E3490" s="2" t="s">
        <v>11</v>
      </c>
      <c r="F3490" s="2" t="s">
        <v>18</v>
      </c>
      <c r="G3490" s="2" t="s">
        <v>268</v>
      </c>
      <c r="H3490" s="2" t="s">
        <v>448</v>
      </c>
      <c r="I3490" s="2" t="s">
        <v>448</v>
      </c>
    </row>
    <row r="3491" spans="1:9" ht="14.5" x14ac:dyDescent="0.35">
      <c r="A3491" s="2">
        <v>2280142</v>
      </c>
      <c r="B3491" s="2" t="str">
        <f>"3328121103990005"</f>
        <v>3328121103990005</v>
      </c>
      <c r="C3491" s="2" t="s">
        <v>4115</v>
      </c>
      <c r="D3491" s="2" t="s">
        <v>189</v>
      </c>
      <c r="E3491" s="2" t="s">
        <v>11</v>
      </c>
      <c r="F3491" s="2" t="s">
        <v>18</v>
      </c>
      <c r="G3491" s="2" t="s">
        <v>19</v>
      </c>
      <c r="H3491" s="2" t="s">
        <v>3354</v>
      </c>
      <c r="I3491" s="2" t="s">
        <v>4040</v>
      </c>
    </row>
    <row r="3492" spans="1:9" ht="14.5" x14ac:dyDescent="0.35">
      <c r="A3492" s="2">
        <v>2612047</v>
      </c>
      <c r="B3492" s="2" t="str">
        <f>"3328121109950004"</f>
        <v>3328121109950004</v>
      </c>
      <c r="C3492" s="2" t="s">
        <v>4116</v>
      </c>
      <c r="D3492" s="2" t="s">
        <v>17</v>
      </c>
      <c r="E3492" s="2" t="s">
        <v>11</v>
      </c>
      <c r="F3492" s="2" t="s">
        <v>18</v>
      </c>
      <c r="G3492" s="2" t="s">
        <v>1438</v>
      </c>
      <c r="H3492" s="2" t="s">
        <v>2738</v>
      </c>
      <c r="I3492" s="2" t="s">
        <v>4117</v>
      </c>
    </row>
    <row r="3493" spans="1:9" ht="14.5" x14ac:dyDescent="0.35">
      <c r="A3493" s="2">
        <v>2434437</v>
      </c>
      <c r="B3493" s="2" t="str">
        <f>"3328121109950004"</f>
        <v>3328121109950004</v>
      </c>
      <c r="C3493" s="2" t="s">
        <v>4116</v>
      </c>
      <c r="D3493" s="2" t="s">
        <v>189</v>
      </c>
      <c r="E3493" s="2" t="s">
        <v>11</v>
      </c>
      <c r="F3493" s="2" t="s">
        <v>18</v>
      </c>
      <c r="G3493" s="2" t="s">
        <v>19</v>
      </c>
      <c r="H3493" s="2" t="s">
        <v>3354</v>
      </c>
      <c r="I3493" s="2" t="s">
        <v>3999</v>
      </c>
    </row>
    <row r="3494" spans="1:9" ht="14.5" x14ac:dyDescent="0.35">
      <c r="A3494" s="2">
        <v>2186363</v>
      </c>
      <c r="B3494" s="2" t="str">
        <f>"3328121110940007"</f>
        <v>3328121110940007</v>
      </c>
      <c r="C3494" s="2" t="s">
        <v>4118</v>
      </c>
      <c r="D3494" s="2" t="s">
        <v>10</v>
      </c>
      <c r="E3494" s="2" t="s">
        <v>11</v>
      </c>
      <c r="F3494" s="2" t="s">
        <v>18</v>
      </c>
      <c r="G3494" s="2" t="s">
        <v>19</v>
      </c>
      <c r="H3494" s="2" t="s">
        <v>3354</v>
      </c>
      <c r="I3494" s="2" t="s">
        <v>4012</v>
      </c>
    </row>
    <row r="3495" spans="1:9" ht="14.5" x14ac:dyDescent="0.35">
      <c r="A3495" s="2">
        <v>422312</v>
      </c>
      <c r="B3495" s="2" t="str">
        <f>"3328121110940007"</f>
        <v>3328121110940007</v>
      </c>
      <c r="C3495" s="2" t="s">
        <v>4119</v>
      </c>
      <c r="D3495" s="2" t="s">
        <v>17</v>
      </c>
      <c r="E3495" s="2" t="s">
        <v>11</v>
      </c>
      <c r="F3495" s="2" t="s">
        <v>18</v>
      </c>
      <c r="G3495" s="2" t="s">
        <v>268</v>
      </c>
      <c r="H3495" s="2" t="s">
        <v>269</v>
      </c>
      <c r="I3495" s="2" t="s">
        <v>996</v>
      </c>
    </row>
    <row r="3496" spans="1:9" ht="14.5" x14ac:dyDescent="0.35">
      <c r="A3496" s="2">
        <v>2570429</v>
      </c>
      <c r="B3496" s="2" t="str">
        <f>"3328121111990001"</f>
        <v>3328121111990001</v>
      </c>
      <c r="C3496" s="2" t="s">
        <v>4120</v>
      </c>
      <c r="D3496" s="2" t="s">
        <v>17</v>
      </c>
      <c r="E3496" s="2" t="s">
        <v>11</v>
      </c>
      <c r="F3496" s="2" t="s">
        <v>18</v>
      </c>
      <c r="G3496" s="2" t="s">
        <v>19</v>
      </c>
      <c r="H3496" s="2" t="s">
        <v>3354</v>
      </c>
      <c r="I3496" s="2" t="s">
        <v>4098</v>
      </c>
    </row>
    <row r="3497" spans="1:9" ht="14.5" x14ac:dyDescent="0.35">
      <c r="A3497" s="2">
        <v>423670</v>
      </c>
      <c r="B3497" s="2" t="str">
        <f>"3328121111990001"</f>
        <v>3328121111990001</v>
      </c>
      <c r="C3497" s="2" t="s">
        <v>4121</v>
      </c>
      <c r="D3497" s="2" t="s">
        <v>10</v>
      </c>
      <c r="E3497" s="2" t="s">
        <v>57</v>
      </c>
      <c r="F3497" s="2" t="s">
        <v>18</v>
      </c>
      <c r="G3497" s="2" t="s">
        <v>268</v>
      </c>
      <c r="H3497" s="2" t="s">
        <v>277</v>
      </c>
      <c r="I3497" s="2" t="s">
        <v>278</v>
      </c>
    </row>
    <row r="3498" spans="1:9" ht="14.5" x14ac:dyDescent="0.35">
      <c r="A3498" s="2">
        <v>2187742</v>
      </c>
      <c r="B3498" s="2" t="str">
        <f>"3328121201010004"</f>
        <v>3328121201010004</v>
      </c>
      <c r="C3498" s="2" t="s">
        <v>4122</v>
      </c>
      <c r="D3498" s="2" t="s">
        <v>189</v>
      </c>
      <c r="E3498" s="2" t="s">
        <v>11</v>
      </c>
      <c r="F3498" s="2" t="s">
        <v>18</v>
      </c>
      <c r="G3498" s="2" t="s">
        <v>19</v>
      </c>
      <c r="H3498" s="2" t="s">
        <v>3354</v>
      </c>
      <c r="I3498" s="2" t="s">
        <v>4012</v>
      </c>
    </row>
    <row r="3499" spans="1:9" ht="14.5" x14ac:dyDescent="0.35">
      <c r="A3499" s="2">
        <v>1350427</v>
      </c>
      <c r="B3499" s="2" t="str">
        <f>"3328121201010004"</f>
        <v>3328121201010004</v>
      </c>
      <c r="C3499" s="2" t="s">
        <v>4122</v>
      </c>
      <c r="D3499" s="2" t="s">
        <v>10</v>
      </c>
      <c r="E3499" s="2" t="s">
        <v>57</v>
      </c>
      <c r="F3499" s="2" t="s">
        <v>303</v>
      </c>
      <c r="G3499" s="2" t="s">
        <v>608</v>
      </c>
      <c r="H3499" s="2" t="s">
        <v>609</v>
      </c>
      <c r="I3499" s="2" t="s">
        <v>610</v>
      </c>
    </row>
    <row r="3500" spans="1:9" ht="14.5" x14ac:dyDescent="0.35">
      <c r="A3500" s="2">
        <v>2261020</v>
      </c>
      <c r="B3500" s="2" t="str">
        <f>"3328121201030004"</f>
        <v>3328121201030004</v>
      </c>
      <c r="C3500" s="2" t="s">
        <v>4123</v>
      </c>
      <c r="D3500" s="2" t="s">
        <v>10</v>
      </c>
      <c r="E3500" s="2" t="s">
        <v>11</v>
      </c>
      <c r="F3500" s="2" t="s">
        <v>18</v>
      </c>
      <c r="G3500" s="2" t="s">
        <v>19</v>
      </c>
      <c r="H3500" s="2" t="s">
        <v>3354</v>
      </c>
      <c r="I3500" s="2" t="s">
        <v>4022</v>
      </c>
    </row>
    <row r="3501" spans="1:9" ht="14.5" x14ac:dyDescent="0.35">
      <c r="A3501" s="2">
        <v>1350431</v>
      </c>
      <c r="B3501" s="2" t="str">
        <f>"3328121201030004"</f>
        <v>3328121201030004</v>
      </c>
      <c r="C3501" s="2" t="s">
        <v>4123</v>
      </c>
      <c r="D3501" s="2" t="s">
        <v>10</v>
      </c>
      <c r="E3501" s="2" t="s">
        <v>57</v>
      </c>
      <c r="F3501" s="2" t="s">
        <v>303</v>
      </c>
      <c r="G3501" s="2" t="s">
        <v>608</v>
      </c>
      <c r="H3501" s="2" t="s">
        <v>609</v>
      </c>
      <c r="I3501" s="2" t="s">
        <v>610</v>
      </c>
    </row>
    <row r="3502" spans="1:9" ht="14.5" x14ac:dyDescent="0.35">
      <c r="A3502" s="2">
        <v>2194720</v>
      </c>
      <c r="B3502" s="2" t="str">
        <f>"3328121202000008"</f>
        <v>3328121202000008</v>
      </c>
      <c r="C3502" s="2" t="s">
        <v>4124</v>
      </c>
      <c r="D3502" s="2" t="s">
        <v>10</v>
      </c>
      <c r="E3502" s="2" t="s">
        <v>11</v>
      </c>
      <c r="F3502" s="2" t="s">
        <v>18</v>
      </c>
      <c r="G3502" s="2" t="s">
        <v>19</v>
      </c>
      <c r="H3502" s="2" t="s">
        <v>3354</v>
      </c>
      <c r="I3502" s="2" t="s">
        <v>4098</v>
      </c>
    </row>
    <row r="3503" spans="1:9" ht="14.5" x14ac:dyDescent="0.35">
      <c r="A3503" s="2">
        <v>423725</v>
      </c>
      <c r="B3503" s="2" t="str">
        <f>"3328121202000008"</f>
        <v>3328121202000008</v>
      </c>
      <c r="C3503" s="2" t="s">
        <v>4125</v>
      </c>
      <c r="D3503" s="2" t="s">
        <v>10</v>
      </c>
      <c r="E3503" s="2" t="s">
        <v>57</v>
      </c>
      <c r="F3503" s="2" t="s">
        <v>18</v>
      </c>
      <c r="G3503" s="2" t="s">
        <v>268</v>
      </c>
      <c r="H3503" s="2" t="s">
        <v>277</v>
      </c>
      <c r="I3503" s="2" t="s">
        <v>278</v>
      </c>
    </row>
    <row r="3504" spans="1:9" ht="14.5" x14ac:dyDescent="0.35">
      <c r="A3504" s="2">
        <v>594876</v>
      </c>
      <c r="B3504" s="2" t="str">
        <f>"3328121205790004"</f>
        <v>3328121205790004</v>
      </c>
      <c r="C3504" s="2" t="s">
        <v>4126</v>
      </c>
      <c r="D3504" s="2" t="s">
        <v>10</v>
      </c>
      <c r="E3504" s="2" t="s">
        <v>11</v>
      </c>
      <c r="F3504" s="2" t="s">
        <v>18</v>
      </c>
      <c r="G3504" s="2" t="s">
        <v>264</v>
      </c>
      <c r="H3504" s="2" t="s">
        <v>264</v>
      </c>
      <c r="I3504" s="2" t="s">
        <v>1637</v>
      </c>
    </row>
    <row r="3505" spans="1:9" ht="14.5" x14ac:dyDescent="0.35">
      <c r="A3505" s="2">
        <v>2554142</v>
      </c>
      <c r="B3505" s="2" t="str">
        <f>"3328121205790004"</f>
        <v>3328121205790004</v>
      </c>
      <c r="C3505" s="2" t="s">
        <v>4126</v>
      </c>
      <c r="D3505" s="2" t="s">
        <v>17</v>
      </c>
      <c r="E3505" s="2" t="s">
        <v>11</v>
      </c>
      <c r="F3505" s="2" t="s">
        <v>18</v>
      </c>
      <c r="G3505" s="2" t="s">
        <v>19</v>
      </c>
      <c r="H3505" s="2" t="s">
        <v>3354</v>
      </c>
      <c r="I3505" s="2" t="s">
        <v>4040</v>
      </c>
    </row>
    <row r="3506" spans="1:9" ht="14.5" x14ac:dyDescent="0.35">
      <c r="A3506" s="2">
        <v>2186094</v>
      </c>
      <c r="B3506" s="2" t="str">
        <f>"3328121409030005"</f>
        <v>3328121409030005</v>
      </c>
      <c r="C3506" s="2" t="s">
        <v>4127</v>
      </c>
      <c r="D3506" s="2" t="s">
        <v>10</v>
      </c>
      <c r="E3506" s="2" t="s">
        <v>11</v>
      </c>
      <c r="F3506" s="2" t="s">
        <v>18</v>
      </c>
      <c r="G3506" s="2" t="s">
        <v>19</v>
      </c>
      <c r="H3506" s="2" t="s">
        <v>3354</v>
      </c>
      <c r="I3506" s="2" t="s">
        <v>4012</v>
      </c>
    </row>
    <row r="3507" spans="1:9" ht="14.5" x14ac:dyDescent="0.35">
      <c r="A3507" s="2">
        <v>1350428</v>
      </c>
      <c r="B3507" s="2" t="str">
        <f>"3328121409030005"</f>
        <v>3328121409030005</v>
      </c>
      <c r="C3507" s="2" t="s">
        <v>4127</v>
      </c>
      <c r="D3507" s="2" t="s">
        <v>10</v>
      </c>
      <c r="E3507" s="2" t="s">
        <v>57</v>
      </c>
      <c r="F3507" s="2" t="s">
        <v>303</v>
      </c>
      <c r="G3507" s="2" t="s">
        <v>608</v>
      </c>
      <c r="H3507" s="2" t="s">
        <v>609</v>
      </c>
      <c r="I3507" s="2" t="s">
        <v>610</v>
      </c>
    </row>
    <row r="3508" spans="1:9" ht="14.5" x14ac:dyDescent="0.35">
      <c r="A3508" s="2">
        <v>2281048</v>
      </c>
      <c r="B3508" s="2" t="str">
        <f>"3328121506000006"</f>
        <v>3328121506000006</v>
      </c>
      <c r="C3508" s="2" t="s">
        <v>4128</v>
      </c>
      <c r="D3508" s="2" t="s">
        <v>10</v>
      </c>
      <c r="E3508" s="2" t="s">
        <v>11</v>
      </c>
      <c r="F3508" s="2" t="s">
        <v>18</v>
      </c>
      <c r="G3508" s="2" t="s">
        <v>19</v>
      </c>
      <c r="H3508" s="2" t="s">
        <v>3354</v>
      </c>
      <c r="I3508" s="2" t="s">
        <v>4040</v>
      </c>
    </row>
    <row r="3509" spans="1:9" ht="14.5" x14ac:dyDescent="0.35">
      <c r="A3509" s="2">
        <v>1350429</v>
      </c>
      <c r="B3509" s="2" t="str">
        <f>"3328121506000006"</f>
        <v>3328121506000006</v>
      </c>
      <c r="C3509" s="2" t="s">
        <v>4128</v>
      </c>
      <c r="D3509" s="2" t="s">
        <v>10</v>
      </c>
      <c r="E3509" s="2" t="s">
        <v>57</v>
      </c>
      <c r="F3509" s="2" t="s">
        <v>303</v>
      </c>
      <c r="G3509" s="2" t="s">
        <v>608</v>
      </c>
      <c r="H3509" s="2" t="s">
        <v>609</v>
      </c>
      <c r="I3509" s="2" t="s">
        <v>610</v>
      </c>
    </row>
    <row r="3510" spans="1:9" ht="14.5" x14ac:dyDescent="0.35">
      <c r="A3510" s="2">
        <v>206695</v>
      </c>
      <c r="B3510" s="2" t="str">
        <f>"3328121511970003"</f>
        <v>3328121511970003</v>
      </c>
      <c r="C3510" s="2" t="s">
        <v>4129</v>
      </c>
      <c r="D3510" s="2" t="s">
        <v>10</v>
      </c>
      <c r="E3510" s="2" t="s">
        <v>11</v>
      </c>
      <c r="F3510" s="2" t="s">
        <v>18</v>
      </c>
      <c r="G3510" s="2" t="s">
        <v>268</v>
      </c>
      <c r="H3510" s="2" t="s">
        <v>371</v>
      </c>
      <c r="I3510" s="2" t="s">
        <v>2769</v>
      </c>
    </row>
    <row r="3511" spans="1:9" ht="14.5" x14ac:dyDescent="0.35">
      <c r="A3511" s="2">
        <v>2555861</v>
      </c>
      <c r="B3511" s="2" t="str">
        <f>"3328121511970003"</f>
        <v>3328121511970003</v>
      </c>
      <c r="C3511" s="2" t="s">
        <v>4130</v>
      </c>
      <c r="D3511" s="2" t="s">
        <v>17</v>
      </c>
      <c r="E3511" s="2" t="s">
        <v>11</v>
      </c>
      <c r="F3511" s="2" t="s">
        <v>18</v>
      </c>
      <c r="G3511" s="2" t="s">
        <v>19</v>
      </c>
      <c r="H3511" s="2" t="s">
        <v>3354</v>
      </c>
      <c r="I3511" s="2" t="s">
        <v>4026</v>
      </c>
    </row>
    <row r="3512" spans="1:9" ht="14.5" x14ac:dyDescent="0.35">
      <c r="A3512" s="2">
        <v>2190509</v>
      </c>
      <c r="B3512" s="2" t="str">
        <f>"3328121906760005"</f>
        <v>3328121906760005</v>
      </c>
      <c r="C3512" s="2" t="s">
        <v>4131</v>
      </c>
      <c r="D3512" s="2" t="s">
        <v>10</v>
      </c>
      <c r="E3512" s="2" t="s">
        <v>11</v>
      </c>
      <c r="F3512" s="2" t="s">
        <v>18</v>
      </c>
      <c r="G3512" s="2" t="s">
        <v>19</v>
      </c>
      <c r="H3512" s="2" t="s">
        <v>3354</v>
      </c>
      <c r="I3512" s="2" t="s">
        <v>4014</v>
      </c>
    </row>
    <row r="3513" spans="1:9" ht="14.5" x14ac:dyDescent="0.35">
      <c r="A3513" s="2">
        <v>1546097</v>
      </c>
      <c r="B3513" s="2" t="str">
        <f>"3328121906760005"</f>
        <v>3328121906760005</v>
      </c>
      <c r="C3513" s="2" t="s">
        <v>4131</v>
      </c>
      <c r="D3513" s="2" t="s">
        <v>17</v>
      </c>
      <c r="E3513" s="2" t="s">
        <v>11</v>
      </c>
      <c r="F3513" s="2" t="s">
        <v>18</v>
      </c>
      <c r="G3513" s="2" t="s">
        <v>195</v>
      </c>
      <c r="H3513" s="2" t="s">
        <v>4132</v>
      </c>
      <c r="I3513" s="2" t="s">
        <v>1090</v>
      </c>
    </row>
    <row r="3514" spans="1:9" ht="14.5" x14ac:dyDescent="0.35">
      <c r="A3514" s="2">
        <v>2202334</v>
      </c>
      <c r="B3514" s="2" t="str">
        <f>"3328121911050003"</f>
        <v>3328121911050003</v>
      </c>
      <c r="C3514" s="2" t="s">
        <v>4133</v>
      </c>
      <c r="D3514" s="2" t="s">
        <v>10</v>
      </c>
      <c r="E3514" s="2" t="s">
        <v>11</v>
      </c>
      <c r="F3514" s="2" t="s">
        <v>18</v>
      </c>
      <c r="G3514" s="2" t="s">
        <v>19</v>
      </c>
      <c r="H3514" s="2" t="s">
        <v>3354</v>
      </c>
      <c r="I3514" s="2" t="s">
        <v>1954</v>
      </c>
    </row>
    <row r="3515" spans="1:9" ht="14.5" x14ac:dyDescent="0.35">
      <c r="A3515" s="2">
        <v>1684353</v>
      </c>
      <c r="B3515" s="2" t="str">
        <f>"3328121911050003"</f>
        <v>3328121911050003</v>
      </c>
      <c r="C3515" s="2" t="s">
        <v>4134</v>
      </c>
      <c r="D3515" s="2" t="s">
        <v>10</v>
      </c>
      <c r="E3515" s="2" t="s">
        <v>57</v>
      </c>
      <c r="F3515" s="2" t="s">
        <v>18</v>
      </c>
      <c r="G3515" s="2" t="s">
        <v>184</v>
      </c>
      <c r="H3515" s="2" t="s">
        <v>1085</v>
      </c>
      <c r="I3515" s="2" t="s">
        <v>1086</v>
      </c>
    </row>
    <row r="3516" spans="1:9" ht="14.5" x14ac:dyDescent="0.35">
      <c r="A3516" s="2">
        <v>672103</v>
      </c>
      <c r="B3516" s="2" t="str">
        <f>"3328121911950002"</f>
        <v>3328121911950002</v>
      </c>
      <c r="C3516" s="2" t="s">
        <v>4135</v>
      </c>
      <c r="D3516" s="2" t="s">
        <v>10</v>
      </c>
      <c r="E3516" s="2" t="s">
        <v>11</v>
      </c>
      <c r="F3516" s="2" t="s">
        <v>379</v>
      </c>
      <c r="G3516" s="2" t="s">
        <v>1206</v>
      </c>
      <c r="H3516" s="2" t="s">
        <v>4136</v>
      </c>
      <c r="I3516" s="2" t="s">
        <v>4137</v>
      </c>
    </row>
    <row r="3517" spans="1:9" ht="14.5" x14ac:dyDescent="0.35">
      <c r="A3517" s="2">
        <v>2555102</v>
      </c>
      <c r="B3517" s="2" t="str">
        <f>"3328121911950002"</f>
        <v>3328121911950002</v>
      </c>
      <c r="C3517" s="2" t="s">
        <v>4138</v>
      </c>
      <c r="D3517" s="2" t="s">
        <v>17</v>
      </c>
      <c r="E3517" s="2" t="s">
        <v>11</v>
      </c>
      <c r="F3517" s="2" t="s">
        <v>18</v>
      </c>
      <c r="G3517" s="2" t="s">
        <v>19</v>
      </c>
      <c r="H3517" s="2" t="s">
        <v>3354</v>
      </c>
      <c r="I3517" s="2" t="s">
        <v>3354</v>
      </c>
    </row>
    <row r="3518" spans="1:9" ht="14.5" x14ac:dyDescent="0.35">
      <c r="A3518" s="2">
        <v>2261019</v>
      </c>
      <c r="B3518" s="2" t="str">
        <f>"3328122005040006"</f>
        <v>3328122005040006</v>
      </c>
      <c r="C3518" s="2" t="s">
        <v>4139</v>
      </c>
      <c r="D3518" s="2" t="s">
        <v>10</v>
      </c>
      <c r="E3518" s="2" t="s">
        <v>11</v>
      </c>
      <c r="F3518" s="2" t="s">
        <v>18</v>
      </c>
      <c r="G3518" s="2" t="s">
        <v>19</v>
      </c>
      <c r="H3518" s="2" t="s">
        <v>3354</v>
      </c>
      <c r="I3518" s="2" t="s">
        <v>4022</v>
      </c>
    </row>
    <row r="3519" spans="1:9" ht="14.5" x14ac:dyDescent="0.35">
      <c r="A3519" s="2">
        <v>1350432</v>
      </c>
      <c r="B3519" s="2" t="str">
        <f>"3328122005040006"</f>
        <v>3328122005040006</v>
      </c>
      <c r="C3519" s="2" t="s">
        <v>4139</v>
      </c>
      <c r="D3519" s="2" t="s">
        <v>10</v>
      </c>
      <c r="E3519" s="2" t="s">
        <v>57</v>
      </c>
      <c r="F3519" s="2" t="s">
        <v>303</v>
      </c>
      <c r="G3519" s="2" t="s">
        <v>608</v>
      </c>
      <c r="H3519" s="2" t="s">
        <v>609</v>
      </c>
      <c r="I3519" s="2" t="s">
        <v>610</v>
      </c>
    </row>
    <row r="3520" spans="1:9" ht="14.5" x14ac:dyDescent="0.35">
      <c r="A3520" s="2">
        <v>2285474</v>
      </c>
      <c r="B3520" s="2" t="str">
        <f>"3328122006940008"</f>
        <v>3328122006940008</v>
      </c>
      <c r="C3520" s="2" t="s">
        <v>4140</v>
      </c>
      <c r="D3520" s="2" t="s">
        <v>10</v>
      </c>
      <c r="E3520" s="2" t="s">
        <v>11</v>
      </c>
      <c r="F3520" s="2" t="s">
        <v>18</v>
      </c>
      <c r="G3520" s="2" t="s">
        <v>19</v>
      </c>
      <c r="H3520" s="2" t="s">
        <v>3354</v>
      </c>
      <c r="I3520" s="2" t="s">
        <v>4040</v>
      </c>
    </row>
    <row r="3521" spans="1:9" ht="14.5" x14ac:dyDescent="0.35">
      <c r="A3521" s="2">
        <v>2423668</v>
      </c>
      <c r="B3521" s="2" t="str">
        <f>"3328122006940008"</f>
        <v>3328122006940008</v>
      </c>
      <c r="C3521" s="2" t="s">
        <v>4141</v>
      </c>
      <c r="D3521" s="2" t="s">
        <v>17</v>
      </c>
      <c r="E3521" s="2" t="s">
        <v>11</v>
      </c>
      <c r="F3521" s="2" t="s">
        <v>50</v>
      </c>
      <c r="G3521" s="2" t="s">
        <v>58</v>
      </c>
      <c r="H3521" s="2" t="s">
        <v>59</v>
      </c>
      <c r="I3521" s="2" t="s">
        <v>60</v>
      </c>
    </row>
    <row r="3522" spans="1:9" ht="14.5" x14ac:dyDescent="0.35">
      <c r="A3522" s="2">
        <v>2261572</v>
      </c>
      <c r="B3522" s="2" t="str">
        <f>"3328122106000002"</f>
        <v>3328122106000002</v>
      </c>
      <c r="C3522" s="2" t="s">
        <v>4142</v>
      </c>
      <c r="D3522" s="2" t="s">
        <v>10</v>
      </c>
      <c r="E3522" s="2" t="s">
        <v>11</v>
      </c>
      <c r="F3522" s="2" t="s">
        <v>18</v>
      </c>
      <c r="G3522" s="2" t="s">
        <v>19</v>
      </c>
      <c r="H3522" s="2" t="s">
        <v>3354</v>
      </c>
      <c r="I3522" s="2" t="s">
        <v>4022</v>
      </c>
    </row>
    <row r="3523" spans="1:9" ht="14.5" x14ac:dyDescent="0.35">
      <c r="A3523" s="2">
        <v>1862931</v>
      </c>
      <c r="B3523" s="2" t="str">
        <f>"3328122106000002"</f>
        <v>3328122106000002</v>
      </c>
      <c r="C3523" s="2" t="s">
        <v>4143</v>
      </c>
      <c r="D3523" s="2" t="s">
        <v>10</v>
      </c>
      <c r="E3523" s="2" t="s">
        <v>57</v>
      </c>
      <c r="F3523" s="2" t="s">
        <v>18</v>
      </c>
      <c r="G3523" s="2" t="s">
        <v>733</v>
      </c>
      <c r="H3523" s="2" t="s">
        <v>1127</v>
      </c>
      <c r="I3523" s="2" t="s">
        <v>1127</v>
      </c>
    </row>
    <row r="3524" spans="1:9" ht="14.5" x14ac:dyDescent="0.35">
      <c r="A3524" s="2">
        <v>2193495</v>
      </c>
      <c r="B3524" s="2" t="str">
        <f>"3328122204000001"</f>
        <v>3328122204000001</v>
      </c>
      <c r="C3524" s="2" t="s">
        <v>4144</v>
      </c>
      <c r="D3524" s="2" t="s">
        <v>10</v>
      </c>
      <c r="E3524" s="2" t="s">
        <v>11</v>
      </c>
      <c r="F3524" s="2" t="s">
        <v>18</v>
      </c>
      <c r="G3524" s="2" t="s">
        <v>19</v>
      </c>
      <c r="H3524" s="2" t="s">
        <v>3354</v>
      </c>
      <c r="I3524" s="2" t="s">
        <v>4098</v>
      </c>
    </row>
    <row r="3525" spans="1:9" ht="14.5" x14ac:dyDescent="0.35">
      <c r="A3525" s="2">
        <v>423861</v>
      </c>
      <c r="B3525" s="2" t="str">
        <f>"3328122204000001"</f>
        <v>3328122204000001</v>
      </c>
      <c r="C3525" s="2" t="s">
        <v>4145</v>
      </c>
      <c r="D3525" s="2" t="s">
        <v>10</v>
      </c>
      <c r="E3525" s="2" t="s">
        <v>57</v>
      </c>
      <c r="F3525" s="2" t="s">
        <v>18</v>
      </c>
      <c r="G3525" s="2" t="s">
        <v>268</v>
      </c>
      <c r="H3525" s="2" t="s">
        <v>277</v>
      </c>
      <c r="I3525" s="2" t="s">
        <v>278</v>
      </c>
    </row>
    <row r="3526" spans="1:9" ht="14.5" x14ac:dyDescent="0.35">
      <c r="A3526" s="2">
        <v>2328130</v>
      </c>
      <c r="B3526" s="2" t="str">
        <f>"3328122207050007"</f>
        <v>3328122207050007</v>
      </c>
      <c r="C3526" s="2" t="s">
        <v>4146</v>
      </c>
      <c r="D3526" s="2" t="s">
        <v>189</v>
      </c>
      <c r="E3526" s="2" t="s">
        <v>11</v>
      </c>
      <c r="F3526" s="2" t="s">
        <v>18</v>
      </c>
      <c r="G3526" s="2" t="s">
        <v>19</v>
      </c>
      <c r="H3526" s="2" t="s">
        <v>3354</v>
      </c>
      <c r="I3526" s="2" t="s">
        <v>307</v>
      </c>
    </row>
    <row r="3527" spans="1:9" ht="14.5" x14ac:dyDescent="0.35">
      <c r="A3527" s="2">
        <v>1350424</v>
      </c>
      <c r="B3527" s="2" t="str">
        <f>"3328122207050007"</f>
        <v>3328122207050007</v>
      </c>
      <c r="C3527" s="2" t="s">
        <v>4147</v>
      </c>
      <c r="D3527" s="2" t="s">
        <v>10</v>
      </c>
      <c r="E3527" s="2" t="s">
        <v>57</v>
      </c>
      <c r="F3527" s="2" t="s">
        <v>303</v>
      </c>
      <c r="G3527" s="2" t="s">
        <v>608</v>
      </c>
      <c r="H3527" s="2" t="s">
        <v>609</v>
      </c>
      <c r="I3527" s="2" t="s">
        <v>610</v>
      </c>
    </row>
    <row r="3528" spans="1:9" ht="14.5" x14ac:dyDescent="0.35">
      <c r="A3528" s="2">
        <v>2553812</v>
      </c>
      <c r="B3528" s="2" t="str">
        <f>"3328122303050001"</f>
        <v>3328122303050001</v>
      </c>
      <c r="C3528" s="2" t="s">
        <v>4148</v>
      </c>
      <c r="D3528" s="2" t="s">
        <v>17</v>
      </c>
      <c r="E3528" s="2" t="s">
        <v>11</v>
      </c>
      <c r="F3528" s="2" t="s">
        <v>18</v>
      </c>
      <c r="G3528" s="2" t="s">
        <v>19</v>
      </c>
      <c r="H3528" s="2" t="s">
        <v>3354</v>
      </c>
      <c r="I3528" s="2" t="s">
        <v>4022</v>
      </c>
    </row>
    <row r="3529" spans="1:9" ht="14.5" x14ac:dyDescent="0.35">
      <c r="A3529" s="2">
        <v>1350433</v>
      </c>
      <c r="B3529" s="2" t="str">
        <f>"3328122303050001"</f>
        <v>3328122303050001</v>
      </c>
      <c r="C3529" s="2" t="s">
        <v>4148</v>
      </c>
      <c r="D3529" s="2" t="s">
        <v>10</v>
      </c>
      <c r="E3529" s="2" t="s">
        <v>57</v>
      </c>
      <c r="F3529" s="2" t="s">
        <v>303</v>
      </c>
      <c r="G3529" s="2" t="s">
        <v>608</v>
      </c>
      <c r="H3529" s="2" t="s">
        <v>609</v>
      </c>
      <c r="I3529" s="2" t="s">
        <v>610</v>
      </c>
    </row>
    <row r="3530" spans="1:9" ht="14.5" x14ac:dyDescent="0.35">
      <c r="A3530" s="2">
        <v>2458987</v>
      </c>
      <c r="B3530" s="2" t="str">
        <f>"3328122308060004"</f>
        <v>3328122308060004</v>
      </c>
      <c r="C3530" s="2" t="s">
        <v>4149</v>
      </c>
      <c r="D3530" s="2" t="s">
        <v>189</v>
      </c>
      <c r="E3530" s="2" t="s">
        <v>11</v>
      </c>
      <c r="F3530" s="2" t="s">
        <v>18</v>
      </c>
      <c r="G3530" s="2" t="s">
        <v>19</v>
      </c>
      <c r="H3530" s="2" t="s">
        <v>3354</v>
      </c>
      <c r="I3530" s="2" t="s">
        <v>4008</v>
      </c>
    </row>
    <row r="3531" spans="1:9" ht="14.5" x14ac:dyDescent="0.35">
      <c r="A3531" s="2">
        <v>1349045</v>
      </c>
      <c r="B3531" s="2" t="str">
        <f>"3328122308060004"</f>
        <v>3328122308060004</v>
      </c>
      <c r="C3531" s="2" t="s">
        <v>4149</v>
      </c>
      <c r="D3531" s="2" t="s">
        <v>10</v>
      </c>
      <c r="E3531" s="2" t="s">
        <v>57</v>
      </c>
      <c r="F3531" s="2" t="s">
        <v>303</v>
      </c>
      <c r="G3531" s="2" t="s">
        <v>608</v>
      </c>
      <c r="H3531" s="2" t="s">
        <v>609</v>
      </c>
      <c r="I3531" s="2" t="s">
        <v>610</v>
      </c>
    </row>
    <row r="3532" spans="1:9" ht="14.5" x14ac:dyDescent="0.35">
      <c r="A3532" s="2">
        <v>1070262</v>
      </c>
      <c r="B3532" s="2" t="str">
        <f>"3328122407980002"</f>
        <v>3328122407980002</v>
      </c>
      <c r="C3532" s="2" t="s">
        <v>4150</v>
      </c>
      <c r="D3532" s="2" t="s">
        <v>10</v>
      </c>
      <c r="E3532" s="2" t="s">
        <v>11</v>
      </c>
      <c r="F3532" s="2" t="s">
        <v>303</v>
      </c>
      <c r="G3532" s="2" t="s">
        <v>2117</v>
      </c>
      <c r="H3532" s="2" t="s">
        <v>2559</v>
      </c>
      <c r="I3532" s="2" t="s">
        <v>4151</v>
      </c>
    </row>
    <row r="3533" spans="1:9" ht="14.5" x14ac:dyDescent="0.35">
      <c r="A3533" s="2">
        <v>2554395</v>
      </c>
      <c r="B3533" s="2" t="str">
        <f>"3328122407980002"</f>
        <v>3328122407980002</v>
      </c>
      <c r="C3533" s="2" t="s">
        <v>4152</v>
      </c>
      <c r="D3533" s="2" t="s">
        <v>17</v>
      </c>
      <c r="E3533" s="2" t="s">
        <v>11</v>
      </c>
      <c r="F3533" s="2" t="s">
        <v>18</v>
      </c>
      <c r="G3533" s="2" t="s">
        <v>19</v>
      </c>
      <c r="H3533" s="2" t="s">
        <v>3354</v>
      </c>
      <c r="I3533" s="2" t="s">
        <v>3999</v>
      </c>
    </row>
    <row r="3534" spans="1:9" ht="14.5" x14ac:dyDescent="0.35">
      <c r="A3534" s="2">
        <v>2230722</v>
      </c>
      <c r="B3534" s="2" t="str">
        <f>"3328122808060008"</f>
        <v>3328122808060008</v>
      </c>
      <c r="C3534" s="2" t="s">
        <v>4153</v>
      </c>
      <c r="D3534" s="2" t="s">
        <v>189</v>
      </c>
      <c r="E3534" s="2" t="s">
        <v>11</v>
      </c>
      <c r="F3534" s="2" t="s">
        <v>18</v>
      </c>
      <c r="G3534" s="2" t="s">
        <v>19</v>
      </c>
      <c r="H3534" s="2" t="s">
        <v>3354</v>
      </c>
      <c r="I3534" s="2" t="s">
        <v>4049</v>
      </c>
    </row>
    <row r="3535" spans="1:9" ht="14.5" x14ac:dyDescent="0.35">
      <c r="A3535" s="2">
        <v>1350421</v>
      </c>
      <c r="B3535" s="2" t="str">
        <f>"3328122808060008"</f>
        <v>3328122808060008</v>
      </c>
      <c r="C3535" s="2" t="s">
        <v>4153</v>
      </c>
      <c r="D3535" s="2" t="s">
        <v>10</v>
      </c>
      <c r="E3535" s="2" t="s">
        <v>57</v>
      </c>
      <c r="F3535" s="2" t="s">
        <v>303</v>
      </c>
      <c r="G3535" s="2" t="s">
        <v>608</v>
      </c>
      <c r="H3535" s="2" t="s">
        <v>609</v>
      </c>
      <c r="I3535" s="2" t="s">
        <v>610</v>
      </c>
    </row>
    <row r="3536" spans="1:9" ht="14.5" x14ac:dyDescent="0.35">
      <c r="A3536" s="2">
        <v>2194636</v>
      </c>
      <c r="B3536" s="2" t="str">
        <f>"3328122809060004"</f>
        <v>3328122809060004</v>
      </c>
      <c r="C3536" s="2" t="s">
        <v>4154</v>
      </c>
      <c r="D3536" s="2" t="s">
        <v>189</v>
      </c>
      <c r="E3536" s="2" t="s">
        <v>11</v>
      </c>
      <c r="F3536" s="2" t="s">
        <v>18</v>
      </c>
      <c r="G3536" s="2" t="s">
        <v>19</v>
      </c>
      <c r="H3536" s="2" t="s">
        <v>3354</v>
      </c>
      <c r="I3536" s="2" t="s">
        <v>4098</v>
      </c>
    </row>
    <row r="3537" spans="1:9" ht="14.5" x14ac:dyDescent="0.35">
      <c r="A3537" s="2">
        <v>1638085</v>
      </c>
      <c r="B3537" s="2" t="str">
        <f>"3328122809060004"</f>
        <v>3328122809060004</v>
      </c>
      <c r="C3537" s="2" t="s">
        <v>4155</v>
      </c>
      <c r="D3537" s="2" t="s">
        <v>17</v>
      </c>
      <c r="E3537" s="2" t="s">
        <v>11</v>
      </c>
      <c r="F3537" s="2" t="s">
        <v>18</v>
      </c>
      <c r="G3537" s="2" t="s">
        <v>264</v>
      </c>
      <c r="H3537" s="2" t="s">
        <v>264</v>
      </c>
      <c r="I3537" s="2" t="s">
        <v>1637</v>
      </c>
    </row>
    <row r="3538" spans="1:9" ht="14.5" x14ac:dyDescent="0.35">
      <c r="A3538" s="2">
        <v>2364349</v>
      </c>
      <c r="B3538" s="2" t="str">
        <f>"3328122812990003"</f>
        <v>3328122812990003</v>
      </c>
      <c r="C3538" s="2" t="s">
        <v>1049</v>
      </c>
      <c r="D3538" s="2" t="s">
        <v>10</v>
      </c>
      <c r="E3538" s="2" t="s">
        <v>11</v>
      </c>
      <c r="F3538" s="2" t="s">
        <v>18</v>
      </c>
      <c r="G3538" s="2" t="s">
        <v>19</v>
      </c>
      <c r="H3538" s="2" t="s">
        <v>3354</v>
      </c>
      <c r="I3538" s="2" t="s">
        <v>1309</v>
      </c>
    </row>
    <row r="3539" spans="1:9" ht="14.5" x14ac:dyDescent="0.35">
      <c r="A3539" s="2">
        <v>2571965</v>
      </c>
      <c r="B3539" s="2" t="str">
        <f>"3328122812990003"</f>
        <v>3328122812990003</v>
      </c>
      <c r="C3539" s="2" t="s">
        <v>1049</v>
      </c>
      <c r="D3539" s="2" t="s">
        <v>17</v>
      </c>
      <c r="E3539" s="2" t="s">
        <v>11</v>
      </c>
      <c r="F3539" s="2" t="s">
        <v>18</v>
      </c>
      <c r="G3539" s="2" t="s">
        <v>19</v>
      </c>
      <c r="H3539" s="2" t="s">
        <v>3565</v>
      </c>
      <c r="I3539" s="2" t="s">
        <v>4156</v>
      </c>
    </row>
    <row r="3540" spans="1:9" ht="14.5" x14ac:dyDescent="0.35">
      <c r="A3540" s="2">
        <v>2280999</v>
      </c>
      <c r="B3540" s="2" t="str">
        <f>"3328122908970001"</f>
        <v>3328122908970001</v>
      </c>
      <c r="C3540" s="2" t="s">
        <v>4157</v>
      </c>
      <c r="D3540" s="2" t="s">
        <v>10</v>
      </c>
      <c r="E3540" s="2" t="s">
        <v>11</v>
      </c>
      <c r="F3540" s="2" t="s">
        <v>18</v>
      </c>
      <c r="G3540" s="2" t="s">
        <v>19</v>
      </c>
      <c r="H3540" s="2" t="s">
        <v>3354</v>
      </c>
      <c r="I3540" s="2" t="s">
        <v>4040</v>
      </c>
    </row>
    <row r="3541" spans="1:9" ht="14.5" x14ac:dyDescent="0.35">
      <c r="A3541" s="2">
        <v>1350430</v>
      </c>
      <c r="B3541" s="2" t="str">
        <f>"3328122908970001"</f>
        <v>3328122908970001</v>
      </c>
      <c r="C3541" s="2" t="s">
        <v>4157</v>
      </c>
      <c r="D3541" s="2" t="s">
        <v>10</v>
      </c>
      <c r="E3541" s="2" t="s">
        <v>57</v>
      </c>
      <c r="F3541" s="2" t="s">
        <v>303</v>
      </c>
      <c r="G3541" s="2" t="s">
        <v>608</v>
      </c>
      <c r="H3541" s="2" t="s">
        <v>609</v>
      </c>
      <c r="I3541" s="2" t="s">
        <v>610</v>
      </c>
    </row>
    <row r="3542" spans="1:9" ht="14.5" x14ac:dyDescent="0.35">
      <c r="A3542" s="2">
        <v>2222513</v>
      </c>
      <c r="B3542" s="2" t="str">
        <f>"3328123008920008"</f>
        <v>3328123008920008</v>
      </c>
      <c r="C3542" s="2" t="s">
        <v>4158</v>
      </c>
      <c r="D3542" s="2" t="s">
        <v>189</v>
      </c>
      <c r="E3542" s="2" t="s">
        <v>11</v>
      </c>
      <c r="F3542" s="2" t="s">
        <v>18</v>
      </c>
      <c r="G3542" s="2" t="s">
        <v>19</v>
      </c>
      <c r="H3542" s="2" t="s">
        <v>3354</v>
      </c>
      <c r="I3542" s="2" t="s">
        <v>4003</v>
      </c>
    </row>
    <row r="3543" spans="1:9" ht="14.5" x14ac:dyDescent="0.35">
      <c r="A3543" s="2">
        <v>2662114</v>
      </c>
      <c r="B3543" s="2" t="str">
        <f>"3328123008920008"</f>
        <v>3328123008920008</v>
      </c>
      <c r="C3543" s="2" t="s">
        <v>4158</v>
      </c>
      <c r="D3543" s="2" t="s">
        <v>10</v>
      </c>
      <c r="E3543" s="2" t="s">
        <v>57</v>
      </c>
      <c r="F3543" s="2" t="s">
        <v>18</v>
      </c>
      <c r="G3543" s="2" t="s">
        <v>199</v>
      </c>
      <c r="H3543" s="2" t="s">
        <v>208</v>
      </c>
      <c r="I3543" s="2" t="s">
        <v>209</v>
      </c>
    </row>
    <row r="3544" spans="1:9" ht="14.5" x14ac:dyDescent="0.35">
      <c r="A3544" s="2">
        <v>2003693</v>
      </c>
      <c r="B3544" s="2" t="str">
        <f>"3328123101840001"</f>
        <v>3328123101840001</v>
      </c>
      <c r="C3544" s="2" t="s">
        <v>4159</v>
      </c>
      <c r="D3544" s="2" t="s">
        <v>10</v>
      </c>
      <c r="E3544" s="2" t="s">
        <v>11</v>
      </c>
      <c r="F3544" s="2" t="s">
        <v>18</v>
      </c>
      <c r="G3544" s="2" t="s">
        <v>199</v>
      </c>
      <c r="H3544" s="2" t="s">
        <v>200</v>
      </c>
      <c r="I3544" s="2" t="s">
        <v>4074</v>
      </c>
    </row>
    <row r="3545" spans="1:9" ht="14.5" x14ac:dyDescent="0.35">
      <c r="A3545" s="2">
        <v>2554043</v>
      </c>
      <c r="B3545" s="2" t="str">
        <f>"3328123101840001"</f>
        <v>3328123101840001</v>
      </c>
      <c r="C3545" s="2" t="s">
        <v>4160</v>
      </c>
      <c r="D3545" s="2" t="s">
        <v>17</v>
      </c>
      <c r="E3545" s="2" t="s">
        <v>11</v>
      </c>
      <c r="F3545" s="2" t="s">
        <v>18</v>
      </c>
      <c r="G3545" s="2" t="s">
        <v>19</v>
      </c>
      <c r="H3545" s="2" t="s">
        <v>3354</v>
      </c>
      <c r="I3545" s="2" t="s">
        <v>4076</v>
      </c>
    </row>
    <row r="3546" spans="1:9" ht="14.5" x14ac:dyDescent="0.35">
      <c r="A3546" s="2">
        <v>2328227</v>
      </c>
      <c r="B3546" s="2" t="str">
        <f>"3328124212050001"</f>
        <v>3328124212050001</v>
      </c>
      <c r="C3546" s="2" t="s">
        <v>4161</v>
      </c>
      <c r="D3546" s="2" t="s">
        <v>189</v>
      </c>
      <c r="E3546" s="2" t="s">
        <v>11</v>
      </c>
      <c r="F3546" s="2" t="s">
        <v>18</v>
      </c>
      <c r="G3546" s="2" t="s">
        <v>19</v>
      </c>
      <c r="H3546" s="2" t="s">
        <v>3354</v>
      </c>
      <c r="I3546" s="2" t="s">
        <v>307</v>
      </c>
    </row>
    <row r="3547" spans="1:9" ht="14.5" x14ac:dyDescent="0.35">
      <c r="A3547" s="2">
        <v>2084147</v>
      </c>
      <c r="B3547" s="2" t="str">
        <f>"3328124212050001"</f>
        <v>3328124212050001</v>
      </c>
      <c r="C3547" s="2" t="s">
        <v>4161</v>
      </c>
      <c r="D3547" s="2" t="s">
        <v>17</v>
      </c>
      <c r="E3547" s="2" t="s">
        <v>57</v>
      </c>
      <c r="F3547" s="2" t="s">
        <v>18</v>
      </c>
      <c r="G3547" s="2" t="s">
        <v>962</v>
      </c>
      <c r="H3547" s="2" t="s">
        <v>1899</v>
      </c>
      <c r="I3547" s="2" t="s">
        <v>3317</v>
      </c>
    </row>
    <row r="3548" spans="1:9" ht="14.5" x14ac:dyDescent="0.35">
      <c r="A3548" s="2">
        <v>333115</v>
      </c>
      <c r="B3548" s="2" t="str">
        <f>"3328124404940010"</f>
        <v>3328124404940010</v>
      </c>
      <c r="C3548" s="2" t="s">
        <v>4162</v>
      </c>
      <c r="D3548" s="2" t="s">
        <v>10</v>
      </c>
      <c r="E3548" s="2" t="s">
        <v>11</v>
      </c>
      <c r="F3548" s="2" t="s">
        <v>18</v>
      </c>
      <c r="G3548" s="2" t="s">
        <v>1381</v>
      </c>
      <c r="H3548" s="2" t="s">
        <v>1381</v>
      </c>
      <c r="I3548" s="2" t="s">
        <v>4163</v>
      </c>
    </row>
    <row r="3549" spans="1:9" ht="14.5" x14ac:dyDescent="0.35">
      <c r="A3549" s="2">
        <v>2554729</v>
      </c>
      <c r="B3549" s="2" t="str">
        <f>"3328124404940010"</f>
        <v>3328124404940010</v>
      </c>
      <c r="C3549" s="2" t="s">
        <v>4162</v>
      </c>
      <c r="D3549" s="2" t="s">
        <v>17</v>
      </c>
      <c r="E3549" s="2" t="s">
        <v>11</v>
      </c>
      <c r="F3549" s="2" t="s">
        <v>18</v>
      </c>
      <c r="G3549" s="2" t="s">
        <v>19</v>
      </c>
      <c r="H3549" s="2" t="s">
        <v>3354</v>
      </c>
      <c r="I3549" s="2" t="s">
        <v>307</v>
      </c>
    </row>
    <row r="3550" spans="1:9" ht="14.5" x14ac:dyDescent="0.35">
      <c r="A3550" s="2">
        <v>2458903</v>
      </c>
      <c r="B3550" s="2" t="str">
        <f>"3328124405780008"</f>
        <v>3328124405780008</v>
      </c>
      <c r="C3550" s="2" t="s">
        <v>3620</v>
      </c>
      <c r="D3550" s="2" t="s">
        <v>10</v>
      </c>
      <c r="E3550" s="2" t="s">
        <v>11</v>
      </c>
      <c r="F3550" s="2" t="s">
        <v>18</v>
      </c>
      <c r="G3550" s="2" t="s">
        <v>19</v>
      </c>
      <c r="H3550" s="2" t="s">
        <v>3354</v>
      </c>
      <c r="I3550" s="2" t="s">
        <v>4008</v>
      </c>
    </row>
    <row r="3551" spans="1:9" ht="14.5" x14ac:dyDescent="0.35">
      <c r="A3551" s="2">
        <v>1349044</v>
      </c>
      <c r="B3551" s="2" t="str">
        <f>"3328124405780008"</f>
        <v>3328124405780008</v>
      </c>
      <c r="C3551" s="2" t="s">
        <v>4164</v>
      </c>
      <c r="D3551" s="2" t="s">
        <v>10</v>
      </c>
      <c r="E3551" s="2" t="s">
        <v>57</v>
      </c>
      <c r="F3551" s="2" t="s">
        <v>303</v>
      </c>
      <c r="G3551" s="2" t="s">
        <v>608</v>
      </c>
      <c r="H3551" s="2" t="s">
        <v>609</v>
      </c>
      <c r="I3551" s="2" t="s">
        <v>610</v>
      </c>
    </row>
    <row r="3552" spans="1:9" ht="14.5" x14ac:dyDescent="0.35">
      <c r="A3552" s="2">
        <v>2238252</v>
      </c>
      <c r="B3552" s="2" t="str">
        <f>"3328124406060003"</f>
        <v>3328124406060003</v>
      </c>
      <c r="C3552" s="2" t="s">
        <v>4165</v>
      </c>
      <c r="D3552" s="2" t="s">
        <v>10</v>
      </c>
      <c r="E3552" s="2" t="s">
        <v>11</v>
      </c>
      <c r="F3552" s="2" t="s">
        <v>18</v>
      </c>
      <c r="G3552" s="2" t="s">
        <v>19</v>
      </c>
      <c r="H3552" s="2" t="s">
        <v>3354</v>
      </c>
      <c r="I3552" s="2" t="s">
        <v>613</v>
      </c>
    </row>
    <row r="3553" spans="1:9" ht="14.5" x14ac:dyDescent="0.35">
      <c r="A3553" s="2">
        <v>2084145</v>
      </c>
      <c r="B3553" s="2" t="str">
        <f>"3328124406060003"</f>
        <v>3328124406060003</v>
      </c>
      <c r="C3553" s="2" t="s">
        <v>4166</v>
      </c>
      <c r="D3553" s="2" t="s">
        <v>17</v>
      </c>
      <c r="E3553" s="2" t="s">
        <v>57</v>
      </c>
      <c r="F3553" s="2" t="s">
        <v>18</v>
      </c>
      <c r="G3553" s="2" t="s">
        <v>962</v>
      </c>
      <c r="H3553" s="2" t="s">
        <v>1899</v>
      </c>
      <c r="I3553" s="2" t="s">
        <v>3317</v>
      </c>
    </row>
    <row r="3554" spans="1:9" ht="14.5" x14ac:dyDescent="0.35">
      <c r="A3554" s="2">
        <v>2327511</v>
      </c>
      <c r="B3554" s="2" t="str">
        <f>"3328124702670003"</f>
        <v>3328124702670003</v>
      </c>
      <c r="C3554" s="2" t="s">
        <v>4167</v>
      </c>
      <c r="D3554" s="2" t="s">
        <v>10</v>
      </c>
      <c r="E3554" s="2" t="s">
        <v>11</v>
      </c>
      <c r="F3554" s="2" t="s">
        <v>18</v>
      </c>
      <c r="G3554" s="2" t="s">
        <v>19</v>
      </c>
      <c r="H3554" s="2" t="s">
        <v>3354</v>
      </c>
      <c r="I3554" s="2" t="s">
        <v>307</v>
      </c>
    </row>
    <row r="3555" spans="1:9" ht="14.5" x14ac:dyDescent="0.35">
      <c r="A3555" s="2">
        <v>1349046</v>
      </c>
      <c r="B3555" s="2" t="str">
        <f>"3328124702670003"</f>
        <v>3328124702670003</v>
      </c>
      <c r="C3555" s="2" t="s">
        <v>4168</v>
      </c>
      <c r="D3555" s="2" t="s">
        <v>10</v>
      </c>
      <c r="E3555" s="2" t="s">
        <v>57</v>
      </c>
      <c r="F3555" s="2" t="s">
        <v>303</v>
      </c>
      <c r="G3555" s="2" t="s">
        <v>608</v>
      </c>
      <c r="H3555" s="2" t="s">
        <v>609</v>
      </c>
      <c r="I3555" s="2" t="s">
        <v>610</v>
      </c>
    </row>
    <row r="3556" spans="1:9" ht="14.5" x14ac:dyDescent="0.35">
      <c r="A3556" s="2">
        <v>204527</v>
      </c>
      <c r="B3556" s="2" t="str">
        <f>"3328125008040003"</f>
        <v>3328125008040003</v>
      </c>
      <c r="C3556" s="2" t="s">
        <v>4169</v>
      </c>
      <c r="D3556" s="2" t="s">
        <v>10</v>
      </c>
      <c r="E3556" s="2" t="s">
        <v>11</v>
      </c>
      <c r="F3556" s="2" t="s">
        <v>18</v>
      </c>
      <c r="G3556" s="2" t="s">
        <v>268</v>
      </c>
      <c r="H3556" s="2" t="s">
        <v>371</v>
      </c>
      <c r="I3556" s="2" t="s">
        <v>2769</v>
      </c>
    </row>
    <row r="3557" spans="1:9" ht="14.5" x14ac:dyDescent="0.35">
      <c r="A3557" s="2">
        <v>2555131</v>
      </c>
      <c r="B3557" s="2" t="str">
        <f>"3328125008040003"</f>
        <v>3328125008040003</v>
      </c>
      <c r="C3557" s="2" t="s">
        <v>4170</v>
      </c>
      <c r="D3557" s="2" t="s">
        <v>17</v>
      </c>
      <c r="E3557" s="2" t="s">
        <v>11</v>
      </c>
      <c r="F3557" s="2" t="s">
        <v>18</v>
      </c>
      <c r="G3557" s="2" t="s">
        <v>19</v>
      </c>
      <c r="H3557" s="2" t="s">
        <v>3354</v>
      </c>
      <c r="I3557" s="2" t="s">
        <v>3354</v>
      </c>
    </row>
    <row r="3558" spans="1:9" ht="14.5" x14ac:dyDescent="0.35">
      <c r="A3558" s="2">
        <v>2341927</v>
      </c>
      <c r="B3558" s="2" t="str">
        <f>"3328125108800007"</f>
        <v>3328125108800007</v>
      </c>
      <c r="C3558" s="2" t="s">
        <v>4171</v>
      </c>
      <c r="D3558" s="2" t="s">
        <v>10</v>
      </c>
      <c r="E3558" s="2" t="s">
        <v>11</v>
      </c>
      <c r="F3558" s="2" t="s">
        <v>18</v>
      </c>
      <c r="G3558" s="2" t="s">
        <v>19</v>
      </c>
      <c r="H3558" s="2" t="s">
        <v>3354</v>
      </c>
      <c r="I3558" s="2" t="s">
        <v>4026</v>
      </c>
    </row>
    <row r="3559" spans="1:9" ht="14.5" x14ac:dyDescent="0.35">
      <c r="A3559" s="2">
        <v>423743</v>
      </c>
      <c r="B3559" s="2" t="str">
        <f>"3328125108800007"</f>
        <v>3328125108800007</v>
      </c>
      <c r="C3559" s="2" t="s">
        <v>4172</v>
      </c>
      <c r="D3559" s="2" t="s">
        <v>10</v>
      </c>
      <c r="E3559" s="2" t="s">
        <v>57</v>
      </c>
      <c r="F3559" s="2" t="s">
        <v>18</v>
      </c>
      <c r="G3559" s="2" t="s">
        <v>268</v>
      </c>
      <c r="H3559" s="2" t="s">
        <v>277</v>
      </c>
      <c r="I3559" s="2" t="s">
        <v>278</v>
      </c>
    </row>
    <row r="3560" spans="1:9" ht="14.5" x14ac:dyDescent="0.35">
      <c r="A3560" s="2">
        <v>2440580</v>
      </c>
      <c r="B3560" s="2" t="str">
        <f>"3328125205030006"</f>
        <v>3328125205030006</v>
      </c>
      <c r="C3560" s="2" t="s">
        <v>4173</v>
      </c>
      <c r="D3560" s="2" t="s">
        <v>10</v>
      </c>
      <c r="E3560" s="2" t="s">
        <v>11</v>
      </c>
      <c r="F3560" s="2" t="s">
        <v>18</v>
      </c>
      <c r="G3560" s="2" t="s">
        <v>19</v>
      </c>
      <c r="H3560" s="2" t="s">
        <v>3354</v>
      </c>
      <c r="I3560" s="2" t="s">
        <v>4076</v>
      </c>
    </row>
    <row r="3561" spans="1:9" ht="14.5" x14ac:dyDescent="0.35">
      <c r="A3561" s="2">
        <v>1862497</v>
      </c>
      <c r="B3561" s="2" t="str">
        <f>"3328125205030006"</f>
        <v>3328125205030006</v>
      </c>
      <c r="C3561" s="2" t="s">
        <v>4173</v>
      </c>
      <c r="D3561" s="2" t="s">
        <v>10</v>
      </c>
      <c r="E3561" s="2" t="s">
        <v>57</v>
      </c>
      <c r="F3561" s="2" t="s">
        <v>18</v>
      </c>
      <c r="G3561" s="2" t="s">
        <v>733</v>
      </c>
      <c r="H3561" s="2" t="s">
        <v>733</v>
      </c>
      <c r="I3561" s="2" t="s">
        <v>734</v>
      </c>
    </row>
    <row r="3562" spans="1:9" ht="14.5" x14ac:dyDescent="0.35">
      <c r="A3562" s="2">
        <v>813192</v>
      </c>
      <c r="B3562" s="2" t="str">
        <f>"3328125303800001"</f>
        <v>3328125303800001</v>
      </c>
      <c r="C3562" s="2" t="s">
        <v>4174</v>
      </c>
      <c r="D3562" s="2" t="s">
        <v>10</v>
      </c>
      <c r="E3562" s="2" t="s">
        <v>11</v>
      </c>
      <c r="F3562" s="2" t="s">
        <v>50</v>
      </c>
      <c r="G3562" s="2" t="s">
        <v>72</v>
      </c>
      <c r="H3562" s="2" t="s">
        <v>73</v>
      </c>
      <c r="I3562" s="2" t="s">
        <v>74</v>
      </c>
    </row>
    <row r="3563" spans="1:9" ht="14.5" x14ac:dyDescent="0.35">
      <c r="A3563" s="2">
        <v>2553861</v>
      </c>
      <c r="B3563" s="2" t="str">
        <f>"3328125303800001"</f>
        <v>3328125303800001</v>
      </c>
      <c r="C3563" s="2" t="s">
        <v>4174</v>
      </c>
      <c r="D3563" s="2" t="s">
        <v>17</v>
      </c>
      <c r="E3563" s="2" t="s">
        <v>11</v>
      </c>
      <c r="F3563" s="2" t="s">
        <v>18</v>
      </c>
      <c r="G3563" s="2" t="s">
        <v>19</v>
      </c>
      <c r="H3563" s="2" t="s">
        <v>3354</v>
      </c>
      <c r="I3563" s="2" t="s">
        <v>4022</v>
      </c>
    </row>
    <row r="3564" spans="1:9" ht="14.5" x14ac:dyDescent="0.35">
      <c r="A3564" s="2">
        <v>2433552</v>
      </c>
      <c r="B3564" s="2" t="str">
        <f>"3328125410060004"</f>
        <v>3328125410060004</v>
      </c>
      <c r="C3564" s="2" t="s">
        <v>4175</v>
      </c>
      <c r="D3564" s="2" t="s">
        <v>189</v>
      </c>
      <c r="E3564" s="2" t="s">
        <v>11</v>
      </c>
      <c r="F3564" s="2" t="s">
        <v>18</v>
      </c>
      <c r="G3564" s="2" t="s">
        <v>19</v>
      </c>
      <c r="H3564" s="2" t="s">
        <v>3354</v>
      </c>
      <c r="I3564" s="2" t="s">
        <v>3999</v>
      </c>
    </row>
    <row r="3565" spans="1:9" ht="14.5" x14ac:dyDescent="0.35">
      <c r="A3565" s="2">
        <v>1352915</v>
      </c>
      <c r="B3565" s="2" t="str">
        <f>"3328125410060004"</f>
        <v>3328125410060004</v>
      </c>
      <c r="C3565" s="2" t="s">
        <v>4175</v>
      </c>
      <c r="D3565" s="2" t="s">
        <v>10</v>
      </c>
      <c r="E3565" s="2" t="s">
        <v>57</v>
      </c>
      <c r="F3565" s="2" t="s">
        <v>303</v>
      </c>
      <c r="G3565" s="2" t="s">
        <v>608</v>
      </c>
      <c r="H3565" s="2" t="s">
        <v>609</v>
      </c>
      <c r="I3565" s="2" t="s">
        <v>610</v>
      </c>
    </row>
    <row r="3566" spans="1:9" ht="14.5" x14ac:dyDescent="0.35">
      <c r="A3566" s="2">
        <v>1198834</v>
      </c>
      <c r="B3566" s="2" t="str">
        <f>"3328125505930004"</f>
        <v>3328125505930004</v>
      </c>
      <c r="C3566" s="2" t="s">
        <v>4176</v>
      </c>
      <c r="D3566" s="2" t="s">
        <v>10</v>
      </c>
      <c r="E3566" s="2" t="s">
        <v>11</v>
      </c>
      <c r="F3566" s="2" t="s">
        <v>91</v>
      </c>
      <c r="G3566" s="2" t="s">
        <v>320</v>
      </c>
      <c r="H3566" s="2" t="s">
        <v>368</v>
      </c>
      <c r="I3566" s="2" t="s">
        <v>3266</v>
      </c>
    </row>
    <row r="3567" spans="1:9" ht="14.5" x14ac:dyDescent="0.35">
      <c r="A3567" s="2">
        <v>2554408</v>
      </c>
      <c r="B3567" s="2" t="str">
        <f>"3328125505930004"</f>
        <v>3328125505930004</v>
      </c>
      <c r="C3567" s="2" t="s">
        <v>4177</v>
      </c>
      <c r="D3567" s="2" t="s">
        <v>17</v>
      </c>
      <c r="E3567" s="2" t="s">
        <v>11</v>
      </c>
      <c r="F3567" s="2" t="s">
        <v>18</v>
      </c>
      <c r="G3567" s="2" t="s">
        <v>19</v>
      </c>
      <c r="H3567" s="2" t="s">
        <v>3354</v>
      </c>
      <c r="I3567" s="2" t="s">
        <v>3999</v>
      </c>
    </row>
    <row r="3568" spans="1:9" ht="14.5" x14ac:dyDescent="0.35">
      <c r="A3568" s="2">
        <v>2187737</v>
      </c>
      <c r="B3568" s="2" t="str">
        <f>"3328125506920006"</f>
        <v>3328125506920006</v>
      </c>
      <c r="C3568" s="2" t="s">
        <v>4178</v>
      </c>
      <c r="D3568" s="2" t="s">
        <v>10</v>
      </c>
      <c r="E3568" s="2" t="s">
        <v>11</v>
      </c>
      <c r="F3568" s="2" t="s">
        <v>18</v>
      </c>
      <c r="G3568" s="2" t="s">
        <v>19</v>
      </c>
      <c r="H3568" s="2" t="s">
        <v>3354</v>
      </c>
      <c r="I3568" s="2" t="s">
        <v>4012</v>
      </c>
    </row>
    <row r="3569" spans="1:9" ht="14.5" x14ac:dyDescent="0.35">
      <c r="A3569" s="2">
        <v>421656</v>
      </c>
      <c r="B3569" s="2" t="str">
        <f>"3328125506920006"</f>
        <v>3328125506920006</v>
      </c>
      <c r="C3569" s="2" t="s">
        <v>4179</v>
      </c>
      <c r="D3569" s="2" t="s">
        <v>17</v>
      </c>
      <c r="E3569" s="2" t="s">
        <v>11</v>
      </c>
      <c r="F3569" s="2" t="s">
        <v>18</v>
      </c>
      <c r="G3569" s="2" t="s">
        <v>268</v>
      </c>
      <c r="H3569" s="2" t="s">
        <v>371</v>
      </c>
      <c r="I3569" s="2" t="s">
        <v>2772</v>
      </c>
    </row>
    <row r="3570" spans="1:9" ht="14.5" x14ac:dyDescent="0.35">
      <c r="A3570" s="2">
        <v>2429021</v>
      </c>
      <c r="B3570" s="2" t="str">
        <f>"3328125507020003"</f>
        <v>3328125507020003</v>
      </c>
      <c r="C3570" s="2" t="s">
        <v>4180</v>
      </c>
      <c r="D3570" s="2" t="s">
        <v>10</v>
      </c>
      <c r="E3570" s="2" t="s">
        <v>11</v>
      </c>
      <c r="F3570" s="2" t="s">
        <v>18</v>
      </c>
      <c r="G3570" s="2" t="s">
        <v>19</v>
      </c>
      <c r="H3570" s="2" t="s">
        <v>3354</v>
      </c>
      <c r="I3570" s="2" t="s">
        <v>3354</v>
      </c>
    </row>
    <row r="3571" spans="1:9" ht="14.5" x14ac:dyDescent="0.35">
      <c r="A3571" s="2">
        <v>743028</v>
      </c>
      <c r="B3571" s="2" t="str">
        <f>"3328125507020003"</f>
        <v>3328125507020003</v>
      </c>
      <c r="C3571" s="2" t="s">
        <v>4180</v>
      </c>
      <c r="D3571" s="2" t="s">
        <v>17</v>
      </c>
      <c r="E3571" s="2" t="s">
        <v>11</v>
      </c>
      <c r="F3571" s="2" t="s">
        <v>18</v>
      </c>
      <c r="G3571" s="2" t="s">
        <v>1381</v>
      </c>
      <c r="H3571" s="2" t="s">
        <v>4181</v>
      </c>
      <c r="I3571" s="2" t="s">
        <v>4182</v>
      </c>
    </row>
    <row r="3572" spans="1:9" ht="14.5" x14ac:dyDescent="0.35">
      <c r="A3572" s="2">
        <v>2192449</v>
      </c>
      <c r="B3572" s="2" t="str">
        <f>"3328125606850005"</f>
        <v>3328125606850005</v>
      </c>
      <c r="C3572" s="2" t="s">
        <v>4183</v>
      </c>
      <c r="D3572" s="2" t="s">
        <v>10</v>
      </c>
      <c r="E3572" s="2" t="s">
        <v>11</v>
      </c>
      <c r="F3572" s="2" t="s">
        <v>18</v>
      </c>
      <c r="G3572" s="2" t="s">
        <v>19</v>
      </c>
      <c r="H3572" s="2" t="s">
        <v>3354</v>
      </c>
      <c r="I3572" s="2" t="s">
        <v>4014</v>
      </c>
    </row>
    <row r="3573" spans="1:9" ht="14.5" x14ac:dyDescent="0.35">
      <c r="A3573" s="2">
        <v>1352176</v>
      </c>
      <c r="B3573" s="2" t="str">
        <f>"3328125606850005"</f>
        <v>3328125606850005</v>
      </c>
      <c r="C3573" s="2" t="s">
        <v>4184</v>
      </c>
      <c r="D3573" s="2" t="s">
        <v>10</v>
      </c>
      <c r="E3573" s="2" t="s">
        <v>57</v>
      </c>
      <c r="F3573" s="2" t="s">
        <v>303</v>
      </c>
      <c r="G3573" s="2" t="s">
        <v>608</v>
      </c>
      <c r="H3573" s="2" t="s">
        <v>609</v>
      </c>
      <c r="I3573" s="2" t="s">
        <v>610</v>
      </c>
    </row>
    <row r="3574" spans="1:9" ht="14.5" x14ac:dyDescent="0.35">
      <c r="A3574" s="2">
        <v>2200166</v>
      </c>
      <c r="B3574" s="2" t="str">
        <f>"3328125803000003"</f>
        <v>3328125803000003</v>
      </c>
      <c r="C3574" s="2" t="s">
        <v>4185</v>
      </c>
      <c r="D3574" s="2" t="s">
        <v>189</v>
      </c>
      <c r="E3574" s="2" t="s">
        <v>11</v>
      </c>
      <c r="F3574" s="2" t="s">
        <v>18</v>
      </c>
      <c r="G3574" s="2" t="s">
        <v>19</v>
      </c>
      <c r="H3574" s="2" t="s">
        <v>3354</v>
      </c>
      <c r="I3574" s="2" t="s">
        <v>1954</v>
      </c>
    </row>
    <row r="3575" spans="1:9" ht="14.5" x14ac:dyDescent="0.35">
      <c r="A3575" s="2">
        <v>2571657</v>
      </c>
      <c r="B3575" s="2" t="str">
        <f>"3328125803000003"</f>
        <v>3328125803000003</v>
      </c>
      <c r="C3575" s="2" t="s">
        <v>4186</v>
      </c>
      <c r="D3575" s="2" t="s">
        <v>17</v>
      </c>
      <c r="E3575" s="2" t="s">
        <v>11</v>
      </c>
      <c r="F3575" s="2" t="s">
        <v>18</v>
      </c>
      <c r="G3575" s="2" t="s">
        <v>19</v>
      </c>
      <c r="H3575" s="2" t="s">
        <v>3565</v>
      </c>
      <c r="I3575" s="2" t="s">
        <v>678</v>
      </c>
    </row>
    <row r="3576" spans="1:9" ht="14.5" x14ac:dyDescent="0.35">
      <c r="A3576" s="2">
        <v>2208095</v>
      </c>
      <c r="B3576" s="2" t="str">
        <f>"3328126001860001"</f>
        <v>3328126001860001</v>
      </c>
      <c r="C3576" s="2" t="s">
        <v>4187</v>
      </c>
      <c r="D3576" s="2" t="s">
        <v>10</v>
      </c>
      <c r="E3576" s="2" t="s">
        <v>11</v>
      </c>
      <c r="F3576" s="2" t="s">
        <v>18</v>
      </c>
      <c r="G3576" s="2" t="s">
        <v>19</v>
      </c>
      <c r="H3576" s="2" t="s">
        <v>3354</v>
      </c>
      <c r="I3576" s="2" t="s">
        <v>4057</v>
      </c>
    </row>
    <row r="3577" spans="1:9" ht="14.5" x14ac:dyDescent="0.35">
      <c r="A3577" s="2">
        <v>2051385</v>
      </c>
      <c r="B3577" s="2" t="str">
        <f>"3328126001860001"</f>
        <v>3328126001860001</v>
      </c>
      <c r="C3577" s="2" t="s">
        <v>4188</v>
      </c>
      <c r="D3577" s="2" t="s">
        <v>17</v>
      </c>
      <c r="E3577" s="2" t="s">
        <v>11</v>
      </c>
      <c r="F3577" s="2" t="s">
        <v>18</v>
      </c>
      <c r="G3577" s="2" t="s">
        <v>962</v>
      </c>
      <c r="H3577" s="2" t="s">
        <v>4189</v>
      </c>
      <c r="I3577" s="2" t="s">
        <v>4190</v>
      </c>
    </row>
    <row r="3578" spans="1:9" ht="14.5" x14ac:dyDescent="0.35">
      <c r="A3578" s="2">
        <v>965060</v>
      </c>
      <c r="B3578" s="2" t="str">
        <f>"3328126012910013"</f>
        <v>3328126012910013</v>
      </c>
      <c r="C3578" s="2" t="s">
        <v>4191</v>
      </c>
      <c r="D3578" s="2" t="s">
        <v>10</v>
      </c>
      <c r="E3578" s="2" t="s">
        <v>11</v>
      </c>
      <c r="F3578" s="2" t="s">
        <v>303</v>
      </c>
      <c r="G3578" s="2" t="s">
        <v>1855</v>
      </c>
      <c r="H3578" s="2" t="s">
        <v>4192</v>
      </c>
      <c r="I3578" s="2" t="s">
        <v>4193</v>
      </c>
    </row>
    <row r="3579" spans="1:9" ht="14.5" x14ac:dyDescent="0.35">
      <c r="A3579" s="2">
        <v>2554483</v>
      </c>
      <c r="B3579" s="2" t="str">
        <f>"3328126012910013"</f>
        <v>3328126012910013</v>
      </c>
      <c r="C3579" s="2" t="s">
        <v>4191</v>
      </c>
      <c r="D3579" s="2" t="s">
        <v>17</v>
      </c>
      <c r="E3579" s="2" t="s">
        <v>11</v>
      </c>
      <c r="F3579" s="2" t="s">
        <v>18</v>
      </c>
      <c r="G3579" s="2" t="s">
        <v>19</v>
      </c>
      <c r="H3579" s="2" t="s">
        <v>3354</v>
      </c>
      <c r="I3579" s="2" t="s">
        <v>3999</v>
      </c>
    </row>
    <row r="3580" spans="1:9" ht="14.5" x14ac:dyDescent="0.35">
      <c r="A3580" s="2">
        <v>463782</v>
      </c>
      <c r="B3580" s="2" t="str">
        <f>"3328126106520001"</f>
        <v>3328126106520001</v>
      </c>
      <c r="C3580" s="2" t="s">
        <v>4194</v>
      </c>
      <c r="D3580" s="2" t="s">
        <v>10</v>
      </c>
      <c r="E3580" s="2" t="s">
        <v>11</v>
      </c>
      <c r="F3580" s="2" t="s">
        <v>50</v>
      </c>
      <c r="G3580" s="2" t="s">
        <v>72</v>
      </c>
      <c r="H3580" s="2" t="s">
        <v>1840</v>
      </c>
      <c r="I3580" s="2" t="s">
        <v>4195</v>
      </c>
    </row>
    <row r="3581" spans="1:9" ht="14.5" x14ac:dyDescent="0.35">
      <c r="A3581" s="2">
        <v>2553841</v>
      </c>
      <c r="B3581" s="2" t="str">
        <f>"3328126106520001"</f>
        <v>3328126106520001</v>
      </c>
      <c r="C3581" s="2" t="s">
        <v>4196</v>
      </c>
      <c r="D3581" s="2" t="s">
        <v>17</v>
      </c>
      <c r="E3581" s="2" t="s">
        <v>11</v>
      </c>
      <c r="F3581" s="2" t="s">
        <v>18</v>
      </c>
      <c r="G3581" s="2" t="s">
        <v>19</v>
      </c>
      <c r="H3581" s="2" t="s">
        <v>3354</v>
      </c>
      <c r="I3581" s="2" t="s">
        <v>4022</v>
      </c>
    </row>
    <row r="3582" spans="1:9" ht="14.5" x14ac:dyDescent="0.35">
      <c r="A3582" s="2">
        <v>2328298</v>
      </c>
      <c r="B3582" s="2" t="str">
        <f>"3328126108060002"</f>
        <v>3328126108060002</v>
      </c>
      <c r="C3582" s="2" t="s">
        <v>4197</v>
      </c>
      <c r="D3582" s="2" t="s">
        <v>10</v>
      </c>
      <c r="E3582" s="2" t="s">
        <v>11</v>
      </c>
      <c r="F3582" s="2" t="s">
        <v>18</v>
      </c>
      <c r="G3582" s="2" t="s">
        <v>19</v>
      </c>
      <c r="H3582" s="2" t="s">
        <v>3354</v>
      </c>
      <c r="I3582" s="2" t="s">
        <v>307</v>
      </c>
    </row>
    <row r="3583" spans="1:9" ht="14.5" x14ac:dyDescent="0.35">
      <c r="A3583" s="2">
        <v>2084146</v>
      </c>
      <c r="B3583" s="2" t="str">
        <f>"3328126108060002"</f>
        <v>3328126108060002</v>
      </c>
      <c r="C3583" s="2" t="s">
        <v>4197</v>
      </c>
      <c r="D3583" s="2" t="s">
        <v>17</v>
      </c>
      <c r="E3583" s="2" t="s">
        <v>57</v>
      </c>
      <c r="F3583" s="2" t="s">
        <v>18</v>
      </c>
      <c r="G3583" s="2" t="s">
        <v>962</v>
      </c>
      <c r="H3583" s="2" t="s">
        <v>1899</v>
      </c>
      <c r="I3583" s="2" t="s">
        <v>3317</v>
      </c>
    </row>
    <row r="3584" spans="1:9" ht="14.5" x14ac:dyDescent="0.35">
      <c r="A3584" s="2">
        <v>2262589</v>
      </c>
      <c r="B3584" s="2" t="str">
        <f>"3328126204020009"</f>
        <v>3328126204020009</v>
      </c>
      <c r="C3584" s="2" t="s">
        <v>4198</v>
      </c>
      <c r="D3584" s="2" t="s">
        <v>10</v>
      </c>
      <c r="E3584" s="2" t="s">
        <v>11</v>
      </c>
      <c r="F3584" s="2" t="s">
        <v>18</v>
      </c>
      <c r="G3584" s="2" t="s">
        <v>19</v>
      </c>
      <c r="H3584" s="2" t="s">
        <v>3354</v>
      </c>
      <c r="I3584" s="2" t="s">
        <v>4022</v>
      </c>
    </row>
    <row r="3585" spans="1:9" ht="14.5" x14ac:dyDescent="0.35">
      <c r="A3585" s="2">
        <v>1352916</v>
      </c>
      <c r="B3585" s="2" t="str">
        <f>"3328126204020009"</f>
        <v>3328126204020009</v>
      </c>
      <c r="C3585" s="2" t="s">
        <v>4198</v>
      </c>
      <c r="D3585" s="2" t="s">
        <v>10</v>
      </c>
      <c r="E3585" s="2" t="s">
        <v>57</v>
      </c>
      <c r="F3585" s="2" t="s">
        <v>303</v>
      </c>
      <c r="G3585" s="2" t="s">
        <v>608</v>
      </c>
      <c r="H3585" s="2" t="s">
        <v>609</v>
      </c>
      <c r="I3585" s="2" t="s">
        <v>610</v>
      </c>
    </row>
    <row r="3586" spans="1:9" ht="14.5" x14ac:dyDescent="0.35">
      <c r="A3586" s="2">
        <v>421852</v>
      </c>
      <c r="B3586" s="2" t="str">
        <f>"3328126412960002"</f>
        <v>3328126412960002</v>
      </c>
      <c r="C3586" s="2" t="s">
        <v>4199</v>
      </c>
      <c r="D3586" s="2" t="s">
        <v>17</v>
      </c>
      <c r="E3586" s="2" t="s">
        <v>11</v>
      </c>
      <c r="F3586" s="2" t="s">
        <v>18</v>
      </c>
      <c r="G3586" s="2" t="s">
        <v>268</v>
      </c>
      <c r="H3586" s="2" t="s">
        <v>269</v>
      </c>
      <c r="I3586" s="2" t="s">
        <v>3140</v>
      </c>
    </row>
    <row r="3587" spans="1:9" ht="14.5" x14ac:dyDescent="0.35">
      <c r="A3587" s="2">
        <v>2360734</v>
      </c>
      <c r="B3587" s="2" t="str">
        <f>"3328126412960002"</f>
        <v>3328126412960002</v>
      </c>
      <c r="C3587" s="2" t="s">
        <v>4200</v>
      </c>
      <c r="D3587" s="2" t="s">
        <v>189</v>
      </c>
      <c r="E3587" s="2" t="s">
        <v>11</v>
      </c>
      <c r="F3587" s="2" t="s">
        <v>18</v>
      </c>
      <c r="G3587" s="2" t="s">
        <v>19</v>
      </c>
      <c r="H3587" s="2" t="s">
        <v>3354</v>
      </c>
      <c r="I3587" s="2" t="s">
        <v>1309</v>
      </c>
    </row>
    <row r="3588" spans="1:9" ht="14.5" x14ac:dyDescent="0.35">
      <c r="A3588" s="2">
        <v>2337895</v>
      </c>
      <c r="B3588" s="2" t="str">
        <f>"3328126510940002"</f>
        <v>3328126510940002</v>
      </c>
      <c r="C3588" s="2" t="s">
        <v>4201</v>
      </c>
      <c r="D3588" s="2" t="s">
        <v>189</v>
      </c>
      <c r="E3588" s="2" t="s">
        <v>11</v>
      </c>
      <c r="F3588" s="2" t="s">
        <v>18</v>
      </c>
      <c r="G3588" s="2" t="s">
        <v>19</v>
      </c>
      <c r="H3588" s="2" t="s">
        <v>3354</v>
      </c>
      <c r="I3588" s="2" t="s">
        <v>4026</v>
      </c>
    </row>
    <row r="3589" spans="1:9" ht="14.5" x14ac:dyDescent="0.35">
      <c r="A3589" s="2">
        <v>1862296</v>
      </c>
      <c r="B3589" s="2" t="str">
        <f>"3328126510940002"</f>
        <v>3328126510940002</v>
      </c>
      <c r="C3589" s="2" t="s">
        <v>4202</v>
      </c>
      <c r="D3589" s="2" t="s">
        <v>17</v>
      </c>
      <c r="E3589" s="2" t="s">
        <v>11</v>
      </c>
      <c r="F3589" s="2" t="s">
        <v>91</v>
      </c>
      <c r="G3589" s="2" t="s">
        <v>320</v>
      </c>
      <c r="H3589" s="2" t="s">
        <v>368</v>
      </c>
      <c r="I3589" s="2" t="s">
        <v>368</v>
      </c>
    </row>
    <row r="3590" spans="1:9" ht="14.5" x14ac:dyDescent="0.35">
      <c r="A3590" s="2">
        <v>2194638</v>
      </c>
      <c r="B3590" s="2" t="str">
        <f>"3328126709860001"</f>
        <v>3328126709860001</v>
      </c>
      <c r="C3590" s="2" t="s">
        <v>4203</v>
      </c>
      <c r="D3590" s="2" t="s">
        <v>10</v>
      </c>
      <c r="E3590" s="2" t="s">
        <v>11</v>
      </c>
      <c r="F3590" s="2" t="s">
        <v>18</v>
      </c>
      <c r="G3590" s="2" t="s">
        <v>19</v>
      </c>
      <c r="H3590" s="2" t="s">
        <v>3354</v>
      </c>
      <c r="I3590" s="2" t="s">
        <v>4098</v>
      </c>
    </row>
    <row r="3591" spans="1:9" ht="14.5" x14ac:dyDescent="0.35">
      <c r="A3591" s="2">
        <v>1638086</v>
      </c>
      <c r="B3591" s="2" t="str">
        <f>"3328126709860001"</f>
        <v>3328126709860001</v>
      </c>
      <c r="C3591" s="2" t="s">
        <v>4203</v>
      </c>
      <c r="D3591" s="2" t="s">
        <v>17</v>
      </c>
      <c r="E3591" s="2" t="s">
        <v>11</v>
      </c>
      <c r="F3591" s="2" t="s">
        <v>18</v>
      </c>
      <c r="G3591" s="2" t="s">
        <v>264</v>
      </c>
      <c r="H3591" s="2" t="s">
        <v>264</v>
      </c>
      <c r="I3591" s="2" t="s">
        <v>1637</v>
      </c>
    </row>
    <row r="3592" spans="1:9" ht="14.5" x14ac:dyDescent="0.35">
      <c r="A3592" s="2">
        <v>2237057</v>
      </c>
      <c r="B3592" s="2" t="str">
        <f>"3328126709940004"</f>
        <v>3328126709940004</v>
      </c>
      <c r="C3592" s="2" t="s">
        <v>4204</v>
      </c>
      <c r="D3592" s="2" t="s">
        <v>10</v>
      </c>
      <c r="E3592" s="2" t="s">
        <v>11</v>
      </c>
      <c r="F3592" s="2" t="s">
        <v>18</v>
      </c>
      <c r="G3592" s="2" t="s">
        <v>19</v>
      </c>
      <c r="H3592" s="2" t="s">
        <v>3354</v>
      </c>
      <c r="I3592" s="2" t="s">
        <v>613</v>
      </c>
    </row>
    <row r="3593" spans="1:9" ht="14.5" x14ac:dyDescent="0.35">
      <c r="A3593" s="2">
        <v>135260</v>
      </c>
      <c r="B3593" s="2" t="str">
        <f>"3328126709940004"</f>
        <v>3328126709940004</v>
      </c>
      <c r="C3593" s="2" t="s">
        <v>4205</v>
      </c>
      <c r="D3593" s="2" t="s">
        <v>17</v>
      </c>
      <c r="E3593" s="2" t="s">
        <v>57</v>
      </c>
      <c r="F3593" s="2" t="s">
        <v>303</v>
      </c>
      <c r="G3593" s="2" t="s">
        <v>4206</v>
      </c>
      <c r="H3593" s="2" t="s">
        <v>4207</v>
      </c>
      <c r="I3593" s="2" t="s">
        <v>4208</v>
      </c>
    </row>
    <row r="3594" spans="1:9" ht="14.5" x14ac:dyDescent="0.35">
      <c r="A3594" s="2">
        <v>2215806</v>
      </c>
      <c r="B3594" s="2" t="str">
        <f>"3328126810980007"</f>
        <v>3328126810980007</v>
      </c>
      <c r="C3594" s="2" t="s">
        <v>4209</v>
      </c>
      <c r="D3594" s="2" t="s">
        <v>10</v>
      </c>
      <c r="E3594" s="2" t="s">
        <v>11</v>
      </c>
      <c r="F3594" s="2" t="s">
        <v>18</v>
      </c>
      <c r="G3594" s="2" t="s">
        <v>19</v>
      </c>
      <c r="H3594" s="2" t="s">
        <v>3354</v>
      </c>
      <c r="I3594" s="2" t="s">
        <v>131</v>
      </c>
    </row>
    <row r="3595" spans="1:9" ht="14.5" x14ac:dyDescent="0.35">
      <c r="A3595" s="2">
        <v>1801957</v>
      </c>
      <c r="B3595" s="2" t="str">
        <f>"3328126810980007"</f>
        <v>3328126810980007</v>
      </c>
      <c r="C3595" s="2" t="s">
        <v>4209</v>
      </c>
      <c r="D3595" s="2" t="s">
        <v>17</v>
      </c>
      <c r="E3595" s="2" t="s">
        <v>11</v>
      </c>
      <c r="F3595" s="2" t="s">
        <v>50</v>
      </c>
      <c r="G3595" s="2" t="s">
        <v>72</v>
      </c>
      <c r="H3595" s="2" t="s">
        <v>541</v>
      </c>
      <c r="I3595" s="2" t="s">
        <v>4210</v>
      </c>
    </row>
    <row r="3596" spans="1:9" ht="14.5" x14ac:dyDescent="0.35">
      <c r="A3596" s="2">
        <v>423256</v>
      </c>
      <c r="B3596" s="2" t="str">
        <f>"3328126901970002"</f>
        <v>3328126901970002</v>
      </c>
      <c r="C3596" s="2" t="s">
        <v>4211</v>
      </c>
      <c r="D3596" s="2" t="s">
        <v>17</v>
      </c>
      <c r="E3596" s="2" t="s">
        <v>11</v>
      </c>
      <c r="F3596" s="2" t="s">
        <v>18</v>
      </c>
      <c r="G3596" s="2" t="s">
        <v>268</v>
      </c>
      <c r="H3596" s="2" t="s">
        <v>269</v>
      </c>
      <c r="I3596" s="2" t="s">
        <v>1662</v>
      </c>
    </row>
    <row r="3597" spans="1:9" ht="14.5" x14ac:dyDescent="0.35">
      <c r="A3597" s="2">
        <v>2329110</v>
      </c>
      <c r="B3597" s="2" t="str">
        <f>"3328126901970002"</f>
        <v>3328126901970002</v>
      </c>
      <c r="C3597" s="2" t="s">
        <v>4211</v>
      </c>
      <c r="D3597" s="2" t="s">
        <v>189</v>
      </c>
      <c r="E3597" s="2" t="s">
        <v>11</v>
      </c>
      <c r="F3597" s="2" t="s">
        <v>18</v>
      </c>
      <c r="G3597" s="2" t="s">
        <v>19</v>
      </c>
      <c r="H3597" s="2" t="s">
        <v>3354</v>
      </c>
      <c r="I3597" s="2" t="s">
        <v>307</v>
      </c>
    </row>
    <row r="3598" spans="1:9" ht="14.5" x14ac:dyDescent="0.35">
      <c r="A3598" s="2">
        <v>2429694</v>
      </c>
      <c r="B3598" s="2" t="str">
        <f>"3328126905020001"</f>
        <v>3328126905020001</v>
      </c>
      <c r="C3598" s="2" t="s">
        <v>4212</v>
      </c>
      <c r="D3598" s="2" t="s">
        <v>10</v>
      </c>
      <c r="E3598" s="2" t="s">
        <v>11</v>
      </c>
      <c r="F3598" s="2" t="s">
        <v>18</v>
      </c>
      <c r="G3598" s="2" t="s">
        <v>19</v>
      </c>
      <c r="H3598" s="2" t="s">
        <v>3354</v>
      </c>
      <c r="I3598" s="2" t="s">
        <v>3354</v>
      </c>
    </row>
    <row r="3599" spans="1:9" ht="14.5" x14ac:dyDescent="0.35">
      <c r="A3599" s="2">
        <v>1352177</v>
      </c>
      <c r="B3599" s="2" t="str">
        <f>"3328126905020001"</f>
        <v>3328126905020001</v>
      </c>
      <c r="C3599" s="2" t="s">
        <v>4212</v>
      </c>
      <c r="D3599" s="2" t="s">
        <v>10</v>
      </c>
      <c r="E3599" s="2" t="s">
        <v>57</v>
      </c>
      <c r="F3599" s="2" t="s">
        <v>303</v>
      </c>
      <c r="G3599" s="2" t="s">
        <v>608</v>
      </c>
      <c r="H3599" s="2" t="s">
        <v>609</v>
      </c>
      <c r="I3599" s="2" t="s">
        <v>610</v>
      </c>
    </row>
    <row r="3600" spans="1:9" ht="14.5" x14ac:dyDescent="0.35">
      <c r="A3600" s="2">
        <v>2443858</v>
      </c>
      <c r="B3600" s="2" t="str">
        <f>"3328126912000002"</f>
        <v>3328126912000002</v>
      </c>
      <c r="C3600" s="2" t="s">
        <v>4213</v>
      </c>
      <c r="D3600" s="2" t="s">
        <v>189</v>
      </c>
      <c r="E3600" s="2" t="s">
        <v>11</v>
      </c>
      <c r="F3600" s="2" t="s">
        <v>18</v>
      </c>
      <c r="G3600" s="2" t="s">
        <v>19</v>
      </c>
      <c r="H3600" s="2" t="s">
        <v>3354</v>
      </c>
      <c r="I3600" s="2" t="s">
        <v>4076</v>
      </c>
    </row>
    <row r="3601" spans="1:9" ht="14.5" x14ac:dyDescent="0.35">
      <c r="A3601" s="2">
        <v>1625539</v>
      </c>
      <c r="B3601" s="2" t="str">
        <f>"3328126912000002"</f>
        <v>3328126912000002</v>
      </c>
      <c r="C3601" s="2" t="s">
        <v>4213</v>
      </c>
      <c r="D3601" s="2" t="s">
        <v>17</v>
      </c>
      <c r="E3601" s="2" t="s">
        <v>11</v>
      </c>
      <c r="F3601" s="2" t="s">
        <v>18</v>
      </c>
      <c r="G3601" s="2" t="s">
        <v>264</v>
      </c>
      <c r="H3601" s="2" t="s">
        <v>248</v>
      </c>
      <c r="I3601" s="2" t="s">
        <v>1712</v>
      </c>
    </row>
    <row r="3602" spans="1:9" ht="14.5" x14ac:dyDescent="0.35">
      <c r="A3602" s="2">
        <v>243935</v>
      </c>
      <c r="B3602" s="2" t="str">
        <f>"3328127003010006"</f>
        <v>3328127003010006</v>
      </c>
      <c r="C3602" s="2" t="s">
        <v>4214</v>
      </c>
      <c r="D3602" s="2" t="s">
        <v>189</v>
      </c>
      <c r="E3602" s="2" t="s">
        <v>11</v>
      </c>
      <c r="F3602" s="2" t="s">
        <v>18</v>
      </c>
      <c r="G3602" s="2" t="s">
        <v>268</v>
      </c>
      <c r="H3602" s="2" t="s">
        <v>371</v>
      </c>
      <c r="I3602" s="2" t="s">
        <v>372</v>
      </c>
    </row>
    <row r="3603" spans="1:9" ht="14.5" x14ac:dyDescent="0.35">
      <c r="A3603" s="2">
        <v>2555731</v>
      </c>
      <c r="B3603" s="2" t="str">
        <f>"3328127003010006"</f>
        <v>3328127003010006</v>
      </c>
      <c r="C3603" s="2" t="s">
        <v>4215</v>
      </c>
      <c r="D3603" s="2" t="s">
        <v>17</v>
      </c>
      <c r="E3603" s="2" t="s">
        <v>11</v>
      </c>
      <c r="F3603" s="2" t="s">
        <v>18</v>
      </c>
      <c r="G3603" s="2" t="s">
        <v>19</v>
      </c>
      <c r="H3603" s="2" t="s">
        <v>3354</v>
      </c>
      <c r="I3603" s="2" t="s">
        <v>4049</v>
      </c>
    </row>
    <row r="3604" spans="1:9" ht="14.5" x14ac:dyDescent="0.35">
      <c r="A3604" s="2">
        <v>2199190</v>
      </c>
      <c r="B3604" s="2" t="str">
        <f>"3328127101050006"</f>
        <v>3328127101050006</v>
      </c>
      <c r="C3604" s="2" t="s">
        <v>4216</v>
      </c>
      <c r="D3604" s="2" t="s">
        <v>189</v>
      </c>
      <c r="E3604" s="2" t="s">
        <v>11</v>
      </c>
      <c r="F3604" s="2" t="s">
        <v>18</v>
      </c>
      <c r="G3604" s="2" t="s">
        <v>19</v>
      </c>
      <c r="H3604" s="2" t="s">
        <v>3354</v>
      </c>
      <c r="I3604" s="2" t="s">
        <v>3355</v>
      </c>
    </row>
    <row r="3605" spans="1:9" ht="14.5" x14ac:dyDescent="0.35">
      <c r="A3605" s="2">
        <v>1862382</v>
      </c>
      <c r="B3605" s="2" t="str">
        <f>"3328127101050006"</f>
        <v>3328127101050006</v>
      </c>
      <c r="C3605" s="2" t="s">
        <v>4216</v>
      </c>
      <c r="D3605" s="2" t="s">
        <v>10</v>
      </c>
      <c r="E3605" s="2" t="s">
        <v>57</v>
      </c>
      <c r="F3605" s="2" t="s">
        <v>18</v>
      </c>
      <c r="G3605" s="2" t="s">
        <v>733</v>
      </c>
      <c r="H3605" s="2" t="s">
        <v>733</v>
      </c>
      <c r="I3605" s="2" t="s">
        <v>734</v>
      </c>
    </row>
    <row r="3606" spans="1:9" ht="14.5" x14ac:dyDescent="0.35">
      <c r="A3606" s="2">
        <v>2202677</v>
      </c>
      <c r="B3606" s="2" t="str">
        <f>"3328131506040004"</f>
        <v>3328131506040004</v>
      </c>
      <c r="C3606" s="2" t="s">
        <v>4217</v>
      </c>
      <c r="D3606" s="2" t="s">
        <v>10</v>
      </c>
      <c r="E3606" s="2" t="s">
        <v>11</v>
      </c>
      <c r="F3606" s="2" t="s">
        <v>18</v>
      </c>
      <c r="G3606" s="2" t="s">
        <v>19</v>
      </c>
      <c r="H3606" s="2" t="s">
        <v>3354</v>
      </c>
      <c r="I3606" s="2" t="s">
        <v>1954</v>
      </c>
    </row>
    <row r="3607" spans="1:9" ht="14.5" x14ac:dyDescent="0.35">
      <c r="A3607" s="2">
        <v>1351195</v>
      </c>
      <c r="B3607" s="2" t="str">
        <f>"3328131506040004"</f>
        <v>3328131506040004</v>
      </c>
      <c r="C3607" s="2" t="s">
        <v>4218</v>
      </c>
      <c r="D3607" s="2" t="s">
        <v>10</v>
      </c>
      <c r="E3607" s="2" t="s">
        <v>57</v>
      </c>
      <c r="F3607" s="2" t="s">
        <v>303</v>
      </c>
      <c r="G3607" s="2" t="s">
        <v>608</v>
      </c>
      <c r="H3607" s="2" t="s">
        <v>609</v>
      </c>
      <c r="I3607" s="2" t="s">
        <v>610</v>
      </c>
    </row>
    <row r="3608" spans="1:9" ht="14.5" x14ac:dyDescent="0.35">
      <c r="A3608" s="2">
        <v>2224517</v>
      </c>
      <c r="B3608" s="2" t="str">
        <f>"3328134410970003"</f>
        <v>3328134410970003</v>
      </c>
      <c r="C3608" s="2" t="s">
        <v>4219</v>
      </c>
      <c r="D3608" s="2" t="s">
        <v>10</v>
      </c>
      <c r="E3608" s="2" t="s">
        <v>11</v>
      </c>
      <c r="F3608" s="2" t="s">
        <v>18</v>
      </c>
      <c r="G3608" s="2" t="s">
        <v>19</v>
      </c>
      <c r="H3608" s="2" t="s">
        <v>3354</v>
      </c>
      <c r="I3608" s="2" t="s">
        <v>4003</v>
      </c>
    </row>
    <row r="3609" spans="1:9" ht="14.5" x14ac:dyDescent="0.35">
      <c r="A3609" s="2">
        <v>421319</v>
      </c>
      <c r="B3609" s="2" t="str">
        <f>"3328134410970003"</f>
        <v>3328134410970003</v>
      </c>
      <c r="C3609" s="2" t="s">
        <v>4220</v>
      </c>
      <c r="D3609" s="2" t="s">
        <v>17</v>
      </c>
      <c r="E3609" s="2" t="s">
        <v>11</v>
      </c>
      <c r="F3609" s="2" t="s">
        <v>18</v>
      </c>
      <c r="G3609" s="2" t="s">
        <v>268</v>
      </c>
      <c r="H3609" s="2" t="s">
        <v>371</v>
      </c>
      <c r="I3609" s="2" t="s">
        <v>2769</v>
      </c>
    </row>
    <row r="3610" spans="1:9" ht="14.5" x14ac:dyDescent="0.35">
      <c r="A3610" s="2">
        <v>266207</v>
      </c>
      <c r="B3610" s="2" t="str">
        <f>"3329065308950004"</f>
        <v>3329065308950004</v>
      </c>
      <c r="C3610" s="2" t="s">
        <v>4221</v>
      </c>
      <c r="D3610" s="2" t="s">
        <v>189</v>
      </c>
      <c r="E3610" s="2" t="s">
        <v>11</v>
      </c>
      <c r="F3610" s="2" t="s">
        <v>18</v>
      </c>
      <c r="G3610" s="2" t="s">
        <v>264</v>
      </c>
      <c r="H3610" s="2" t="s">
        <v>468</v>
      </c>
      <c r="I3610" s="2" t="s">
        <v>468</v>
      </c>
    </row>
    <row r="3611" spans="1:9" ht="14.5" x14ac:dyDescent="0.35">
      <c r="A3611" s="2">
        <v>2554882</v>
      </c>
      <c r="B3611" s="2" t="str">
        <f>"3329065308950004"</f>
        <v>3329065308950004</v>
      </c>
      <c r="C3611" s="2" t="s">
        <v>4222</v>
      </c>
      <c r="D3611" s="2" t="s">
        <v>17</v>
      </c>
      <c r="E3611" s="2" t="s">
        <v>11</v>
      </c>
      <c r="F3611" s="2" t="s">
        <v>18</v>
      </c>
      <c r="G3611" s="2" t="s">
        <v>19</v>
      </c>
      <c r="H3611" s="2" t="s">
        <v>3354</v>
      </c>
      <c r="I3611" s="2" t="s">
        <v>1954</v>
      </c>
    </row>
    <row r="3612" spans="1:9" ht="14.5" x14ac:dyDescent="0.35">
      <c r="A3612" s="2">
        <v>1329081</v>
      </c>
      <c r="B3612" s="2" t="str">
        <f>"3329071704940002"</f>
        <v>3329071704940002</v>
      </c>
      <c r="C3612" s="2" t="s">
        <v>4223</v>
      </c>
      <c r="D3612" s="2" t="s">
        <v>10</v>
      </c>
      <c r="E3612" s="2" t="s">
        <v>11</v>
      </c>
      <c r="F3612" s="2" t="s">
        <v>18</v>
      </c>
      <c r="G3612" s="2" t="s">
        <v>264</v>
      </c>
      <c r="H3612" s="2" t="s">
        <v>265</v>
      </c>
      <c r="I3612" s="2" t="s">
        <v>1878</v>
      </c>
    </row>
    <row r="3613" spans="1:9" ht="14.5" x14ac:dyDescent="0.35">
      <c r="A3613" s="2">
        <v>2556129</v>
      </c>
      <c r="B3613" s="2" t="str">
        <f>"3329071704940002"</f>
        <v>3329071704940002</v>
      </c>
      <c r="C3613" s="2" t="s">
        <v>4224</v>
      </c>
      <c r="D3613" s="2" t="s">
        <v>17</v>
      </c>
      <c r="E3613" s="2" t="s">
        <v>11</v>
      </c>
      <c r="F3613" s="2" t="s">
        <v>18</v>
      </c>
      <c r="G3613" s="2" t="s">
        <v>19</v>
      </c>
      <c r="H3613" s="2" t="s">
        <v>3354</v>
      </c>
      <c r="I3613" s="2" t="s">
        <v>4057</v>
      </c>
    </row>
    <row r="3614" spans="1:9" ht="14.5" x14ac:dyDescent="0.35">
      <c r="A3614" s="2">
        <v>1314732</v>
      </c>
      <c r="B3614" s="2" t="str">
        <f>"3329072912930004"</f>
        <v>3329072912930004</v>
      </c>
      <c r="C3614" s="2" t="s">
        <v>4225</v>
      </c>
      <c r="D3614" s="2" t="s">
        <v>10</v>
      </c>
      <c r="E3614" s="2" t="s">
        <v>11</v>
      </c>
      <c r="F3614" s="2" t="s">
        <v>18</v>
      </c>
      <c r="G3614" s="2" t="s">
        <v>264</v>
      </c>
      <c r="H3614" s="2" t="s">
        <v>265</v>
      </c>
      <c r="I3614" s="2" t="s">
        <v>865</v>
      </c>
    </row>
    <row r="3615" spans="1:9" ht="14.5" x14ac:dyDescent="0.35">
      <c r="A3615" s="2">
        <v>2554331</v>
      </c>
      <c r="B3615" s="2" t="str">
        <f>"3329072912930004"</f>
        <v>3329072912930004</v>
      </c>
      <c r="C3615" s="2" t="s">
        <v>4225</v>
      </c>
      <c r="D3615" s="2" t="s">
        <v>17</v>
      </c>
      <c r="E3615" s="2" t="s">
        <v>11</v>
      </c>
      <c r="F3615" s="2" t="s">
        <v>18</v>
      </c>
      <c r="G3615" s="2" t="s">
        <v>19</v>
      </c>
      <c r="H3615" s="2" t="s">
        <v>3354</v>
      </c>
      <c r="I3615" s="2" t="s">
        <v>3999</v>
      </c>
    </row>
    <row r="3616" spans="1:9" ht="14.5" x14ac:dyDescent="0.35">
      <c r="A3616" s="2">
        <v>1210394</v>
      </c>
      <c r="B3616" s="2" t="str">
        <f>"3329074411890007"</f>
        <v>3329074411890007</v>
      </c>
      <c r="C3616" s="2" t="s">
        <v>4226</v>
      </c>
      <c r="D3616" s="2" t="s">
        <v>10</v>
      </c>
      <c r="E3616" s="2" t="s">
        <v>11</v>
      </c>
      <c r="F3616" s="2" t="s">
        <v>18</v>
      </c>
      <c r="G3616" s="2" t="s">
        <v>264</v>
      </c>
      <c r="H3616" s="2" t="s">
        <v>265</v>
      </c>
      <c r="I3616" s="2" t="s">
        <v>906</v>
      </c>
    </row>
    <row r="3617" spans="1:9" ht="14.5" x14ac:dyDescent="0.35">
      <c r="A3617" s="2">
        <v>2555868</v>
      </c>
      <c r="B3617" s="2" t="str">
        <f>"3329074411890007"</f>
        <v>3329074411890007</v>
      </c>
      <c r="C3617" s="2" t="s">
        <v>4226</v>
      </c>
      <c r="D3617" s="2" t="s">
        <v>17</v>
      </c>
      <c r="E3617" s="2" t="s">
        <v>11</v>
      </c>
      <c r="F3617" s="2" t="s">
        <v>18</v>
      </c>
      <c r="G3617" s="2" t="s">
        <v>19</v>
      </c>
      <c r="H3617" s="2" t="s">
        <v>3354</v>
      </c>
      <c r="I3617" s="2" t="s">
        <v>4026</v>
      </c>
    </row>
    <row r="3618" spans="1:9" ht="14.5" x14ac:dyDescent="0.35">
      <c r="A3618" s="2">
        <v>215842</v>
      </c>
      <c r="B3618" s="2" t="str">
        <f>"3329081912040003"</f>
        <v>3329081912040003</v>
      </c>
      <c r="C3618" s="2" t="s">
        <v>4227</v>
      </c>
      <c r="D3618" s="2" t="s">
        <v>10</v>
      </c>
      <c r="E3618" s="2" t="s">
        <v>11</v>
      </c>
      <c r="F3618" s="2" t="s">
        <v>18</v>
      </c>
      <c r="G3618" s="2" t="s">
        <v>268</v>
      </c>
      <c r="H3618" s="2" t="s">
        <v>371</v>
      </c>
      <c r="I3618" s="2" t="s">
        <v>2772</v>
      </c>
    </row>
    <row r="3619" spans="1:9" ht="14.5" x14ac:dyDescent="0.35">
      <c r="A3619" s="2">
        <v>2555982</v>
      </c>
      <c r="B3619" s="2" t="str">
        <f>"3329081912040003"</f>
        <v>3329081912040003</v>
      </c>
      <c r="C3619" s="2" t="s">
        <v>4228</v>
      </c>
      <c r="D3619" s="2" t="s">
        <v>17</v>
      </c>
      <c r="E3619" s="2" t="s">
        <v>11</v>
      </c>
      <c r="F3619" s="2" t="s">
        <v>18</v>
      </c>
      <c r="G3619" s="2" t="s">
        <v>19</v>
      </c>
      <c r="H3619" s="2" t="s">
        <v>3354</v>
      </c>
      <c r="I3619" s="2" t="s">
        <v>4026</v>
      </c>
    </row>
    <row r="3620" spans="1:9" ht="14.5" x14ac:dyDescent="0.35">
      <c r="A3620" s="2">
        <v>844993</v>
      </c>
      <c r="B3620" s="2" t="str">
        <f>"3329090608900001"</f>
        <v>3329090608900001</v>
      </c>
      <c r="C3620" s="2" t="s">
        <v>4229</v>
      </c>
      <c r="D3620" s="2" t="s">
        <v>189</v>
      </c>
      <c r="E3620" s="2" t="s">
        <v>11</v>
      </c>
      <c r="F3620" s="2" t="s">
        <v>18</v>
      </c>
      <c r="G3620" s="2" t="s">
        <v>264</v>
      </c>
      <c r="H3620" s="2" t="s">
        <v>264</v>
      </c>
      <c r="I3620" s="2" t="s">
        <v>264</v>
      </c>
    </row>
    <row r="3621" spans="1:9" ht="14.5" x14ac:dyDescent="0.35">
      <c r="A3621" s="2">
        <v>2554555</v>
      </c>
      <c r="B3621" s="2" t="str">
        <f>"3329090608900001"</f>
        <v>3329090608900001</v>
      </c>
      <c r="C3621" s="2" t="s">
        <v>4230</v>
      </c>
      <c r="D3621" s="2" t="s">
        <v>17</v>
      </c>
      <c r="E3621" s="2" t="s">
        <v>11</v>
      </c>
      <c r="F3621" s="2" t="s">
        <v>18</v>
      </c>
      <c r="G3621" s="2" t="s">
        <v>19</v>
      </c>
      <c r="H3621" s="2" t="s">
        <v>3354</v>
      </c>
      <c r="I3621" s="2" t="s">
        <v>4098</v>
      </c>
    </row>
    <row r="3622" spans="1:9" ht="14.5" x14ac:dyDescent="0.35">
      <c r="A3622" s="2">
        <v>609913</v>
      </c>
      <c r="B3622" s="2" t="str">
        <f>"3329090909960007"</f>
        <v>3329090909960007</v>
      </c>
      <c r="C3622" s="2" t="s">
        <v>4231</v>
      </c>
      <c r="D3622" s="2" t="s">
        <v>10</v>
      </c>
      <c r="E3622" s="2" t="s">
        <v>11</v>
      </c>
      <c r="F3622" s="2" t="s">
        <v>18</v>
      </c>
      <c r="G3622" s="2" t="s">
        <v>264</v>
      </c>
      <c r="H3622" s="2" t="s">
        <v>264</v>
      </c>
      <c r="I3622" s="2" t="s">
        <v>4232</v>
      </c>
    </row>
    <row r="3623" spans="1:9" ht="14.5" x14ac:dyDescent="0.35">
      <c r="A3623" s="2">
        <v>2555011</v>
      </c>
      <c r="B3623" s="2" t="str">
        <f>"3329090909960007"</f>
        <v>3329090909960007</v>
      </c>
      <c r="C3623" s="2" t="s">
        <v>4231</v>
      </c>
      <c r="D3623" s="2" t="s">
        <v>17</v>
      </c>
      <c r="E3623" s="2" t="s">
        <v>11</v>
      </c>
      <c r="F3623" s="2" t="s">
        <v>18</v>
      </c>
      <c r="G3623" s="2" t="s">
        <v>19</v>
      </c>
      <c r="H3623" s="2" t="s">
        <v>3354</v>
      </c>
      <c r="I3623" s="2" t="s">
        <v>131</v>
      </c>
    </row>
    <row r="3624" spans="1:9" ht="14.5" x14ac:dyDescent="0.35">
      <c r="A3624" s="2">
        <v>2555028</v>
      </c>
      <c r="B3624" s="2" t="str">
        <f>"3329091101940004"</f>
        <v>3329091101940004</v>
      </c>
      <c r="C3624" s="2" t="s">
        <v>4233</v>
      </c>
      <c r="D3624" s="2" t="s">
        <v>17</v>
      </c>
      <c r="E3624" s="2" t="s">
        <v>11</v>
      </c>
      <c r="F3624" s="2" t="s">
        <v>18</v>
      </c>
      <c r="G3624" s="2" t="s">
        <v>19</v>
      </c>
      <c r="H3624" s="2" t="s">
        <v>3354</v>
      </c>
      <c r="I3624" s="2" t="s">
        <v>131</v>
      </c>
    </row>
    <row r="3625" spans="1:9" ht="14.5" x14ac:dyDescent="0.35">
      <c r="A3625" s="2">
        <v>612406</v>
      </c>
      <c r="B3625" s="2" t="str">
        <f>"3329091101940004"</f>
        <v>3329091101940004</v>
      </c>
      <c r="C3625" s="2" t="s">
        <v>681</v>
      </c>
      <c r="D3625" s="2" t="s">
        <v>189</v>
      </c>
      <c r="E3625" s="2" t="s">
        <v>11</v>
      </c>
      <c r="F3625" s="2" t="s">
        <v>18</v>
      </c>
      <c r="G3625" s="2" t="s">
        <v>264</v>
      </c>
      <c r="H3625" s="2" t="s">
        <v>264</v>
      </c>
      <c r="I3625" s="2" t="s">
        <v>4232</v>
      </c>
    </row>
    <row r="3626" spans="1:9" ht="14.5" x14ac:dyDescent="0.35">
      <c r="A3626" s="2">
        <v>594877</v>
      </c>
      <c r="B3626" s="2" t="str">
        <f>"3329096711850007"</f>
        <v>3329096711850007</v>
      </c>
      <c r="C3626" s="2" t="s">
        <v>4234</v>
      </c>
      <c r="D3626" s="2" t="s">
        <v>10</v>
      </c>
      <c r="E3626" s="2" t="s">
        <v>11</v>
      </c>
      <c r="F3626" s="2" t="s">
        <v>18</v>
      </c>
      <c r="G3626" s="2" t="s">
        <v>264</v>
      </c>
      <c r="H3626" s="2" t="s">
        <v>264</v>
      </c>
      <c r="I3626" s="2" t="s">
        <v>1637</v>
      </c>
    </row>
    <row r="3627" spans="1:9" ht="14.5" x14ac:dyDescent="0.35">
      <c r="A3627" s="2">
        <v>2554139</v>
      </c>
      <c r="B3627" s="2" t="str">
        <f>"3329096711850007"</f>
        <v>3329096711850007</v>
      </c>
      <c r="C3627" s="2" t="s">
        <v>4234</v>
      </c>
      <c r="D3627" s="2" t="s">
        <v>17</v>
      </c>
      <c r="E3627" s="2" t="s">
        <v>11</v>
      </c>
      <c r="F3627" s="2" t="s">
        <v>18</v>
      </c>
      <c r="G3627" s="2" t="s">
        <v>19</v>
      </c>
      <c r="H3627" s="2" t="s">
        <v>3354</v>
      </c>
      <c r="I3627" s="2" t="s">
        <v>4040</v>
      </c>
    </row>
    <row r="3628" spans="1:9" ht="14.5" x14ac:dyDescent="0.35">
      <c r="A3628" s="2">
        <v>1511169</v>
      </c>
      <c r="B3628" s="2" t="str">
        <f>"3329102503970002"</f>
        <v>3329102503970002</v>
      </c>
      <c r="C3628" s="2" t="s">
        <v>4235</v>
      </c>
      <c r="D3628" s="2" t="s">
        <v>10</v>
      </c>
      <c r="E3628" s="2" t="s">
        <v>11</v>
      </c>
      <c r="F3628" s="2" t="s">
        <v>18</v>
      </c>
      <c r="G3628" s="2" t="s">
        <v>264</v>
      </c>
      <c r="H3628" s="2" t="s">
        <v>273</v>
      </c>
      <c r="I3628" s="2" t="s">
        <v>274</v>
      </c>
    </row>
    <row r="3629" spans="1:9" ht="14.5" x14ac:dyDescent="0.35">
      <c r="A3629" s="2">
        <v>2554107</v>
      </c>
      <c r="B3629" s="2" t="str">
        <f>"3329102503970002"</f>
        <v>3329102503970002</v>
      </c>
      <c r="C3629" s="2" t="s">
        <v>4236</v>
      </c>
      <c r="D3629" s="2" t="s">
        <v>17</v>
      </c>
      <c r="E3629" s="2" t="s">
        <v>11</v>
      </c>
      <c r="F3629" s="2" t="s">
        <v>18</v>
      </c>
      <c r="G3629" s="2" t="s">
        <v>19</v>
      </c>
      <c r="H3629" s="2" t="s">
        <v>3354</v>
      </c>
      <c r="I3629" s="2" t="s">
        <v>4040</v>
      </c>
    </row>
    <row r="3630" spans="1:9" ht="14.5" x14ac:dyDescent="0.35">
      <c r="A3630" s="2">
        <v>1524047</v>
      </c>
      <c r="B3630" s="2" t="str">
        <f>"3329104607890010"</f>
        <v>3329104607890010</v>
      </c>
      <c r="C3630" s="2" t="s">
        <v>4237</v>
      </c>
      <c r="D3630" s="2" t="s">
        <v>10</v>
      </c>
      <c r="E3630" s="2" t="s">
        <v>11</v>
      </c>
      <c r="F3630" s="2" t="s">
        <v>18</v>
      </c>
      <c r="G3630" s="2" t="s">
        <v>264</v>
      </c>
      <c r="H3630" s="2" t="s">
        <v>273</v>
      </c>
      <c r="I3630" s="2" t="s">
        <v>2709</v>
      </c>
    </row>
    <row r="3631" spans="1:9" ht="14.5" x14ac:dyDescent="0.35">
      <c r="A3631" s="2">
        <v>2554767</v>
      </c>
      <c r="B3631" s="2" t="str">
        <f>"3329104607890010"</f>
        <v>3329104607890010</v>
      </c>
      <c r="C3631" s="2" t="s">
        <v>4237</v>
      </c>
      <c r="D3631" s="2" t="s">
        <v>17</v>
      </c>
      <c r="E3631" s="2" t="s">
        <v>11</v>
      </c>
      <c r="F3631" s="2" t="s">
        <v>18</v>
      </c>
      <c r="G3631" s="2" t="s">
        <v>19</v>
      </c>
      <c r="H3631" s="2" t="s">
        <v>3354</v>
      </c>
      <c r="I3631" s="2" t="s">
        <v>307</v>
      </c>
    </row>
    <row r="3632" spans="1:9" ht="14.5" x14ac:dyDescent="0.35">
      <c r="A3632" s="2">
        <v>2553845</v>
      </c>
      <c r="B3632" s="2" t="str">
        <f>"3329130405930008"</f>
        <v>3329130405930008</v>
      </c>
      <c r="C3632" s="2" t="s">
        <v>4238</v>
      </c>
      <c r="D3632" s="2" t="s">
        <v>17</v>
      </c>
      <c r="E3632" s="2" t="s">
        <v>11</v>
      </c>
      <c r="F3632" s="2" t="s">
        <v>18</v>
      </c>
      <c r="G3632" s="2" t="s">
        <v>19</v>
      </c>
      <c r="H3632" s="2" t="s">
        <v>3354</v>
      </c>
      <c r="I3632" s="2" t="s">
        <v>4022</v>
      </c>
    </row>
    <row r="3633" spans="1:9" ht="14.5" x14ac:dyDescent="0.35">
      <c r="A3633" s="2">
        <v>1620219</v>
      </c>
      <c r="B3633" s="2" t="str">
        <f>"3329130405930008"</f>
        <v>3329130405930008</v>
      </c>
      <c r="C3633" s="2" t="s">
        <v>4239</v>
      </c>
      <c r="D3633" s="2" t="s">
        <v>17</v>
      </c>
      <c r="E3633" s="2" t="s">
        <v>11</v>
      </c>
      <c r="F3633" s="2" t="s">
        <v>18</v>
      </c>
      <c r="G3633" s="2" t="s">
        <v>264</v>
      </c>
      <c r="H3633" s="2" t="s">
        <v>773</v>
      </c>
      <c r="I3633" s="2" t="s">
        <v>4079</v>
      </c>
    </row>
    <row r="3634" spans="1:9" ht="14.5" x14ac:dyDescent="0.35">
      <c r="A3634" s="2">
        <v>389272</v>
      </c>
      <c r="B3634" s="2" t="str">
        <f>"3329141006800009"</f>
        <v>3329141006800009</v>
      </c>
      <c r="C3634" s="2" t="s">
        <v>4240</v>
      </c>
      <c r="D3634" s="2" t="s">
        <v>10</v>
      </c>
      <c r="E3634" s="2" t="s">
        <v>11</v>
      </c>
      <c r="F3634" s="2" t="s">
        <v>18</v>
      </c>
      <c r="G3634" s="2" t="s">
        <v>264</v>
      </c>
      <c r="H3634" s="2" t="s">
        <v>477</v>
      </c>
      <c r="I3634" s="2" t="s">
        <v>2714</v>
      </c>
    </row>
    <row r="3635" spans="1:9" ht="14.5" x14ac:dyDescent="0.35">
      <c r="A3635" s="2">
        <v>2555272</v>
      </c>
      <c r="B3635" s="2" t="str">
        <f>"3329141006800009"</f>
        <v>3329141006800009</v>
      </c>
      <c r="C3635" s="2" t="s">
        <v>2736</v>
      </c>
      <c r="D3635" s="2" t="s">
        <v>17</v>
      </c>
      <c r="E3635" s="2" t="s">
        <v>11</v>
      </c>
      <c r="F3635" s="2" t="s">
        <v>18</v>
      </c>
      <c r="G3635" s="2" t="s">
        <v>19</v>
      </c>
      <c r="H3635" s="2" t="s">
        <v>3354</v>
      </c>
      <c r="I3635" s="2" t="s">
        <v>4014</v>
      </c>
    </row>
    <row r="3636" spans="1:9" ht="14.5" x14ac:dyDescent="0.35">
      <c r="A3636" s="2">
        <v>408041</v>
      </c>
      <c r="B3636" s="2" t="str">
        <f>"3329141105860013"</f>
        <v>3329141105860013</v>
      </c>
      <c r="C3636" s="2" t="s">
        <v>4241</v>
      </c>
      <c r="D3636" s="2" t="s">
        <v>10</v>
      </c>
      <c r="E3636" s="2" t="s">
        <v>11</v>
      </c>
      <c r="F3636" s="2" t="s">
        <v>18</v>
      </c>
      <c r="G3636" s="2" t="s">
        <v>264</v>
      </c>
      <c r="H3636" s="2" t="s">
        <v>477</v>
      </c>
      <c r="I3636" s="2" t="s">
        <v>2091</v>
      </c>
    </row>
    <row r="3637" spans="1:9" ht="14.5" x14ac:dyDescent="0.35">
      <c r="A3637" s="2">
        <v>2554424</v>
      </c>
      <c r="B3637" s="2" t="str">
        <f>"3329141105860013"</f>
        <v>3329141105860013</v>
      </c>
      <c r="C3637" s="2" t="s">
        <v>4241</v>
      </c>
      <c r="D3637" s="2" t="s">
        <v>17</v>
      </c>
      <c r="E3637" s="2" t="s">
        <v>11</v>
      </c>
      <c r="F3637" s="2" t="s">
        <v>18</v>
      </c>
      <c r="G3637" s="2" t="s">
        <v>19</v>
      </c>
      <c r="H3637" s="2" t="s">
        <v>3354</v>
      </c>
      <c r="I3637" s="2" t="s">
        <v>3999</v>
      </c>
    </row>
    <row r="3638" spans="1:9" ht="14.5" x14ac:dyDescent="0.35">
      <c r="A3638" s="2">
        <v>387302</v>
      </c>
      <c r="B3638" s="2" t="str">
        <f>"3329141508880006"</f>
        <v>3329141508880006</v>
      </c>
      <c r="C3638" s="2" t="s">
        <v>4242</v>
      </c>
      <c r="D3638" s="2" t="s">
        <v>10</v>
      </c>
      <c r="E3638" s="2" t="s">
        <v>11</v>
      </c>
      <c r="F3638" s="2" t="s">
        <v>18</v>
      </c>
      <c r="G3638" s="2" t="s">
        <v>264</v>
      </c>
      <c r="H3638" s="2" t="s">
        <v>477</v>
      </c>
      <c r="I3638" s="2" t="s">
        <v>2714</v>
      </c>
    </row>
    <row r="3639" spans="1:9" ht="14.5" x14ac:dyDescent="0.35">
      <c r="A3639" s="2">
        <v>2554957</v>
      </c>
      <c r="B3639" s="2" t="str">
        <f>"3329141508880006"</f>
        <v>3329141508880006</v>
      </c>
      <c r="C3639" s="2" t="s">
        <v>4243</v>
      </c>
      <c r="D3639" s="2" t="s">
        <v>17</v>
      </c>
      <c r="E3639" s="2" t="s">
        <v>11</v>
      </c>
      <c r="F3639" s="2" t="s">
        <v>18</v>
      </c>
      <c r="G3639" s="2" t="s">
        <v>19</v>
      </c>
      <c r="H3639" s="2" t="s">
        <v>3354</v>
      </c>
      <c r="I3639" s="2" t="s">
        <v>1309</v>
      </c>
    </row>
    <row r="3640" spans="1:9" ht="14.5" x14ac:dyDescent="0.35">
      <c r="A3640" s="2">
        <v>389273</v>
      </c>
      <c r="B3640" s="2" t="str">
        <f>"3329144501850005"</f>
        <v>3329144501850005</v>
      </c>
      <c r="C3640" s="2" t="s">
        <v>4244</v>
      </c>
      <c r="D3640" s="2" t="s">
        <v>10</v>
      </c>
      <c r="E3640" s="2" t="s">
        <v>11</v>
      </c>
      <c r="F3640" s="2" t="s">
        <v>18</v>
      </c>
      <c r="G3640" s="2" t="s">
        <v>264</v>
      </c>
      <c r="H3640" s="2" t="s">
        <v>477</v>
      </c>
      <c r="I3640" s="2" t="s">
        <v>2714</v>
      </c>
    </row>
    <row r="3641" spans="1:9" ht="14.5" x14ac:dyDescent="0.35">
      <c r="A3641" s="2">
        <v>2555267</v>
      </c>
      <c r="B3641" s="2" t="str">
        <f>"3329144501850005"</f>
        <v>3329144501850005</v>
      </c>
      <c r="C3641" s="2" t="s">
        <v>4245</v>
      </c>
      <c r="D3641" s="2" t="s">
        <v>17</v>
      </c>
      <c r="E3641" s="2" t="s">
        <v>11</v>
      </c>
      <c r="F3641" s="2" t="s">
        <v>18</v>
      </c>
      <c r="G3641" s="2" t="s">
        <v>19</v>
      </c>
      <c r="H3641" s="2" t="s">
        <v>3354</v>
      </c>
      <c r="I3641" s="2" t="s">
        <v>4014</v>
      </c>
    </row>
    <row r="3642" spans="1:9" ht="14.5" x14ac:dyDescent="0.35">
      <c r="A3642" s="2">
        <v>408040</v>
      </c>
      <c r="B3642" s="2" t="str">
        <f>"3329144905870015"</f>
        <v>3329144905870015</v>
      </c>
      <c r="C3642" s="2" t="s">
        <v>4246</v>
      </c>
      <c r="D3642" s="2" t="s">
        <v>10</v>
      </c>
      <c r="E3642" s="2" t="s">
        <v>11</v>
      </c>
      <c r="F3642" s="2" t="s">
        <v>18</v>
      </c>
      <c r="G3642" s="2" t="s">
        <v>264</v>
      </c>
      <c r="H3642" s="2" t="s">
        <v>477</v>
      </c>
      <c r="I3642" s="2" t="s">
        <v>2091</v>
      </c>
    </row>
    <row r="3643" spans="1:9" ht="14.5" x14ac:dyDescent="0.35">
      <c r="A3643" s="2">
        <v>2554425</v>
      </c>
      <c r="B3643" s="2" t="str">
        <f>"3329144905870015"</f>
        <v>3329144905870015</v>
      </c>
      <c r="C3643" s="2" t="s">
        <v>4246</v>
      </c>
      <c r="D3643" s="2" t="s">
        <v>17</v>
      </c>
      <c r="E3643" s="2" t="s">
        <v>11</v>
      </c>
      <c r="F3643" s="2" t="s">
        <v>18</v>
      </c>
      <c r="G3643" s="2" t="s">
        <v>19</v>
      </c>
      <c r="H3643" s="2" t="s">
        <v>3354</v>
      </c>
      <c r="I3643" s="2" t="s">
        <v>3999</v>
      </c>
    </row>
    <row r="3644" spans="1:9" ht="14.5" x14ac:dyDescent="0.35">
      <c r="A3644" s="2">
        <v>179323</v>
      </c>
      <c r="B3644" s="2" t="str">
        <f>"3329146201920001"</f>
        <v>3329146201920001</v>
      </c>
      <c r="C3644" s="2" t="s">
        <v>4247</v>
      </c>
      <c r="D3644" s="2" t="s">
        <v>10</v>
      </c>
      <c r="E3644" s="2" t="s">
        <v>11</v>
      </c>
      <c r="F3644" s="2" t="s">
        <v>18</v>
      </c>
      <c r="G3644" s="2" t="s">
        <v>264</v>
      </c>
      <c r="H3644" s="2" t="s">
        <v>477</v>
      </c>
      <c r="I3644" s="2" t="s">
        <v>478</v>
      </c>
    </row>
    <row r="3645" spans="1:9" ht="14.5" x14ac:dyDescent="0.35">
      <c r="A3645" s="2">
        <v>2554916</v>
      </c>
      <c r="B3645" s="2" t="str">
        <f>"3329146201920001"</f>
        <v>3329146201920001</v>
      </c>
      <c r="C3645" s="2" t="s">
        <v>4247</v>
      </c>
      <c r="D3645" s="2" t="s">
        <v>17</v>
      </c>
      <c r="E3645" s="2" t="s">
        <v>11</v>
      </c>
      <c r="F3645" s="2" t="s">
        <v>18</v>
      </c>
      <c r="G3645" s="2" t="s">
        <v>19</v>
      </c>
      <c r="H3645" s="2" t="s">
        <v>3354</v>
      </c>
      <c r="I3645" s="2" t="s">
        <v>1309</v>
      </c>
    </row>
    <row r="3646" spans="1:9" ht="14.5" x14ac:dyDescent="0.35">
      <c r="A3646" s="2">
        <v>1569227</v>
      </c>
      <c r="B3646" s="2" t="str">
        <f>"3329155112950005"</f>
        <v>3329155112950005</v>
      </c>
      <c r="C3646" s="2" t="s">
        <v>4248</v>
      </c>
      <c r="D3646" s="2" t="s">
        <v>10</v>
      </c>
      <c r="E3646" s="2" t="s">
        <v>11</v>
      </c>
      <c r="F3646" s="2" t="s">
        <v>18</v>
      </c>
      <c r="G3646" s="2" t="s">
        <v>264</v>
      </c>
      <c r="H3646" s="2" t="s">
        <v>330</v>
      </c>
      <c r="I3646" s="2" t="s">
        <v>330</v>
      </c>
    </row>
    <row r="3647" spans="1:9" ht="14.5" x14ac:dyDescent="0.35">
      <c r="A3647" s="2">
        <v>2555009</v>
      </c>
      <c r="B3647" s="2" t="str">
        <f>"3329155112950005"</f>
        <v>3329155112950005</v>
      </c>
      <c r="C3647" s="2" t="s">
        <v>4248</v>
      </c>
      <c r="D3647" s="2" t="s">
        <v>17</v>
      </c>
      <c r="E3647" s="2" t="s">
        <v>11</v>
      </c>
      <c r="F3647" s="2" t="s">
        <v>18</v>
      </c>
      <c r="G3647" s="2" t="s">
        <v>19</v>
      </c>
      <c r="H3647" s="2" t="s">
        <v>3354</v>
      </c>
      <c r="I3647" s="2" t="s">
        <v>131</v>
      </c>
    </row>
    <row r="3648" spans="1:9" ht="14.5" x14ac:dyDescent="0.35">
      <c r="A3648" s="2">
        <v>308064</v>
      </c>
      <c r="B3648" s="2" t="str">
        <f>"3376011408940001"</f>
        <v>3376011408940001</v>
      </c>
      <c r="C3648" s="2" t="s">
        <v>4249</v>
      </c>
      <c r="D3648" s="2" t="s">
        <v>10</v>
      </c>
      <c r="E3648" s="2" t="s">
        <v>11</v>
      </c>
      <c r="F3648" s="2" t="s">
        <v>18</v>
      </c>
      <c r="G3648" s="2" t="s">
        <v>268</v>
      </c>
      <c r="H3648" s="2" t="s">
        <v>269</v>
      </c>
      <c r="I3648" s="2" t="s">
        <v>4250</v>
      </c>
    </row>
    <row r="3649" spans="1:9" ht="14.5" x14ac:dyDescent="0.35">
      <c r="A3649" s="2">
        <v>2555357</v>
      </c>
      <c r="B3649" s="2" t="str">
        <f>"3376011408940001"</f>
        <v>3376011408940001</v>
      </c>
      <c r="C3649" s="2" t="s">
        <v>4251</v>
      </c>
      <c r="D3649" s="2" t="s">
        <v>17</v>
      </c>
      <c r="E3649" s="2" t="s">
        <v>11</v>
      </c>
      <c r="F3649" s="2" t="s">
        <v>18</v>
      </c>
      <c r="G3649" s="2" t="s">
        <v>19</v>
      </c>
      <c r="H3649" s="2" t="s">
        <v>3354</v>
      </c>
      <c r="I3649" s="2" t="s">
        <v>4014</v>
      </c>
    </row>
    <row r="3650" spans="1:9" ht="14.5" x14ac:dyDescent="0.35">
      <c r="A3650" s="2">
        <v>291053</v>
      </c>
      <c r="B3650" s="2" t="str">
        <f>"3376011709950001"</f>
        <v>3376011709950001</v>
      </c>
      <c r="C3650" s="2" t="s">
        <v>4252</v>
      </c>
      <c r="D3650" s="2" t="s">
        <v>10</v>
      </c>
      <c r="E3650" s="2" t="s">
        <v>11</v>
      </c>
      <c r="F3650" s="2" t="s">
        <v>18</v>
      </c>
      <c r="G3650" s="2" t="s">
        <v>268</v>
      </c>
      <c r="H3650" s="2" t="s">
        <v>277</v>
      </c>
      <c r="I3650" s="2" t="s">
        <v>2665</v>
      </c>
    </row>
    <row r="3651" spans="1:9" ht="14.5" x14ac:dyDescent="0.35">
      <c r="A3651" s="2">
        <v>2555764</v>
      </c>
      <c r="B3651" s="2" t="str">
        <f>"3376011709950001"</f>
        <v>3376011709950001</v>
      </c>
      <c r="C3651" s="2" t="s">
        <v>4252</v>
      </c>
      <c r="D3651" s="2" t="s">
        <v>17</v>
      </c>
      <c r="E3651" s="2" t="s">
        <v>11</v>
      </c>
      <c r="F3651" s="2" t="s">
        <v>18</v>
      </c>
      <c r="G3651" s="2" t="s">
        <v>19</v>
      </c>
      <c r="H3651" s="2" t="s">
        <v>3354</v>
      </c>
      <c r="I3651" s="2" t="s">
        <v>4049</v>
      </c>
    </row>
    <row r="3652" spans="1:9" ht="14.5" x14ac:dyDescent="0.35">
      <c r="A3652" s="2">
        <v>320933</v>
      </c>
      <c r="B3652" s="2" t="str">
        <f>"3376012006980001"</f>
        <v>3376012006980001</v>
      </c>
      <c r="C3652" s="2" t="s">
        <v>4253</v>
      </c>
      <c r="D3652" s="2" t="s">
        <v>10</v>
      </c>
      <c r="E3652" s="2" t="s">
        <v>11</v>
      </c>
      <c r="F3652" s="2" t="s">
        <v>18</v>
      </c>
      <c r="G3652" s="2" t="s">
        <v>268</v>
      </c>
      <c r="H3652" s="2" t="s">
        <v>277</v>
      </c>
      <c r="I3652" s="2" t="s">
        <v>278</v>
      </c>
    </row>
    <row r="3653" spans="1:9" ht="14.5" x14ac:dyDescent="0.35">
      <c r="A3653" s="2">
        <v>2556044</v>
      </c>
      <c r="B3653" s="2" t="str">
        <f>"3376012006980001"</f>
        <v>3376012006980001</v>
      </c>
      <c r="C3653" s="2" t="s">
        <v>4253</v>
      </c>
      <c r="D3653" s="2" t="s">
        <v>17</v>
      </c>
      <c r="E3653" s="2" t="s">
        <v>11</v>
      </c>
      <c r="F3653" s="2" t="s">
        <v>18</v>
      </c>
      <c r="G3653" s="2" t="s">
        <v>19</v>
      </c>
      <c r="H3653" s="2" t="s">
        <v>3354</v>
      </c>
      <c r="I3653" s="2" t="s">
        <v>4057</v>
      </c>
    </row>
    <row r="3654" spans="1:9" ht="14.5" x14ac:dyDescent="0.35">
      <c r="A3654" s="2">
        <v>320718</v>
      </c>
      <c r="B3654" s="2" t="str">
        <f>"3376015911020001"</f>
        <v>3376015911020001</v>
      </c>
      <c r="C3654" s="2" t="s">
        <v>4254</v>
      </c>
      <c r="D3654" s="2" t="s">
        <v>10</v>
      </c>
      <c r="E3654" s="2" t="s">
        <v>11</v>
      </c>
      <c r="F3654" s="2" t="s">
        <v>18</v>
      </c>
      <c r="G3654" s="2" t="s">
        <v>268</v>
      </c>
      <c r="H3654" s="2" t="s">
        <v>277</v>
      </c>
      <c r="I3654" s="2" t="s">
        <v>278</v>
      </c>
    </row>
    <row r="3655" spans="1:9" ht="14.5" x14ac:dyDescent="0.35">
      <c r="A3655" s="2">
        <v>2555299</v>
      </c>
      <c r="B3655" s="2" t="str">
        <f>"3376015911020001"</f>
        <v>3376015911020001</v>
      </c>
      <c r="C3655" s="2" t="s">
        <v>4254</v>
      </c>
      <c r="D3655" s="2" t="s">
        <v>17</v>
      </c>
      <c r="E3655" s="2" t="s">
        <v>11</v>
      </c>
      <c r="F3655" s="2" t="s">
        <v>18</v>
      </c>
      <c r="G3655" s="2" t="s">
        <v>19</v>
      </c>
      <c r="H3655" s="2" t="s">
        <v>3354</v>
      </c>
      <c r="I3655" s="2" t="s">
        <v>4014</v>
      </c>
    </row>
    <row r="3656" spans="1:9" ht="14.5" x14ac:dyDescent="0.35">
      <c r="A3656" s="2">
        <v>400292</v>
      </c>
      <c r="B3656" s="2" t="str">
        <f>"3376016208930002"</f>
        <v>3376016208930002</v>
      </c>
      <c r="C3656" s="2" t="s">
        <v>4255</v>
      </c>
      <c r="D3656" s="2" t="s">
        <v>10</v>
      </c>
      <c r="E3656" s="2" t="s">
        <v>11</v>
      </c>
      <c r="F3656" s="2" t="s">
        <v>18</v>
      </c>
      <c r="G3656" s="2" t="s">
        <v>268</v>
      </c>
      <c r="H3656" s="2" t="s">
        <v>448</v>
      </c>
      <c r="I3656" s="2" t="s">
        <v>448</v>
      </c>
    </row>
    <row r="3657" spans="1:9" ht="14.5" x14ac:dyDescent="0.35">
      <c r="A3657" s="2">
        <v>2554366</v>
      </c>
      <c r="B3657" s="2" t="str">
        <f>"3376016208930002"</f>
        <v>3376016208930002</v>
      </c>
      <c r="C3657" s="2" t="s">
        <v>4255</v>
      </c>
      <c r="D3657" s="2" t="s">
        <v>17</v>
      </c>
      <c r="E3657" s="2" t="s">
        <v>11</v>
      </c>
      <c r="F3657" s="2" t="s">
        <v>18</v>
      </c>
      <c r="G3657" s="2" t="s">
        <v>19</v>
      </c>
      <c r="H3657" s="2" t="s">
        <v>3354</v>
      </c>
      <c r="I3657" s="2" t="s">
        <v>3999</v>
      </c>
    </row>
    <row r="3658" spans="1:9" ht="14.5" x14ac:dyDescent="0.35">
      <c r="A3658" s="2">
        <v>204167</v>
      </c>
      <c r="B3658" s="2" t="str">
        <f>"3376022010980002"</f>
        <v>3376022010980002</v>
      </c>
      <c r="C3658" s="2" t="s">
        <v>4256</v>
      </c>
      <c r="D3658" s="2" t="s">
        <v>10</v>
      </c>
      <c r="E3658" s="2" t="s">
        <v>11</v>
      </c>
      <c r="F3658" s="2" t="s">
        <v>18</v>
      </c>
      <c r="G3658" s="2" t="s">
        <v>268</v>
      </c>
      <c r="H3658" s="2" t="s">
        <v>371</v>
      </c>
      <c r="I3658" s="2" t="s">
        <v>2769</v>
      </c>
    </row>
    <row r="3659" spans="1:9" ht="14.5" x14ac:dyDescent="0.35">
      <c r="A3659" s="2">
        <v>2554969</v>
      </c>
      <c r="B3659" s="2" t="str">
        <f>"3376022010980002"</f>
        <v>3376022010980002</v>
      </c>
      <c r="C3659" s="2" t="s">
        <v>4256</v>
      </c>
      <c r="D3659" s="2" t="s">
        <v>17</v>
      </c>
      <c r="E3659" s="2" t="s">
        <v>11</v>
      </c>
      <c r="F3659" s="2" t="s">
        <v>18</v>
      </c>
      <c r="G3659" s="2" t="s">
        <v>19</v>
      </c>
      <c r="H3659" s="2" t="s">
        <v>3354</v>
      </c>
      <c r="I3659" s="2" t="s">
        <v>1309</v>
      </c>
    </row>
    <row r="3660" spans="1:9" ht="14.5" x14ac:dyDescent="0.35">
      <c r="A3660" s="2">
        <v>246214</v>
      </c>
      <c r="B3660" s="2" t="str">
        <f>"3376026712920002"</f>
        <v>3376026712920002</v>
      </c>
      <c r="C3660" s="2" t="s">
        <v>4257</v>
      </c>
      <c r="D3660" s="2" t="s">
        <v>10</v>
      </c>
      <c r="E3660" s="2" t="s">
        <v>11</v>
      </c>
      <c r="F3660" s="2" t="s">
        <v>18</v>
      </c>
      <c r="G3660" s="2" t="s">
        <v>268</v>
      </c>
      <c r="H3660" s="2" t="s">
        <v>371</v>
      </c>
      <c r="I3660" s="2" t="s">
        <v>497</v>
      </c>
    </row>
    <row r="3661" spans="1:9" ht="14.5" x14ac:dyDescent="0.35">
      <c r="A3661" s="2">
        <v>2554754</v>
      </c>
      <c r="B3661" s="2" t="str">
        <f>"3376026712920002"</f>
        <v>3376026712920002</v>
      </c>
      <c r="C3661" s="2" t="s">
        <v>4258</v>
      </c>
      <c r="D3661" s="2" t="s">
        <v>17</v>
      </c>
      <c r="E3661" s="2" t="s">
        <v>11</v>
      </c>
      <c r="F3661" s="2" t="s">
        <v>18</v>
      </c>
      <c r="G3661" s="2" t="s">
        <v>19</v>
      </c>
      <c r="H3661" s="2" t="s">
        <v>3354</v>
      </c>
      <c r="I3661" s="2" t="s">
        <v>307</v>
      </c>
    </row>
    <row r="3662" spans="1:9" ht="14.5" x14ac:dyDescent="0.35">
      <c r="A3662" s="2">
        <v>2331362</v>
      </c>
      <c r="B3662" s="2" t="str">
        <f>"3376032204980001"</f>
        <v>3376032204980001</v>
      </c>
      <c r="C3662" s="2" t="s">
        <v>4259</v>
      </c>
      <c r="D3662" s="2" t="s">
        <v>10</v>
      </c>
      <c r="E3662" s="2" t="s">
        <v>11</v>
      </c>
      <c r="F3662" s="2" t="s">
        <v>18</v>
      </c>
      <c r="G3662" s="2" t="s">
        <v>19</v>
      </c>
      <c r="H3662" s="2" t="s">
        <v>3354</v>
      </c>
      <c r="I3662" s="2" t="s">
        <v>307</v>
      </c>
    </row>
    <row r="3663" spans="1:9" ht="14.5" x14ac:dyDescent="0.35">
      <c r="A3663" s="2">
        <v>423672</v>
      </c>
      <c r="B3663" s="2" t="str">
        <f>"3376032204980001"</f>
        <v>3376032204980001</v>
      </c>
      <c r="C3663" s="2" t="s">
        <v>4260</v>
      </c>
      <c r="D3663" s="2" t="s">
        <v>10</v>
      </c>
      <c r="E3663" s="2" t="s">
        <v>57</v>
      </c>
      <c r="F3663" s="2" t="s">
        <v>18</v>
      </c>
      <c r="G3663" s="2" t="s">
        <v>268</v>
      </c>
      <c r="H3663" s="2" t="s">
        <v>277</v>
      </c>
      <c r="I3663" s="2" t="s">
        <v>278</v>
      </c>
    </row>
    <row r="3664" spans="1:9" ht="14.5" x14ac:dyDescent="0.35">
      <c r="A3664" s="2">
        <v>361871</v>
      </c>
      <c r="B3664" s="2" t="str">
        <f>"3376036104060001"</f>
        <v>3376036104060001</v>
      </c>
      <c r="C3664" s="2" t="s">
        <v>4261</v>
      </c>
      <c r="D3664" s="2" t="s">
        <v>189</v>
      </c>
      <c r="E3664" s="2" t="s">
        <v>11</v>
      </c>
      <c r="F3664" s="2" t="s">
        <v>18</v>
      </c>
      <c r="G3664" s="2" t="s">
        <v>268</v>
      </c>
      <c r="H3664" s="2" t="s">
        <v>269</v>
      </c>
      <c r="I3664" s="2" t="s">
        <v>996</v>
      </c>
    </row>
    <row r="3665" spans="1:9" ht="14.5" x14ac:dyDescent="0.35">
      <c r="A3665" s="2">
        <v>2556106</v>
      </c>
      <c r="B3665" s="2" t="str">
        <f>"3376036104060001"</f>
        <v>3376036104060001</v>
      </c>
      <c r="C3665" s="2" t="s">
        <v>4262</v>
      </c>
      <c r="D3665" s="2" t="s">
        <v>17</v>
      </c>
      <c r="E3665" s="2" t="s">
        <v>11</v>
      </c>
      <c r="F3665" s="2" t="s">
        <v>18</v>
      </c>
      <c r="G3665" s="2" t="s">
        <v>19</v>
      </c>
      <c r="H3665" s="2" t="s">
        <v>3354</v>
      </c>
      <c r="I3665" s="2" t="s">
        <v>4057</v>
      </c>
    </row>
    <row r="3666" spans="1:9" ht="14.5" x14ac:dyDescent="0.35">
      <c r="A3666" s="2">
        <v>400588</v>
      </c>
      <c r="B3666" s="2" t="str">
        <f>"3376040808930002"</f>
        <v>3376040808930002</v>
      </c>
      <c r="C3666" s="2" t="s">
        <v>4263</v>
      </c>
      <c r="D3666" s="2" t="s">
        <v>10</v>
      </c>
      <c r="E3666" s="2" t="s">
        <v>11</v>
      </c>
      <c r="F3666" s="2" t="s">
        <v>18</v>
      </c>
      <c r="G3666" s="2" t="s">
        <v>268</v>
      </c>
      <c r="H3666" s="2" t="s">
        <v>448</v>
      </c>
      <c r="I3666" s="2" t="s">
        <v>448</v>
      </c>
    </row>
    <row r="3667" spans="1:9" ht="14.5" x14ac:dyDescent="0.35">
      <c r="A3667" s="2">
        <v>2556103</v>
      </c>
      <c r="B3667" s="2" t="str">
        <f>"3376040808930002"</f>
        <v>3376040808930002</v>
      </c>
      <c r="C3667" s="2" t="s">
        <v>4263</v>
      </c>
      <c r="D3667" s="2" t="s">
        <v>17</v>
      </c>
      <c r="E3667" s="2" t="s">
        <v>11</v>
      </c>
      <c r="F3667" s="2" t="s">
        <v>18</v>
      </c>
      <c r="G3667" s="2" t="s">
        <v>19</v>
      </c>
      <c r="H3667" s="2" t="s">
        <v>3354</v>
      </c>
      <c r="I3667" s="2" t="s">
        <v>4057</v>
      </c>
    </row>
    <row r="3668" spans="1:9" ht="14.5" x14ac:dyDescent="0.35">
      <c r="A3668" s="2">
        <v>400293</v>
      </c>
      <c r="B3668" s="2" t="str">
        <f>"3376041112940001"</f>
        <v>3376041112940001</v>
      </c>
      <c r="C3668" s="2" t="s">
        <v>4264</v>
      </c>
      <c r="D3668" s="2" t="s">
        <v>10</v>
      </c>
      <c r="E3668" s="2" t="s">
        <v>11</v>
      </c>
      <c r="F3668" s="2" t="s">
        <v>18</v>
      </c>
      <c r="G3668" s="2" t="s">
        <v>268</v>
      </c>
      <c r="H3668" s="2" t="s">
        <v>448</v>
      </c>
      <c r="I3668" s="2" t="s">
        <v>448</v>
      </c>
    </row>
    <row r="3669" spans="1:9" ht="14.5" x14ac:dyDescent="0.35">
      <c r="A3669" s="2">
        <v>2554365</v>
      </c>
      <c r="B3669" s="2" t="str">
        <f>"3376041112940001"</f>
        <v>3376041112940001</v>
      </c>
      <c r="C3669" s="2" t="s">
        <v>4264</v>
      </c>
      <c r="D3669" s="2" t="s">
        <v>17</v>
      </c>
      <c r="E3669" s="2" t="s">
        <v>11</v>
      </c>
      <c r="F3669" s="2" t="s">
        <v>18</v>
      </c>
      <c r="G3669" s="2" t="s">
        <v>19</v>
      </c>
      <c r="H3669" s="2" t="s">
        <v>3354</v>
      </c>
      <c r="I3669" s="2" t="s">
        <v>3999</v>
      </c>
    </row>
    <row r="3670" spans="1:9" ht="14.5" x14ac:dyDescent="0.35">
      <c r="A3670" s="2">
        <v>1045467</v>
      </c>
      <c r="B3670" s="2" t="str">
        <f>"3376041208750003"</f>
        <v>3376041208750003</v>
      </c>
      <c r="C3670" s="2" t="s">
        <v>4265</v>
      </c>
      <c r="D3670" s="2" t="s">
        <v>10</v>
      </c>
      <c r="E3670" s="2" t="s">
        <v>11</v>
      </c>
      <c r="F3670" s="2" t="s">
        <v>18</v>
      </c>
      <c r="G3670" s="2" t="s">
        <v>264</v>
      </c>
      <c r="H3670" s="2" t="s">
        <v>248</v>
      </c>
      <c r="I3670" s="2" t="s">
        <v>472</v>
      </c>
    </row>
    <row r="3671" spans="1:9" ht="14.5" x14ac:dyDescent="0.35">
      <c r="A3671" s="2">
        <v>2553998</v>
      </c>
      <c r="B3671" s="2" t="str">
        <f>"3376041208750003"</f>
        <v>3376041208750003</v>
      </c>
      <c r="C3671" s="2" t="s">
        <v>4265</v>
      </c>
      <c r="D3671" s="2" t="s">
        <v>17</v>
      </c>
      <c r="E3671" s="2" t="s">
        <v>11</v>
      </c>
      <c r="F3671" s="2" t="s">
        <v>18</v>
      </c>
      <c r="G3671" s="2" t="s">
        <v>19</v>
      </c>
      <c r="H3671" s="2" t="s">
        <v>3354</v>
      </c>
      <c r="I3671" s="2" t="s">
        <v>4076</v>
      </c>
    </row>
    <row r="3672" spans="1:9" ht="14.5" x14ac:dyDescent="0.35">
      <c r="A3672" s="2">
        <v>1045469</v>
      </c>
      <c r="B3672" s="2" t="str">
        <f>"3376044711970001"</f>
        <v>3376044711970001</v>
      </c>
      <c r="C3672" s="2" t="s">
        <v>4266</v>
      </c>
      <c r="D3672" s="2" t="s">
        <v>10</v>
      </c>
      <c r="E3672" s="2" t="s">
        <v>11</v>
      </c>
      <c r="F3672" s="2" t="s">
        <v>18</v>
      </c>
      <c r="G3672" s="2" t="s">
        <v>264</v>
      </c>
      <c r="H3672" s="2" t="s">
        <v>248</v>
      </c>
      <c r="I3672" s="2" t="s">
        <v>472</v>
      </c>
    </row>
    <row r="3673" spans="1:9" ht="14.5" x14ac:dyDescent="0.35">
      <c r="A3673" s="2">
        <v>2553996</v>
      </c>
      <c r="B3673" s="2" t="str">
        <f>"3376044711970001"</f>
        <v>3376044711970001</v>
      </c>
      <c r="C3673" s="2" t="s">
        <v>4266</v>
      </c>
      <c r="D3673" s="2" t="s">
        <v>17</v>
      </c>
      <c r="E3673" s="2" t="s">
        <v>11</v>
      </c>
      <c r="F3673" s="2" t="s">
        <v>18</v>
      </c>
      <c r="G3673" s="2" t="s">
        <v>19</v>
      </c>
      <c r="H3673" s="2" t="s">
        <v>3354</v>
      </c>
      <c r="I3673" s="2" t="s">
        <v>4076</v>
      </c>
    </row>
    <row r="3674" spans="1:9" ht="14.5" x14ac:dyDescent="0.35">
      <c r="A3674" s="2">
        <v>1045465</v>
      </c>
      <c r="B3674" s="2" t="str">
        <f>"3376045202750001"</f>
        <v>3376045202750001</v>
      </c>
      <c r="C3674" s="2" t="s">
        <v>4267</v>
      </c>
      <c r="D3674" s="2" t="s">
        <v>10</v>
      </c>
      <c r="E3674" s="2" t="s">
        <v>11</v>
      </c>
      <c r="F3674" s="2" t="s">
        <v>18</v>
      </c>
      <c r="G3674" s="2" t="s">
        <v>264</v>
      </c>
      <c r="H3674" s="2" t="s">
        <v>248</v>
      </c>
      <c r="I3674" s="2" t="s">
        <v>472</v>
      </c>
    </row>
    <row r="3675" spans="1:9" ht="14.5" x14ac:dyDescent="0.35">
      <c r="A3675" s="2">
        <v>2553997</v>
      </c>
      <c r="B3675" s="2" t="str">
        <f>"3376045202750001"</f>
        <v>3376045202750001</v>
      </c>
      <c r="C3675" s="2" t="s">
        <v>4268</v>
      </c>
      <c r="D3675" s="2" t="s">
        <v>17</v>
      </c>
      <c r="E3675" s="2" t="s">
        <v>11</v>
      </c>
      <c r="F3675" s="2" t="s">
        <v>18</v>
      </c>
      <c r="G3675" s="2" t="s">
        <v>19</v>
      </c>
      <c r="H3675" s="2" t="s">
        <v>3354</v>
      </c>
      <c r="I3675" s="2" t="s">
        <v>4076</v>
      </c>
    </row>
    <row r="3676" spans="1:9" ht="14.5" x14ac:dyDescent="0.35">
      <c r="A3676" s="2">
        <v>1045471</v>
      </c>
      <c r="B3676" s="2" t="str">
        <f>"3376046006020001"</f>
        <v>3376046006020001</v>
      </c>
      <c r="C3676" s="2" t="s">
        <v>4269</v>
      </c>
      <c r="D3676" s="2" t="s">
        <v>10</v>
      </c>
      <c r="E3676" s="2" t="s">
        <v>11</v>
      </c>
      <c r="F3676" s="2" t="s">
        <v>18</v>
      </c>
      <c r="G3676" s="2" t="s">
        <v>264</v>
      </c>
      <c r="H3676" s="2" t="s">
        <v>248</v>
      </c>
      <c r="I3676" s="2" t="s">
        <v>472</v>
      </c>
    </row>
    <row r="3677" spans="1:9" ht="14.5" x14ac:dyDescent="0.35">
      <c r="A3677" s="2">
        <v>2553995</v>
      </c>
      <c r="B3677" s="2" t="str">
        <f>"3376046006020001"</f>
        <v>3376046006020001</v>
      </c>
      <c r="C3677" s="2" t="s">
        <v>4269</v>
      </c>
      <c r="D3677" s="2" t="s">
        <v>17</v>
      </c>
      <c r="E3677" s="2" t="s">
        <v>11</v>
      </c>
      <c r="F3677" s="2" t="s">
        <v>18</v>
      </c>
      <c r="G3677" s="2" t="s">
        <v>19</v>
      </c>
      <c r="H3677" s="2" t="s">
        <v>3354</v>
      </c>
      <c r="I3677" s="2" t="s">
        <v>4076</v>
      </c>
    </row>
    <row r="3678" spans="1:9" ht="14.5" x14ac:dyDescent="0.35">
      <c r="A3678" s="2">
        <v>965059</v>
      </c>
      <c r="B3678" s="2" t="str">
        <f>"3501100609800005"</f>
        <v>3501100609800005</v>
      </c>
      <c r="C3678" s="2" t="s">
        <v>4270</v>
      </c>
      <c r="D3678" s="2" t="s">
        <v>10</v>
      </c>
      <c r="E3678" s="2" t="s">
        <v>11</v>
      </c>
      <c r="F3678" s="2" t="s">
        <v>303</v>
      </c>
      <c r="G3678" s="2" t="s">
        <v>1855</v>
      </c>
      <c r="H3678" s="2" t="s">
        <v>4192</v>
      </c>
      <c r="I3678" s="2" t="s">
        <v>4193</v>
      </c>
    </row>
    <row r="3679" spans="1:9" ht="14.5" x14ac:dyDescent="0.35">
      <c r="A3679" s="2">
        <v>2554482</v>
      </c>
      <c r="B3679" s="2" t="str">
        <f>"3501100609800005"</f>
        <v>3501100609800005</v>
      </c>
      <c r="C3679" s="2" t="s">
        <v>4270</v>
      </c>
      <c r="D3679" s="2" t="s">
        <v>17</v>
      </c>
      <c r="E3679" s="2" t="s">
        <v>11</v>
      </c>
      <c r="F3679" s="2" t="s">
        <v>18</v>
      </c>
      <c r="G3679" s="2" t="s">
        <v>19</v>
      </c>
      <c r="H3679" s="2" t="s">
        <v>3354</v>
      </c>
      <c r="I3679" s="2" t="s">
        <v>3999</v>
      </c>
    </row>
    <row r="3680" spans="1:9" ht="14.5" x14ac:dyDescent="0.35">
      <c r="A3680" s="2">
        <v>2330353</v>
      </c>
      <c r="B3680" s="2" t="str">
        <f>"3526090107780930"</f>
        <v>3526090107780930</v>
      </c>
      <c r="C3680" s="2" t="s">
        <v>4271</v>
      </c>
      <c r="D3680" s="2" t="s">
        <v>10</v>
      </c>
      <c r="E3680" s="2" t="s">
        <v>11</v>
      </c>
      <c r="F3680" s="2" t="s">
        <v>18</v>
      </c>
      <c r="G3680" s="2" t="s">
        <v>19</v>
      </c>
      <c r="H3680" s="2" t="s">
        <v>3354</v>
      </c>
      <c r="I3680" s="2" t="s">
        <v>307</v>
      </c>
    </row>
    <row r="3681" spans="1:9" ht="14.5" x14ac:dyDescent="0.35">
      <c r="A3681" s="2">
        <v>501832</v>
      </c>
      <c r="B3681" s="2" t="str">
        <f>"3526090107780930"</f>
        <v>3526090107780930</v>
      </c>
      <c r="C3681" s="2" t="s">
        <v>4272</v>
      </c>
      <c r="D3681" s="2" t="s">
        <v>10</v>
      </c>
      <c r="E3681" s="2" t="s">
        <v>11</v>
      </c>
      <c r="F3681" s="2" t="s">
        <v>303</v>
      </c>
      <c r="G3681" s="2" t="s">
        <v>1676</v>
      </c>
      <c r="H3681" s="2" t="s">
        <v>4273</v>
      </c>
      <c r="I3681" s="2" t="s">
        <v>4274</v>
      </c>
    </row>
    <row r="3682" spans="1:9" ht="14.5" x14ac:dyDescent="0.35">
      <c r="A3682" s="2">
        <v>1941954</v>
      </c>
      <c r="B3682" s="2" t="str">
        <f>"3604244112910003"</f>
        <v>3604244112910003</v>
      </c>
      <c r="C3682" s="2" t="s">
        <v>4275</v>
      </c>
      <c r="D3682" s="2" t="s">
        <v>10</v>
      </c>
      <c r="E3682" s="2" t="s">
        <v>11</v>
      </c>
      <c r="F3682" s="2" t="s">
        <v>67</v>
      </c>
      <c r="G3682" s="2" t="s">
        <v>375</v>
      </c>
      <c r="H3682" s="2" t="s">
        <v>4018</v>
      </c>
      <c r="I3682" s="2" t="s">
        <v>4019</v>
      </c>
    </row>
    <row r="3683" spans="1:9" ht="14.5" x14ac:dyDescent="0.35">
      <c r="A3683" s="2">
        <v>2555152</v>
      </c>
      <c r="B3683" s="2" t="str">
        <f>"3604244112910003"</f>
        <v>3604244112910003</v>
      </c>
      <c r="C3683" s="2" t="s">
        <v>4275</v>
      </c>
      <c r="D3683" s="2" t="s">
        <v>17</v>
      </c>
      <c r="E3683" s="2" t="s">
        <v>11</v>
      </c>
      <c r="F3683" s="2" t="s">
        <v>18</v>
      </c>
      <c r="G3683" s="2" t="s">
        <v>19</v>
      </c>
      <c r="H3683" s="2" t="s">
        <v>3354</v>
      </c>
      <c r="I3683" s="2" t="s">
        <v>3354</v>
      </c>
    </row>
    <row r="3684" spans="1:9" ht="14.5" x14ac:dyDescent="0.35">
      <c r="A3684" s="2">
        <v>324030</v>
      </c>
      <c r="B3684" s="2" t="str">
        <f>"6172010509900002"</f>
        <v>6172010509900002</v>
      </c>
      <c r="C3684" s="2" t="s">
        <v>4276</v>
      </c>
      <c r="D3684" s="2" t="s">
        <v>10</v>
      </c>
      <c r="E3684" s="2" t="s">
        <v>11</v>
      </c>
      <c r="F3684" s="2" t="s">
        <v>516</v>
      </c>
      <c r="G3684" s="2" t="s">
        <v>4277</v>
      </c>
      <c r="H3684" s="2" t="s">
        <v>4278</v>
      </c>
      <c r="I3684" s="2" t="s">
        <v>4279</v>
      </c>
    </row>
    <row r="3685" spans="1:9" ht="14.5" x14ac:dyDescent="0.35">
      <c r="A3685" s="2">
        <v>2555677</v>
      </c>
      <c r="B3685" s="2" t="str">
        <f>"6172010509900002"</f>
        <v>6172010509900002</v>
      </c>
      <c r="C3685" s="2" t="s">
        <v>4276</v>
      </c>
      <c r="D3685" s="2" t="s">
        <v>17</v>
      </c>
      <c r="E3685" s="2" t="s">
        <v>11</v>
      </c>
      <c r="F3685" s="2" t="s">
        <v>18</v>
      </c>
      <c r="G3685" s="2" t="s">
        <v>19</v>
      </c>
      <c r="H3685" s="2" t="s">
        <v>3354</v>
      </c>
      <c r="I3685" s="2" t="s">
        <v>613</v>
      </c>
    </row>
    <row r="3686" spans="1:9" ht="14.5" x14ac:dyDescent="0.35">
      <c r="A3686" s="2">
        <v>2341071</v>
      </c>
      <c r="B3686" s="2" t="str">
        <f>"6473016306030001"</f>
        <v>6473016306030001</v>
      </c>
      <c r="C3686" s="2" t="s">
        <v>4280</v>
      </c>
      <c r="D3686" s="2" t="s">
        <v>10</v>
      </c>
      <c r="E3686" s="2" t="s">
        <v>11</v>
      </c>
      <c r="F3686" s="2" t="s">
        <v>18</v>
      </c>
      <c r="G3686" s="2" t="s">
        <v>19</v>
      </c>
      <c r="H3686" s="2" t="s">
        <v>3354</v>
      </c>
      <c r="I3686" s="2" t="s">
        <v>4026</v>
      </c>
    </row>
    <row r="3687" spans="1:9" ht="14.5" x14ac:dyDescent="0.35">
      <c r="A3687" s="2">
        <v>2426009</v>
      </c>
      <c r="B3687" s="2" t="str">
        <f>"6473016306030001"</f>
        <v>6473016306030001</v>
      </c>
      <c r="C3687" s="2" t="s">
        <v>4280</v>
      </c>
      <c r="D3687" s="2" t="s">
        <v>17</v>
      </c>
      <c r="E3687" s="2" t="s">
        <v>11</v>
      </c>
      <c r="F3687" s="2" t="s">
        <v>50</v>
      </c>
      <c r="G3687" s="2" t="s">
        <v>58</v>
      </c>
      <c r="H3687" s="2" t="s">
        <v>406</v>
      </c>
      <c r="I3687" s="2" t="s">
        <v>3434</v>
      </c>
    </row>
    <row r="3688" spans="1:9" ht="14.5" x14ac:dyDescent="0.35">
      <c r="A3688" s="2">
        <v>169611</v>
      </c>
      <c r="B3688" s="2" t="str">
        <f>"7571030305520001"</f>
        <v>7571030305520001</v>
      </c>
      <c r="C3688" s="2" t="s">
        <v>2537</v>
      </c>
      <c r="D3688" s="2" t="s">
        <v>10</v>
      </c>
      <c r="E3688" s="2" t="s">
        <v>11</v>
      </c>
      <c r="F3688" s="2" t="s">
        <v>4281</v>
      </c>
      <c r="G3688" s="2" t="s">
        <v>4282</v>
      </c>
      <c r="H3688" s="2" t="s">
        <v>4283</v>
      </c>
      <c r="I3688" s="2" t="s">
        <v>4284</v>
      </c>
    </row>
    <row r="3689" spans="1:9" ht="14.5" x14ac:dyDescent="0.35">
      <c r="A3689" s="2">
        <v>2555656</v>
      </c>
      <c r="B3689" s="2" t="str">
        <f>"7571030305520001"</f>
        <v>7571030305520001</v>
      </c>
      <c r="C3689" s="2" t="s">
        <v>2537</v>
      </c>
      <c r="D3689" s="2" t="s">
        <v>17</v>
      </c>
      <c r="E3689" s="2" t="s">
        <v>11</v>
      </c>
      <c r="F3689" s="2" t="s">
        <v>18</v>
      </c>
      <c r="G3689" s="2" t="s">
        <v>19</v>
      </c>
      <c r="H3689" s="2" t="s">
        <v>3354</v>
      </c>
      <c r="I3689" s="2" t="s">
        <v>613</v>
      </c>
    </row>
    <row r="3690" spans="1:9" ht="14.5" x14ac:dyDescent="0.35">
      <c r="A3690" s="2">
        <v>319293</v>
      </c>
      <c r="B3690" s="2" t="str">
        <f>"1810076003980002"</f>
        <v>1810076003980002</v>
      </c>
      <c r="C3690" s="2" t="s">
        <v>4285</v>
      </c>
      <c r="D3690" s="2" t="s">
        <v>10</v>
      </c>
      <c r="E3690" s="2" t="s">
        <v>11</v>
      </c>
      <c r="F3690" s="2" t="s">
        <v>44</v>
      </c>
      <c r="G3690" s="2" t="s">
        <v>4286</v>
      </c>
      <c r="H3690" s="2" t="s">
        <v>4287</v>
      </c>
      <c r="I3690" s="2" t="s">
        <v>4288</v>
      </c>
    </row>
    <row r="3691" spans="1:9" ht="14.5" x14ac:dyDescent="0.35">
      <c r="A3691" s="2">
        <v>2557578</v>
      </c>
      <c r="B3691" s="2" t="str">
        <f>"1810076003980002"</f>
        <v>1810076003980002</v>
      </c>
      <c r="C3691" s="2" t="s">
        <v>4289</v>
      </c>
      <c r="D3691" s="2" t="s">
        <v>17</v>
      </c>
      <c r="E3691" s="2" t="s">
        <v>11</v>
      </c>
      <c r="F3691" s="2" t="s">
        <v>18</v>
      </c>
      <c r="G3691" s="2" t="s">
        <v>19</v>
      </c>
      <c r="H3691" s="2" t="s">
        <v>4290</v>
      </c>
      <c r="I3691" s="2" t="s">
        <v>878</v>
      </c>
    </row>
    <row r="3692" spans="1:9" ht="14.5" x14ac:dyDescent="0.35">
      <c r="A3692" s="2">
        <v>1876455</v>
      </c>
      <c r="B3692" s="2" t="str">
        <f>"3171020211840006"</f>
        <v>3171020211840006</v>
      </c>
      <c r="C3692" s="2" t="s">
        <v>4291</v>
      </c>
      <c r="D3692" s="2" t="s">
        <v>10</v>
      </c>
      <c r="E3692" s="2" t="s">
        <v>11</v>
      </c>
      <c r="F3692" s="2" t="s">
        <v>18</v>
      </c>
      <c r="G3692" s="2" t="s">
        <v>19</v>
      </c>
      <c r="H3692" s="2" t="s">
        <v>4290</v>
      </c>
      <c r="I3692" s="2" t="s">
        <v>344</v>
      </c>
    </row>
    <row r="3693" spans="1:9" ht="14.5" x14ac:dyDescent="0.35">
      <c r="A3693" s="2">
        <v>2422734</v>
      </c>
      <c r="B3693" s="2" t="str">
        <f>"3171020211840006"</f>
        <v>3171020211840006</v>
      </c>
      <c r="C3693" s="2" t="s">
        <v>4292</v>
      </c>
      <c r="D3693" s="2" t="s">
        <v>10</v>
      </c>
      <c r="E3693" s="2" t="s">
        <v>57</v>
      </c>
      <c r="F3693" s="2" t="s">
        <v>50</v>
      </c>
      <c r="G3693" s="2" t="s">
        <v>58</v>
      </c>
      <c r="H3693" s="2" t="s">
        <v>59</v>
      </c>
      <c r="I3693" s="2" t="s">
        <v>60</v>
      </c>
    </row>
    <row r="3694" spans="1:9" ht="14.5" x14ac:dyDescent="0.35">
      <c r="A3694" s="2">
        <v>96734</v>
      </c>
      <c r="B3694" s="2" t="str">
        <f>"3171071711900006"</f>
        <v>3171071711900006</v>
      </c>
      <c r="C3694" s="2" t="s">
        <v>4293</v>
      </c>
      <c r="D3694" s="2" t="s">
        <v>10</v>
      </c>
      <c r="E3694" s="2" t="s">
        <v>11</v>
      </c>
      <c r="F3694" s="2" t="s">
        <v>50</v>
      </c>
      <c r="G3694" s="2" t="s">
        <v>72</v>
      </c>
      <c r="H3694" s="2" t="s">
        <v>541</v>
      </c>
      <c r="I3694" s="2" t="s">
        <v>2901</v>
      </c>
    </row>
    <row r="3695" spans="1:9" ht="14.5" x14ac:dyDescent="0.35">
      <c r="A3695" s="2">
        <v>2556749</v>
      </c>
      <c r="B3695" s="2" t="str">
        <f>"3171071711900006"</f>
        <v>3171071711900006</v>
      </c>
      <c r="C3695" s="2" t="s">
        <v>4294</v>
      </c>
      <c r="D3695" s="2" t="s">
        <v>17</v>
      </c>
      <c r="E3695" s="2" t="s">
        <v>11</v>
      </c>
      <c r="F3695" s="2" t="s">
        <v>18</v>
      </c>
      <c r="G3695" s="2" t="s">
        <v>19</v>
      </c>
      <c r="H3695" s="2" t="s">
        <v>4290</v>
      </c>
      <c r="I3695" s="2" t="s">
        <v>4290</v>
      </c>
    </row>
    <row r="3696" spans="1:9" ht="14.5" x14ac:dyDescent="0.35">
      <c r="A3696" s="2">
        <v>675786</v>
      </c>
      <c r="B3696" s="2" t="str">
        <f>"3171075207620001"</f>
        <v>3171075207620001</v>
      </c>
      <c r="C3696" s="2" t="s">
        <v>4295</v>
      </c>
      <c r="D3696" s="2" t="s">
        <v>10</v>
      </c>
      <c r="E3696" s="2" t="s">
        <v>11</v>
      </c>
      <c r="F3696" s="2" t="s">
        <v>50</v>
      </c>
      <c r="G3696" s="2" t="s">
        <v>280</v>
      </c>
      <c r="H3696" s="2" t="s">
        <v>281</v>
      </c>
      <c r="I3696" s="2" t="s">
        <v>4296</v>
      </c>
    </row>
    <row r="3697" spans="1:9" ht="14.5" x14ac:dyDescent="0.35">
      <c r="A3697" s="2">
        <v>2556176</v>
      </c>
      <c r="B3697" s="2" t="str">
        <f>"3171075207620001"</f>
        <v>3171075207620001</v>
      </c>
      <c r="C3697" s="2" t="s">
        <v>4295</v>
      </c>
      <c r="D3697" s="2" t="s">
        <v>17</v>
      </c>
      <c r="E3697" s="2" t="s">
        <v>11</v>
      </c>
      <c r="F3697" s="2" t="s">
        <v>18</v>
      </c>
      <c r="G3697" s="2" t="s">
        <v>19</v>
      </c>
      <c r="H3697" s="2" t="s">
        <v>4290</v>
      </c>
      <c r="I3697" s="2" t="s">
        <v>344</v>
      </c>
    </row>
    <row r="3698" spans="1:9" ht="14.5" x14ac:dyDescent="0.35">
      <c r="A3698" s="2">
        <v>240578</v>
      </c>
      <c r="B3698" s="2" t="str">
        <f>"3172012801740004"</f>
        <v>3172012801740004</v>
      </c>
      <c r="C3698" s="2" t="s">
        <v>979</v>
      </c>
      <c r="D3698" s="2" t="s">
        <v>10</v>
      </c>
      <c r="E3698" s="2" t="s">
        <v>11</v>
      </c>
      <c r="F3698" s="2" t="s">
        <v>50</v>
      </c>
      <c r="G3698" s="2" t="s">
        <v>51</v>
      </c>
      <c r="H3698" s="2" t="s">
        <v>52</v>
      </c>
      <c r="I3698" s="2" t="s">
        <v>3823</v>
      </c>
    </row>
    <row r="3699" spans="1:9" ht="14.5" x14ac:dyDescent="0.35">
      <c r="A3699" s="2">
        <v>2557489</v>
      </c>
      <c r="B3699" s="2" t="str">
        <f>"3172012801740004"</f>
        <v>3172012801740004</v>
      </c>
      <c r="C3699" s="2" t="s">
        <v>979</v>
      </c>
      <c r="D3699" s="2" t="s">
        <v>17</v>
      </c>
      <c r="E3699" s="2" t="s">
        <v>11</v>
      </c>
      <c r="F3699" s="2" t="s">
        <v>18</v>
      </c>
      <c r="G3699" s="2" t="s">
        <v>19</v>
      </c>
      <c r="H3699" s="2" t="s">
        <v>4290</v>
      </c>
      <c r="I3699" s="2" t="s">
        <v>1381</v>
      </c>
    </row>
    <row r="3700" spans="1:9" ht="14.5" x14ac:dyDescent="0.35">
      <c r="A3700" s="2">
        <v>1906825</v>
      </c>
      <c r="B3700" s="2" t="str">
        <f>"3172014907951001"</f>
        <v>3172014907951001</v>
      </c>
      <c r="C3700" s="2" t="s">
        <v>4297</v>
      </c>
      <c r="D3700" s="2" t="s">
        <v>10</v>
      </c>
      <c r="E3700" s="2" t="s">
        <v>11</v>
      </c>
      <c r="F3700" s="2" t="s">
        <v>18</v>
      </c>
      <c r="G3700" s="2" t="s">
        <v>19</v>
      </c>
      <c r="H3700" s="2" t="s">
        <v>4290</v>
      </c>
      <c r="I3700" s="2" t="s">
        <v>4298</v>
      </c>
    </row>
    <row r="3701" spans="1:9" ht="14.5" x14ac:dyDescent="0.35">
      <c r="A3701" s="2">
        <v>1385127</v>
      </c>
      <c r="B3701" s="2" t="str">
        <f>"3172014907951001"</f>
        <v>3172014907951001</v>
      </c>
      <c r="C3701" s="2" t="s">
        <v>4297</v>
      </c>
      <c r="D3701" s="2" t="s">
        <v>17</v>
      </c>
      <c r="E3701" s="2" t="s">
        <v>11</v>
      </c>
      <c r="F3701" s="2" t="s">
        <v>50</v>
      </c>
      <c r="G3701" s="2" t="s">
        <v>51</v>
      </c>
      <c r="H3701" s="2" t="s">
        <v>52</v>
      </c>
      <c r="I3701" s="2" t="s">
        <v>52</v>
      </c>
    </row>
    <row r="3702" spans="1:9" ht="14.5" x14ac:dyDescent="0.35">
      <c r="A3702" s="2">
        <v>240580</v>
      </c>
      <c r="B3702" s="2" t="str">
        <f>"3172016410010004"</f>
        <v>3172016410010004</v>
      </c>
      <c r="C3702" s="2" t="s">
        <v>4299</v>
      </c>
      <c r="D3702" s="2" t="s">
        <v>10</v>
      </c>
      <c r="E3702" s="2" t="s">
        <v>11</v>
      </c>
      <c r="F3702" s="2" t="s">
        <v>50</v>
      </c>
      <c r="G3702" s="2" t="s">
        <v>51</v>
      </c>
      <c r="H3702" s="2" t="s">
        <v>52</v>
      </c>
      <c r="I3702" s="2" t="s">
        <v>3823</v>
      </c>
    </row>
    <row r="3703" spans="1:9" ht="14.5" x14ac:dyDescent="0.35">
      <c r="A3703" s="2">
        <v>2557488</v>
      </c>
      <c r="B3703" s="2" t="str">
        <f>"3172016410010004"</f>
        <v>3172016410010004</v>
      </c>
      <c r="C3703" s="2" t="s">
        <v>4300</v>
      </c>
      <c r="D3703" s="2" t="s">
        <v>17</v>
      </c>
      <c r="E3703" s="2" t="s">
        <v>11</v>
      </c>
      <c r="F3703" s="2" t="s">
        <v>18</v>
      </c>
      <c r="G3703" s="2" t="s">
        <v>19</v>
      </c>
      <c r="H3703" s="2" t="s">
        <v>4290</v>
      </c>
      <c r="I3703" s="2" t="s">
        <v>1381</v>
      </c>
    </row>
    <row r="3704" spans="1:9" ht="14.5" x14ac:dyDescent="0.35">
      <c r="A3704" s="2">
        <v>240579</v>
      </c>
      <c r="B3704" s="2" t="str">
        <f>"3172017005760004"</f>
        <v>3172017005760004</v>
      </c>
      <c r="C3704" s="2" t="s">
        <v>4301</v>
      </c>
      <c r="D3704" s="2" t="s">
        <v>10</v>
      </c>
      <c r="E3704" s="2" t="s">
        <v>11</v>
      </c>
      <c r="F3704" s="2" t="s">
        <v>50</v>
      </c>
      <c r="G3704" s="2" t="s">
        <v>51</v>
      </c>
      <c r="H3704" s="2" t="s">
        <v>52</v>
      </c>
      <c r="I3704" s="2" t="s">
        <v>3823</v>
      </c>
    </row>
    <row r="3705" spans="1:9" ht="14.5" x14ac:dyDescent="0.35">
      <c r="A3705" s="2">
        <v>2557490</v>
      </c>
      <c r="B3705" s="2" t="str">
        <f>"3172017005760004"</f>
        <v>3172017005760004</v>
      </c>
      <c r="C3705" s="2" t="s">
        <v>4301</v>
      </c>
      <c r="D3705" s="2" t="s">
        <v>17</v>
      </c>
      <c r="E3705" s="2" t="s">
        <v>11</v>
      </c>
      <c r="F3705" s="2" t="s">
        <v>18</v>
      </c>
      <c r="G3705" s="2" t="s">
        <v>19</v>
      </c>
      <c r="H3705" s="2" t="s">
        <v>4290</v>
      </c>
      <c r="I3705" s="2" t="s">
        <v>1381</v>
      </c>
    </row>
    <row r="3706" spans="1:9" ht="14.5" x14ac:dyDescent="0.35">
      <c r="A3706" s="2">
        <v>1879727</v>
      </c>
      <c r="B3706" s="2" t="str">
        <f>"3173012202920001"</f>
        <v>3173012202920001</v>
      </c>
      <c r="C3706" s="2" t="s">
        <v>4302</v>
      </c>
      <c r="D3706" s="2" t="s">
        <v>10</v>
      </c>
      <c r="E3706" s="2" t="s">
        <v>11</v>
      </c>
      <c r="F3706" s="2" t="s">
        <v>18</v>
      </c>
      <c r="G3706" s="2" t="s">
        <v>19</v>
      </c>
      <c r="H3706" s="2" t="s">
        <v>4290</v>
      </c>
      <c r="I3706" s="2" t="s">
        <v>4303</v>
      </c>
    </row>
    <row r="3707" spans="1:9" ht="14.5" x14ac:dyDescent="0.35">
      <c r="A3707" s="2">
        <v>1500858</v>
      </c>
      <c r="B3707" s="2" t="str">
        <f>"3173012202920001"</f>
        <v>3173012202920001</v>
      </c>
      <c r="C3707" s="2" t="s">
        <v>4302</v>
      </c>
      <c r="D3707" s="2" t="s">
        <v>17</v>
      </c>
      <c r="E3707" s="2" t="s">
        <v>11</v>
      </c>
      <c r="F3707" s="2" t="s">
        <v>18</v>
      </c>
      <c r="G3707" s="2" t="s">
        <v>195</v>
      </c>
      <c r="H3707" s="2" t="s">
        <v>4304</v>
      </c>
      <c r="I3707" s="2" t="s">
        <v>4305</v>
      </c>
    </row>
    <row r="3708" spans="1:9" ht="14.5" x14ac:dyDescent="0.35">
      <c r="A3708" s="2">
        <v>1101914</v>
      </c>
      <c r="B3708" s="2" t="str">
        <f>"3174060708050003"</f>
        <v>3174060708050003</v>
      </c>
      <c r="C3708" s="2" t="s">
        <v>4306</v>
      </c>
      <c r="D3708" s="2" t="s">
        <v>10</v>
      </c>
      <c r="E3708" s="2" t="s">
        <v>11</v>
      </c>
      <c r="F3708" s="2" t="s">
        <v>50</v>
      </c>
      <c r="G3708" s="2" t="s">
        <v>72</v>
      </c>
      <c r="H3708" s="2" t="s">
        <v>1093</v>
      </c>
      <c r="I3708" s="2" t="s">
        <v>4307</v>
      </c>
    </row>
    <row r="3709" spans="1:9" ht="14.5" x14ac:dyDescent="0.35">
      <c r="A3709" s="2">
        <v>2557169</v>
      </c>
      <c r="B3709" s="2" t="str">
        <f>"3174060708050003"</f>
        <v>3174060708050003</v>
      </c>
      <c r="C3709" s="2" t="s">
        <v>4308</v>
      </c>
      <c r="D3709" s="2" t="s">
        <v>17</v>
      </c>
      <c r="E3709" s="2" t="s">
        <v>11</v>
      </c>
      <c r="F3709" s="2" t="s">
        <v>18</v>
      </c>
      <c r="G3709" s="2" t="s">
        <v>19</v>
      </c>
      <c r="H3709" s="2" t="s">
        <v>4290</v>
      </c>
      <c r="I3709" s="2" t="s">
        <v>4309</v>
      </c>
    </row>
    <row r="3710" spans="1:9" ht="14.5" x14ac:dyDescent="0.35">
      <c r="A3710" s="2">
        <v>1101916</v>
      </c>
      <c r="B3710" s="2" t="str">
        <f>"3174062205690010"</f>
        <v>3174062205690010</v>
      </c>
      <c r="C3710" s="2" t="s">
        <v>4310</v>
      </c>
      <c r="D3710" s="2" t="s">
        <v>10</v>
      </c>
      <c r="E3710" s="2" t="s">
        <v>11</v>
      </c>
      <c r="F3710" s="2" t="s">
        <v>50</v>
      </c>
      <c r="G3710" s="2" t="s">
        <v>72</v>
      </c>
      <c r="H3710" s="2" t="s">
        <v>1093</v>
      </c>
      <c r="I3710" s="2" t="s">
        <v>4307</v>
      </c>
    </row>
    <row r="3711" spans="1:9" ht="14.5" x14ac:dyDescent="0.35">
      <c r="A3711" s="2">
        <v>2557168</v>
      </c>
      <c r="B3711" s="2" t="str">
        <f>"3174062205690010"</f>
        <v>3174062205690010</v>
      </c>
      <c r="C3711" s="2" t="s">
        <v>4311</v>
      </c>
      <c r="D3711" s="2" t="s">
        <v>17</v>
      </c>
      <c r="E3711" s="2" t="s">
        <v>11</v>
      </c>
      <c r="F3711" s="2" t="s">
        <v>18</v>
      </c>
      <c r="G3711" s="2" t="s">
        <v>19</v>
      </c>
      <c r="H3711" s="2" t="s">
        <v>4290</v>
      </c>
      <c r="I3711" s="2" t="s">
        <v>4309</v>
      </c>
    </row>
    <row r="3712" spans="1:9" ht="14.5" x14ac:dyDescent="0.35">
      <c r="A3712" s="2">
        <v>1101918</v>
      </c>
      <c r="B3712" s="2" t="str">
        <f>"3174065605800005"</f>
        <v>3174065605800005</v>
      </c>
      <c r="C3712" s="2" t="s">
        <v>4312</v>
      </c>
      <c r="D3712" s="2" t="s">
        <v>10</v>
      </c>
      <c r="E3712" s="2" t="s">
        <v>11</v>
      </c>
      <c r="F3712" s="2" t="s">
        <v>50</v>
      </c>
      <c r="G3712" s="2" t="s">
        <v>72</v>
      </c>
      <c r="H3712" s="2" t="s">
        <v>1093</v>
      </c>
      <c r="I3712" s="2" t="s">
        <v>4307</v>
      </c>
    </row>
    <row r="3713" spans="1:9" ht="14.5" x14ac:dyDescent="0.35">
      <c r="A3713" s="2">
        <v>2557163</v>
      </c>
      <c r="B3713" s="2" t="str">
        <f>"3174065605800005"</f>
        <v>3174065605800005</v>
      </c>
      <c r="C3713" s="2" t="s">
        <v>4313</v>
      </c>
      <c r="D3713" s="2" t="s">
        <v>17</v>
      </c>
      <c r="E3713" s="2" t="s">
        <v>11</v>
      </c>
      <c r="F3713" s="2" t="s">
        <v>18</v>
      </c>
      <c r="G3713" s="2" t="s">
        <v>19</v>
      </c>
      <c r="H3713" s="2" t="s">
        <v>4290</v>
      </c>
      <c r="I3713" s="2" t="s">
        <v>4309</v>
      </c>
    </row>
    <row r="3714" spans="1:9" ht="14.5" x14ac:dyDescent="0.35">
      <c r="A3714" s="2">
        <v>1895244</v>
      </c>
      <c r="B3714" s="2" t="str">
        <f>"3175072507750007"</f>
        <v>3175072507750007</v>
      </c>
      <c r="C3714" s="2" t="s">
        <v>4314</v>
      </c>
      <c r="D3714" s="2" t="s">
        <v>10</v>
      </c>
      <c r="E3714" s="2" t="s">
        <v>11</v>
      </c>
      <c r="F3714" s="2" t="s">
        <v>18</v>
      </c>
      <c r="G3714" s="2" t="s">
        <v>19</v>
      </c>
      <c r="H3714" s="2" t="s">
        <v>4290</v>
      </c>
      <c r="I3714" s="2" t="s">
        <v>4315</v>
      </c>
    </row>
    <row r="3715" spans="1:9" ht="14.5" x14ac:dyDescent="0.35">
      <c r="A3715" s="2">
        <v>2428321</v>
      </c>
      <c r="B3715" s="2" t="str">
        <f>"3175072507750007"</f>
        <v>3175072507750007</v>
      </c>
      <c r="C3715" s="2" t="s">
        <v>4316</v>
      </c>
      <c r="D3715" s="2" t="s">
        <v>17</v>
      </c>
      <c r="E3715" s="2" t="s">
        <v>11</v>
      </c>
      <c r="F3715" s="2" t="s">
        <v>50</v>
      </c>
      <c r="G3715" s="2" t="s">
        <v>58</v>
      </c>
      <c r="H3715" s="2" t="s">
        <v>1283</v>
      </c>
      <c r="I3715" s="2" t="s">
        <v>1291</v>
      </c>
    </row>
    <row r="3716" spans="1:9" ht="14.5" x14ac:dyDescent="0.35">
      <c r="A3716" s="2">
        <v>1078006</v>
      </c>
      <c r="B3716" s="2" t="str">
        <f>"3175090407800019"</f>
        <v>3175090407800019</v>
      </c>
      <c r="C3716" s="2" t="s">
        <v>4317</v>
      </c>
      <c r="D3716" s="2" t="s">
        <v>10</v>
      </c>
      <c r="E3716" s="2" t="s">
        <v>11</v>
      </c>
      <c r="F3716" s="2" t="s">
        <v>50</v>
      </c>
      <c r="G3716" s="2" t="s">
        <v>58</v>
      </c>
      <c r="H3716" s="2" t="s">
        <v>1747</v>
      </c>
      <c r="I3716" s="2" t="s">
        <v>2291</v>
      </c>
    </row>
    <row r="3717" spans="1:9" ht="14.5" x14ac:dyDescent="0.35">
      <c r="A3717" s="2">
        <v>2556699</v>
      </c>
      <c r="B3717" s="2" t="str">
        <f>"3175090407800019"</f>
        <v>3175090407800019</v>
      </c>
      <c r="C3717" s="2" t="s">
        <v>4317</v>
      </c>
      <c r="D3717" s="2" t="s">
        <v>17</v>
      </c>
      <c r="E3717" s="2" t="s">
        <v>11</v>
      </c>
      <c r="F3717" s="2" t="s">
        <v>18</v>
      </c>
      <c r="G3717" s="2" t="s">
        <v>19</v>
      </c>
      <c r="H3717" s="2" t="s">
        <v>4290</v>
      </c>
      <c r="I3717" s="2" t="s">
        <v>4318</v>
      </c>
    </row>
    <row r="3718" spans="1:9" ht="14.5" x14ac:dyDescent="0.35">
      <c r="A3718" s="2">
        <v>1879967</v>
      </c>
      <c r="B3718" s="2" t="str">
        <f>"3201150304670012"</f>
        <v>3201150304670012</v>
      </c>
      <c r="C3718" s="2" t="s">
        <v>4319</v>
      </c>
      <c r="D3718" s="2" t="s">
        <v>10</v>
      </c>
      <c r="E3718" s="2" t="s">
        <v>11</v>
      </c>
      <c r="F3718" s="2" t="s">
        <v>18</v>
      </c>
      <c r="G3718" s="2" t="s">
        <v>19</v>
      </c>
      <c r="H3718" s="2" t="s">
        <v>4290</v>
      </c>
      <c r="I3718" s="2" t="s">
        <v>4303</v>
      </c>
    </row>
    <row r="3719" spans="1:9" ht="14.5" x14ac:dyDescent="0.35">
      <c r="A3719" s="2">
        <v>887160</v>
      </c>
      <c r="B3719" s="2" t="str">
        <f>"3201150304670012"</f>
        <v>3201150304670012</v>
      </c>
      <c r="C3719" s="2" t="s">
        <v>4320</v>
      </c>
      <c r="D3719" s="2" t="s">
        <v>17</v>
      </c>
      <c r="E3719" s="2" t="s">
        <v>57</v>
      </c>
      <c r="F3719" s="2" t="s">
        <v>516</v>
      </c>
      <c r="G3719" s="2" t="s">
        <v>4321</v>
      </c>
      <c r="H3719" s="2" t="s">
        <v>4322</v>
      </c>
      <c r="I3719" s="2" t="s">
        <v>4322</v>
      </c>
    </row>
    <row r="3720" spans="1:9" ht="14.5" x14ac:dyDescent="0.35">
      <c r="A3720" s="2">
        <v>1272237</v>
      </c>
      <c r="B3720" s="2" t="str">
        <f>"3209195605980005"</f>
        <v>3209195605980005</v>
      </c>
      <c r="C3720" s="2" t="s">
        <v>4323</v>
      </c>
      <c r="D3720" s="2" t="s">
        <v>10</v>
      </c>
      <c r="E3720" s="2" t="s">
        <v>11</v>
      </c>
      <c r="F3720" s="2" t="s">
        <v>91</v>
      </c>
      <c r="G3720" s="2" t="s">
        <v>985</v>
      </c>
      <c r="H3720" s="2" t="s">
        <v>4324</v>
      </c>
      <c r="I3720" s="2" t="s">
        <v>680</v>
      </c>
    </row>
    <row r="3721" spans="1:9" ht="14.5" x14ac:dyDescent="0.35">
      <c r="A3721" s="2">
        <v>2557223</v>
      </c>
      <c r="B3721" s="2" t="str">
        <f>"3209195605980005"</f>
        <v>3209195605980005</v>
      </c>
      <c r="C3721" s="2" t="s">
        <v>4323</v>
      </c>
      <c r="D3721" s="2" t="s">
        <v>17</v>
      </c>
      <c r="E3721" s="2" t="s">
        <v>11</v>
      </c>
      <c r="F3721" s="2" t="s">
        <v>18</v>
      </c>
      <c r="G3721" s="2" t="s">
        <v>19</v>
      </c>
      <c r="H3721" s="2" t="s">
        <v>4290</v>
      </c>
      <c r="I3721" s="2" t="s">
        <v>4309</v>
      </c>
    </row>
    <row r="3722" spans="1:9" ht="14.5" x14ac:dyDescent="0.35">
      <c r="A3722" s="2">
        <v>1422994</v>
      </c>
      <c r="B3722" s="2" t="str">
        <f>"3211264111930001"</f>
        <v>3211264111930001</v>
      </c>
      <c r="C3722" s="2" t="s">
        <v>4325</v>
      </c>
      <c r="D3722" s="2" t="s">
        <v>10</v>
      </c>
      <c r="E3722" s="2" t="s">
        <v>11</v>
      </c>
      <c r="F3722" s="2" t="s">
        <v>91</v>
      </c>
      <c r="G3722" s="2" t="s">
        <v>1763</v>
      </c>
      <c r="H3722" s="2" t="s">
        <v>4326</v>
      </c>
      <c r="I3722" s="2" t="s">
        <v>4327</v>
      </c>
    </row>
    <row r="3723" spans="1:9" ht="14.5" x14ac:dyDescent="0.35">
      <c r="A3723" s="2">
        <v>2556565</v>
      </c>
      <c r="B3723" s="2" t="str">
        <f>"3211264111930001"</f>
        <v>3211264111930001</v>
      </c>
      <c r="C3723" s="2" t="s">
        <v>4328</v>
      </c>
      <c r="D3723" s="2" t="s">
        <v>17</v>
      </c>
      <c r="E3723" s="2" t="s">
        <v>11</v>
      </c>
      <c r="F3723" s="2" t="s">
        <v>18</v>
      </c>
      <c r="G3723" s="2" t="s">
        <v>19</v>
      </c>
      <c r="H3723" s="2" t="s">
        <v>4290</v>
      </c>
      <c r="I3723" s="2" t="s">
        <v>4329</v>
      </c>
    </row>
    <row r="3724" spans="1:9" ht="14.5" x14ac:dyDescent="0.35">
      <c r="A3724" s="2">
        <v>161515</v>
      </c>
      <c r="B3724" s="2" t="str">
        <f>"3212055308010001"</f>
        <v>3212055308010001</v>
      </c>
      <c r="C3724" s="2" t="s">
        <v>4330</v>
      </c>
      <c r="D3724" s="2" t="s">
        <v>10</v>
      </c>
      <c r="E3724" s="2" t="s">
        <v>11</v>
      </c>
      <c r="F3724" s="2" t="s">
        <v>91</v>
      </c>
      <c r="G3724" s="2" t="s">
        <v>114</v>
      </c>
      <c r="H3724" s="2" t="s">
        <v>4331</v>
      </c>
      <c r="I3724" s="2" t="s">
        <v>4332</v>
      </c>
    </row>
    <row r="3725" spans="1:9" ht="14.5" x14ac:dyDescent="0.35">
      <c r="A3725" s="2">
        <v>2557553</v>
      </c>
      <c r="B3725" s="2" t="str">
        <f>"3212055308010001"</f>
        <v>3212055308010001</v>
      </c>
      <c r="C3725" s="2" t="s">
        <v>4330</v>
      </c>
      <c r="D3725" s="2" t="s">
        <v>17</v>
      </c>
      <c r="E3725" s="2" t="s">
        <v>11</v>
      </c>
      <c r="F3725" s="2" t="s">
        <v>18</v>
      </c>
      <c r="G3725" s="2" t="s">
        <v>19</v>
      </c>
      <c r="H3725" s="2" t="s">
        <v>4290</v>
      </c>
      <c r="I3725" s="2" t="s">
        <v>878</v>
      </c>
    </row>
    <row r="3726" spans="1:9" ht="14.5" x14ac:dyDescent="0.35">
      <c r="A3726" s="2">
        <v>1875817</v>
      </c>
      <c r="B3726" s="2" t="str">
        <f>"3213091011810014"</f>
        <v>3213091011810014</v>
      </c>
      <c r="C3726" s="2" t="s">
        <v>4333</v>
      </c>
      <c r="D3726" s="2" t="s">
        <v>10</v>
      </c>
      <c r="E3726" s="2" t="s">
        <v>11</v>
      </c>
      <c r="F3726" s="2" t="s">
        <v>18</v>
      </c>
      <c r="G3726" s="2" t="s">
        <v>19</v>
      </c>
      <c r="H3726" s="2" t="s">
        <v>4290</v>
      </c>
      <c r="I3726" s="2" t="s">
        <v>344</v>
      </c>
    </row>
    <row r="3727" spans="1:9" ht="14.5" x14ac:dyDescent="0.35">
      <c r="A3727" s="2">
        <v>1841197</v>
      </c>
      <c r="B3727" s="2" t="str">
        <f>"3213091011810014"</f>
        <v>3213091011810014</v>
      </c>
      <c r="C3727" s="2" t="s">
        <v>4333</v>
      </c>
      <c r="D3727" s="2" t="s">
        <v>17</v>
      </c>
      <c r="E3727" s="2" t="s">
        <v>11</v>
      </c>
      <c r="F3727" s="2" t="s">
        <v>91</v>
      </c>
      <c r="G3727" s="2" t="s">
        <v>320</v>
      </c>
      <c r="H3727" s="2" t="s">
        <v>4334</v>
      </c>
      <c r="I3727" s="2" t="s">
        <v>4335</v>
      </c>
    </row>
    <row r="3728" spans="1:9" ht="14.5" x14ac:dyDescent="0.35">
      <c r="A3728" s="2">
        <v>1757432</v>
      </c>
      <c r="B3728" s="2" t="str">
        <f>"3215255606960005"</f>
        <v>3215255606960005</v>
      </c>
      <c r="C3728" s="2" t="s">
        <v>4336</v>
      </c>
      <c r="D3728" s="2" t="s">
        <v>10</v>
      </c>
      <c r="E3728" s="2" t="s">
        <v>11</v>
      </c>
      <c r="F3728" s="2" t="s">
        <v>91</v>
      </c>
      <c r="G3728" s="2" t="s">
        <v>320</v>
      </c>
      <c r="H3728" s="2" t="s">
        <v>1289</v>
      </c>
      <c r="I3728" s="2" t="s">
        <v>4337</v>
      </c>
    </row>
    <row r="3729" spans="1:9" ht="14.5" x14ac:dyDescent="0.35">
      <c r="A3729" s="2">
        <v>2556212</v>
      </c>
      <c r="B3729" s="2" t="str">
        <f>"3215255606960005"</f>
        <v>3215255606960005</v>
      </c>
      <c r="C3729" s="2" t="s">
        <v>4336</v>
      </c>
      <c r="D3729" s="2" t="s">
        <v>17</v>
      </c>
      <c r="E3729" s="2" t="s">
        <v>11</v>
      </c>
      <c r="F3729" s="2" t="s">
        <v>18</v>
      </c>
      <c r="G3729" s="2" t="s">
        <v>19</v>
      </c>
      <c r="H3729" s="2" t="s">
        <v>4290</v>
      </c>
      <c r="I3729" s="2" t="s">
        <v>4303</v>
      </c>
    </row>
    <row r="3730" spans="1:9" ht="14.5" x14ac:dyDescent="0.35">
      <c r="A3730" s="2">
        <v>621600</v>
      </c>
      <c r="B3730" s="2" t="str">
        <f>"3271050304800025"</f>
        <v>3271050304800025</v>
      </c>
      <c r="C3730" s="2" t="s">
        <v>4338</v>
      </c>
      <c r="D3730" s="2" t="s">
        <v>10</v>
      </c>
      <c r="E3730" s="2" t="s">
        <v>11</v>
      </c>
      <c r="F3730" s="2" t="s">
        <v>91</v>
      </c>
      <c r="G3730" s="2" t="s">
        <v>438</v>
      </c>
      <c r="H3730" s="2" t="s">
        <v>2958</v>
      </c>
      <c r="I3730" s="2" t="s">
        <v>4339</v>
      </c>
    </row>
    <row r="3731" spans="1:9" ht="14.5" x14ac:dyDescent="0.35">
      <c r="A3731" s="2">
        <v>2556256</v>
      </c>
      <c r="B3731" s="2" t="str">
        <f>"3271050304800025"</f>
        <v>3271050304800025</v>
      </c>
      <c r="C3731" s="2" t="s">
        <v>4340</v>
      </c>
      <c r="D3731" s="2" t="s">
        <v>17</v>
      </c>
      <c r="E3731" s="2" t="s">
        <v>11</v>
      </c>
      <c r="F3731" s="2" t="s">
        <v>18</v>
      </c>
      <c r="G3731" s="2" t="s">
        <v>19</v>
      </c>
      <c r="H3731" s="2" t="s">
        <v>4290</v>
      </c>
      <c r="I3731" s="2" t="s">
        <v>4303</v>
      </c>
    </row>
    <row r="3732" spans="1:9" ht="14.5" x14ac:dyDescent="0.35">
      <c r="A3732" s="2">
        <v>621601</v>
      </c>
      <c r="B3732" s="2" t="str">
        <f>"3271054802830010"</f>
        <v>3271054802830010</v>
      </c>
      <c r="C3732" s="2" t="s">
        <v>4341</v>
      </c>
      <c r="D3732" s="2" t="s">
        <v>10</v>
      </c>
      <c r="E3732" s="2" t="s">
        <v>11</v>
      </c>
      <c r="F3732" s="2" t="s">
        <v>91</v>
      </c>
      <c r="G3732" s="2" t="s">
        <v>438</v>
      </c>
      <c r="H3732" s="2" t="s">
        <v>2958</v>
      </c>
      <c r="I3732" s="2" t="s">
        <v>4339</v>
      </c>
    </row>
    <row r="3733" spans="1:9" ht="14.5" x14ac:dyDescent="0.35">
      <c r="A3733" s="2">
        <v>2556257</v>
      </c>
      <c r="B3733" s="2" t="str">
        <f>"3271054802830010"</f>
        <v>3271054802830010</v>
      </c>
      <c r="C3733" s="2" t="s">
        <v>4342</v>
      </c>
      <c r="D3733" s="2" t="s">
        <v>17</v>
      </c>
      <c r="E3733" s="2" t="s">
        <v>11</v>
      </c>
      <c r="F3733" s="2" t="s">
        <v>18</v>
      </c>
      <c r="G3733" s="2" t="s">
        <v>19</v>
      </c>
      <c r="H3733" s="2" t="s">
        <v>4290</v>
      </c>
      <c r="I3733" s="2" t="s">
        <v>4303</v>
      </c>
    </row>
    <row r="3734" spans="1:9" ht="14.5" x14ac:dyDescent="0.35">
      <c r="A3734" s="2">
        <v>621602</v>
      </c>
      <c r="B3734" s="2" t="str">
        <f>"3271057001070003"</f>
        <v>3271057001070003</v>
      </c>
      <c r="C3734" s="2" t="s">
        <v>4343</v>
      </c>
      <c r="D3734" s="2" t="s">
        <v>10</v>
      </c>
      <c r="E3734" s="2" t="s">
        <v>11</v>
      </c>
      <c r="F3734" s="2" t="s">
        <v>91</v>
      </c>
      <c r="G3734" s="2" t="s">
        <v>438</v>
      </c>
      <c r="H3734" s="2" t="s">
        <v>2958</v>
      </c>
      <c r="I3734" s="2" t="s">
        <v>4339</v>
      </c>
    </row>
    <row r="3735" spans="1:9" ht="14.5" x14ac:dyDescent="0.35">
      <c r="A3735" s="2">
        <v>2556255</v>
      </c>
      <c r="B3735" s="2" t="str">
        <f>"3271057001070003"</f>
        <v>3271057001070003</v>
      </c>
      <c r="C3735" s="2" t="s">
        <v>4344</v>
      </c>
      <c r="D3735" s="2" t="s">
        <v>17</v>
      </c>
      <c r="E3735" s="2" t="s">
        <v>11</v>
      </c>
      <c r="F3735" s="2" t="s">
        <v>18</v>
      </c>
      <c r="G3735" s="2" t="s">
        <v>19</v>
      </c>
      <c r="H3735" s="2" t="s">
        <v>4290</v>
      </c>
      <c r="I3735" s="2" t="s">
        <v>4303</v>
      </c>
    </row>
    <row r="3736" spans="1:9" ht="14.5" x14ac:dyDescent="0.35">
      <c r="A3736" s="2">
        <v>196064</v>
      </c>
      <c r="B3736" s="2" t="str">
        <f>"3274041904690004"</f>
        <v>3274041904690004</v>
      </c>
      <c r="C3736" s="2" t="s">
        <v>4345</v>
      </c>
      <c r="D3736" s="2" t="s">
        <v>10</v>
      </c>
      <c r="E3736" s="2" t="s">
        <v>11</v>
      </c>
      <c r="F3736" s="2" t="s">
        <v>91</v>
      </c>
      <c r="G3736" s="2" t="s">
        <v>155</v>
      </c>
      <c r="H3736" s="2" t="s">
        <v>1327</v>
      </c>
      <c r="I3736" s="2" t="s">
        <v>4346</v>
      </c>
    </row>
    <row r="3737" spans="1:9" ht="14.5" x14ac:dyDescent="0.35">
      <c r="A3737" s="2">
        <v>2557082</v>
      </c>
      <c r="B3737" s="2" t="str">
        <f>"3274041904690004"</f>
        <v>3274041904690004</v>
      </c>
      <c r="C3737" s="2" t="s">
        <v>4345</v>
      </c>
      <c r="D3737" s="2" t="s">
        <v>17</v>
      </c>
      <c r="E3737" s="2" t="s">
        <v>11</v>
      </c>
      <c r="F3737" s="2" t="s">
        <v>18</v>
      </c>
      <c r="G3737" s="2" t="s">
        <v>19</v>
      </c>
      <c r="H3737" s="2" t="s">
        <v>4290</v>
      </c>
      <c r="I3737" s="2" t="s">
        <v>4347</v>
      </c>
    </row>
    <row r="3738" spans="1:9" ht="14.5" x14ac:dyDescent="0.35">
      <c r="A3738" s="2">
        <v>196063</v>
      </c>
      <c r="B3738" s="2" t="str">
        <f>"3274046311740006"</f>
        <v>3274046311740006</v>
      </c>
      <c r="C3738" s="2" t="s">
        <v>4348</v>
      </c>
      <c r="D3738" s="2" t="s">
        <v>10</v>
      </c>
      <c r="E3738" s="2" t="s">
        <v>11</v>
      </c>
      <c r="F3738" s="2" t="s">
        <v>91</v>
      </c>
      <c r="G3738" s="2" t="s">
        <v>155</v>
      </c>
      <c r="H3738" s="2" t="s">
        <v>1327</v>
      </c>
      <c r="I3738" s="2" t="s">
        <v>4346</v>
      </c>
    </row>
    <row r="3739" spans="1:9" ht="14.5" x14ac:dyDescent="0.35">
      <c r="A3739" s="2">
        <v>2557083</v>
      </c>
      <c r="B3739" s="2" t="str">
        <f>"3274046311740006"</f>
        <v>3274046311740006</v>
      </c>
      <c r="C3739" s="2" t="s">
        <v>4348</v>
      </c>
      <c r="D3739" s="2" t="s">
        <v>17</v>
      </c>
      <c r="E3739" s="2" t="s">
        <v>11</v>
      </c>
      <c r="F3739" s="2" t="s">
        <v>18</v>
      </c>
      <c r="G3739" s="2" t="s">
        <v>19</v>
      </c>
      <c r="H3739" s="2" t="s">
        <v>4290</v>
      </c>
      <c r="I3739" s="2" t="s">
        <v>4347</v>
      </c>
    </row>
    <row r="3740" spans="1:9" ht="14.5" x14ac:dyDescent="0.35">
      <c r="A3740" s="2">
        <v>132164</v>
      </c>
      <c r="B3740" s="2" t="str">
        <f>"3275014512690023"</f>
        <v>3275014512690023</v>
      </c>
      <c r="C3740" s="2" t="s">
        <v>4349</v>
      </c>
      <c r="D3740" s="2" t="s">
        <v>10</v>
      </c>
      <c r="E3740" s="2" t="s">
        <v>11</v>
      </c>
      <c r="F3740" s="2" t="s">
        <v>91</v>
      </c>
      <c r="G3740" s="2" t="s">
        <v>159</v>
      </c>
      <c r="H3740" s="2" t="s">
        <v>685</v>
      </c>
      <c r="I3740" s="2" t="s">
        <v>686</v>
      </c>
    </row>
    <row r="3741" spans="1:9" ht="14.5" x14ac:dyDescent="0.35">
      <c r="A3741" s="2">
        <v>2556444</v>
      </c>
      <c r="B3741" s="2" t="str">
        <f>"3275014512690023"</f>
        <v>3275014512690023</v>
      </c>
      <c r="C3741" s="2" t="s">
        <v>4350</v>
      </c>
      <c r="D3741" s="2" t="s">
        <v>17</v>
      </c>
      <c r="E3741" s="2" t="s">
        <v>11</v>
      </c>
      <c r="F3741" s="2" t="s">
        <v>18</v>
      </c>
      <c r="G3741" s="2" t="s">
        <v>19</v>
      </c>
      <c r="H3741" s="2" t="s">
        <v>4290</v>
      </c>
      <c r="I3741" s="2" t="s">
        <v>4315</v>
      </c>
    </row>
    <row r="3742" spans="1:9" ht="14.5" x14ac:dyDescent="0.35">
      <c r="A3742" s="2">
        <v>132166</v>
      </c>
      <c r="B3742" s="2" t="str">
        <f>"3275016104990029"</f>
        <v>3275016104990029</v>
      </c>
      <c r="C3742" s="2" t="s">
        <v>4351</v>
      </c>
      <c r="D3742" s="2" t="s">
        <v>10</v>
      </c>
      <c r="E3742" s="2" t="s">
        <v>11</v>
      </c>
      <c r="F3742" s="2" t="s">
        <v>91</v>
      </c>
      <c r="G3742" s="2" t="s">
        <v>159</v>
      </c>
      <c r="H3742" s="2" t="s">
        <v>685</v>
      </c>
      <c r="I3742" s="2" t="s">
        <v>686</v>
      </c>
    </row>
    <row r="3743" spans="1:9" ht="14.5" x14ac:dyDescent="0.35">
      <c r="A3743" s="2">
        <v>2556435</v>
      </c>
      <c r="B3743" s="2" t="str">
        <f>"3275016104990029"</f>
        <v>3275016104990029</v>
      </c>
      <c r="C3743" s="2" t="s">
        <v>4352</v>
      </c>
      <c r="D3743" s="2" t="s">
        <v>17</v>
      </c>
      <c r="E3743" s="2" t="s">
        <v>11</v>
      </c>
      <c r="F3743" s="2" t="s">
        <v>18</v>
      </c>
      <c r="G3743" s="2" t="s">
        <v>19</v>
      </c>
      <c r="H3743" s="2" t="s">
        <v>4290</v>
      </c>
      <c r="I3743" s="2" t="s">
        <v>4315</v>
      </c>
    </row>
    <row r="3744" spans="1:9" ht="14.5" x14ac:dyDescent="0.35">
      <c r="A3744" s="2">
        <v>1607835</v>
      </c>
      <c r="B3744" s="2" t="str">
        <f>"3275020404520025"</f>
        <v>3275020404520025</v>
      </c>
      <c r="C3744" s="2" t="s">
        <v>4353</v>
      </c>
      <c r="D3744" s="2" t="s">
        <v>10</v>
      </c>
      <c r="E3744" s="2" t="s">
        <v>11</v>
      </c>
      <c r="F3744" s="2" t="s">
        <v>91</v>
      </c>
      <c r="G3744" s="2" t="s">
        <v>159</v>
      </c>
      <c r="H3744" s="2" t="s">
        <v>1288</v>
      </c>
      <c r="I3744" s="2" t="s">
        <v>4354</v>
      </c>
    </row>
    <row r="3745" spans="1:9" ht="14.5" x14ac:dyDescent="0.35">
      <c r="A3745" s="2">
        <v>2556230</v>
      </c>
      <c r="B3745" s="2" t="str">
        <f>"3275020404520025"</f>
        <v>3275020404520025</v>
      </c>
      <c r="C3745" s="2" t="s">
        <v>4355</v>
      </c>
      <c r="D3745" s="2" t="s">
        <v>17</v>
      </c>
      <c r="E3745" s="2" t="s">
        <v>11</v>
      </c>
      <c r="F3745" s="2" t="s">
        <v>18</v>
      </c>
      <c r="G3745" s="2" t="s">
        <v>19</v>
      </c>
      <c r="H3745" s="2" t="s">
        <v>4290</v>
      </c>
      <c r="I3745" s="2" t="s">
        <v>4303</v>
      </c>
    </row>
    <row r="3746" spans="1:9" ht="14.5" x14ac:dyDescent="0.35">
      <c r="A3746" s="2">
        <v>1734910</v>
      </c>
      <c r="B3746" s="2" t="str">
        <f>"3275042309870019"</f>
        <v>3275042309870019</v>
      </c>
      <c r="C3746" s="2" t="s">
        <v>4356</v>
      </c>
      <c r="D3746" s="2" t="s">
        <v>10</v>
      </c>
      <c r="E3746" s="2" t="s">
        <v>11</v>
      </c>
      <c r="F3746" s="2" t="s">
        <v>91</v>
      </c>
      <c r="G3746" s="2" t="s">
        <v>159</v>
      </c>
      <c r="H3746" s="2" t="s">
        <v>1332</v>
      </c>
      <c r="I3746" s="2" t="s">
        <v>2358</v>
      </c>
    </row>
    <row r="3747" spans="1:9" ht="14.5" x14ac:dyDescent="0.35">
      <c r="A3747" s="2">
        <v>2556811</v>
      </c>
      <c r="B3747" s="2" t="str">
        <f>"3275042309870019"</f>
        <v>3275042309870019</v>
      </c>
      <c r="C3747" s="2" t="s">
        <v>4357</v>
      </c>
      <c r="D3747" s="2" t="s">
        <v>17</v>
      </c>
      <c r="E3747" s="2" t="s">
        <v>11</v>
      </c>
      <c r="F3747" s="2" t="s">
        <v>18</v>
      </c>
      <c r="G3747" s="2" t="s">
        <v>19</v>
      </c>
      <c r="H3747" s="2" t="s">
        <v>4290</v>
      </c>
      <c r="I3747" s="2" t="s">
        <v>4358</v>
      </c>
    </row>
    <row r="3748" spans="1:9" ht="14.5" x14ac:dyDescent="0.35">
      <c r="A3748" s="2">
        <v>369348</v>
      </c>
      <c r="B3748" s="2" t="str">
        <f>"3275045610860014"</f>
        <v>3275045610860014</v>
      </c>
      <c r="C3748" s="2" t="s">
        <v>4359</v>
      </c>
      <c r="D3748" s="2" t="s">
        <v>10</v>
      </c>
      <c r="E3748" s="2" t="s">
        <v>11</v>
      </c>
      <c r="F3748" s="2" t="s">
        <v>91</v>
      </c>
      <c r="G3748" s="2" t="s">
        <v>159</v>
      </c>
      <c r="H3748" s="2" t="s">
        <v>1332</v>
      </c>
      <c r="I3748" s="2" t="s">
        <v>4360</v>
      </c>
    </row>
    <row r="3749" spans="1:9" ht="14.5" x14ac:dyDescent="0.35">
      <c r="A3749" s="2">
        <v>2556812</v>
      </c>
      <c r="B3749" s="2" t="str">
        <f>"3275045610860014"</f>
        <v>3275045610860014</v>
      </c>
      <c r="C3749" s="2" t="s">
        <v>4361</v>
      </c>
      <c r="D3749" s="2" t="s">
        <v>17</v>
      </c>
      <c r="E3749" s="2" t="s">
        <v>11</v>
      </c>
      <c r="F3749" s="2" t="s">
        <v>18</v>
      </c>
      <c r="G3749" s="2" t="s">
        <v>19</v>
      </c>
      <c r="H3749" s="2" t="s">
        <v>4290</v>
      </c>
      <c r="I3749" s="2" t="s">
        <v>4358</v>
      </c>
    </row>
    <row r="3750" spans="1:9" ht="14.5" x14ac:dyDescent="0.35">
      <c r="A3750" s="2">
        <v>1904097</v>
      </c>
      <c r="B3750" s="2" t="str">
        <f>"3276026909810012"</f>
        <v>3276026909810012</v>
      </c>
      <c r="C3750" s="2" t="s">
        <v>4362</v>
      </c>
      <c r="D3750" s="2" t="s">
        <v>10</v>
      </c>
      <c r="E3750" s="2" t="s">
        <v>11</v>
      </c>
      <c r="F3750" s="2" t="s">
        <v>18</v>
      </c>
      <c r="G3750" s="2" t="s">
        <v>19</v>
      </c>
      <c r="H3750" s="2" t="s">
        <v>4290</v>
      </c>
      <c r="I3750" s="2" t="s">
        <v>4298</v>
      </c>
    </row>
    <row r="3751" spans="1:9" ht="14.5" x14ac:dyDescent="0.35">
      <c r="A3751" s="2">
        <v>1359148</v>
      </c>
      <c r="B3751" s="2" t="str">
        <f>"3276026909810012"</f>
        <v>3276026909810012</v>
      </c>
      <c r="C3751" s="2" t="s">
        <v>4363</v>
      </c>
      <c r="D3751" s="2" t="s">
        <v>17</v>
      </c>
      <c r="E3751" s="2" t="s">
        <v>11</v>
      </c>
      <c r="F3751" s="2" t="s">
        <v>303</v>
      </c>
      <c r="G3751" s="2" t="s">
        <v>608</v>
      </c>
      <c r="H3751" s="2" t="s">
        <v>4364</v>
      </c>
      <c r="I3751" s="2" t="s">
        <v>4365</v>
      </c>
    </row>
    <row r="3752" spans="1:9" ht="14.5" x14ac:dyDescent="0.35">
      <c r="A3752" s="2">
        <v>1951378</v>
      </c>
      <c r="B3752" s="2" t="str">
        <f>"3308106109820006"</f>
        <v>3308106109820006</v>
      </c>
      <c r="C3752" s="2" t="s">
        <v>4366</v>
      </c>
      <c r="D3752" s="2" t="s">
        <v>10</v>
      </c>
      <c r="E3752" s="2" t="s">
        <v>11</v>
      </c>
      <c r="F3752" s="2" t="s">
        <v>18</v>
      </c>
      <c r="G3752" s="2" t="s">
        <v>962</v>
      </c>
      <c r="H3752" s="2" t="s">
        <v>4189</v>
      </c>
      <c r="I3752" s="2" t="s">
        <v>4367</v>
      </c>
    </row>
    <row r="3753" spans="1:9" ht="14.5" x14ac:dyDescent="0.35">
      <c r="A3753" s="2">
        <v>2556286</v>
      </c>
      <c r="B3753" s="2" t="str">
        <f>"3308106109820006"</f>
        <v>3308106109820006</v>
      </c>
      <c r="C3753" s="2" t="s">
        <v>4366</v>
      </c>
      <c r="D3753" s="2" t="s">
        <v>17</v>
      </c>
      <c r="E3753" s="2" t="s">
        <v>11</v>
      </c>
      <c r="F3753" s="2" t="s">
        <v>18</v>
      </c>
      <c r="G3753" s="2" t="s">
        <v>19</v>
      </c>
      <c r="H3753" s="2" t="s">
        <v>4290</v>
      </c>
      <c r="I3753" s="2" t="s">
        <v>4303</v>
      </c>
    </row>
    <row r="3754" spans="1:9" ht="14.5" x14ac:dyDescent="0.35">
      <c r="A3754" s="2">
        <v>710844</v>
      </c>
      <c r="B3754" s="2" t="str">
        <f>"3315104707040001"</f>
        <v>3315104707040001</v>
      </c>
      <c r="C3754" s="2" t="s">
        <v>4368</v>
      </c>
      <c r="D3754" s="2" t="s">
        <v>10</v>
      </c>
      <c r="E3754" s="2" t="s">
        <v>11</v>
      </c>
      <c r="F3754" s="2" t="s">
        <v>18</v>
      </c>
      <c r="G3754" s="2" t="s">
        <v>180</v>
      </c>
      <c r="H3754" s="2" t="s">
        <v>4369</v>
      </c>
      <c r="I3754" s="2" t="s">
        <v>4370</v>
      </c>
    </row>
    <row r="3755" spans="1:9" ht="14.5" x14ac:dyDescent="0.35">
      <c r="A3755" s="2">
        <v>2557138</v>
      </c>
      <c r="B3755" s="2" t="str">
        <f>"3315104707040001"</f>
        <v>3315104707040001</v>
      </c>
      <c r="C3755" s="2" t="s">
        <v>4371</v>
      </c>
      <c r="D3755" s="2" t="s">
        <v>17</v>
      </c>
      <c r="E3755" s="2" t="s">
        <v>11</v>
      </c>
      <c r="F3755" s="2" t="s">
        <v>18</v>
      </c>
      <c r="G3755" s="2" t="s">
        <v>19</v>
      </c>
      <c r="H3755" s="2" t="s">
        <v>4290</v>
      </c>
      <c r="I3755" s="2" t="s">
        <v>4347</v>
      </c>
    </row>
    <row r="3756" spans="1:9" ht="14.5" x14ac:dyDescent="0.35">
      <c r="A3756" s="2">
        <v>374947</v>
      </c>
      <c r="B3756" s="2" t="str">
        <f>"3317146602980001"</f>
        <v>3317146602980001</v>
      </c>
      <c r="C3756" s="2" t="s">
        <v>4372</v>
      </c>
      <c r="D3756" s="2" t="s">
        <v>10</v>
      </c>
      <c r="E3756" s="2" t="s">
        <v>11</v>
      </c>
      <c r="F3756" s="2" t="s">
        <v>18</v>
      </c>
      <c r="G3756" s="2" t="s">
        <v>4373</v>
      </c>
      <c r="H3756" s="2" t="s">
        <v>4374</v>
      </c>
      <c r="I3756" s="2" t="s">
        <v>4375</v>
      </c>
    </row>
    <row r="3757" spans="1:9" ht="14.5" x14ac:dyDescent="0.35">
      <c r="A3757" s="2">
        <v>2557156</v>
      </c>
      <c r="B3757" s="2" t="str">
        <f>"3317146602980001"</f>
        <v>3317146602980001</v>
      </c>
      <c r="C3757" s="2" t="s">
        <v>4372</v>
      </c>
      <c r="D3757" s="2" t="s">
        <v>17</v>
      </c>
      <c r="E3757" s="2" t="s">
        <v>11</v>
      </c>
      <c r="F3757" s="2" t="s">
        <v>18</v>
      </c>
      <c r="G3757" s="2" t="s">
        <v>19</v>
      </c>
      <c r="H3757" s="2" t="s">
        <v>4290</v>
      </c>
      <c r="I3757" s="2" t="s">
        <v>4347</v>
      </c>
    </row>
    <row r="3758" spans="1:9" ht="14.5" x14ac:dyDescent="0.35">
      <c r="A3758" s="2">
        <v>409605</v>
      </c>
      <c r="B3758" s="2" t="str">
        <f>"3323190507940001"</f>
        <v>3323190507940001</v>
      </c>
      <c r="C3758" s="2" t="s">
        <v>4376</v>
      </c>
      <c r="D3758" s="2" t="s">
        <v>189</v>
      </c>
      <c r="E3758" s="2" t="s">
        <v>11</v>
      </c>
      <c r="F3758" s="2" t="s">
        <v>18</v>
      </c>
      <c r="G3758" s="2" t="s">
        <v>3323</v>
      </c>
      <c r="H3758" s="2" t="s">
        <v>4377</v>
      </c>
      <c r="I3758" s="2" t="s">
        <v>1089</v>
      </c>
    </row>
    <row r="3759" spans="1:9" ht="14.5" x14ac:dyDescent="0.35">
      <c r="A3759" s="2">
        <v>2556627</v>
      </c>
      <c r="B3759" s="2" t="str">
        <f>"3323190507940001"</f>
        <v>3323190507940001</v>
      </c>
      <c r="C3759" s="2" t="s">
        <v>4376</v>
      </c>
      <c r="D3759" s="2" t="s">
        <v>17</v>
      </c>
      <c r="E3759" s="2" t="s">
        <v>11</v>
      </c>
      <c r="F3759" s="2" t="s">
        <v>18</v>
      </c>
      <c r="G3759" s="2" t="s">
        <v>19</v>
      </c>
      <c r="H3759" s="2" t="s">
        <v>4290</v>
      </c>
      <c r="I3759" s="2" t="s">
        <v>4318</v>
      </c>
    </row>
    <row r="3760" spans="1:9" ht="14.5" x14ac:dyDescent="0.35">
      <c r="A3760" s="2">
        <v>1879728</v>
      </c>
      <c r="B3760" s="2" t="str">
        <f>"3326045902020001"</f>
        <v>3326045902020001</v>
      </c>
      <c r="C3760" s="2" t="s">
        <v>4378</v>
      </c>
      <c r="D3760" s="2" t="s">
        <v>10</v>
      </c>
      <c r="E3760" s="2" t="s">
        <v>11</v>
      </c>
      <c r="F3760" s="2" t="s">
        <v>18</v>
      </c>
      <c r="G3760" s="2" t="s">
        <v>19</v>
      </c>
      <c r="H3760" s="2" t="s">
        <v>4290</v>
      </c>
      <c r="I3760" s="2" t="s">
        <v>4303</v>
      </c>
    </row>
    <row r="3761" spans="1:9" ht="14.5" x14ac:dyDescent="0.35">
      <c r="A3761" s="2">
        <v>1500859</v>
      </c>
      <c r="B3761" s="2" t="str">
        <f>"3326045902020001"</f>
        <v>3326045902020001</v>
      </c>
      <c r="C3761" s="2" t="s">
        <v>4378</v>
      </c>
      <c r="D3761" s="2" t="s">
        <v>17</v>
      </c>
      <c r="E3761" s="2" t="s">
        <v>11</v>
      </c>
      <c r="F3761" s="2" t="s">
        <v>18</v>
      </c>
      <c r="G3761" s="2" t="s">
        <v>195</v>
      </c>
      <c r="H3761" s="2" t="s">
        <v>4304</v>
      </c>
      <c r="I3761" s="2" t="s">
        <v>4305</v>
      </c>
    </row>
    <row r="3762" spans="1:9" ht="14.5" x14ac:dyDescent="0.35">
      <c r="A3762" s="2">
        <v>322172</v>
      </c>
      <c r="B3762" s="2" t="str">
        <f>"3327031602860008"</f>
        <v>3327031602860008</v>
      </c>
      <c r="C3762" s="2" t="s">
        <v>4379</v>
      </c>
      <c r="D3762" s="2" t="s">
        <v>10</v>
      </c>
      <c r="E3762" s="2" t="s">
        <v>11</v>
      </c>
      <c r="F3762" s="2" t="s">
        <v>4380</v>
      </c>
      <c r="G3762" s="2" t="s">
        <v>4381</v>
      </c>
      <c r="H3762" s="2" t="s">
        <v>4382</v>
      </c>
      <c r="I3762" s="2" t="s">
        <v>4383</v>
      </c>
    </row>
    <row r="3763" spans="1:9" ht="14.5" x14ac:dyDescent="0.35">
      <c r="A3763" s="2">
        <v>2557634</v>
      </c>
      <c r="B3763" s="2" t="str">
        <f>"3327031602860008"</f>
        <v>3327031602860008</v>
      </c>
      <c r="C3763" s="2" t="s">
        <v>4384</v>
      </c>
      <c r="D3763" s="2" t="s">
        <v>17</v>
      </c>
      <c r="E3763" s="2" t="s">
        <v>11</v>
      </c>
      <c r="F3763" s="2" t="s">
        <v>18</v>
      </c>
      <c r="G3763" s="2" t="s">
        <v>19</v>
      </c>
      <c r="H3763" s="2" t="s">
        <v>4290</v>
      </c>
      <c r="I3763" s="2" t="s">
        <v>878</v>
      </c>
    </row>
    <row r="3764" spans="1:9" ht="14.5" x14ac:dyDescent="0.35">
      <c r="A3764" s="2">
        <v>1875444</v>
      </c>
      <c r="B3764" s="2" t="str">
        <f>"3327081201820073"</f>
        <v>3327081201820073</v>
      </c>
      <c r="C3764" s="2" t="s">
        <v>4385</v>
      </c>
      <c r="D3764" s="2" t="s">
        <v>10</v>
      </c>
      <c r="E3764" s="2" t="s">
        <v>11</v>
      </c>
      <c r="F3764" s="2" t="s">
        <v>18</v>
      </c>
      <c r="G3764" s="2" t="s">
        <v>19</v>
      </c>
      <c r="H3764" s="2" t="s">
        <v>4290</v>
      </c>
      <c r="I3764" s="2" t="s">
        <v>344</v>
      </c>
    </row>
    <row r="3765" spans="1:9" ht="14.5" x14ac:dyDescent="0.35">
      <c r="A3765" s="2">
        <v>2646652</v>
      </c>
      <c r="B3765" s="2" t="str">
        <f>"3327081201820073"</f>
        <v>3327081201820073</v>
      </c>
      <c r="C3765" s="2" t="s">
        <v>4385</v>
      </c>
      <c r="D3765" s="2" t="s">
        <v>17</v>
      </c>
      <c r="E3765" s="2" t="s">
        <v>11</v>
      </c>
      <c r="F3765" s="2" t="s">
        <v>18</v>
      </c>
      <c r="G3765" s="2" t="s">
        <v>199</v>
      </c>
      <c r="H3765" s="2" t="s">
        <v>199</v>
      </c>
      <c r="I3765" s="2" t="s">
        <v>4386</v>
      </c>
    </row>
    <row r="3766" spans="1:9" ht="14.5" x14ac:dyDescent="0.35">
      <c r="A3766" s="2">
        <v>1878936</v>
      </c>
      <c r="B3766" s="2" t="str">
        <f>"3327116005980004"</f>
        <v>3327116005980004</v>
      </c>
      <c r="C3766" s="2" t="s">
        <v>4387</v>
      </c>
      <c r="D3766" s="2" t="s">
        <v>10</v>
      </c>
      <c r="E3766" s="2" t="s">
        <v>11</v>
      </c>
      <c r="F3766" s="2" t="s">
        <v>18</v>
      </c>
      <c r="G3766" s="2" t="s">
        <v>19</v>
      </c>
      <c r="H3766" s="2" t="s">
        <v>4290</v>
      </c>
      <c r="I3766" s="2" t="s">
        <v>4303</v>
      </c>
    </row>
    <row r="3767" spans="1:9" ht="14.5" x14ac:dyDescent="0.35">
      <c r="A3767" s="2">
        <v>2645150</v>
      </c>
      <c r="B3767" s="2" t="str">
        <f>"3327116005980004"</f>
        <v>3327116005980004</v>
      </c>
      <c r="C3767" s="2" t="s">
        <v>4387</v>
      </c>
      <c r="D3767" s="2" t="s">
        <v>17</v>
      </c>
      <c r="E3767" s="2" t="s">
        <v>11</v>
      </c>
      <c r="F3767" s="2" t="s">
        <v>18</v>
      </c>
      <c r="G3767" s="2" t="s">
        <v>199</v>
      </c>
      <c r="H3767" s="2" t="s">
        <v>208</v>
      </c>
      <c r="I3767" s="2" t="s">
        <v>209</v>
      </c>
    </row>
    <row r="3768" spans="1:9" ht="14.5" x14ac:dyDescent="0.35">
      <c r="A3768" s="2">
        <v>1902934</v>
      </c>
      <c r="B3768" s="2" t="str">
        <f>"3328121107960009"</f>
        <v>3328121107960009</v>
      </c>
      <c r="C3768" s="2" t="s">
        <v>4388</v>
      </c>
      <c r="D3768" s="2" t="s">
        <v>10</v>
      </c>
      <c r="E3768" s="2" t="s">
        <v>11</v>
      </c>
      <c r="F3768" s="2" t="s">
        <v>18</v>
      </c>
      <c r="G3768" s="2" t="s">
        <v>19</v>
      </c>
      <c r="H3768" s="2" t="s">
        <v>4290</v>
      </c>
      <c r="I3768" s="2" t="s">
        <v>4298</v>
      </c>
    </row>
    <row r="3769" spans="1:9" ht="14.5" x14ac:dyDescent="0.35">
      <c r="A3769" s="2">
        <v>941967</v>
      </c>
      <c r="B3769" s="2" t="str">
        <f>"3328121107960009"</f>
        <v>3328121107960009</v>
      </c>
      <c r="C3769" s="2" t="s">
        <v>4389</v>
      </c>
      <c r="D3769" s="2" t="s">
        <v>17</v>
      </c>
      <c r="E3769" s="2" t="s">
        <v>11</v>
      </c>
      <c r="F3769" s="2" t="s">
        <v>91</v>
      </c>
      <c r="G3769" s="2" t="s">
        <v>109</v>
      </c>
      <c r="H3769" s="2" t="s">
        <v>110</v>
      </c>
      <c r="I3769" s="2" t="s">
        <v>4390</v>
      </c>
    </row>
    <row r="3770" spans="1:9" ht="14.5" x14ac:dyDescent="0.35">
      <c r="A3770" s="2">
        <v>2084059</v>
      </c>
      <c r="B3770" s="2" t="str">
        <f>"3328122402060001"</f>
        <v>3328122402060001</v>
      </c>
      <c r="C3770" s="2" t="s">
        <v>4391</v>
      </c>
      <c r="D3770" s="2" t="s">
        <v>189</v>
      </c>
      <c r="E3770" s="2" t="s">
        <v>11</v>
      </c>
      <c r="F3770" s="2" t="s">
        <v>18</v>
      </c>
      <c r="G3770" s="2" t="s">
        <v>19</v>
      </c>
      <c r="H3770" s="2" t="s">
        <v>4290</v>
      </c>
      <c r="I3770" s="2" t="s">
        <v>4309</v>
      </c>
    </row>
    <row r="3771" spans="1:9" ht="14.5" x14ac:dyDescent="0.35">
      <c r="A3771" s="2">
        <v>1351202</v>
      </c>
      <c r="B3771" s="2" t="str">
        <f>"3328122402060001"</f>
        <v>3328122402060001</v>
      </c>
      <c r="C3771" s="2" t="s">
        <v>4391</v>
      </c>
      <c r="D3771" s="2" t="s">
        <v>10</v>
      </c>
      <c r="E3771" s="2" t="s">
        <v>57</v>
      </c>
      <c r="F3771" s="2" t="s">
        <v>303</v>
      </c>
      <c r="G3771" s="2" t="s">
        <v>608</v>
      </c>
      <c r="H3771" s="2" t="s">
        <v>609</v>
      </c>
      <c r="I3771" s="2" t="s">
        <v>610</v>
      </c>
    </row>
    <row r="3772" spans="1:9" ht="14.5" x14ac:dyDescent="0.35">
      <c r="A3772" s="2">
        <v>1301794</v>
      </c>
      <c r="B3772" s="2" t="str">
        <f>"3328130101670011"</f>
        <v>3328130101670011</v>
      </c>
      <c r="C3772" s="2" t="s">
        <v>4392</v>
      </c>
      <c r="D3772" s="2" t="s">
        <v>10</v>
      </c>
      <c r="E3772" s="2" t="s">
        <v>11</v>
      </c>
      <c r="F3772" s="2" t="s">
        <v>50</v>
      </c>
      <c r="G3772" s="2" t="s">
        <v>58</v>
      </c>
      <c r="H3772" s="2" t="s">
        <v>417</v>
      </c>
      <c r="I3772" s="2" t="s">
        <v>1131</v>
      </c>
    </row>
    <row r="3773" spans="1:9" ht="14.5" x14ac:dyDescent="0.35">
      <c r="A3773" s="2">
        <v>2556200</v>
      </c>
      <c r="B3773" s="2" t="str">
        <f>"3328130101670011"</f>
        <v>3328130101670011</v>
      </c>
      <c r="C3773" s="2" t="s">
        <v>4392</v>
      </c>
      <c r="D3773" s="2" t="s">
        <v>17</v>
      </c>
      <c r="E3773" s="2" t="s">
        <v>11</v>
      </c>
      <c r="F3773" s="2" t="s">
        <v>18</v>
      </c>
      <c r="G3773" s="2" t="s">
        <v>19</v>
      </c>
      <c r="H3773" s="2" t="s">
        <v>4290</v>
      </c>
      <c r="I3773" s="2" t="s">
        <v>4303</v>
      </c>
    </row>
    <row r="3774" spans="1:9" ht="14.5" x14ac:dyDescent="0.35">
      <c r="A3774" s="2">
        <v>349059</v>
      </c>
      <c r="B3774" s="2" t="str">
        <f>"3328130107890060"</f>
        <v>3328130107890060</v>
      </c>
      <c r="C3774" s="2" t="s">
        <v>4393</v>
      </c>
      <c r="D3774" s="2" t="s">
        <v>10</v>
      </c>
      <c r="E3774" s="2" t="s">
        <v>11</v>
      </c>
      <c r="F3774" s="2" t="s">
        <v>18</v>
      </c>
      <c r="G3774" s="2" t="s">
        <v>268</v>
      </c>
      <c r="H3774" s="2" t="s">
        <v>269</v>
      </c>
      <c r="I3774" s="2" t="s">
        <v>270</v>
      </c>
    </row>
    <row r="3775" spans="1:9" ht="14.5" x14ac:dyDescent="0.35">
      <c r="A3775" s="2">
        <v>2556519</v>
      </c>
      <c r="B3775" s="2" t="str">
        <f>"3328130107890060"</f>
        <v>3328130107890060</v>
      </c>
      <c r="C3775" s="2" t="s">
        <v>4394</v>
      </c>
      <c r="D3775" s="2" t="s">
        <v>17</v>
      </c>
      <c r="E3775" s="2" t="s">
        <v>11</v>
      </c>
      <c r="F3775" s="2" t="s">
        <v>18</v>
      </c>
      <c r="G3775" s="2" t="s">
        <v>19</v>
      </c>
      <c r="H3775" s="2" t="s">
        <v>4290</v>
      </c>
      <c r="I3775" s="2" t="s">
        <v>4329</v>
      </c>
    </row>
    <row r="3776" spans="1:9" ht="14.5" x14ac:dyDescent="0.35">
      <c r="A3776" s="2">
        <v>1845586</v>
      </c>
      <c r="B3776" s="2" t="str">
        <f>"3328130107930069"</f>
        <v>3328130107930069</v>
      </c>
      <c r="C3776" s="2" t="s">
        <v>4395</v>
      </c>
      <c r="D3776" s="2" t="s">
        <v>10</v>
      </c>
      <c r="E3776" s="2" t="s">
        <v>11</v>
      </c>
      <c r="F3776" s="2" t="s">
        <v>18</v>
      </c>
      <c r="G3776" s="2" t="s">
        <v>19</v>
      </c>
      <c r="H3776" s="2" t="s">
        <v>4290</v>
      </c>
      <c r="I3776" s="2" t="s">
        <v>4318</v>
      </c>
    </row>
    <row r="3777" spans="1:9" ht="14.5" x14ac:dyDescent="0.35">
      <c r="A3777" s="2">
        <v>423165</v>
      </c>
      <c r="B3777" s="2" t="str">
        <f>"3328130107930069"</f>
        <v>3328130107930069</v>
      </c>
      <c r="C3777" s="2" t="s">
        <v>4396</v>
      </c>
      <c r="D3777" s="2" t="s">
        <v>17</v>
      </c>
      <c r="E3777" s="2" t="s">
        <v>11</v>
      </c>
      <c r="F3777" s="2" t="s">
        <v>18</v>
      </c>
      <c r="G3777" s="2" t="s">
        <v>268</v>
      </c>
      <c r="H3777" s="2" t="s">
        <v>269</v>
      </c>
      <c r="I3777" s="2" t="s">
        <v>1398</v>
      </c>
    </row>
    <row r="3778" spans="1:9" ht="14.5" x14ac:dyDescent="0.35">
      <c r="A3778" s="2">
        <v>1443298</v>
      </c>
      <c r="B3778" s="2" t="str">
        <f>"3328130209940003"</f>
        <v>3328130209940003</v>
      </c>
      <c r="C3778" s="2" t="s">
        <v>4397</v>
      </c>
      <c r="D3778" s="2" t="s">
        <v>10</v>
      </c>
      <c r="E3778" s="2" t="s">
        <v>11</v>
      </c>
      <c r="F3778" s="2" t="s">
        <v>18</v>
      </c>
      <c r="G3778" s="2" t="s">
        <v>19</v>
      </c>
      <c r="H3778" s="2" t="s">
        <v>4290</v>
      </c>
      <c r="I3778" s="2" t="s">
        <v>878</v>
      </c>
    </row>
    <row r="3779" spans="1:9" ht="14.5" x14ac:dyDescent="0.35">
      <c r="A3779" s="2">
        <v>421783</v>
      </c>
      <c r="B3779" s="2" t="str">
        <f>"3328130209940003"</f>
        <v>3328130209940003</v>
      </c>
      <c r="C3779" s="2" t="s">
        <v>4398</v>
      </c>
      <c r="D3779" s="2" t="s">
        <v>17</v>
      </c>
      <c r="E3779" s="2" t="s">
        <v>11</v>
      </c>
      <c r="F3779" s="2" t="s">
        <v>18</v>
      </c>
      <c r="G3779" s="2" t="s">
        <v>268</v>
      </c>
      <c r="H3779" s="2" t="s">
        <v>371</v>
      </c>
      <c r="I3779" s="2" t="s">
        <v>372</v>
      </c>
    </row>
    <row r="3780" spans="1:9" ht="14.5" x14ac:dyDescent="0.35">
      <c r="A3780" s="2">
        <v>1881200</v>
      </c>
      <c r="B3780" s="2" t="str">
        <f>"3328130307860007"</f>
        <v>3328130307860007</v>
      </c>
      <c r="C3780" s="2" t="s">
        <v>4399</v>
      </c>
      <c r="D3780" s="2" t="s">
        <v>10</v>
      </c>
      <c r="E3780" s="2" t="s">
        <v>11</v>
      </c>
      <c r="F3780" s="2" t="s">
        <v>18</v>
      </c>
      <c r="G3780" s="2" t="s">
        <v>19</v>
      </c>
      <c r="H3780" s="2" t="s">
        <v>4290</v>
      </c>
      <c r="I3780" s="2" t="s">
        <v>4303</v>
      </c>
    </row>
    <row r="3781" spans="1:9" ht="14.5" x14ac:dyDescent="0.35">
      <c r="A3781" s="2">
        <v>2660737</v>
      </c>
      <c r="B3781" s="2" t="str">
        <f>"3328130307860007"</f>
        <v>3328130307860007</v>
      </c>
      <c r="C3781" s="2" t="s">
        <v>4399</v>
      </c>
      <c r="D3781" s="2" t="s">
        <v>17</v>
      </c>
      <c r="E3781" s="2" t="s">
        <v>11</v>
      </c>
      <c r="F3781" s="2" t="s">
        <v>18</v>
      </c>
      <c r="G3781" s="2" t="s">
        <v>199</v>
      </c>
      <c r="H3781" s="2" t="s">
        <v>4400</v>
      </c>
      <c r="I3781" s="2" t="s">
        <v>2805</v>
      </c>
    </row>
    <row r="3782" spans="1:9" ht="14.5" x14ac:dyDescent="0.35">
      <c r="A3782" s="2">
        <v>2257136</v>
      </c>
      <c r="B3782" s="2" t="str">
        <f>"3328130404610003"</f>
        <v>3328130404610003</v>
      </c>
      <c r="C3782" s="2" t="s">
        <v>4401</v>
      </c>
      <c r="D3782" s="2" t="s">
        <v>10</v>
      </c>
      <c r="E3782" s="2" t="s">
        <v>11</v>
      </c>
      <c r="F3782" s="2" t="s">
        <v>67</v>
      </c>
      <c r="G3782" s="2" t="s">
        <v>512</v>
      </c>
      <c r="H3782" s="2" t="s">
        <v>330</v>
      </c>
      <c r="I3782" s="2" t="s">
        <v>4402</v>
      </c>
    </row>
    <row r="3783" spans="1:9" ht="14.5" x14ac:dyDescent="0.35">
      <c r="A3783" s="2">
        <v>2556729</v>
      </c>
      <c r="B3783" s="2" t="str">
        <f>"3328130404610003"</f>
        <v>3328130404610003</v>
      </c>
      <c r="C3783" s="2" t="s">
        <v>4403</v>
      </c>
      <c r="D3783" s="2" t="s">
        <v>17</v>
      </c>
      <c r="E3783" s="2" t="s">
        <v>11</v>
      </c>
      <c r="F3783" s="2" t="s">
        <v>18</v>
      </c>
      <c r="G3783" s="2" t="s">
        <v>19</v>
      </c>
      <c r="H3783" s="2" t="s">
        <v>4290</v>
      </c>
      <c r="I3783" s="2" t="s">
        <v>4290</v>
      </c>
    </row>
    <row r="3784" spans="1:9" ht="14.5" x14ac:dyDescent="0.35">
      <c r="A3784" s="2">
        <v>554077</v>
      </c>
      <c r="B3784" s="2" t="str">
        <f>"3328130406900006"</f>
        <v>3328130406900006</v>
      </c>
      <c r="C3784" s="2" t="s">
        <v>4404</v>
      </c>
      <c r="D3784" s="2" t="s">
        <v>10</v>
      </c>
      <c r="E3784" s="2" t="s">
        <v>11</v>
      </c>
      <c r="F3784" s="2" t="s">
        <v>67</v>
      </c>
      <c r="G3784" s="2" t="s">
        <v>696</v>
      </c>
      <c r="H3784" s="2" t="s">
        <v>375</v>
      </c>
      <c r="I3784" s="2" t="s">
        <v>1477</v>
      </c>
    </row>
    <row r="3785" spans="1:9" ht="14.5" x14ac:dyDescent="0.35">
      <c r="A3785" s="2">
        <v>2557478</v>
      </c>
      <c r="B3785" s="2" t="str">
        <f>"3328130406900006"</f>
        <v>3328130406900006</v>
      </c>
      <c r="C3785" s="2" t="s">
        <v>4404</v>
      </c>
      <c r="D3785" s="2" t="s">
        <v>17</v>
      </c>
      <c r="E3785" s="2" t="s">
        <v>11</v>
      </c>
      <c r="F3785" s="2" t="s">
        <v>18</v>
      </c>
      <c r="G3785" s="2" t="s">
        <v>19</v>
      </c>
      <c r="H3785" s="2" t="s">
        <v>4290</v>
      </c>
      <c r="I3785" s="2" t="s">
        <v>1381</v>
      </c>
    </row>
    <row r="3786" spans="1:9" ht="14.5" x14ac:dyDescent="0.35">
      <c r="A3786" s="2">
        <v>710527</v>
      </c>
      <c r="B3786" s="2" t="str">
        <f>"3328130408920001"</f>
        <v>3328130408920001</v>
      </c>
      <c r="C3786" s="2" t="s">
        <v>4405</v>
      </c>
      <c r="D3786" s="2" t="s">
        <v>10</v>
      </c>
      <c r="E3786" s="2" t="s">
        <v>11</v>
      </c>
      <c r="F3786" s="2" t="s">
        <v>18</v>
      </c>
      <c r="G3786" s="2" t="s">
        <v>264</v>
      </c>
      <c r="H3786" s="2" t="s">
        <v>248</v>
      </c>
      <c r="I3786" s="2" t="s">
        <v>1630</v>
      </c>
    </row>
    <row r="3787" spans="1:9" ht="14.5" x14ac:dyDescent="0.35">
      <c r="A3787" s="2">
        <v>2557546</v>
      </c>
      <c r="B3787" s="2" t="str">
        <f>"3328130408920001"</f>
        <v>3328130408920001</v>
      </c>
      <c r="C3787" s="2" t="s">
        <v>4406</v>
      </c>
      <c r="D3787" s="2" t="s">
        <v>17</v>
      </c>
      <c r="E3787" s="2" t="s">
        <v>11</v>
      </c>
      <c r="F3787" s="2" t="s">
        <v>18</v>
      </c>
      <c r="G3787" s="2" t="s">
        <v>19</v>
      </c>
      <c r="H3787" s="2" t="s">
        <v>4290</v>
      </c>
      <c r="I3787" s="2" t="s">
        <v>878</v>
      </c>
    </row>
    <row r="3788" spans="1:9" ht="14.5" x14ac:dyDescent="0.35">
      <c r="A3788" s="2">
        <v>2407791</v>
      </c>
      <c r="B3788" s="2" t="str">
        <f>"3328130503960005"</f>
        <v>3328130503960005</v>
      </c>
      <c r="C3788" s="2" t="s">
        <v>4407</v>
      </c>
      <c r="D3788" s="2" t="s">
        <v>10</v>
      </c>
      <c r="E3788" s="2" t="s">
        <v>11</v>
      </c>
      <c r="F3788" s="2" t="s">
        <v>18</v>
      </c>
      <c r="G3788" s="2" t="s">
        <v>19</v>
      </c>
      <c r="H3788" s="2" t="s">
        <v>4290</v>
      </c>
      <c r="I3788" s="2" t="s">
        <v>1381</v>
      </c>
    </row>
    <row r="3789" spans="1:9" ht="14.5" x14ac:dyDescent="0.35">
      <c r="A3789" s="2">
        <v>423203</v>
      </c>
      <c r="B3789" s="2" t="str">
        <f>"3328130503960005"</f>
        <v>3328130503960005</v>
      </c>
      <c r="C3789" s="2" t="s">
        <v>4407</v>
      </c>
      <c r="D3789" s="2" t="s">
        <v>17</v>
      </c>
      <c r="E3789" s="2" t="s">
        <v>11</v>
      </c>
      <c r="F3789" s="2" t="s">
        <v>18</v>
      </c>
      <c r="G3789" s="2" t="s">
        <v>268</v>
      </c>
      <c r="H3789" s="2" t="s">
        <v>269</v>
      </c>
      <c r="I3789" s="2" t="s">
        <v>4408</v>
      </c>
    </row>
    <row r="3790" spans="1:9" ht="14.5" x14ac:dyDescent="0.35">
      <c r="A3790" s="2">
        <v>1877108</v>
      </c>
      <c r="B3790" s="2" t="str">
        <f>"3328130504790006"</f>
        <v>3328130504790006</v>
      </c>
      <c r="C3790" s="2" t="s">
        <v>4409</v>
      </c>
      <c r="D3790" s="2" t="s">
        <v>10</v>
      </c>
      <c r="E3790" s="2" t="s">
        <v>11</v>
      </c>
      <c r="F3790" s="2" t="s">
        <v>18</v>
      </c>
      <c r="G3790" s="2" t="s">
        <v>19</v>
      </c>
      <c r="H3790" s="2" t="s">
        <v>4290</v>
      </c>
      <c r="I3790" s="2" t="s">
        <v>344</v>
      </c>
    </row>
    <row r="3791" spans="1:9" ht="14.5" x14ac:dyDescent="0.35">
      <c r="A3791" s="2">
        <v>2579372</v>
      </c>
      <c r="B3791" s="2" t="str">
        <f>"3328130504790006"</f>
        <v>3328130504790006</v>
      </c>
      <c r="C3791" s="2" t="s">
        <v>4410</v>
      </c>
      <c r="D3791" s="2" t="s">
        <v>17</v>
      </c>
      <c r="E3791" s="2" t="s">
        <v>11</v>
      </c>
      <c r="F3791" s="2" t="s">
        <v>67</v>
      </c>
      <c r="G3791" s="2" t="s">
        <v>375</v>
      </c>
      <c r="H3791" s="2" t="s">
        <v>4411</v>
      </c>
      <c r="I3791" s="2" t="s">
        <v>4412</v>
      </c>
    </row>
    <row r="3792" spans="1:9" ht="14.5" x14ac:dyDescent="0.35">
      <c r="A3792" s="2">
        <v>2083982</v>
      </c>
      <c r="B3792" s="2" t="str">
        <f>"3328130505640005"</f>
        <v>3328130505640005</v>
      </c>
      <c r="C3792" s="2" t="s">
        <v>3431</v>
      </c>
      <c r="D3792" s="2" t="s">
        <v>10</v>
      </c>
      <c r="E3792" s="2" t="s">
        <v>11</v>
      </c>
      <c r="F3792" s="2" t="s">
        <v>18</v>
      </c>
      <c r="G3792" s="2" t="s">
        <v>19</v>
      </c>
      <c r="H3792" s="2" t="s">
        <v>4290</v>
      </c>
      <c r="I3792" s="2" t="s">
        <v>4309</v>
      </c>
    </row>
    <row r="3793" spans="1:9" ht="14.5" x14ac:dyDescent="0.35">
      <c r="A3793" s="2">
        <v>423156</v>
      </c>
      <c r="B3793" s="2" t="str">
        <f>"3328130505640005"</f>
        <v>3328130505640005</v>
      </c>
      <c r="C3793" s="2" t="s">
        <v>4413</v>
      </c>
      <c r="D3793" s="2" t="s">
        <v>17</v>
      </c>
      <c r="E3793" s="2" t="s">
        <v>11</v>
      </c>
      <c r="F3793" s="2" t="s">
        <v>18</v>
      </c>
      <c r="G3793" s="2" t="s">
        <v>268</v>
      </c>
      <c r="H3793" s="2" t="s">
        <v>269</v>
      </c>
      <c r="I3793" s="2" t="s">
        <v>1398</v>
      </c>
    </row>
    <row r="3794" spans="1:9" ht="14.5" x14ac:dyDescent="0.35">
      <c r="A3794" s="2">
        <v>2150723</v>
      </c>
      <c r="B3794" s="2" t="str">
        <f>"3328130505950003"</f>
        <v>3328130505950003</v>
      </c>
      <c r="C3794" s="2" t="s">
        <v>4414</v>
      </c>
      <c r="D3794" s="2" t="s">
        <v>10</v>
      </c>
      <c r="E3794" s="2" t="s">
        <v>11</v>
      </c>
      <c r="F3794" s="2" t="s">
        <v>18</v>
      </c>
      <c r="G3794" s="2" t="s">
        <v>19</v>
      </c>
      <c r="H3794" s="2" t="s">
        <v>4290</v>
      </c>
      <c r="I3794" s="2" t="s">
        <v>4290</v>
      </c>
    </row>
    <row r="3795" spans="1:9" ht="14.5" x14ac:dyDescent="0.35">
      <c r="A3795" s="2">
        <v>423813</v>
      </c>
      <c r="B3795" s="2" t="str">
        <f>"3328130505950003"</f>
        <v>3328130505950003</v>
      </c>
      <c r="C3795" s="2" t="s">
        <v>4415</v>
      </c>
      <c r="D3795" s="2" t="s">
        <v>10</v>
      </c>
      <c r="E3795" s="2" t="s">
        <v>57</v>
      </c>
      <c r="F3795" s="2" t="s">
        <v>18</v>
      </c>
      <c r="G3795" s="2" t="s">
        <v>268</v>
      </c>
      <c r="H3795" s="2" t="s">
        <v>277</v>
      </c>
      <c r="I3795" s="2" t="s">
        <v>278</v>
      </c>
    </row>
    <row r="3796" spans="1:9" ht="14.5" x14ac:dyDescent="0.35">
      <c r="A3796" s="2">
        <v>369520</v>
      </c>
      <c r="B3796" s="2" t="str">
        <f>"3328130509610003"</f>
        <v>3328130509610003</v>
      </c>
      <c r="C3796" s="2" t="s">
        <v>4416</v>
      </c>
      <c r="D3796" s="2" t="s">
        <v>10</v>
      </c>
      <c r="E3796" s="2" t="s">
        <v>11</v>
      </c>
      <c r="F3796" s="2" t="s">
        <v>18</v>
      </c>
      <c r="G3796" s="2" t="s">
        <v>268</v>
      </c>
      <c r="H3796" s="2" t="s">
        <v>269</v>
      </c>
      <c r="I3796" s="2" t="s">
        <v>996</v>
      </c>
    </row>
    <row r="3797" spans="1:9" ht="14.5" x14ac:dyDescent="0.35">
      <c r="A3797" s="2">
        <v>2556153</v>
      </c>
      <c r="B3797" s="2" t="str">
        <f>"3328130509610003"</f>
        <v>3328130509610003</v>
      </c>
      <c r="C3797" s="2" t="s">
        <v>4417</v>
      </c>
      <c r="D3797" s="2" t="s">
        <v>17</v>
      </c>
      <c r="E3797" s="2" t="s">
        <v>11</v>
      </c>
      <c r="F3797" s="2" t="s">
        <v>18</v>
      </c>
      <c r="G3797" s="2" t="s">
        <v>19</v>
      </c>
      <c r="H3797" s="2" t="s">
        <v>4290</v>
      </c>
      <c r="I3797" s="2" t="s">
        <v>344</v>
      </c>
    </row>
    <row r="3798" spans="1:9" ht="14.5" x14ac:dyDescent="0.35">
      <c r="A3798" s="2">
        <v>1440262</v>
      </c>
      <c r="B3798" s="2" t="str">
        <f>"3328130510880001"</f>
        <v>3328130510880001</v>
      </c>
      <c r="C3798" s="2" t="s">
        <v>4418</v>
      </c>
      <c r="D3798" s="2" t="s">
        <v>10</v>
      </c>
      <c r="E3798" s="2" t="s">
        <v>11</v>
      </c>
      <c r="F3798" s="2" t="s">
        <v>18</v>
      </c>
      <c r="G3798" s="2" t="s">
        <v>19</v>
      </c>
      <c r="H3798" s="2" t="s">
        <v>4290</v>
      </c>
      <c r="I3798" s="2" t="s">
        <v>878</v>
      </c>
    </row>
    <row r="3799" spans="1:9" ht="14.5" x14ac:dyDescent="0.35">
      <c r="A3799" s="2">
        <v>423577</v>
      </c>
      <c r="B3799" s="2" t="str">
        <f>"3328130510880001"</f>
        <v>3328130510880001</v>
      </c>
      <c r="C3799" s="2" t="s">
        <v>4419</v>
      </c>
      <c r="D3799" s="2" t="s">
        <v>17</v>
      </c>
      <c r="E3799" s="2" t="s">
        <v>11</v>
      </c>
      <c r="F3799" s="2" t="s">
        <v>18</v>
      </c>
      <c r="G3799" s="2" t="s">
        <v>268</v>
      </c>
      <c r="H3799" s="2" t="s">
        <v>277</v>
      </c>
      <c r="I3799" s="2" t="s">
        <v>3326</v>
      </c>
    </row>
    <row r="3800" spans="1:9" ht="14.5" x14ac:dyDescent="0.35">
      <c r="A3800" s="2">
        <v>133611</v>
      </c>
      <c r="B3800" s="2" t="str">
        <f>"3328130609020004"</f>
        <v>3328130609020004</v>
      </c>
      <c r="C3800" s="2" t="s">
        <v>4420</v>
      </c>
      <c r="D3800" s="2" t="s">
        <v>10</v>
      </c>
      <c r="E3800" s="2" t="s">
        <v>11</v>
      </c>
      <c r="F3800" s="2" t="s">
        <v>4421</v>
      </c>
      <c r="G3800" s="2" t="s">
        <v>4422</v>
      </c>
      <c r="H3800" s="2" t="s">
        <v>4423</v>
      </c>
      <c r="I3800" s="2" t="s">
        <v>4424</v>
      </c>
    </row>
    <row r="3801" spans="1:9" ht="14.5" x14ac:dyDescent="0.35">
      <c r="A3801" s="2">
        <v>2556654</v>
      </c>
      <c r="B3801" s="2" t="str">
        <f>"3328130609020004"</f>
        <v>3328130609020004</v>
      </c>
      <c r="C3801" s="2" t="s">
        <v>4420</v>
      </c>
      <c r="D3801" s="2" t="s">
        <v>17</v>
      </c>
      <c r="E3801" s="2" t="s">
        <v>11</v>
      </c>
      <c r="F3801" s="2" t="s">
        <v>18</v>
      </c>
      <c r="G3801" s="2" t="s">
        <v>19</v>
      </c>
      <c r="H3801" s="2" t="s">
        <v>4290</v>
      </c>
      <c r="I3801" s="2" t="s">
        <v>4318</v>
      </c>
    </row>
    <row r="3802" spans="1:9" ht="14.5" x14ac:dyDescent="0.35">
      <c r="A3802" s="2">
        <v>1745620</v>
      </c>
      <c r="B3802" s="2" t="str">
        <f>"3328130705960003"</f>
        <v>3328130705960003</v>
      </c>
      <c r="C3802" s="2" t="s">
        <v>4425</v>
      </c>
      <c r="D3802" s="2" t="s">
        <v>10</v>
      </c>
      <c r="E3802" s="2" t="s">
        <v>11</v>
      </c>
      <c r="F3802" s="2" t="s">
        <v>18</v>
      </c>
      <c r="G3802" s="2" t="s">
        <v>19</v>
      </c>
      <c r="H3802" s="2" t="s">
        <v>4290</v>
      </c>
      <c r="I3802" s="2" t="s">
        <v>4426</v>
      </c>
    </row>
    <row r="3803" spans="1:9" ht="14.5" x14ac:dyDescent="0.35">
      <c r="A3803" s="2">
        <v>2605849</v>
      </c>
      <c r="B3803" s="2" t="str">
        <f>"3328130705960003"</f>
        <v>3328130705960003</v>
      </c>
      <c r="C3803" s="2" t="s">
        <v>4427</v>
      </c>
      <c r="D3803" s="2" t="s">
        <v>17</v>
      </c>
      <c r="E3803" s="2" t="s">
        <v>11</v>
      </c>
      <c r="F3803" s="2" t="s">
        <v>18</v>
      </c>
      <c r="G3803" s="2" t="s">
        <v>1438</v>
      </c>
      <c r="H3803" s="2" t="s">
        <v>4428</v>
      </c>
      <c r="I3803" s="2" t="s">
        <v>4429</v>
      </c>
    </row>
    <row r="3804" spans="1:9" ht="14.5" x14ac:dyDescent="0.35">
      <c r="A3804" s="2">
        <v>418525</v>
      </c>
      <c r="B3804" s="2" t="str">
        <f>"3328130706940003"</f>
        <v>3328130706940003</v>
      </c>
      <c r="C3804" s="2" t="s">
        <v>4430</v>
      </c>
      <c r="D3804" s="2" t="s">
        <v>10</v>
      </c>
      <c r="E3804" s="2" t="s">
        <v>11</v>
      </c>
      <c r="F3804" s="2" t="s">
        <v>18</v>
      </c>
      <c r="G3804" s="2" t="s">
        <v>268</v>
      </c>
      <c r="H3804" s="2" t="s">
        <v>448</v>
      </c>
      <c r="I3804" s="2" t="s">
        <v>888</v>
      </c>
    </row>
    <row r="3805" spans="1:9" ht="14.5" x14ac:dyDescent="0.35">
      <c r="A3805" s="2">
        <v>2556456</v>
      </c>
      <c r="B3805" s="2" t="str">
        <f>"3328130706940003"</f>
        <v>3328130706940003</v>
      </c>
      <c r="C3805" s="2" t="s">
        <v>4430</v>
      </c>
      <c r="D3805" s="2" t="s">
        <v>17</v>
      </c>
      <c r="E3805" s="2" t="s">
        <v>11</v>
      </c>
      <c r="F3805" s="2" t="s">
        <v>18</v>
      </c>
      <c r="G3805" s="2" t="s">
        <v>19</v>
      </c>
      <c r="H3805" s="2" t="s">
        <v>4290</v>
      </c>
      <c r="I3805" s="2" t="s">
        <v>4315</v>
      </c>
    </row>
    <row r="3806" spans="1:9" ht="14.5" x14ac:dyDescent="0.35">
      <c r="A3806" s="2">
        <v>1942484</v>
      </c>
      <c r="B3806" s="2" t="str">
        <f>"3328130707940004"</f>
        <v>3328130707940004</v>
      </c>
      <c r="C3806" s="2" t="s">
        <v>4431</v>
      </c>
      <c r="D3806" s="2" t="s">
        <v>189</v>
      </c>
      <c r="E3806" s="2" t="s">
        <v>11</v>
      </c>
      <c r="F3806" s="2" t="s">
        <v>18</v>
      </c>
      <c r="G3806" s="2" t="s">
        <v>19</v>
      </c>
      <c r="H3806" s="2" t="s">
        <v>4290</v>
      </c>
      <c r="I3806" s="2" t="s">
        <v>4329</v>
      </c>
    </row>
    <row r="3807" spans="1:9" ht="14.5" x14ac:dyDescent="0.35">
      <c r="A3807" s="2">
        <v>1616324</v>
      </c>
      <c r="B3807" s="2" t="str">
        <f>"3328130707940004"</f>
        <v>3328130707940004</v>
      </c>
      <c r="C3807" s="2" t="s">
        <v>4432</v>
      </c>
      <c r="D3807" s="2" t="s">
        <v>17</v>
      </c>
      <c r="E3807" s="2" t="s">
        <v>11</v>
      </c>
      <c r="F3807" s="2" t="s">
        <v>18</v>
      </c>
      <c r="G3807" s="2" t="s">
        <v>264</v>
      </c>
      <c r="H3807" s="2" t="s">
        <v>773</v>
      </c>
      <c r="I3807" s="2" t="s">
        <v>4433</v>
      </c>
    </row>
    <row r="3808" spans="1:9" ht="14.5" x14ac:dyDescent="0.35">
      <c r="A3808" s="2">
        <v>230692</v>
      </c>
      <c r="B3808" s="2" t="str">
        <f>"3328130708840007"</f>
        <v>3328130708840007</v>
      </c>
      <c r="C3808" s="2" t="s">
        <v>4434</v>
      </c>
      <c r="D3808" s="2" t="s">
        <v>10</v>
      </c>
      <c r="E3808" s="2" t="s">
        <v>11</v>
      </c>
      <c r="F3808" s="2" t="s">
        <v>18</v>
      </c>
      <c r="G3808" s="2" t="s">
        <v>268</v>
      </c>
      <c r="H3808" s="2" t="s">
        <v>371</v>
      </c>
      <c r="I3808" s="2" t="s">
        <v>2346</v>
      </c>
    </row>
    <row r="3809" spans="1:9" ht="14.5" x14ac:dyDescent="0.35">
      <c r="A3809" s="2">
        <v>2557232</v>
      </c>
      <c r="B3809" s="2" t="str">
        <f>"3328130708840007"</f>
        <v>3328130708840007</v>
      </c>
      <c r="C3809" s="2" t="s">
        <v>4434</v>
      </c>
      <c r="D3809" s="2" t="s">
        <v>17</v>
      </c>
      <c r="E3809" s="2" t="s">
        <v>11</v>
      </c>
      <c r="F3809" s="2" t="s">
        <v>18</v>
      </c>
      <c r="G3809" s="2" t="s">
        <v>19</v>
      </c>
      <c r="H3809" s="2" t="s">
        <v>4290</v>
      </c>
      <c r="I3809" s="2" t="s">
        <v>4309</v>
      </c>
    </row>
    <row r="3810" spans="1:9" ht="14.5" x14ac:dyDescent="0.35">
      <c r="A3810" s="2">
        <v>227509</v>
      </c>
      <c r="B3810" s="2" t="str">
        <f>"3328130709950006"</f>
        <v>3328130709950006</v>
      </c>
      <c r="C3810" s="2" t="s">
        <v>4435</v>
      </c>
      <c r="D3810" s="2" t="s">
        <v>10</v>
      </c>
      <c r="E3810" s="2" t="s">
        <v>11</v>
      </c>
      <c r="F3810" s="2" t="s">
        <v>18</v>
      </c>
      <c r="G3810" s="2" t="s">
        <v>268</v>
      </c>
      <c r="H3810" s="2" t="s">
        <v>371</v>
      </c>
      <c r="I3810" s="2" t="s">
        <v>2346</v>
      </c>
    </row>
    <row r="3811" spans="1:9" ht="14.5" x14ac:dyDescent="0.35">
      <c r="A3811" s="2">
        <v>2557362</v>
      </c>
      <c r="B3811" s="2" t="str">
        <f>"3328130709950006"</f>
        <v>3328130709950006</v>
      </c>
      <c r="C3811" s="2" t="s">
        <v>4435</v>
      </c>
      <c r="D3811" s="2" t="s">
        <v>17</v>
      </c>
      <c r="E3811" s="2" t="s">
        <v>11</v>
      </c>
      <c r="F3811" s="2" t="s">
        <v>18</v>
      </c>
      <c r="G3811" s="2" t="s">
        <v>19</v>
      </c>
      <c r="H3811" s="2" t="s">
        <v>4290</v>
      </c>
      <c r="I3811" s="2" t="s">
        <v>4436</v>
      </c>
    </row>
    <row r="3812" spans="1:9" ht="14.5" x14ac:dyDescent="0.35">
      <c r="A3812" s="2">
        <v>280273</v>
      </c>
      <c r="B3812" s="2" t="str">
        <f>"3328130710680005"</f>
        <v>3328130710680005</v>
      </c>
      <c r="C3812" s="2" t="s">
        <v>4437</v>
      </c>
      <c r="D3812" s="2" t="s">
        <v>10</v>
      </c>
      <c r="E3812" s="2" t="s">
        <v>11</v>
      </c>
      <c r="F3812" s="2" t="s">
        <v>50</v>
      </c>
      <c r="G3812" s="2" t="s">
        <v>280</v>
      </c>
      <c r="H3812" s="2" t="s">
        <v>440</v>
      </c>
      <c r="I3812" s="2" t="s">
        <v>440</v>
      </c>
    </row>
    <row r="3813" spans="1:9" ht="14.5" x14ac:dyDescent="0.35">
      <c r="A3813" s="2">
        <v>2556317</v>
      </c>
      <c r="B3813" s="2" t="str">
        <f>"3328130710680005"</f>
        <v>3328130710680005</v>
      </c>
      <c r="C3813" s="2" t="s">
        <v>4437</v>
      </c>
      <c r="D3813" s="2" t="s">
        <v>17</v>
      </c>
      <c r="E3813" s="2" t="s">
        <v>11</v>
      </c>
      <c r="F3813" s="2" t="s">
        <v>18</v>
      </c>
      <c r="G3813" s="2" t="s">
        <v>19</v>
      </c>
      <c r="H3813" s="2" t="s">
        <v>4290</v>
      </c>
      <c r="I3813" s="2" t="s">
        <v>4303</v>
      </c>
    </row>
    <row r="3814" spans="1:9" ht="14.5" x14ac:dyDescent="0.35">
      <c r="A3814" s="2">
        <v>1757433</v>
      </c>
      <c r="B3814" s="2" t="str">
        <f>"3328130803930008"</f>
        <v>3328130803930008</v>
      </c>
      <c r="C3814" s="2" t="s">
        <v>4438</v>
      </c>
      <c r="D3814" s="2" t="s">
        <v>10</v>
      </c>
      <c r="E3814" s="2" t="s">
        <v>11</v>
      </c>
      <c r="F3814" s="2" t="s">
        <v>91</v>
      </c>
      <c r="G3814" s="2" t="s">
        <v>320</v>
      </c>
      <c r="H3814" s="2" t="s">
        <v>1289</v>
      </c>
      <c r="I3814" s="2" t="s">
        <v>4337</v>
      </c>
    </row>
    <row r="3815" spans="1:9" ht="14.5" x14ac:dyDescent="0.35">
      <c r="A3815" s="2">
        <v>2556211</v>
      </c>
      <c r="B3815" s="2" t="str">
        <f>"3328130803930008"</f>
        <v>3328130803930008</v>
      </c>
      <c r="C3815" s="2" t="s">
        <v>4438</v>
      </c>
      <c r="D3815" s="2" t="s">
        <v>17</v>
      </c>
      <c r="E3815" s="2" t="s">
        <v>11</v>
      </c>
      <c r="F3815" s="2" t="s">
        <v>18</v>
      </c>
      <c r="G3815" s="2" t="s">
        <v>19</v>
      </c>
      <c r="H3815" s="2" t="s">
        <v>4290</v>
      </c>
      <c r="I3815" s="2" t="s">
        <v>4303</v>
      </c>
    </row>
    <row r="3816" spans="1:9" ht="14.5" x14ac:dyDescent="0.35">
      <c r="A3816" s="2">
        <v>1907957</v>
      </c>
      <c r="B3816" s="2" t="str">
        <f>"3328130805970003"</f>
        <v>3328130805970003</v>
      </c>
      <c r="C3816" s="2" t="s">
        <v>4439</v>
      </c>
      <c r="D3816" s="2" t="s">
        <v>10</v>
      </c>
      <c r="E3816" s="2" t="s">
        <v>11</v>
      </c>
      <c r="F3816" s="2" t="s">
        <v>18</v>
      </c>
      <c r="G3816" s="2" t="s">
        <v>19</v>
      </c>
      <c r="H3816" s="2" t="s">
        <v>4290</v>
      </c>
      <c r="I3816" s="2" t="s">
        <v>4298</v>
      </c>
    </row>
    <row r="3817" spans="1:9" ht="14.5" x14ac:dyDescent="0.35">
      <c r="A3817" s="2">
        <v>421569</v>
      </c>
      <c r="B3817" s="2" t="str">
        <f>"3328130805970003"</f>
        <v>3328130805970003</v>
      </c>
      <c r="C3817" s="2" t="s">
        <v>4440</v>
      </c>
      <c r="D3817" s="2" t="s">
        <v>17</v>
      </c>
      <c r="E3817" s="2" t="s">
        <v>11</v>
      </c>
      <c r="F3817" s="2" t="s">
        <v>18</v>
      </c>
      <c r="G3817" s="2" t="s">
        <v>268</v>
      </c>
      <c r="H3817" s="2" t="s">
        <v>371</v>
      </c>
      <c r="I3817" s="2" t="s">
        <v>2346</v>
      </c>
    </row>
    <row r="3818" spans="1:9" ht="14.5" x14ac:dyDescent="0.35">
      <c r="A3818" s="2">
        <v>363300</v>
      </c>
      <c r="B3818" s="2" t="str">
        <f>"3328130809880010"</f>
        <v>3328130809880010</v>
      </c>
      <c r="C3818" s="2" t="s">
        <v>3431</v>
      </c>
      <c r="D3818" s="2" t="s">
        <v>10</v>
      </c>
      <c r="E3818" s="2" t="s">
        <v>11</v>
      </c>
      <c r="F3818" s="2" t="s">
        <v>18</v>
      </c>
      <c r="G3818" s="2" t="s">
        <v>268</v>
      </c>
      <c r="H3818" s="2" t="s">
        <v>269</v>
      </c>
      <c r="I3818" s="2" t="s">
        <v>996</v>
      </c>
    </row>
    <row r="3819" spans="1:9" ht="14.5" x14ac:dyDescent="0.35">
      <c r="A3819" s="2">
        <v>2556455</v>
      </c>
      <c r="B3819" s="2" t="str">
        <f>"3328130809880010"</f>
        <v>3328130809880010</v>
      </c>
      <c r="C3819" s="2" t="s">
        <v>3431</v>
      </c>
      <c r="D3819" s="2" t="s">
        <v>17</v>
      </c>
      <c r="E3819" s="2" t="s">
        <v>11</v>
      </c>
      <c r="F3819" s="2" t="s">
        <v>18</v>
      </c>
      <c r="G3819" s="2" t="s">
        <v>19</v>
      </c>
      <c r="H3819" s="2" t="s">
        <v>4290</v>
      </c>
      <c r="I3819" s="2" t="s">
        <v>4315</v>
      </c>
    </row>
    <row r="3820" spans="1:9" ht="14.5" x14ac:dyDescent="0.35">
      <c r="A3820" s="2">
        <v>2406565</v>
      </c>
      <c r="B3820" s="2" t="str">
        <f>"3328131011960003"</f>
        <v>3328131011960003</v>
      </c>
      <c r="C3820" s="2" t="s">
        <v>4441</v>
      </c>
      <c r="D3820" s="2" t="s">
        <v>10</v>
      </c>
      <c r="E3820" s="2" t="s">
        <v>11</v>
      </c>
      <c r="F3820" s="2" t="s">
        <v>18</v>
      </c>
      <c r="G3820" s="2" t="s">
        <v>19</v>
      </c>
      <c r="H3820" s="2" t="s">
        <v>4290</v>
      </c>
      <c r="I3820" s="2" t="s">
        <v>1381</v>
      </c>
    </row>
    <row r="3821" spans="1:9" ht="14.5" x14ac:dyDescent="0.35">
      <c r="A3821" s="2">
        <v>422207</v>
      </c>
      <c r="B3821" s="2" t="str">
        <f>"3328131011960003"</f>
        <v>3328131011960003</v>
      </c>
      <c r="C3821" s="2" t="s">
        <v>4441</v>
      </c>
      <c r="D3821" s="2" t="s">
        <v>17</v>
      </c>
      <c r="E3821" s="2" t="s">
        <v>11</v>
      </c>
      <c r="F3821" s="2" t="s">
        <v>18</v>
      </c>
      <c r="G3821" s="2" t="s">
        <v>268</v>
      </c>
      <c r="H3821" s="2" t="s">
        <v>269</v>
      </c>
      <c r="I3821" s="2" t="s">
        <v>996</v>
      </c>
    </row>
    <row r="3822" spans="1:9" ht="14.5" x14ac:dyDescent="0.35">
      <c r="A3822" s="2">
        <v>2086681</v>
      </c>
      <c r="B3822" s="2" t="str">
        <f>"3328131102960003"</f>
        <v>3328131102960003</v>
      </c>
      <c r="C3822" s="2" t="s">
        <v>4442</v>
      </c>
      <c r="D3822" s="2" t="s">
        <v>10</v>
      </c>
      <c r="E3822" s="2" t="s">
        <v>11</v>
      </c>
      <c r="F3822" s="2" t="s">
        <v>18</v>
      </c>
      <c r="G3822" s="2" t="s">
        <v>19</v>
      </c>
      <c r="H3822" s="2" t="s">
        <v>4290</v>
      </c>
      <c r="I3822" s="2" t="s">
        <v>4309</v>
      </c>
    </row>
    <row r="3823" spans="1:9" ht="14.5" x14ac:dyDescent="0.35">
      <c r="A3823" s="2">
        <v>421590</v>
      </c>
      <c r="B3823" s="2" t="str">
        <f>"3328131102960003"</f>
        <v>3328131102960003</v>
      </c>
      <c r="C3823" s="2" t="s">
        <v>4442</v>
      </c>
      <c r="D3823" s="2" t="s">
        <v>17</v>
      </c>
      <c r="E3823" s="2" t="s">
        <v>11</v>
      </c>
      <c r="F3823" s="2" t="s">
        <v>18</v>
      </c>
      <c r="G3823" s="2" t="s">
        <v>268</v>
      </c>
      <c r="H3823" s="2" t="s">
        <v>371</v>
      </c>
      <c r="I3823" s="2" t="s">
        <v>2346</v>
      </c>
    </row>
    <row r="3824" spans="1:9" ht="14.5" x14ac:dyDescent="0.35">
      <c r="A3824" s="2">
        <v>1858135</v>
      </c>
      <c r="B3824" s="2" t="str">
        <f>"3328131103830009"</f>
        <v>3328131103830009</v>
      </c>
      <c r="C3824" s="2" t="s">
        <v>4443</v>
      </c>
      <c r="D3824" s="2" t="s">
        <v>10</v>
      </c>
      <c r="E3824" s="2" t="s">
        <v>11</v>
      </c>
      <c r="F3824" s="2" t="s">
        <v>50</v>
      </c>
      <c r="G3824" s="2" t="s">
        <v>58</v>
      </c>
      <c r="H3824" s="2" t="s">
        <v>97</v>
      </c>
      <c r="I3824" s="2" t="s">
        <v>342</v>
      </c>
    </row>
    <row r="3825" spans="1:9" ht="14.5" x14ac:dyDescent="0.35">
      <c r="A3825" s="2">
        <v>2556761</v>
      </c>
      <c r="B3825" s="2" t="str">
        <f>"3328131103830009"</f>
        <v>3328131103830009</v>
      </c>
      <c r="C3825" s="2" t="s">
        <v>4443</v>
      </c>
      <c r="D3825" s="2" t="s">
        <v>17</v>
      </c>
      <c r="E3825" s="2" t="s">
        <v>11</v>
      </c>
      <c r="F3825" s="2" t="s">
        <v>18</v>
      </c>
      <c r="G3825" s="2" t="s">
        <v>19</v>
      </c>
      <c r="H3825" s="2" t="s">
        <v>4290</v>
      </c>
      <c r="I3825" s="2" t="s">
        <v>4358</v>
      </c>
    </row>
    <row r="3826" spans="1:9" ht="14.5" x14ac:dyDescent="0.35">
      <c r="A3826" s="2">
        <v>2407003</v>
      </c>
      <c r="B3826" s="2" t="str">
        <f>"3328131106960007"</f>
        <v>3328131106960007</v>
      </c>
      <c r="C3826" s="2" t="s">
        <v>4444</v>
      </c>
      <c r="D3826" s="2" t="s">
        <v>10</v>
      </c>
      <c r="E3826" s="2" t="s">
        <v>11</v>
      </c>
      <c r="F3826" s="2" t="s">
        <v>18</v>
      </c>
      <c r="G3826" s="2" t="s">
        <v>19</v>
      </c>
      <c r="H3826" s="2" t="s">
        <v>4290</v>
      </c>
      <c r="I3826" s="2" t="s">
        <v>1381</v>
      </c>
    </row>
    <row r="3827" spans="1:9" ht="14.5" x14ac:dyDescent="0.35">
      <c r="A3827" s="2">
        <v>421300</v>
      </c>
      <c r="B3827" s="2" t="str">
        <f>"3328131106960007"</f>
        <v>3328131106960007</v>
      </c>
      <c r="C3827" s="2" t="s">
        <v>4445</v>
      </c>
      <c r="D3827" s="2" t="s">
        <v>17</v>
      </c>
      <c r="E3827" s="2" t="s">
        <v>11</v>
      </c>
      <c r="F3827" s="2" t="s">
        <v>18</v>
      </c>
      <c r="G3827" s="2" t="s">
        <v>268</v>
      </c>
      <c r="H3827" s="2" t="s">
        <v>371</v>
      </c>
      <c r="I3827" s="2" t="s">
        <v>2769</v>
      </c>
    </row>
    <row r="3828" spans="1:9" ht="14.5" x14ac:dyDescent="0.35">
      <c r="A3828" s="2">
        <v>732846</v>
      </c>
      <c r="B3828" s="2" t="str">
        <f>"3328131110860007"</f>
        <v>3328131110860007</v>
      </c>
      <c r="C3828" s="2" t="s">
        <v>4446</v>
      </c>
      <c r="D3828" s="2" t="s">
        <v>10</v>
      </c>
      <c r="E3828" s="2" t="s">
        <v>11</v>
      </c>
      <c r="F3828" s="2" t="s">
        <v>50</v>
      </c>
      <c r="G3828" s="2" t="s">
        <v>86</v>
      </c>
      <c r="H3828" s="2" t="s">
        <v>530</v>
      </c>
      <c r="I3828" s="2" t="s">
        <v>534</v>
      </c>
    </row>
    <row r="3829" spans="1:9" ht="14.5" x14ac:dyDescent="0.35">
      <c r="A3829" s="2">
        <v>2556191</v>
      </c>
      <c r="B3829" s="2" t="str">
        <f>"3328131110860007"</f>
        <v>3328131110860007</v>
      </c>
      <c r="C3829" s="2" t="s">
        <v>4447</v>
      </c>
      <c r="D3829" s="2" t="s">
        <v>17</v>
      </c>
      <c r="E3829" s="2" t="s">
        <v>11</v>
      </c>
      <c r="F3829" s="2" t="s">
        <v>18</v>
      </c>
      <c r="G3829" s="2" t="s">
        <v>19</v>
      </c>
      <c r="H3829" s="2" t="s">
        <v>4290</v>
      </c>
      <c r="I3829" s="2" t="s">
        <v>344</v>
      </c>
    </row>
    <row r="3830" spans="1:9" ht="14.5" x14ac:dyDescent="0.35">
      <c r="A3830" s="2">
        <v>1616051</v>
      </c>
      <c r="B3830" s="2" t="str">
        <f>"3328131205860007"</f>
        <v>3328131205860007</v>
      </c>
      <c r="C3830" s="2" t="s">
        <v>4448</v>
      </c>
      <c r="D3830" s="2" t="s">
        <v>10</v>
      </c>
      <c r="E3830" s="2" t="s">
        <v>11</v>
      </c>
      <c r="F3830" s="2" t="s">
        <v>50</v>
      </c>
      <c r="G3830" s="2" t="s">
        <v>58</v>
      </c>
      <c r="H3830" s="2" t="s">
        <v>1283</v>
      </c>
      <c r="I3830" s="2" t="s">
        <v>1291</v>
      </c>
    </row>
    <row r="3831" spans="1:9" ht="14.5" x14ac:dyDescent="0.35">
      <c r="A3831" s="2">
        <v>2556375</v>
      </c>
      <c r="B3831" s="2" t="str">
        <f>"3328131205860007"</f>
        <v>3328131205860007</v>
      </c>
      <c r="C3831" s="2" t="s">
        <v>4449</v>
      </c>
      <c r="D3831" s="2" t="s">
        <v>17</v>
      </c>
      <c r="E3831" s="2" t="s">
        <v>11</v>
      </c>
      <c r="F3831" s="2" t="s">
        <v>18</v>
      </c>
      <c r="G3831" s="2" t="s">
        <v>19</v>
      </c>
      <c r="H3831" s="2" t="s">
        <v>4290</v>
      </c>
      <c r="I3831" s="2" t="s">
        <v>4315</v>
      </c>
    </row>
    <row r="3832" spans="1:9" ht="14.5" x14ac:dyDescent="0.35">
      <c r="A3832" s="2">
        <v>2112162</v>
      </c>
      <c r="B3832" s="2" t="str">
        <f>"3328131207030003"</f>
        <v>3328131207030003</v>
      </c>
      <c r="C3832" s="2" t="s">
        <v>4450</v>
      </c>
      <c r="D3832" s="2" t="s">
        <v>10</v>
      </c>
      <c r="E3832" s="2" t="s">
        <v>11</v>
      </c>
      <c r="F3832" s="2" t="s">
        <v>18</v>
      </c>
      <c r="G3832" s="2" t="s">
        <v>19</v>
      </c>
      <c r="H3832" s="2" t="s">
        <v>4290</v>
      </c>
      <c r="I3832" s="2" t="s">
        <v>4347</v>
      </c>
    </row>
    <row r="3833" spans="1:9" ht="14.5" x14ac:dyDescent="0.35">
      <c r="A3833" s="2">
        <v>1351192</v>
      </c>
      <c r="B3833" s="2" t="str">
        <f>"3328131207030003"</f>
        <v>3328131207030003</v>
      </c>
      <c r="C3833" s="2" t="s">
        <v>4450</v>
      </c>
      <c r="D3833" s="2" t="s">
        <v>10</v>
      </c>
      <c r="E3833" s="2" t="s">
        <v>57</v>
      </c>
      <c r="F3833" s="2" t="s">
        <v>303</v>
      </c>
      <c r="G3833" s="2" t="s">
        <v>608</v>
      </c>
      <c r="H3833" s="2" t="s">
        <v>609</v>
      </c>
      <c r="I3833" s="2" t="s">
        <v>610</v>
      </c>
    </row>
    <row r="3834" spans="1:9" ht="14.5" x14ac:dyDescent="0.35">
      <c r="A3834" s="2">
        <v>2084386</v>
      </c>
      <c r="B3834" s="2" t="str">
        <f>"3328131210970001"</f>
        <v>3328131210970001</v>
      </c>
      <c r="C3834" s="2" t="s">
        <v>4451</v>
      </c>
      <c r="D3834" s="2" t="s">
        <v>10</v>
      </c>
      <c r="E3834" s="2" t="s">
        <v>11</v>
      </c>
      <c r="F3834" s="2" t="s">
        <v>18</v>
      </c>
      <c r="G3834" s="2" t="s">
        <v>19</v>
      </c>
      <c r="H3834" s="2" t="s">
        <v>4290</v>
      </c>
      <c r="I3834" s="2" t="s">
        <v>4309</v>
      </c>
    </row>
    <row r="3835" spans="1:9" ht="14.5" x14ac:dyDescent="0.35">
      <c r="A3835" s="2">
        <v>423382</v>
      </c>
      <c r="B3835" s="2" t="str">
        <f>"3328131210970001"</f>
        <v>3328131210970001</v>
      </c>
      <c r="C3835" s="2" t="s">
        <v>4452</v>
      </c>
      <c r="D3835" s="2" t="s">
        <v>17</v>
      </c>
      <c r="E3835" s="2" t="s">
        <v>11</v>
      </c>
      <c r="F3835" s="2" t="s">
        <v>18</v>
      </c>
      <c r="G3835" s="2" t="s">
        <v>268</v>
      </c>
      <c r="H3835" s="2" t="s">
        <v>277</v>
      </c>
      <c r="I3835" s="2" t="s">
        <v>278</v>
      </c>
    </row>
    <row r="3836" spans="1:9" ht="14.5" x14ac:dyDescent="0.35">
      <c r="A3836" s="2">
        <v>2466000</v>
      </c>
      <c r="B3836" s="2" t="str">
        <f>"3328131212020004"</f>
        <v>3328131212020004</v>
      </c>
      <c r="C3836" s="2" t="s">
        <v>4453</v>
      </c>
      <c r="D3836" s="2" t="s">
        <v>10</v>
      </c>
      <c r="E3836" s="2" t="s">
        <v>11</v>
      </c>
      <c r="F3836" s="2" t="s">
        <v>18</v>
      </c>
      <c r="G3836" s="2" t="s">
        <v>19</v>
      </c>
      <c r="H3836" s="2" t="s">
        <v>4290</v>
      </c>
      <c r="I3836" s="2" t="s">
        <v>2513</v>
      </c>
    </row>
    <row r="3837" spans="1:9" ht="14.5" x14ac:dyDescent="0.35">
      <c r="A3837" s="2">
        <v>1351196</v>
      </c>
      <c r="B3837" s="2" t="str">
        <f>"3328131212020004"</f>
        <v>3328131212020004</v>
      </c>
      <c r="C3837" s="2" t="s">
        <v>4453</v>
      </c>
      <c r="D3837" s="2" t="s">
        <v>10</v>
      </c>
      <c r="E3837" s="2" t="s">
        <v>57</v>
      </c>
      <c r="F3837" s="2" t="s">
        <v>303</v>
      </c>
      <c r="G3837" s="2" t="s">
        <v>608</v>
      </c>
      <c r="H3837" s="2" t="s">
        <v>609</v>
      </c>
      <c r="I3837" s="2" t="s">
        <v>610</v>
      </c>
    </row>
    <row r="3838" spans="1:9" ht="14.5" x14ac:dyDescent="0.35">
      <c r="A3838" s="2">
        <v>1883388</v>
      </c>
      <c r="B3838" s="2" t="str">
        <f>"3328131310950007"</f>
        <v>3328131310950007</v>
      </c>
      <c r="C3838" s="2" t="s">
        <v>4454</v>
      </c>
      <c r="D3838" s="2" t="s">
        <v>10</v>
      </c>
      <c r="E3838" s="2" t="s">
        <v>11</v>
      </c>
      <c r="F3838" s="2" t="s">
        <v>18</v>
      </c>
      <c r="G3838" s="2" t="s">
        <v>19</v>
      </c>
      <c r="H3838" s="2" t="s">
        <v>4290</v>
      </c>
      <c r="I3838" s="2" t="s">
        <v>4303</v>
      </c>
    </row>
    <row r="3839" spans="1:9" ht="14.5" x14ac:dyDescent="0.35">
      <c r="A3839" s="2">
        <v>421697</v>
      </c>
      <c r="B3839" s="2" t="str">
        <f>"3328131310950007"</f>
        <v>3328131310950007</v>
      </c>
      <c r="C3839" s="2" t="s">
        <v>4454</v>
      </c>
      <c r="D3839" s="2" t="s">
        <v>17</v>
      </c>
      <c r="E3839" s="2" t="s">
        <v>11</v>
      </c>
      <c r="F3839" s="2" t="s">
        <v>18</v>
      </c>
      <c r="G3839" s="2" t="s">
        <v>268</v>
      </c>
      <c r="H3839" s="2" t="s">
        <v>371</v>
      </c>
      <c r="I3839" s="2" t="s">
        <v>2772</v>
      </c>
    </row>
    <row r="3840" spans="1:9" ht="14.5" x14ac:dyDescent="0.35">
      <c r="A3840" s="2">
        <v>1311497</v>
      </c>
      <c r="B3840" s="2" t="str">
        <f>"3328131405050002"</f>
        <v>3328131405050002</v>
      </c>
      <c r="C3840" s="2" t="s">
        <v>4455</v>
      </c>
      <c r="D3840" s="2" t="s">
        <v>10</v>
      </c>
      <c r="E3840" s="2" t="s">
        <v>11</v>
      </c>
      <c r="F3840" s="2" t="s">
        <v>303</v>
      </c>
      <c r="G3840" s="2" t="s">
        <v>509</v>
      </c>
      <c r="H3840" s="2" t="s">
        <v>4456</v>
      </c>
      <c r="I3840" s="2" t="s">
        <v>4456</v>
      </c>
    </row>
    <row r="3841" spans="1:9" ht="14.5" x14ac:dyDescent="0.35">
      <c r="A3841" s="2">
        <v>2556700</v>
      </c>
      <c r="B3841" s="2" t="str">
        <f>"3328131405050002"</f>
        <v>3328131405050002</v>
      </c>
      <c r="C3841" s="2" t="s">
        <v>4457</v>
      </c>
      <c r="D3841" s="2" t="s">
        <v>17</v>
      </c>
      <c r="E3841" s="2" t="s">
        <v>11</v>
      </c>
      <c r="F3841" s="2" t="s">
        <v>18</v>
      </c>
      <c r="G3841" s="2" t="s">
        <v>19</v>
      </c>
      <c r="H3841" s="2" t="s">
        <v>4290</v>
      </c>
      <c r="I3841" s="2" t="s">
        <v>4318</v>
      </c>
    </row>
    <row r="3842" spans="1:9" ht="14.5" x14ac:dyDescent="0.35">
      <c r="A3842" s="2">
        <v>272008</v>
      </c>
      <c r="B3842" s="2" t="str">
        <f>"3328131407930005"</f>
        <v>3328131407930005</v>
      </c>
      <c r="C3842" s="2" t="s">
        <v>4458</v>
      </c>
      <c r="D3842" s="2" t="s">
        <v>10</v>
      </c>
      <c r="E3842" s="2" t="s">
        <v>11</v>
      </c>
      <c r="F3842" s="2" t="s">
        <v>18</v>
      </c>
      <c r="G3842" s="2" t="s">
        <v>268</v>
      </c>
      <c r="H3842" s="2" t="s">
        <v>277</v>
      </c>
      <c r="I3842" s="2" t="s">
        <v>1659</v>
      </c>
    </row>
    <row r="3843" spans="1:9" ht="14.5" x14ac:dyDescent="0.35">
      <c r="A3843" s="2">
        <v>2556410</v>
      </c>
      <c r="B3843" s="2" t="str">
        <f>"3328131407930005"</f>
        <v>3328131407930005</v>
      </c>
      <c r="C3843" s="2" t="s">
        <v>4458</v>
      </c>
      <c r="D3843" s="2" t="s">
        <v>17</v>
      </c>
      <c r="E3843" s="2" t="s">
        <v>11</v>
      </c>
      <c r="F3843" s="2" t="s">
        <v>18</v>
      </c>
      <c r="G3843" s="2" t="s">
        <v>19</v>
      </c>
      <c r="H3843" s="2" t="s">
        <v>4290</v>
      </c>
      <c r="I3843" s="2" t="s">
        <v>4315</v>
      </c>
    </row>
    <row r="3844" spans="1:9" ht="14.5" x14ac:dyDescent="0.35">
      <c r="A3844" s="2">
        <v>1892666</v>
      </c>
      <c r="B3844" s="2" t="str">
        <f>"3328131409010003"</f>
        <v>3328131409010003</v>
      </c>
      <c r="C3844" s="2" t="s">
        <v>4459</v>
      </c>
      <c r="D3844" s="2" t="s">
        <v>189</v>
      </c>
      <c r="E3844" s="2" t="s">
        <v>11</v>
      </c>
      <c r="F3844" s="2" t="s">
        <v>18</v>
      </c>
      <c r="G3844" s="2" t="s">
        <v>19</v>
      </c>
      <c r="H3844" s="2" t="s">
        <v>4290</v>
      </c>
      <c r="I3844" s="2" t="s">
        <v>4315</v>
      </c>
    </row>
    <row r="3845" spans="1:9" ht="14.5" x14ac:dyDescent="0.35">
      <c r="A3845" s="2">
        <v>940159</v>
      </c>
      <c r="B3845" s="2" t="str">
        <f>"3328131409010003"</f>
        <v>3328131409010003</v>
      </c>
      <c r="C3845" s="2" t="s">
        <v>4460</v>
      </c>
      <c r="D3845" s="2" t="s">
        <v>17</v>
      </c>
      <c r="E3845" s="2" t="s">
        <v>11</v>
      </c>
      <c r="F3845" s="2" t="s">
        <v>91</v>
      </c>
      <c r="G3845" s="2" t="s">
        <v>109</v>
      </c>
      <c r="H3845" s="2" t="s">
        <v>4461</v>
      </c>
      <c r="I3845" s="2" t="s">
        <v>4462</v>
      </c>
    </row>
    <row r="3846" spans="1:9" ht="14.5" x14ac:dyDescent="0.35">
      <c r="A3846" s="2">
        <v>2088750</v>
      </c>
      <c r="B3846" s="2" t="str">
        <f>"3328131503910007"</f>
        <v>3328131503910007</v>
      </c>
      <c r="C3846" s="2" t="s">
        <v>4463</v>
      </c>
      <c r="D3846" s="2" t="s">
        <v>10</v>
      </c>
      <c r="E3846" s="2" t="s">
        <v>11</v>
      </c>
      <c r="F3846" s="2" t="s">
        <v>18</v>
      </c>
      <c r="G3846" s="2" t="s">
        <v>19</v>
      </c>
      <c r="H3846" s="2" t="s">
        <v>4290</v>
      </c>
      <c r="I3846" s="2" t="s">
        <v>4309</v>
      </c>
    </row>
    <row r="3847" spans="1:9" ht="14.5" x14ac:dyDescent="0.35">
      <c r="A3847" s="2">
        <v>1634438</v>
      </c>
      <c r="B3847" s="2" t="str">
        <f>"3328131503910007"</f>
        <v>3328131503910007</v>
      </c>
      <c r="C3847" s="2" t="s">
        <v>4463</v>
      </c>
      <c r="D3847" s="2" t="s">
        <v>17</v>
      </c>
      <c r="E3847" s="2" t="s">
        <v>11</v>
      </c>
      <c r="F3847" s="2" t="s">
        <v>18</v>
      </c>
      <c r="G3847" s="2" t="s">
        <v>167</v>
      </c>
      <c r="H3847" s="2" t="s">
        <v>352</v>
      </c>
      <c r="I3847" s="2" t="s">
        <v>4464</v>
      </c>
    </row>
    <row r="3848" spans="1:9" ht="14.5" x14ac:dyDescent="0.35">
      <c r="A3848" s="2">
        <v>1844872</v>
      </c>
      <c r="B3848" s="2" t="str">
        <f>"3328131506940003"</f>
        <v>3328131506940003</v>
      </c>
      <c r="C3848" s="2" t="s">
        <v>4465</v>
      </c>
      <c r="D3848" s="2" t="s">
        <v>10</v>
      </c>
      <c r="E3848" s="2" t="s">
        <v>11</v>
      </c>
      <c r="F3848" s="2" t="s">
        <v>18</v>
      </c>
      <c r="G3848" s="2" t="s">
        <v>19</v>
      </c>
      <c r="H3848" s="2" t="s">
        <v>4290</v>
      </c>
      <c r="I3848" s="2" t="s">
        <v>4318</v>
      </c>
    </row>
    <row r="3849" spans="1:9" ht="14.5" x14ac:dyDescent="0.35">
      <c r="A3849" s="2">
        <v>1693889</v>
      </c>
      <c r="B3849" s="2" t="str">
        <f>"3328131506940003"</f>
        <v>3328131506940003</v>
      </c>
      <c r="C3849" s="2" t="s">
        <v>4465</v>
      </c>
      <c r="D3849" s="2" t="s">
        <v>17</v>
      </c>
      <c r="E3849" s="2" t="s">
        <v>11</v>
      </c>
      <c r="F3849" s="2" t="s">
        <v>18</v>
      </c>
      <c r="G3849" s="2" t="s">
        <v>264</v>
      </c>
      <c r="H3849" s="2" t="s">
        <v>265</v>
      </c>
      <c r="I3849" s="2" t="s">
        <v>459</v>
      </c>
    </row>
    <row r="3850" spans="1:9" ht="14.5" x14ac:dyDescent="0.35">
      <c r="A3850" s="2">
        <v>1880650</v>
      </c>
      <c r="B3850" s="2" t="str">
        <f>"3328131509890004"</f>
        <v>3328131509890004</v>
      </c>
      <c r="C3850" s="2" t="s">
        <v>4466</v>
      </c>
      <c r="D3850" s="2" t="s">
        <v>10</v>
      </c>
      <c r="E3850" s="2" t="s">
        <v>11</v>
      </c>
      <c r="F3850" s="2" t="s">
        <v>18</v>
      </c>
      <c r="G3850" s="2" t="s">
        <v>19</v>
      </c>
      <c r="H3850" s="2" t="s">
        <v>4290</v>
      </c>
      <c r="I3850" s="2" t="s">
        <v>4303</v>
      </c>
    </row>
    <row r="3851" spans="1:9" ht="14.5" x14ac:dyDescent="0.35">
      <c r="A3851" s="2">
        <v>421100</v>
      </c>
      <c r="B3851" s="2" t="str">
        <f>"3328131509890004"</f>
        <v>3328131509890004</v>
      </c>
      <c r="C3851" s="2" t="s">
        <v>4466</v>
      </c>
      <c r="D3851" s="2" t="s">
        <v>17</v>
      </c>
      <c r="E3851" s="2" t="s">
        <v>11</v>
      </c>
      <c r="F3851" s="2" t="s">
        <v>18</v>
      </c>
      <c r="G3851" s="2" t="s">
        <v>268</v>
      </c>
      <c r="H3851" s="2" t="s">
        <v>448</v>
      </c>
      <c r="I3851" s="2" t="s">
        <v>448</v>
      </c>
    </row>
    <row r="3852" spans="1:9" ht="14.5" x14ac:dyDescent="0.35">
      <c r="A3852" s="2">
        <v>1905354</v>
      </c>
      <c r="B3852" s="2" t="str">
        <f>"3328131510950002"</f>
        <v>3328131510950002</v>
      </c>
      <c r="C3852" s="2" t="s">
        <v>4467</v>
      </c>
      <c r="D3852" s="2" t="s">
        <v>10</v>
      </c>
      <c r="E3852" s="2" t="s">
        <v>11</v>
      </c>
      <c r="F3852" s="2" t="s">
        <v>18</v>
      </c>
      <c r="G3852" s="2" t="s">
        <v>19</v>
      </c>
      <c r="H3852" s="2" t="s">
        <v>4290</v>
      </c>
      <c r="I3852" s="2" t="s">
        <v>4298</v>
      </c>
    </row>
    <row r="3853" spans="1:9" ht="14.5" x14ac:dyDescent="0.35">
      <c r="A3853" s="2">
        <v>422470</v>
      </c>
      <c r="B3853" s="2" t="str">
        <f>"3328131510950002"</f>
        <v>3328131510950002</v>
      </c>
      <c r="C3853" s="2" t="s">
        <v>4467</v>
      </c>
      <c r="D3853" s="2" t="s">
        <v>17</v>
      </c>
      <c r="E3853" s="2" t="s">
        <v>11</v>
      </c>
      <c r="F3853" s="2" t="s">
        <v>18</v>
      </c>
      <c r="G3853" s="2" t="s">
        <v>268</v>
      </c>
      <c r="H3853" s="2" t="s">
        <v>269</v>
      </c>
      <c r="I3853" s="2" t="s">
        <v>996</v>
      </c>
    </row>
    <row r="3854" spans="1:9" ht="14.5" x14ac:dyDescent="0.35">
      <c r="A3854" s="2">
        <v>2466438</v>
      </c>
      <c r="B3854" s="2" t="str">
        <f>"3328131511030002"</f>
        <v>3328131511030002</v>
      </c>
      <c r="C3854" s="2" t="s">
        <v>4468</v>
      </c>
      <c r="D3854" s="2" t="s">
        <v>10</v>
      </c>
      <c r="E3854" s="2" t="s">
        <v>11</v>
      </c>
      <c r="F3854" s="2" t="s">
        <v>18</v>
      </c>
      <c r="G3854" s="2" t="s">
        <v>19</v>
      </c>
      <c r="H3854" s="2" t="s">
        <v>4290</v>
      </c>
      <c r="I3854" s="2" t="s">
        <v>2513</v>
      </c>
    </row>
    <row r="3855" spans="1:9" ht="14.5" x14ac:dyDescent="0.35">
      <c r="A3855" s="2">
        <v>1351194</v>
      </c>
      <c r="B3855" s="2" t="str">
        <f>"3328131511030002"</f>
        <v>3328131511030002</v>
      </c>
      <c r="C3855" s="2" t="s">
        <v>4468</v>
      </c>
      <c r="D3855" s="2" t="s">
        <v>10</v>
      </c>
      <c r="E3855" s="2" t="s">
        <v>57</v>
      </c>
      <c r="F3855" s="2" t="s">
        <v>303</v>
      </c>
      <c r="G3855" s="2" t="s">
        <v>608</v>
      </c>
      <c r="H3855" s="2" t="s">
        <v>609</v>
      </c>
      <c r="I3855" s="2" t="s">
        <v>610</v>
      </c>
    </row>
    <row r="3856" spans="1:9" ht="14.5" x14ac:dyDescent="0.35">
      <c r="A3856" s="2">
        <v>2406354</v>
      </c>
      <c r="B3856" s="2" t="str">
        <f>"3328131511840007"</f>
        <v>3328131511840007</v>
      </c>
      <c r="C3856" s="2" t="s">
        <v>4469</v>
      </c>
      <c r="D3856" s="2" t="s">
        <v>10</v>
      </c>
      <c r="E3856" s="2" t="s">
        <v>11</v>
      </c>
      <c r="F3856" s="2" t="s">
        <v>18</v>
      </c>
      <c r="G3856" s="2" t="s">
        <v>19</v>
      </c>
      <c r="H3856" s="2" t="s">
        <v>4290</v>
      </c>
      <c r="I3856" s="2" t="s">
        <v>1381</v>
      </c>
    </row>
    <row r="3857" spans="1:9" ht="14.5" x14ac:dyDescent="0.35">
      <c r="A3857" s="2">
        <v>421625</v>
      </c>
      <c r="B3857" s="2" t="str">
        <f>"3328131511840007"</f>
        <v>3328131511840007</v>
      </c>
      <c r="C3857" s="2" t="s">
        <v>4470</v>
      </c>
      <c r="D3857" s="2" t="s">
        <v>17</v>
      </c>
      <c r="E3857" s="2" t="s">
        <v>11</v>
      </c>
      <c r="F3857" s="2" t="s">
        <v>18</v>
      </c>
      <c r="G3857" s="2" t="s">
        <v>268</v>
      </c>
      <c r="H3857" s="2" t="s">
        <v>371</v>
      </c>
      <c r="I3857" s="2" t="s">
        <v>2772</v>
      </c>
    </row>
    <row r="3858" spans="1:9" ht="14.5" x14ac:dyDescent="0.35">
      <c r="A3858" s="2">
        <v>1903152</v>
      </c>
      <c r="B3858" s="2" t="str">
        <f>"3328131607670001"</f>
        <v>3328131607670001</v>
      </c>
      <c r="C3858" s="2" t="s">
        <v>4471</v>
      </c>
      <c r="D3858" s="2" t="s">
        <v>10</v>
      </c>
      <c r="E3858" s="2" t="s">
        <v>11</v>
      </c>
      <c r="F3858" s="2" t="s">
        <v>18</v>
      </c>
      <c r="G3858" s="2" t="s">
        <v>19</v>
      </c>
      <c r="H3858" s="2" t="s">
        <v>4290</v>
      </c>
      <c r="I3858" s="2" t="s">
        <v>4298</v>
      </c>
    </row>
    <row r="3859" spans="1:9" ht="14.5" x14ac:dyDescent="0.35">
      <c r="A3859" s="2">
        <v>423183</v>
      </c>
      <c r="B3859" s="2" t="str">
        <f>"3328131607670001"</f>
        <v>3328131607670001</v>
      </c>
      <c r="C3859" s="2" t="s">
        <v>4472</v>
      </c>
      <c r="D3859" s="2" t="s">
        <v>17</v>
      </c>
      <c r="E3859" s="2" t="s">
        <v>11</v>
      </c>
      <c r="F3859" s="2" t="s">
        <v>18</v>
      </c>
      <c r="G3859" s="2" t="s">
        <v>268</v>
      </c>
      <c r="H3859" s="2" t="s">
        <v>269</v>
      </c>
      <c r="I3859" s="2" t="s">
        <v>4408</v>
      </c>
    </row>
    <row r="3860" spans="1:9" ht="14.5" x14ac:dyDescent="0.35">
      <c r="A3860" s="2">
        <v>1902211</v>
      </c>
      <c r="B3860" s="2" t="str">
        <f>"3328131607860002"</f>
        <v>3328131607860002</v>
      </c>
      <c r="C3860" s="2" t="s">
        <v>4473</v>
      </c>
      <c r="D3860" s="2" t="s">
        <v>10</v>
      </c>
      <c r="E3860" s="2" t="s">
        <v>11</v>
      </c>
      <c r="F3860" s="2" t="s">
        <v>18</v>
      </c>
      <c r="G3860" s="2" t="s">
        <v>19</v>
      </c>
      <c r="H3860" s="2" t="s">
        <v>4290</v>
      </c>
      <c r="I3860" s="2" t="s">
        <v>4358</v>
      </c>
    </row>
    <row r="3861" spans="1:9" ht="14.5" x14ac:dyDescent="0.35">
      <c r="A3861" s="2">
        <v>423272</v>
      </c>
      <c r="B3861" s="2" t="str">
        <f>"3328131607860002"</f>
        <v>3328131607860002</v>
      </c>
      <c r="C3861" s="2" t="s">
        <v>4473</v>
      </c>
      <c r="D3861" s="2" t="s">
        <v>17</v>
      </c>
      <c r="E3861" s="2" t="s">
        <v>11</v>
      </c>
      <c r="F3861" s="2" t="s">
        <v>18</v>
      </c>
      <c r="G3861" s="2" t="s">
        <v>268</v>
      </c>
      <c r="H3861" s="2" t="s">
        <v>269</v>
      </c>
      <c r="I3861" s="2" t="s">
        <v>1662</v>
      </c>
    </row>
    <row r="3862" spans="1:9" ht="14.5" x14ac:dyDescent="0.35">
      <c r="A3862" s="2">
        <v>1910245</v>
      </c>
      <c r="B3862" s="2" t="str">
        <f>"3328131701850004"</f>
        <v>3328131701850004</v>
      </c>
      <c r="C3862" s="2" t="s">
        <v>4474</v>
      </c>
      <c r="D3862" s="2" t="s">
        <v>10</v>
      </c>
      <c r="E3862" s="2" t="s">
        <v>11</v>
      </c>
      <c r="F3862" s="2" t="s">
        <v>18</v>
      </c>
      <c r="G3862" s="2" t="s">
        <v>19</v>
      </c>
      <c r="H3862" s="2" t="s">
        <v>4290</v>
      </c>
      <c r="I3862" s="2" t="s">
        <v>4475</v>
      </c>
    </row>
    <row r="3863" spans="1:9" ht="14.5" x14ac:dyDescent="0.35">
      <c r="A3863" s="2">
        <v>2655872</v>
      </c>
      <c r="B3863" s="2" t="str">
        <f>"3328131701850004"</f>
        <v>3328131701850004</v>
      </c>
      <c r="C3863" s="2" t="s">
        <v>4474</v>
      </c>
      <c r="D3863" s="2" t="s">
        <v>17</v>
      </c>
      <c r="E3863" s="2" t="s">
        <v>11</v>
      </c>
      <c r="F3863" s="2" t="s">
        <v>18</v>
      </c>
      <c r="G3863" s="2" t="s">
        <v>199</v>
      </c>
      <c r="H3863" s="2" t="s">
        <v>4476</v>
      </c>
      <c r="I3863" s="2" t="s">
        <v>4477</v>
      </c>
    </row>
    <row r="3864" spans="1:9" ht="14.5" x14ac:dyDescent="0.35">
      <c r="A3864" s="2">
        <v>1478694</v>
      </c>
      <c r="B3864" s="2" t="str">
        <f>"3328131708940011"</f>
        <v>3328131708940011</v>
      </c>
      <c r="C3864" s="2" t="s">
        <v>4478</v>
      </c>
      <c r="D3864" s="2" t="s">
        <v>10</v>
      </c>
      <c r="E3864" s="2" t="s">
        <v>11</v>
      </c>
      <c r="F3864" s="2" t="s">
        <v>18</v>
      </c>
      <c r="G3864" s="2" t="s">
        <v>19</v>
      </c>
      <c r="H3864" s="2" t="s">
        <v>4290</v>
      </c>
      <c r="I3864" s="2" t="s">
        <v>4436</v>
      </c>
    </row>
    <row r="3865" spans="1:9" ht="14.5" x14ac:dyDescent="0.35">
      <c r="A3865" s="2">
        <v>423231</v>
      </c>
      <c r="B3865" s="2" t="str">
        <f>"3328131708940011"</f>
        <v>3328131708940011</v>
      </c>
      <c r="C3865" s="2" t="s">
        <v>4478</v>
      </c>
      <c r="D3865" s="2" t="s">
        <v>17</v>
      </c>
      <c r="E3865" s="2" t="s">
        <v>11</v>
      </c>
      <c r="F3865" s="2" t="s">
        <v>18</v>
      </c>
      <c r="G3865" s="2" t="s">
        <v>268</v>
      </c>
      <c r="H3865" s="2" t="s">
        <v>269</v>
      </c>
      <c r="I3865" s="2" t="s">
        <v>3978</v>
      </c>
    </row>
    <row r="3866" spans="1:9" ht="14.5" x14ac:dyDescent="0.35">
      <c r="A3866" s="2">
        <v>1908124</v>
      </c>
      <c r="B3866" s="2" t="str">
        <f>"3328131805040002"</f>
        <v>3328131805040002</v>
      </c>
      <c r="C3866" s="2" t="s">
        <v>4479</v>
      </c>
      <c r="D3866" s="2" t="s">
        <v>10</v>
      </c>
      <c r="E3866" s="2" t="s">
        <v>11</v>
      </c>
      <c r="F3866" s="2" t="s">
        <v>18</v>
      </c>
      <c r="G3866" s="2" t="s">
        <v>19</v>
      </c>
      <c r="H3866" s="2" t="s">
        <v>4290</v>
      </c>
      <c r="I3866" s="2" t="s">
        <v>4298</v>
      </c>
    </row>
    <row r="3867" spans="1:9" ht="14.5" x14ac:dyDescent="0.35">
      <c r="A3867" s="2">
        <v>1351197</v>
      </c>
      <c r="B3867" s="2" t="str">
        <f>"3328131805040002"</f>
        <v>3328131805040002</v>
      </c>
      <c r="C3867" s="2" t="s">
        <v>4479</v>
      </c>
      <c r="D3867" s="2" t="s">
        <v>10</v>
      </c>
      <c r="E3867" s="2" t="s">
        <v>57</v>
      </c>
      <c r="F3867" s="2" t="s">
        <v>303</v>
      </c>
      <c r="G3867" s="2" t="s">
        <v>608</v>
      </c>
      <c r="H3867" s="2" t="s">
        <v>609</v>
      </c>
      <c r="I3867" s="2" t="s">
        <v>610</v>
      </c>
    </row>
    <row r="3868" spans="1:9" ht="14.5" x14ac:dyDescent="0.35">
      <c r="A3868" s="2">
        <v>1879569</v>
      </c>
      <c r="B3868" s="2" t="str">
        <f>"3328131805050005"</f>
        <v>3328131805050005</v>
      </c>
      <c r="C3868" s="2" t="s">
        <v>4480</v>
      </c>
      <c r="D3868" s="2" t="s">
        <v>10</v>
      </c>
      <c r="E3868" s="2" t="s">
        <v>11</v>
      </c>
      <c r="F3868" s="2" t="s">
        <v>18</v>
      </c>
      <c r="G3868" s="2" t="s">
        <v>19</v>
      </c>
      <c r="H3868" s="2" t="s">
        <v>4290</v>
      </c>
      <c r="I3868" s="2" t="s">
        <v>4303</v>
      </c>
    </row>
    <row r="3869" spans="1:9" ht="14.5" x14ac:dyDescent="0.35">
      <c r="A3869" s="2">
        <v>636293</v>
      </c>
      <c r="B3869" s="2" t="str">
        <f>"3328131805050005"</f>
        <v>3328131805050005</v>
      </c>
      <c r="C3869" s="2" t="s">
        <v>4481</v>
      </c>
      <c r="D3869" s="2" t="s">
        <v>17</v>
      </c>
      <c r="E3869" s="2" t="s">
        <v>57</v>
      </c>
      <c r="F3869" s="2" t="s">
        <v>18</v>
      </c>
      <c r="G3869" s="2" t="s">
        <v>190</v>
      </c>
      <c r="H3869" s="2" t="s">
        <v>1497</v>
      </c>
      <c r="I3869" s="2" t="s">
        <v>1498</v>
      </c>
    </row>
    <row r="3870" spans="1:9" ht="14.5" x14ac:dyDescent="0.35">
      <c r="A3870" s="2">
        <v>1875790</v>
      </c>
      <c r="B3870" s="2" t="str">
        <f>"3328131810920004"</f>
        <v>3328131810920004</v>
      </c>
      <c r="C3870" s="2" t="s">
        <v>4482</v>
      </c>
      <c r="D3870" s="2" t="s">
        <v>10</v>
      </c>
      <c r="E3870" s="2" t="s">
        <v>11</v>
      </c>
      <c r="F3870" s="2" t="s">
        <v>18</v>
      </c>
      <c r="G3870" s="2" t="s">
        <v>19</v>
      </c>
      <c r="H3870" s="2" t="s">
        <v>4290</v>
      </c>
      <c r="I3870" s="2" t="s">
        <v>344</v>
      </c>
    </row>
    <row r="3871" spans="1:9" ht="14.5" x14ac:dyDescent="0.35">
      <c r="A3871" s="2">
        <v>1808107</v>
      </c>
      <c r="B3871" s="2" t="str">
        <f>"3328131810920004"</f>
        <v>3328131810920004</v>
      </c>
      <c r="C3871" s="2" t="s">
        <v>4483</v>
      </c>
      <c r="D3871" s="2" t="s">
        <v>17</v>
      </c>
      <c r="E3871" s="2" t="s">
        <v>11</v>
      </c>
      <c r="F3871" s="2" t="s">
        <v>50</v>
      </c>
      <c r="G3871" s="2" t="s">
        <v>72</v>
      </c>
      <c r="H3871" s="2" t="s">
        <v>738</v>
      </c>
      <c r="I3871" s="2" t="s">
        <v>4484</v>
      </c>
    </row>
    <row r="3872" spans="1:9" ht="14.5" x14ac:dyDescent="0.35">
      <c r="A3872" s="2">
        <v>1442766</v>
      </c>
      <c r="B3872" s="2" t="str">
        <f>"3328132005860009"</f>
        <v>3328132005860009</v>
      </c>
      <c r="C3872" s="2" t="s">
        <v>4485</v>
      </c>
      <c r="D3872" s="2" t="s">
        <v>10</v>
      </c>
      <c r="E3872" s="2" t="s">
        <v>11</v>
      </c>
      <c r="F3872" s="2" t="s">
        <v>18</v>
      </c>
      <c r="G3872" s="2" t="s">
        <v>19</v>
      </c>
      <c r="H3872" s="2" t="s">
        <v>4290</v>
      </c>
      <c r="I3872" s="2" t="s">
        <v>878</v>
      </c>
    </row>
    <row r="3873" spans="1:9" ht="14.5" x14ac:dyDescent="0.35">
      <c r="A3873" s="2">
        <v>1222030</v>
      </c>
      <c r="B3873" s="2" t="str">
        <f>"3328132005860009"</f>
        <v>3328132005860009</v>
      </c>
      <c r="C3873" s="2" t="s">
        <v>4485</v>
      </c>
      <c r="D3873" s="2" t="s">
        <v>17</v>
      </c>
      <c r="E3873" s="2" t="s">
        <v>11</v>
      </c>
      <c r="F3873" s="2" t="s">
        <v>303</v>
      </c>
      <c r="G3873" s="2" t="s">
        <v>4486</v>
      </c>
      <c r="H3873" s="2" t="s">
        <v>4487</v>
      </c>
      <c r="I3873" s="2" t="s">
        <v>4488</v>
      </c>
    </row>
    <row r="3874" spans="1:9" ht="14.5" x14ac:dyDescent="0.35">
      <c r="A3874" s="2">
        <v>1900856</v>
      </c>
      <c r="B3874" s="2" t="str">
        <f>"3328132101930002"</f>
        <v>3328132101930002</v>
      </c>
      <c r="C3874" s="2" t="s">
        <v>672</v>
      </c>
      <c r="D3874" s="2" t="s">
        <v>10</v>
      </c>
      <c r="E3874" s="2" t="s">
        <v>11</v>
      </c>
      <c r="F3874" s="2" t="s">
        <v>18</v>
      </c>
      <c r="G3874" s="2" t="s">
        <v>19</v>
      </c>
      <c r="H3874" s="2" t="s">
        <v>4290</v>
      </c>
      <c r="I3874" s="2" t="s">
        <v>4358</v>
      </c>
    </row>
    <row r="3875" spans="1:9" ht="14.5" x14ac:dyDescent="0.35">
      <c r="A3875" s="2">
        <v>423008</v>
      </c>
      <c r="B3875" s="2" t="str">
        <f>"3328132101930002"</f>
        <v>3328132101930002</v>
      </c>
      <c r="C3875" s="2" t="s">
        <v>4489</v>
      </c>
      <c r="D3875" s="2" t="s">
        <v>17</v>
      </c>
      <c r="E3875" s="2" t="s">
        <v>11</v>
      </c>
      <c r="F3875" s="2" t="s">
        <v>18</v>
      </c>
      <c r="G3875" s="2" t="s">
        <v>268</v>
      </c>
      <c r="H3875" s="2" t="s">
        <v>277</v>
      </c>
      <c r="I3875" s="2" t="s">
        <v>2665</v>
      </c>
    </row>
    <row r="3876" spans="1:9" ht="14.5" x14ac:dyDescent="0.35">
      <c r="A3876" s="2">
        <v>1295624</v>
      </c>
      <c r="B3876" s="2" t="str">
        <f>"3328132105900001"</f>
        <v>3328132105900001</v>
      </c>
      <c r="C3876" s="2" t="s">
        <v>4490</v>
      </c>
      <c r="D3876" s="2" t="s">
        <v>10</v>
      </c>
      <c r="E3876" s="2" t="s">
        <v>11</v>
      </c>
      <c r="F3876" s="2" t="s">
        <v>667</v>
      </c>
      <c r="G3876" s="2" t="s">
        <v>4491</v>
      </c>
      <c r="H3876" s="2" t="s">
        <v>4492</v>
      </c>
      <c r="I3876" s="2" t="s">
        <v>2066</v>
      </c>
    </row>
    <row r="3877" spans="1:9" ht="14.5" x14ac:dyDescent="0.35">
      <c r="A3877" s="2">
        <v>2556622</v>
      </c>
      <c r="B3877" s="2" t="str">
        <f>"3328132105900001"</f>
        <v>3328132105900001</v>
      </c>
      <c r="C3877" s="2" t="s">
        <v>4490</v>
      </c>
      <c r="D3877" s="2" t="s">
        <v>17</v>
      </c>
      <c r="E3877" s="2" t="s">
        <v>11</v>
      </c>
      <c r="F3877" s="2" t="s">
        <v>18</v>
      </c>
      <c r="G3877" s="2" t="s">
        <v>19</v>
      </c>
      <c r="H3877" s="2" t="s">
        <v>4290</v>
      </c>
      <c r="I3877" s="2" t="s">
        <v>4318</v>
      </c>
    </row>
    <row r="3878" spans="1:9" ht="14.5" x14ac:dyDescent="0.35">
      <c r="A3878" s="2">
        <v>1909058</v>
      </c>
      <c r="B3878" s="2" t="str">
        <f>"3328132107970005"</f>
        <v>3328132107970005</v>
      </c>
      <c r="C3878" s="2" t="s">
        <v>4493</v>
      </c>
      <c r="D3878" s="2" t="s">
        <v>10</v>
      </c>
      <c r="E3878" s="2" t="s">
        <v>11</v>
      </c>
      <c r="F3878" s="2" t="s">
        <v>18</v>
      </c>
      <c r="G3878" s="2" t="s">
        <v>19</v>
      </c>
      <c r="H3878" s="2" t="s">
        <v>4290</v>
      </c>
      <c r="I3878" s="2" t="s">
        <v>4475</v>
      </c>
    </row>
    <row r="3879" spans="1:9" ht="14.5" x14ac:dyDescent="0.35">
      <c r="A3879" s="2">
        <v>421740</v>
      </c>
      <c r="B3879" s="2" t="str">
        <f>"3328132107970005"</f>
        <v>3328132107970005</v>
      </c>
      <c r="C3879" s="2" t="s">
        <v>4493</v>
      </c>
      <c r="D3879" s="2" t="s">
        <v>17</v>
      </c>
      <c r="E3879" s="2" t="s">
        <v>11</v>
      </c>
      <c r="F3879" s="2" t="s">
        <v>18</v>
      </c>
      <c r="G3879" s="2" t="s">
        <v>268</v>
      </c>
      <c r="H3879" s="2" t="s">
        <v>371</v>
      </c>
      <c r="I3879" s="2" t="s">
        <v>372</v>
      </c>
    </row>
    <row r="3880" spans="1:9" ht="14.5" x14ac:dyDescent="0.35">
      <c r="A3880" s="2">
        <v>421685</v>
      </c>
      <c r="B3880" s="2" t="str">
        <f>"3328132203000001"</f>
        <v>3328132203000001</v>
      </c>
      <c r="C3880" s="2" t="s">
        <v>4494</v>
      </c>
      <c r="D3880" s="2" t="s">
        <v>17</v>
      </c>
      <c r="E3880" s="2" t="s">
        <v>11</v>
      </c>
      <c r="F3880" s="2" t="s">
        <v>18</v>
      </c>
      <c r="G3880" s="2" t="s">
        <v>268</v>
      </c>
      <c r="H3880" s="2" t="s">
        <v>371</v>
      </c>
      <c r="I3880" s="2" t="s">
        <v>2772</v>
      </c>
    </row>
    <row r="3881" spans="1:9" ht="14.5" x14ac:dyDescent="0.35">
      <c r="A3881" s="2">
        <v>1901962</v>
      </c>
      <c r="B3881" s="2" t="str">
        <f>"3328132203000001"</f>
        <v>3328132203000001</v>
      </c>
      <c r="C3881" s="2" t="s">
        <v>4494</v>
      </c>
      <c r="D3881" s="2" t="s">
        <v>189</v>
      </c>
      <c r="E3881" s="2" t="s">
        <v>11</v>
      </c>
      <c r="F3881" s="2" t="s">
        <v>18</v>
      </c>
      <c r="G3881" s="2" t="s">
        <v>19</v>
      </c>
      <c r="H3881" s="2" t="s">
        <v>4290</v>
      </c>
      <c r="I3881" s="2" t="s">
        <v>4358</v>
      </c>
    </row>
    <row r="3882" spans="1:9" ht="14.5" x14ac:dyDescent="0.35">
      <c r="A3882" s="2">
        <v>1889915</v>
      </c>
      <c r="B3882" s="2" t="str">
        <f>"3328132210950005"</f>
        <v>3328132210950005</v>
      </c>
      <c r="C3882" s="2" t="s">
        <v>4495</v>
      </c>
      <c r="D3882" s="2" t="s">
        <v>10</v>
      </c>
      <c r="E3882" s="2" t="s">
        <v>11</v>
      </c>
      <c r="F3882" s="2" t="s">
        <v>18</v>
      </c>
      <c r="G3882" s="2" t="s">
        <v>19</v>
      </c>
      <c r="H3882" s="2" t="s">
        <v>4290</v>
      </c>
      <c r="I3882" s="2" t="s">
        <v>4315</v>
      </c>
    </row>
    <row r="3883" spans="1:9" ht="14.5" x14ac:dyDescent="0.35">
      <c r="A3883" s="2">
        <v>1941349</v>
      </c>
      <c r="B3883" s="2" t="str">
        <f>"3328132210950005"</f>
        <v>3328132210950005</v>
      </c>
      <c r="C3883" s="2" t="s">
        <v>4496</v>
      </c>
      <c r="D3883" s="2" t="s">
        <v>17</v>
      </c>
      <c r="E3883" s="2" t="s">
        <v>11</v>
      </c>
      <c r="F3883" s="2" t="s">
        <v>50</v>
      </c>
      <c r="G3883" s="2" t="s">
        <v>86</v>
      </c>
      <c r="H3883" s="2" t="s">
        <v>445</v>
      </c>
      <c r="I3883" s="2" t="s">
        <v>1947</v>
      </c>
    </row>
    <row r="3884" spans="1:9" ht="14.5" x14ac:dyDescent="0.35">
      <c r="A3884" s="2">
        <v>318116</v>
      </c>
      <c r="B3884" s="2" t="str">
        <f>"3328132307890002"</f>
        <v>3328132307890002</v>
      </c>
      <c r="C3884" s="2" t="s">
        <v>4497</v>
      </c>
      <c r="D3884" s="2" t="s">
        <v>10</v>
      </c>
      <c r="E3884" s="2" t="s">
        <v>11</v>
      </c>
      <c r="F3884" s="2" t="s">
        <v>91</v>
      </c>
      <c r="G3884" s="2" t="s">
        <v>92</v>
      </c>
      <c r="H3884" s="2" t="s">
        <v>237</v>
      </c>
      <c r="I3884" s="2" t="s">
        <v>4498</v>
      </c>
    </row>
    <row r="3885" spans="1:9" ht="14.5" x14ac:dyDescent="0.35">
      <c r="A3885" s="2">
        <v>2556289</v>
      </c>
      <c r="B3885" s="2" t="str">
        <f>"3328132307890002"</f>
        <v>3328132307890002</v>
      </c>
      <c r="C3885" s="2" t="s">
        <v>4497</v>
      </c>
      <c r="D3885" s="2" t="s">
        <v>17</v>
      </c>
      <c r="E3885" s="2" t="s">
        <v>11</v>
      </c>
      <c r="F3885" s="2" t="s">
        <v>18</v>
      </c>
      <c r="G3885" s="2" t="s">
        <v>19</v>
      </c>
      <c r="H3885" s="2" t="s">
        <v>4290</v>
      </c>
      <c r="I3885" s="2" t="s">
        <v>4303</v>
      </c>
    </row>
    <row r="3886" spans="1:9" ht="14.5" x14ac:dyDescent="0.35">
      <c r="A3886" s="2">
        <v>2110758</v>
      </c>
      <c r="B3886" s="2" t="str">
        <f>"3328132403010001"</f>
        <v>3328132403010001</v>
      </c>
      <c r="C3886" s="2" t="s">
        <v>4499</v>
      </c>
      <c r="D3886" s="2" t="s">
        <v>10</v>
      </c>
      <c r="E3886" s="2" t="s">
        <v>11</v>
      </c>
      <c r="F3886" s="2" t="s">
        <v>18</v>
      </c>
      <c r="G3886" s="2" t="s">
        <v>19</v>
      </c>
      <c r="H3886" s="2" t="s">
        <v>4290</v>
      </c>
      <c r="I3886" s="2" t="s">
        <v>4347</v>
      </c>
    </row>
    <row r="3887" spans="1:9" ht="14.5" x14ac:dyDescent="0.35">
      <c r="A3887" s="2">
        <v>1351193</v>
      </c>
      <c r="B3887" s="2" t="str">
        <f>"3328132403010001"</f>
        <v>3328132403010001</v>
      </c>
      <c r="C3887" s="2" t="s">
        <v>4499</v>
      </c>
      <c r="D3887" s="2" t="s">
        <v>10</v>
      </c>
      <c r="E3887" s="2" t="s">
        <v>57</v>
      </c>
      <c r="F3887" s="2" t="s">
        <v>303</v>
      </c>
      <c r="G3887" s="2" t="s">
        <v>608</v>
      </c>
      <c r="H3887" s="2" t="s">
        <v>609</v>
      </c>
      <c r="I3887" s="2" t="s">
        <v>610</v>
      </c>
    </row>
    <row r="3888" spans="1:9" ht="14.5" x14ac:dyDescent="0.35">
      <c r="A3888" s="2">
        <v>1904098</v>
      </c>
      <c r="B3888" s="2" t="str">
        <f>"3328132405890001"</f>
        <v>3328132405890001</v>
      </c>
      <c r="C3888" s="2" t="s">
        <v>4500</v>
      </c>
      <c r="D3888" s="2" t="s">
        <v>10</v>
      </c>
      <c r="E3888" s="2" t="s">
        <v>11</v>
      </c>
      <c r="F3888" s="2" t="s">
        <v>18</v>
      </c>
      <c r="G3888" s="2" t="s">
        <v>19</v>
      </c>
      <c r="H3888" s="2" t="s">
        <v>4290</v>
      </c>
      <c r="I3888" s="2" t="s">
        <v>4298</v>
      </c>
    </row>
    <row r="3889" spans="1:9" ht="14.5" x14ac:dyDescent="0.35">
      <c r="A3889" s="2">
        <v>1359147</v>
      </c>
      <c r="B3889" s="2" t="str">
        <f>"3328132405890001"</f>
        <v>3328132405890001</v>
      </c>
      <c r="C3889" s="2" t="s">
        <v>4500</v>
      </c>
      <c r="D3889" s="2" t="s">
        <v>17</v>
      </c>
      <c r="E3889" s="2" t="s">
        <v>11</v>
      </c>
      <c r="F3889" s="2" t="s">
        <v>303</v>
      </c>
      <c r="G3889" s="2" t="s">
        <v>608</v>
      </c>
      <c r="H3889" s="2" t="s">
        <v>4364</v>
      </c>
      <c r="I3889" s="2" t="s">
        <v>4365</v>
      </c>
    </row>
    <row r="3890" spans="1:9" ht="14.5" x14ac:dyDescent="0.35">
      <c r="A3890" s="2">
        <v>2410418</v>
      </c>
      <c r="B3890" s="2" t="str">
        <f>"3328132409960003"</f>
        <v>3328132409960003</v>
      </c>
      <c r="C3890" s="2" t="s">
        <v>4501</v>
      </c>
      <c r="D3890" s="2" t="s">
        <v>10</v>
      </c>
      <c r="E3890" s="2" t="s">
        <v>11</v>
      </c>
      <c r="F3890" s="2" t="s">
        <v>18</v>
      </c>
      <c r="G3890" s="2" t="s">
        <v>19</v>
      </c>
      <c r="H3890" s="2" t="s">
        <v>4290</v>
      </c>
      <c r="I3890" s="2" t="s">
        <v>1381</v>
      </c>
    </row>
    <row r="3891" spans="1:9" ht="14.5" x14ac:dyDescent="0.35">
      <c r="A3891" s="2">
        <v>1692001</v>
      </c>
      <c r="B3891" s="2" t="str">
        <f>"3328132409960003"</f>
        <v>3328132409960003</v>
      </c>
      <c r="C3891" s="2" t="s">
        <v>4502</v>
      </c>
      <c r="D3891" s="2" t="s">
        <v>17</v>
      </c>
      <c r="E3891" s="2" t="s">
        <v>11</v>
      </c>
      <c r="F3891" s="2" t="s">
        <v>18</v>
      </c>
      <c r="G3891" s="2" t="s">
        <v>264</v>
      </c>
      <c r="H3891" s="2" t="s">
        <v>273</v>
      </c>
      <c r="I3891" s="2" t="s">
        <v>2083</v>
      </c>
    </row>
    <row r="3892" spans="1:9" ht="14.5" x14ac:dyDescent="0.35">
      <c r="A3892" s="2">
        <v>1888231</v>
      </c>
      <c r="B3892" s="2" t="str">
        <f>"3328132503850003"</f>
        <v>3328132503850003</v>
      </c>
      <c r="C3892" s="2" t="s">
        <v>4503</v>
      </c>
      <c r="D3892" s="2" t="s">
        <v>10</v>
      </c>
      <c r="E3892" s="2" t="s">
        <v>11</v>
      </c>
      <c r="F3892" s="2" t="s">
        <v>18</v>
      </c>
      <c r="G3892" s="2" t="s">
        <v>19</v>
      </c>
      <c r="H3892" s="2" t="s">
        <v>4290</v>
      </c>
      <c r="I3892" s="2" t="s">
        <v>4315</v>
      </c>
    </row>
    <row r="3893" spans="1:9" ht="14.5" x14ac:dyDescent="0.35">
      <c r="A3893" s="2">
        <v>1797001</v>
      </c>
      <c r="B3893" s="2" t="str">
        <f>"3328132503850003"</f>
        <v>3328132503850003</v>
      </c>
      <c r="C3893" s="2" t="s">
        <v>4503</v>
      </c>
      <c r="D3893" s="2" t="s">
        <v>17</v>
      </c>
      <c r="E3893" s="2" t="s">
        <v>11</v>
      </c>
      <c r="F3893" s="2" t="s">
        <v>50</v>
      </c>
      <c r="G3893" s="2" t="s">
        <v>72</v>
      </c>
      <c r="H3893" s="2" t="s">
        <v>803</v>
      </c>
      <c r="I3893" s="2" t="s">
        <v>3030</v>
      </c>
    </row>
    <row r="3894" spans="1:9" ht="14.5" x14ac:dyDescent="0.35">
      <c r="A3894" s="2">
        <v>1887325</v>
      </c>
      <c r="B3894" s="2" t="str">
        <f>"3328132506960003"</f>
        <v>3328132506960003</v>
      </c>
      <c r="C3894" s="2" t="s">
        <v>4504</v>
      </c>
      <c r="D3894" s="2" t="s">
        <v>10</v>
      </c>
      <c r="E3894" s="2" t="s">
        <v>11</v>
      </c>
      <c r="F3894" s="2" t="s">
        <v>18</v>
      </c>
      <c r="G3894" s="2" t="s">
        <v>19</v>
      </c>
      <c r="H3894" s="2" t="s">
        <v>4290</v>
      </c>
      <c r="I3894" s="2" t="s">
        <v>4315</v>
      </c>
    </row>
    <row r="3895" spans="1:9" ht="14.5" x14ac:dyDescent="0.35">
      <c r="A3895" s="2">
        <v>421133</v>
      </c>
      <c r="B3895" s="2" t="str">
        <f>"3328132506960003"</f>
        <v>3328132506960003</v>
      </c>
      <c r="C3895" s="2" t="s">
        <v>4505</v>
      </c>
      <c r="D3895" s="2" t="s">
        <v>17</v>
      </c>
      <c r="E3895" s="2" t="s">
        <v>11</v>
      </c>
      <c r="F3895" s="2" t="s">
        <v>18</v>
      </c>
      <c r="G3895" s="2" t="s">
        <v>268</v>
      </c>
      <c r="H3895" s="2" t="s">
        <v>448</v>
      </c>
      <c r="I3895" s="2" t="s">
        <v>448</v>
      </c>
    </row>
    <row r="3896" spans="1:9" ht="14.5" x14ac:dyDescent="0.35">
      <c r="A3896" s="2">
        <v>1905811</v>
      </c>
      <c r="B3896" s="2" t="str">
        <f>"3328132510800003"</f>
        <v>3328132510800003</v>
      </c>
      <c r="C3896" s="2" t="s">
        <v>4506</v>
      </c>
      <c r="D3896" s="2" t="s">
        <v>10</v>
      </c>
      <c r="E3896" s="2" t="s">
        <v>11</v>
      </c>
      <c r="F3896" s="2" t="s">
        <v>18</v>
      </c>
      <c r="G3896" s="2" t="s">
        <v>19</v>
      </c>
      <c r="H3896" s="2" t="s">
        <v>4290</v>
      </c>
      <c r="I3896" s="2" t="s">
        <v>4298</v>
      </c>
    </row>
    <row r="3897" spans="1:9" ht="14.5" x14ac:dyDescent="0.35">
      <c r="A3897" s="2">
        <v>423167</v>
      </c>
      <c r="B3897" s="2" t="str">
        <f>"3328132510800003"</f>
        <v>3328132510800003</v>
      </c>
      <c r="C3897" s="2" t="s">
        <v>4506</v>
      </c>
      <c r="D3897" s="2" t="s">
        <v>17</v>
      </c>
      <c r="E3897" s="2" t="s">
        <v>11</v>
      </c>
      <c r="F3897" s="2" t="s">
        <v>18</v>
      </c>
      <c r="G3897" s="2" t="s">
        <v>268</v>
      </c>
      <c r="H3897" s="2" t="s">
        <v>269</v>
      </c>
      <c r="I3897" s="2" t="s">
        <v>1398</v>
      </c>
    </row>
    <row r="3898" spans="1:9" ht="14.5" x14ac:dyDescent="0.35">
      <c r="A3898" s="2">
        <v>1943785</v>
      </c>
      <c r="B3898" s="2" t="str">
        <f>"3328132601930002"</f>
        <v>3328132601930002</v>
      </c>
      <c r="C3898" s="2" t="s">
        <v>4507</v>
      </c>
      <c r="D3898" s="2" t="s">
        <v>10</v>
      </c>
      <c r="E3898" s="2" t="s">
        <v>11</v>
      </c>
      <c r="F3898" s="2" t="s">
        <v>18</v>
      </c>
      <c r="G3898" s="2" t="s">
        <v>19</v>
      </c>
      <c r="H3898" s="2" t="s">
        <v>4290</v>
      </c>
      <c r="I3898" s="2" t="s">
        <v>4329</v>
      </c>
    </row>
    <row r="3899" spans="1:9" ht="14.5" x14ac:dyDescent="0.35">
      <c r="A3899" s="2">
        <v>1673155</v>
      </c>
      <c r="B3899" s="2" t="str">
        <f>"3328132601930002"</f>
        <v>3328132601930002</v>
      </c>
      <c r="C3899" s="2" t="s">
        <v>4507</v>
      </c>
      <c r="D3899" s="2" t="s">
        <v>17</v>
      </c>
      <c r="E3899" s="2" t="s">
        <v>11</v>
      </c>
      <c r="F3899" s="2" t="s">
        <v>18</v>
      </c>
      <c r="G3899" s="2" t="s">
        <v>184</v>
      </c>
      <c r="H3899" s="2" t="s">
        <v>4508</v>
      </c>
      <c r="I3899" s="2" t="s">
        <v>4509</v>
      </c>
    </row>
    <row r="3900" spans="1:9" ht="14.5" x14ac:dyDescent="0.35">
      <c r="A3900" s="2">
        <v>1439759</v>
      </c>
      <c r="B3900" s="2" t="str">
        <f>"3328132603690002"</f>
        <v>3328132603690002</v>
      </c>
      <c r="C3900" s="2" t="s">
        <v>4510</v>
      </c>
      <c r="D3900" s="2" t="s">
        <v>10</v>
      </c>
      <c r="E3900" s="2" t="s">
        <v>11</v>
      </c>
      <c r="F3900" s="2" t="s">
        <v>18</v>
      </c>
      <c r="G3900" s="2" t="s">
        <v>19</v>
      </c>
      <c r="H3900" s="2" t="s">
        <v>4290</v>
      </c>
      <c r="I3900" s="2" t="s">
        <v>878</v>
      </c>
    </row>
    <row r="3901" spans="1:9" ht="14.5" x14ac:dyDescent="0.35">
      <c r="A3901" s="2">
        <v>1584972</v>
      </c>
      <c r="B3901" s="2" t="str">
        <f>"3328132603690002"</f>
        <v>3328132603690002</v>
      </c>
      <c r="C3901" s="2" t="s">
        <v>4510</v>
      </c>
      <c r="D3901" s="2" t="s">
        <v>17</v>
      </c>
      <c r="E3901" s="2" t="s">
        <v>11</v>
      </c>
      <c r="F3901" s="2" t="s">
        <v>18</v>
      </c>
      <c r="G3901" s="2" t="s">
        <v>264</v>
      </c>
      <c r="H3901" s="2" t="s">
        <v>881</v>
      </c>
      <c r="I3901" s="2" t="s">
        <v>881</v>
      </c>
    </row>
    <row r="3902" spans="1:9" ht="14.5" x14ac:dyDescent="0.35">
      <c r="A3902" s="2">
        <v>325856</v>
      </c>
      <c r="B3902" s="2" t="str">
        <f>"3328132705880001"</f>
        <v>3328132705880001</v>
      </c>
      <c r="C3902" s="2" t="s">
        <v>4511</v>
      </c>
      <c r="D3902" s="2" t="s">
        <v>10</v>
      </c>
      <c r="E3902" s="2" t="s">
        <v>11</v>
      </c>
      <c r="F3902" s="2" t="s">
        <v>18</v>
      </c>
      <c r="G3902" s="2" t="s">
        <v>268</v>
      </c>
      <c r="H3902" s="2" t="s">
        <v>269</v>
      </c>
      <c r="I3902" s="2" t="s">
        <v>4408</v>
      </c>
    </row>
    <row r="3903" spans="1:9" ht="14.5" x14ac:dyDescent="0.35">
      <c r="A3903" s="2">
        <v>2556995</v>
      </c>
      <c r="B3903" s="2" t="str">
        <f>"3328132705880001"</f>
        <v>3328132705880001</v>
      </c>
      <c r="C3903" s="2" t="s">
        <v>4512</v>
      </c>
      <c r="D3903" s="2" t="s">
        <v>17</v>
      </c>
      <c r="E3903" s="2" t="s">
        <v>11</v>
      </c>
      <c r="F3903" s="2" t="s">
        <v>18</v>
      </c>
      <c r="G3903" s="2" t="s">
        <v>19</v>
      </c>
      <c r="H3903" s="2" t="s">
        <v>4290</v>
      </c>
      <c r="I3903" s="2" t="s">
        <v>4513</v>
      </c>
    </row>
    <row r="3904" spans="1:9" ht="14.5" x14ac:dyDescent="0.35">
      <c r="A3904" s="2">
        <v>1940699</v>
      </c>
      <c r="B3904" s="2" t="str">
        <f>"3328132707020004"</f>
        <v>3328132707020004</v>
      </c>
      <c r="C3904" s="2" t="s">
        <v>4514</v>
      </c>
      <c r="D3904" s="2" t="s">
        <v>10</v>
      </c>
      <c r="E3904" s="2" t="s">
        <v>11</v>
      </c>
      <c r="F3904" s="2" t="s">
        <v>18</v>
      </c>
      <c r="G3904" s="2" t="s">
        <v>19</v>
      </c>
      <c r="H3904" s="2" t="s">
        <v>4290</v>
      </c>
      <c r="I3904" s="2" t="s">
        <v>4329</v>
      </c>
    </row>
    <row r="3905" spans="1:9" ht="14.5" x14ac:dyDescent="0.35">
      <c r="A3905" s="2">
        <v>1351199</v>
      </c>
      <c r="B3905" s="2" t="str">
        <f>"3328132707020004"</f>
        <v>3328132707020004</v>
      </c>
      <c r="C3905" s="2" t="s">
        <v>4515</v>
      </c>
      <c r="D3905" s="2" t="s">
        <v>10</v>
      </c>
      <c r="E3905" s="2" t="s">
        <v>57</v>
      </c>
      <c r="F3905" s="2" t="s">
        <v>303</v>
      </c>
      <c r="G3905" s="2" t="s">
        <v>608</v>
      </c>
      <c r="H3905" s="2" t="s">
        <v>609</v>
      </c>
      <c r="I3905" s="2" t="s">
        <v>610</v>
      </c>
    </row>
    <row r="3906" spans="1:9" ht="14.5" x14ac:dyDescent="0.35">
      <c r="A3906" s="2">
        <v>2110382</v>
      </c>
      <c r="B3906" s="2" t="str">
        <f>"3328132707990005"</f>
        <v>3328132707990005</v>
      </c>
      <c r="C3906" s="2" t="s">
        <v>4516</v>
      </c>
      <c r="D3906" s="2" t="s">
        <v>10</v>
      </c>
      <c r="E3906" s="2" t="s">
        <v>11</v>
      </c>
      <c r="F3906" s="2" t="s">
        <v>18</v>
      </c>
      <c r="G3906" s="2" t="s">
        <v>19</v>
      </c>
      <c r="H3906" s="2" t="s">
        <v>4290</v>
      </c>
      <c r="I3906" s="2" t="s">
        <v>4347</v>
      </c>
    </row>
    <row r="3907" spans="1:9" ht="14.5" x14ac:dyDescent="0.35">
      <c r="A3907" s="2">
        <v>421091</v>
      </c>
      <c r="B3907" s="2" t="str">
        <f>"3328132707990005"</f>
        <v>3328132707990005</v>
      </c>
      <c r="C3907" s="2" t="s">
        <v>4516</v>
      </c>
      <c r="D3907" s="2" t="s">
        <v>17</v>
      </c>
      <c r="E3907" s="2" t="s">
        <v>11</v>
      </c>
      <c r="F3907" s="2" t="s">
        <v>18</v>
      </c>
      <c r="G3907" s="2" t="s">
        <v>268</v>
      </c>
      <c r="H3907" s="2" t="s">
        <v>448</v>
      </c>
      <c r="I3907" s="2" t="s">
        <v>448</v>
      </c>
    </row>
    <row r="3908" spans="1:9" ht="14.5" x14ac:dyDescent="0.35">
      <c r="A3908" s="2">
        <v>1893895</v>
      </c>
      <c r="B3908" s="2" t="str">
        <f>"3328132708730005"</f>
        <v>3328132708730005</v>
      </c>
      <c r="C3908" s="2" t="s">
        <v>4517</v>
      </c>
      <c r="D3908" s="2" t="s">
        <v>10</v>
      </c>
      <c r="E3908" s="2" t="s">
        <v>11</v>
      </c>
      <c r="F3908" s="2" t="s">
        <v>18</v>
      </c>
      <c r="G3908" s="2" t="s">
        <v>19</v>
      </c>
      <c r="H3908" s="2" t="s">
        <v>4290</v>
      </c>
      <c r="I3908" s="2" t="s">
        <v>4315</v>
      </c>
    </row>
    <row r="3909" spans="1:9" ht="14.5" x14ac:dyDescent="0.35">
      <c r="A3909" s="2">
        <v>423264</v>
      </c>
      <c r="B3909" s="2" t="str">
        <f>"3328132708730005"</f>
        <v>3328132708730005</v>
      </c>
      <c r="C3909" s="2" t="s">
        <v>4518</v>
      </c>
      <c r="D3909" s="2" t="s">
        <v>17</v>
      </c>
      <c r="E3909" s="2" t="s">
        <v>11</v>
      </c>
      <c r="F3909" s="2" t="s">
        <v>18</v>
      </c>
      <c r="G3909" s="2" t="s">
        <v>268</v>
      </c>
      <c r="H3909" s="2" t="s">
        <v>269</v>
      </c>
      <c r="I3909" s="2" t="s">
        <v>1662</v>
      </c>
    </row>
    <row r="3910" spans="1:9" ht="14.5" x14ac:dyDescent="0.35">
      <c r="A3910" s="2">
        <v>2108789</v>
      </c>
      <c r="B3910" s="2" t="str">
        <f>"3328132708890005"</f>
        <v>3328132708890005</v>
      </c>
      <c r="C3910" s="2" t="s">
        <v>4519</v>
      </c>
      <c r="D3910" s="2" t="s">
        <v>10</v>
      </c>
      <c r="E3910" s="2" t="s">
        <v>11</v>
      </c>
      <c r="F3910" s="2" t="s">
        <v>18</v>
      </c>
      <c r="G3910" s="2" t="s">
        <v>19</v>
      </c>
      <c r="H3910" s="2" t="s">
        <v>4290</v>
      </c>
      <c r="I3910" s="2" t="s">
        <v>4347</v>
      </c>
    </row>
    <row r="3911" spans="1:9" ht="14.5" x14ac:dyDescent="0.35">
      <c r="A3911" s="2">
        <v>497428</v>
      </c>
      <c r="B3911" s="2" t="str">
        <f>"3328132708890005"</f>
        <v>3328132708890005</v>
      </c>
      <c r="C3911" s="2" t="s">
        <v>4520</v>
      </c>
      <c r="D3911" s="2" t="s">
        <v>17</v>
      </c>
      <c r="E3911" s="2" t="s">
        <v>57</v>
      </c>
      <c r="F3911" s="2" t="s">
        <v>18</v>
      </c>
      <c r="G3911" s="2" t="s">
        <v>2753</v>
      </c>
      <c r="H3911" s="2" t="s">
        <v>4107</v>
      </c>
      <c r="I3911" s="2" t="s">
        <v>4108</v>
      </c>
    </row>
    <row r="3912" spans="1:9" ht="14.5" x14ac:dyDescent="0.35">
      <c r="A3912" s="2">
        <v>1910045</v>
      </c>
      <c r="B3912" s="2" t="str">
        <f>"3328132801740005"</f>
        <v>3328132801740005</v>
      </c>
      <c r="C3912" s="2" t="s">
        <v>4521</v>
      </c>
      <c r="D3912" s="2" t="s">
        <v>10</v>
      </c>
      <c r="E3912" s="2" t="s">
        <v>11</v>
      </c>
      <c r="F3912" s="2" t="s">
        <v>18</v>
      </c>
      <c r="G3912" s="2" t="s">
        <v>19</v>
      </c>
      <c r="H3912" s="2" t="s">
        <v>4290</v>
      </c>
      <c r="I3912" s="2" t="s">
        <v>4475</v>
      </c>
    </row>
    <row r="3913" spans="1:9" ht="14.5" x14ac:dyDescent="0.35">
      <c r="A3913" s="2">
        <v>2642363</v>
      </c>
      <c r="B3913" s="2" t="str">
        <f>"3328132801740005"</f>
        <v>3328132801740005</v>
      </c>
      <c r="C3913" s="2" t="s">
        <v>4521</v>
      </c>
      <c r="D3913" s="2" t="s">
        <v>17</v>
      </c>
      <c r="E3913" s="2" t="s">
        <v>11</v>
      </c>
      <c r="F3913" s="2" t="s">
        <v>18</v>
      </c>
      <c r="G3913" s="2" t="s">
        <v>199</v>
      </c>
      <c r="H3913" s="2" t="s">
        <v>595</v>
      </c>
      <c r="I3913" s="2" t="s">
        <v>4522</v>
      </c>
    </row>
    <row r="3914" spans="1:9" ht="14.5" x14ac:dyDescent="0.35">
      <c r="A3914" s="2">
        <v>1439758</v>
      </c>
      <c r="B3914" s="2" t="str">
        <f>"3328132806020005"</f>
        <v>3328132806020005</v>
      </c>
      <c r="C3914" s="2" t="s">
        <v>4523</v>
      </c>
      <c r="D3914" s="2" t="s">
        <v>10</v>
      </c>
      <c r="E3914" s="2" t="s">
        <v>11</v>
      </c>
      <c r="F3914" s="2" t="s">
        <v>18</v>
      </c>
      <c r="G3914" s="2" t="s">
        <v>19</v>
      </c>
      <c r="H3914" s="2" t="s">
        <v>4290</v>
      </c>
      <c r="I3914" s="2" t="s">
        <v>878</v>
      </c>
    </row>
    <row r="3915" spans="1:9" ht="14.5" x14ac:dyDescent="0.35">
      <c r="A3915" s="2">
        <v>1584930</v>
      </c>
      <c r="B3915" s="2" t="str">
        <f>"3328132806020005"</f>
        <v>3328132806020005</v>
      </c>
      <c r="C3915" s="2" t="s">
        <v>4524</v>
      </c>
      <c r="D3915" s="2" t="s">
        <v>17</v>
      </c>
      <c r="E3915" s="2" t="s">
        <v>11</v>
      </c>
      <c r="F3915" s="2" t="s">
        <v>18</v>
      </c>
      <c r="G3915" s="2" t="s">
        <v>264</v>
      </c>
      <c r="H3915" s="2" t="s">
        <v>881</v>
      </c>
      <c r="I3915" s="2" t="s">
        <v>881</v>
      </c>
    </row>
    <row r="3916" spans="1:9" ht="14.5" x14ac:dyDescent="0.35">
      <c r="A3916" s="2">
        <v>1745495</v>
      </c>
      <c r="B3916" s="2" t="str">
        <f>"3328132811030006"</f>
        <v>3328132811030006</v>
      </c>
      <c r="C3916" s="2" t="s">
        <v>4525</v>
      </c>
      <c r="D3916" s="2" t="s">
        <v>10</v>
      </c>
      <c r="E3916" s="2" t="s">
        <v>11</v>
      </c>
      <c r="F3916" s="2" t="s">
        <v>18</v>
      </c>
      <c r="G3916" s="2" t="s">
        <v>19</v>
      </c>
      <c r="H3916" s="2" t="s">
        <v>4290</v>
      </c>
      <c r="I3916" s="2" t="s">
        <v>4426</v>
      </c>
    </row>
    <row r="3917" spans="1:9" ht="14.5" x14ac:dyDescent="0.35">
      <c r="A3917" s="2">
        <v>1351198</v>
      </c>
      <c r="B3917" s="2" t="str">
        <f>"3328132811030006"</f>
        <v>3328132811030006</v>
      </c>
      <c r="C3917" s="2" t="s">
        <v>4525</v>
      </c>
      <c r="D3917" s="2" t="s">
        <v>10</v>
      </c>
      <c r="E3917" s="2" t="s">
        <v>57</v>
      </c>
      <c r="F3917" s="2" t="s">
        <v>303</v>
      </c>
      <c r="G3917" s="2" t="s">
        <v>608</v>
      </c>
      <c r="H3917" s="2" t="s">
        <v>609</v>
      </c>
      <c r="I3917" s="2" t="s">
        <v>610</v>
      </c>
    </row>
    <row r="3918" spans="1:9" ht="14.5" x14ac:dyDescent="0.35">
      <c r="A3918" s="2">
        <v>2109598</v>
      </c>
      <c r="B3918" s="2" t="str">
        <f>"3328133005960006"</f>
        <v>3328133005960006</v>
      </c>
      <c r="C3918" s="2" t="s">
        <v>4526</v>
      </c>
      <c r="D3918" s="2" t="s">
        <v>10</v>
      </c>
      <c r="E3918" s="2" t="s">
        <v>11</v>
      </c>
      <c r="F3918" s="2" t="s">
        <v>18</v>
      </c>
      <c r="G3918" s="2" t="s">
        <v>19</v>
      </c>
      <c r="H3918" s="2" t="s">
        <v>4290</v>
      </c>
      <c r="I3918" s="2" t="s">
        <v>4347</v>
      </c>
    </row>
    <row r="3919" spans="1:9" ht="14.5" x14ac:dyDescent="0.35">
      <c r="A3919" s="2">
        <v>1156540</v>
      </c>
      <c r="B3919" s="2" t="str">
        <f>"3328133005960006"</f>
        <v>3328133005960006</v>
      </c>
      <c r="C3919" s="2" t="s">
        <v>4527</v>
      </c>
      <c r="D3919" s="2" t="s">
        <v>17</v>
      </c>
      <c r="E3919" s="2" t="s">
        <v>11</v>
      </c>
      <c r="F3919" s="2" t="s">
        <v>18</v>
      </c>
      <c r="G3919" s="2" t="s">
        <v>180</v>
      </c>
      <c r="H3919" s="2" t="s">
        <v>3958</v>
      </c>
      <c r="I3919" s="2" t="s">
        <v>4528</v>
      </c>
    </row>
    <row r="3920" spans="1:9" ht="14.5" x14ac:dyDescent="0.35">
      <c r="A3920" s="2">
        <v>1744396</v>
      </c>
      <c r="B3920" s="2" t="str">
        <f>"3328133006830005"</f>
        <v>3328133006830005</v>
      </c>
      <c r="C3920" s="2" t="s">
        <v>2757</v>
      </c>
      <c r="D3920" s="2" t="s">
        <v>10</v>
      </c>
      <c r="E3920" s="2" t="s">
        <v>11</v>
      </c>
      <c r="F3920" s="2" t="s">
        <v>18</v>
      </c>
      <c r="G3920" s="2" t="s">
        <v>19</v>
      </c>
      <c r="H3920" s="2" t="s">
        <v>4290</v>
      </c>
      <c r="I3920" s="2" t="s">
        <v>4426</v>
      </c>
    </row>
    <row r="3921" spans="1:9" ht="14.5" x14ac:dyDescent="0.35">
      <c r="A3921" s="2">
        <v>851016</v>
      </c>
      <c r="B3921" s="2" t="str">
        <f>"3328133006830005"</f>
        <v>3328133006830005</v>
      </c>
      <c r="C3921" s="2" t="s">
        <v>2757</v>
      </c>
      <c r="D3921" s="2" t="s">
        <v>17</v>
      </c>
      <c r="E3921" s="2" t="s">
        <v>11</v>
      </c>
      <c r="F3921" s="2" t="s">
        <v>50</v>
      </c>
      <c r="G3921" s="2" t="s">
        <v>280</v>
      </c>
      <c r="H3921" s="2" t="s">
        <v>440</v>
      </c>
      <c r="I3921" s="2" t="s">
        <v>440</v>
      </c>
    </row>
    <row r="3922" spans="1:9" ht="14.5" x14ac:dyDescent="0.35">
      <c r="A3922" s="2">
        <v>2645149</v>
      </c>
      <c r="B3922" s="2" t="str">
        <f>"3328133101890004"</f>
        <v>3328133101890004</v>
      </c>
      <c r="C3922" s="2" t="s">
        <v>4529</v>
      </c>
      <c r="D3922" s="2" t="s">
        <v>17</v>
      </c>
      <c r="E3922" s="2" t="s">
        <v>11</v>
      </c>
      <c r="F3922" s="2" t="s">
        <v>18</v>
      </c>
      <c r="G3922" s="2" t="s">
        <v>199</v>
      </c>
      <c r="H3922" s="2" t="s">
        <v>208</v>
      </c>
      <c r="I3922" s="2" t="s">
        <v>209</v>
      </c>
    </row>
    <row r="3923" spans="1:9" ht="14.5" x14ac:dyDescent="0.35">
      <c r="A3923" s="2">
        <v>1844237</v>
      </c>
      <c r="B3923" s="2" t="str">
        <f>"3328133101890004"</f>
        <v>3328133101890004</v>
      </c>
      <c r="C3923" s="2" t="s">
        <v>4529</v>
      </c>
      <c r="D3923" s="2" t="s">
        <v>189</v>
      </c>
      <c r="E3923" s="2" t="s">
        <v>11</v>
      </c>
      <c r="F3923" s="2" t="s">
        <v>18</v>
      </c>
      <c r="G3923" s="2" t="s">
        <v>19</v>
      </c>
      <c r="H3923" s="2" t="s">
        <v>4290</v>
      </c>
      <c r="I3923" s="2" t="s">
        <v>4318</v>
      </c>
    </row>
    <row r="3924" spans="1:9" ht="14.5" x14ac:dyDescent="0.35">
      <c r="A3924" s="2">
        <v>1843701</v>
      </c>
      <c r="B3924" s="2" t="str">
        <f>"3328133108930004"</f>
        <v>3328133108930004</v>
      </c>
      <c r="C3924" s="2" t="s">
        <v>4530</v>
      </c>
      <c r="D3924" s="2" t="s">
        <v>10</v>
      </c>
      <c r="E3924" s="2" t="s">
        <v>11</v>
      </c>
      <c r="F3924" s="2" t="s">
        <v>18</v>
      </c>
      <c r="G3924" s="2" t="s">
        <v>19</v>
      </c>
      <c r="H3924" s="2" t="s">
        <v>4290</v>
      </c>
      <c r="I3924" s="2" t="s">
        <v>4318</v>
      </c>
    </row>
    <row r="3925" spans="1:9" ht="14.5" x14ac:dyDescent="0.35">
      <c r="A3925" s="2">
        <v>422269</v>
      </c>
      <c r="B3925" s="2" t="str">
        <f>"3328133108930004"</f>
        <v>3328133108930004</v>
      </c>
      <c r="C3925" s="2" t="s">
        <v>4531</v>
      </c>
      <c r="D3925" s="2" t="s">
        <v>17</v>
      </c>
      <c r="E3925" s="2" t="s">
        <v>11</v>
      </c>
      <c r="F3925" s="2" t="s">
        <v>18</v>
      </c>
      <c r="G3925" s="2" t="s">
        <v>268</v>
      </c>
      <c r="H3925" s="2" t="s">
        <v>269</v>
      </c>
      <c r="I3925" s="2" t="s">
        <v>996</v>
      </c>
    </row>
    <row r="3926" spans="1:9" ht="14.5" x14ac:dyDescent="0.35">
      <c r="A3926" s="2">
        <v>2409275</v>
      </c>
      <c r="B3926" s="2" t="str">
        <f>"3328133112750041"</f>
        <v>3328133112750041</v>
      </c>
      <c r="C3926" s="2" t="s">
        <v>4532</v>
      </c>
      <c r="D3926" s="2" t="s">
        <v>10</v>
      </c>
      <c r="E3926" s="2" t="s">
        <v>11</v>
      </c>
      <c r="F3926" s="2" t="s">
        <v>18</v>
      </c>
      <c r="G3926" s="2" t="s">
        <v>19</v>
      </c>
      <c r="H3926" s="2" t="s">
        <v>4290</v>
      </c>
      <c r="I3926" s="2" t="s">
        <v>1381</v>
      </c>
    </row>
    <row r="3927" spans="1:9" ht="14.5" x14ac:dyDescent="0.35">
      <c r="A3927" s="2">
        <v>322693</v>
      </c>
      <c r="B3927" s="2" t="str">
        <f>"3328133112750041"</f>
        <v>3328133112750041</v>
      </c>
      <c r="C3927" s="2" t="s">
        <v>4532</v>
      </c>
      <c r="D3927" s="2" t="s">
        <v>17</v>
      </c>
      <c r="E3927" s="2" t="s">
        <v>11</v>
      </c>
      <c r="F3927" s="2" t="s">
        <v>18</v>
      </c>
      <c r="G3927" s="2" t="s">
        <v>4533</v>
      </c>
      <c r="H3927" s="2" t="s">
        <v>4534</v>
      </c>
      <c r="I3927" s="2" t="s">
        <v>98</v>
      </c>
    </row>
    <row r="3928" spans="1:9" ht="14.5" x14ac:dyDescent="0.35">
      <c r="A3928" s="2">
        <v>1900152</v>
      </c>
      <c r="B3928" s="2" t="str">
        <f>"3328134110840007"</f>
        <v>3328134110840007</v>
      </c>
      <c r="C3928" s="2" t="s">
        <v>4535</v>
      </c>
      <c r="D3928" s="2" t="s">
        <v>10</v>
      </c>
      <c r="E3928" s="2" t="s">
        <v>11</v>
      </c>
      <c r="F3928" s="2" t="s">
        <v>18</v>
      </c>
      <c r="G3928" s="2" t="s">
        <v>19</v>
      </c>
      <c r="H3928" s="2" t="s">
        <v>4290</v>
      </c>
      <c r="I3928" s="2" t="s">
        <v>4358</v>
      </c>
    </row>
    <row r="3929" spans="1:9" ht="14.5" x14ac:dyDescent="0.35">
      <c r="A3929" s="2">
        <v>1858480</v>
      </c>
      <c r="B3929" s="2" t="str">
        <f>"3328134110840007"</f>
        <v>3328134110840007</v>
      </c>
      <c r="C3929" s="2" t="s">
        <v>4536</v>
      </c>
      <c r="D3929" s="2" t="s">
        <v>17</v>
      </c>
      <c r="E3929" s="2" t="s">
        <v>11</v>
      </c>
      <c r="F3929" s="2" t="s">
        <v>18</v>
      </c>
      <c r="G3929" s="2" t="s">
        <v>733</v>
      </c>
      <c r="H3929" s="2" t="s">
        <v>1127</v>
      </c>
      <c r="I3929" s="2" t="s">
        <v>4537</v>
      </c>
    </row>
    <row r="3930" spans="1:9" ht="14.5" x14ac:dyDescent="0.35">
      <c r="A3930" s="2">
        <v>1476028</v>
      </c>
      <c r="B3930" s="2" t="str">
        <f>"3328134201900005"</f>
        <v>3328134201900005</v>
      </c>
      <c r="C3930" s="2" t="s">
        <v>4538</v>
      </c>
      <c r="D3930" s="2" t="s">
        <v>10</v>
      </c>
      <c r="E3930" s="2" t="s">
        <v>11</v>
      </c>
      <c r="F3930" s="2" t="s">
        <v>18</v>
      </c>
      <c r="G3930" s="2" t="s">
        <v>19</v>
      </c>
      <c r="H3930" s="2" t="s">
        <v>4290</v>
      </c>
      <c r="I3930" s="2" t="s">
        <v>4436</v>
      </c>
    </row>
    <row r="3931" spans="1:9" ht="14.5" x14ac:dyDescent="0.35">
      <c r="A3931" s="2">
        <v>1924399</v>
      </c>
      <c r="B3931" s="2" t="str">
        <f>"3328134201900005"</f>
        <v>3328134201900005</v>
      </c>
      <c r="C3931" s="2" t="s">
        <v>4538</v>
      </c>
      <c r="D3931" s="2" t="s">
        <v>17</v>
      </c>
      <c r="E3931" s="2" t="s">
        <v>11</v>
      </c>
      <c r="F3931" s="2" t="s">
        <v>91</v>
      </c>
      <c r="G3931" s="2" t="s">
        <v>320</v>
      </c>
      <c r="H3931" s="2" t="s">
        <v>4539</v>
      </c>
      <c r="I3931" s="2" t="s">
        <v>4540</v>
      </c>
    </row>
    <row r="3932" spans="1:9" ht="14.5" x14ac:dyDescent="0.35">
      <c r="A3932" s="2">
        <v>353617</v>
      </c>
      <c r="B3932" s="2" t="str">
        <f>"3328134302980003"</f>
        <v>3328134302980003</v>
      </c>
      <c r="C3932" s="2" t="s">
        <v>4541</v>
      </c>
      <c r="D3932" s="2" t="s">
        <v>10</v>
      </c>
      <c r="E3932" s="2" t="s">
        <v>11</v>
      </c>
      <c r="F3932" s="2" t="s">
        <v>18</v>
      </c>
      <c r="G3932" s="2" t="s">
        <v>268</v>
      </c>
      <c r="H3932" s="2" t="s">
        <v>269</v>
      </c>
      <c r="I3932" s="2" t="s">
        <v>270</v>
      </c>
    </row>
    <row r="3933" spans="1:9" ht="14.5" x14ac:dyDescent="0.35">
      <c r="A3933" s="2">
        <v>2556714</v>
      </c>
      <c r="B3933" s="2" t="str">
        <f>"3328134302980003"</f>
        <v>3328134302980003</v>
      </c>
      <c r="C3933" s="2" t="s">
        <v>4542</v>
      </c>
      <c r="D3933" s="2" t="s">
        <v>17</v>
      </c>
      <c r="E3933" s="2" t="s">
        <v>11</v>
      </c>
      <c r="F3933" s="2" t="s">
        <v>18</v>
      </c>
      <c r="G3933" s="2" t="s">
        <v>19</v>
      </c>
      <c r="H3933" s="2" t="s">
        <v>4290</v>
      </c>
      <c r="I3933" s="2" t="s">
        <v>4318</v>
      </c>
    </row>
    <row r="3934" spans="1:9" ht="14.5" x14ac:dyDescent="0.35">
      <c r="A3934" s="2">
        <v>1843117</v>
      </c>
      <c r="B3934" s="2" t="str">
        <f>"3328134401030002"</f>
        <v>3328134401030002</v>
      </c>
      <c r="C3934" s="2" t="s">
        <v>4543</v>
      </c>
      <c r="D3934" s="2" t="s">
        <v>189</v>
      </c>
      <c r="E3934" s="2" t="s">
        <v>11</v>
      </c>
      <c r="F3934" s="2" t="s">
        <v>18</v>
      </c>
      <c r="G3934" s="2" t="s">
        <v>19</v>
      </c>
      <c r="H3934" s="2" t="s">
        <v>4290</v>
      </c>
      <c r="I3934" s="2" t="s">
        <v>4318</v>
      </c>
    </row>
    <row r="3935" spans="1:9" ht="14.5" x14ac:dyDescent="0.35">
      <c r="A3935" s="2">
        <v>1637687</v>
      </c>
      <c r="B3935" s="2" t="str">
        <f>"3328134401030002"</f>
        <v>3328134401030002</v>
      </c>
      <c r="C3935" s="2" t="s">
        <v>4543</v>
      </c>
      <c r="D3935" s="2" t="s">
        <v>17</v>
      </c>
      <c r="E3935" s="2" t="s">
        <v>11</v>
      </c>
      <c r="F3935" s="2" t="s">
        <v>18</v>
      </c>
      <c r="G3935" s="2" t="s">
        <v>264</v>
      </c>
      <c r="H3935" s="2" t="s">
        <v>264</v>
      </c>
      <c r="I3935" s="2" t="s">
        <v>1637</v>
      </c>
    </row>
    <row r="3936" spans="1:9" ht="14.5" x14ac:dyDescent="0.35">
      <c r="A3936" s="2">
        <v>366866</v>
      </c>
      <c r="B3936" s="2" t="str">
        <f>"3328134402060003"</f>
        <v>3328134402060003</v>
      </c>
      <c r="C3936" s="2" t="s">
        <v>4544</v>
      </c>
      <c r="D3936" s="2" t="s">
        <v>10</v>
      </c>
      <c r="E3936" s="2" t="s">
        <v>11</v>
      </c>
      <c r="F3936" s="2" t="s">
        <v>18</v>
      </c>
      <c r="G3936" s="2" t="s">
        <v>268</v>
      </c>
      <c r="H3936" s="2" t="s">
        <v>269</v>
      </c>
      <c r="I3936" s="2" t="s">
        <v>996</v>
      </c>
    </row>
    <row r="3937" spans="1:9" ht="14.5" x14ac:dyDescent="0.35">
      <c r="A3937" s="2">
        <v>2557274</v>
      </c>
      <c r="B3937" s="2" t="str">
        <f>"3328134402060003"</f>
        <v>3328134402060003</v>
      </c>
      <c r="C3937" s="2" t="s">
        <v>4545</v>
      </c>
      <c r="D3937" s="2" t="s">
        <v>17</v>
      </c>
      <c r="E3937" s="2" t="s">
        <v>11</v>
      </c>
      <c r="F3937" s="2" t="s">
        <v>18</v>
      </c>
      <c r="G3937" s="2" t="s">
        <v>19</v>
      </c>
      <c r="H3937" s="2" t="s">
        <v>4290</v>
      </c>
      <c r="I3937" s="2" t="s">
        <v>4436</v>
      </c>
    </row>
    <row r="3938" spans="1:9" ht="14.5" x14ac:dyDescent="0.35">
      <c r="A3938" s="2">
        <v>732845</v>
      </c>
      <c r="B3938" s="2" t="str">
        <f>"3328134504890005"</f>
        <v>3328134504890005</v>
      </c>
      <c r="C3938" s="2" t="s">
        <v>4546</v>
      </c>
      <c r="D3938" s="2" t="s">
        <v>10</v>
      </c>
      <c r="E3938" s="2" t="s">
        <v>11</v>
      </c>
      <c r="F3938" s="2" t="s">
        <v>50</v>
      </c>
      <c r="G3938" s="2" t="s">
        <v>86</v>
      </c>
      <c r="H3938" s="2" t="s">
        <v>530</v>
      </c>
      <c r="I3938" s="2" t="s">
        <v>534</v>
      </c>
    </row>
    <row r="3939" spans="1:9" ht="14.5" x14ac:dyDescent="0.35">
      <c r="A3939" s="2">
        <v>2556192</v>
      </c>
      <c r="B3939" s="2" t="str">
        <f>"3328134504890005"</f>
        <v>3328134504890005</v>
      </c>
      <c r="C3939" s="2" t="s">
        <v>4546</v>
      </c>
      <c r="D3939" s="2" t="s">
        <v>17</v>
      </c>
      <c r="E3939" s="2" t="s">
        <v>11</v>
      </c>
      <c r="F3939" s="2" t="s">
        <v>18</v>
      </c>
      <c r="G3939" s="2" t="s">
        <v>19</v>
      </c>
      <c r="H3939" s="2" t="s">
        <v>4290</v>
      </c>
      <c r="I3939" s="2" t="s">
        <v>344</v>
      </c>
    </row>
    <row r="3940" spans="1:9" ht="14.5" x14ac:dyDescent="0.35">
      <c r="A3940" s="2">
        <v>1439760</v>
      </c>
      <c r="B3940" s="2" t="str">
        <f>"3328134510970002"</f>
        <v>3328134510970002</v>
      </c>
      <c r="C3940" s="2" t="s">
        <v>4547</v>
      </c>
      <c r="D3940" s="2" t="s">
        <v>10</v>
      </c>
      <c r="E3940" s="2" t="s">
        <v>11</v>
      </c>
      <c r="F3940" s="2" t="s">
        <v>18</v>
      </c>
      <c r="G3940" s="2" t="s">
        <v>19</v>
      </c>
      <c r="H3940" s="2" t="s">
        <v>4290</v>
      </c>
      <c r="I3940" s="2" t="s">
        <v>878</v>
      </c>
    </row>
    <row r="3941" spans="1:9" ht="14.5" x14ac:dyDescent="0.35">
      <c r="A3941" s="2">
        <v>1584932</v>
      </c>
      <c r="B3941" s="2" t="str">
        <f>"3328134510970002"</f>
        <v>3328134510970002</v>
      </c>
      <c r="C3941" s="2" t="s">
        <v>4547</v>
      </c>
      <c r="D3941" s="2" t="s">
        <v>17</v>
      </c>
      <c r="E3941" s="2" t="s">
        <v>11</v>
      </c>
      <c r="F3941" s="2" t="s">
        <v>18</v>
      </c>
      <c r="G3941" s="2" t="s">
        <v>264</v>
      </c>
      <c r="H3941" s="2" t="s">
        <v>881</v>
      </c>
      <c r="I3941" s="2" t="s">
        <v>881</v>
      </c>
    </row>
    <row r="3942" spans="1:9" ht="14.5" x14ac:dyDescent="0.35">
      <c r="A3942" s="2">
        <v>1888230</v>
      </c>
      <c r="B3942" s="2" t="str">
        <f>"3328134605900003"</f>
        <v>3328134605900003</v>
      </c>
      <c r="C3942" s="2" t="s">
        <v>2973</v>
      </c>
      <c r="D3942" s="2" t="s">
        <v>10</v>
      </c>
      <c r="E3942" s="2" t="s">
        <v>11</v>
      </c>
      <c r="F3942" s="2" t="s">
        <v>18</v>
      </c>
      <c r="G3942" s="2" t="s">
        <v>19</v>
      </c>
      <c r="H3942" s="2" t="s">
        <v>4290</v>
      </c>
      <c r="I3942" s="2" t="s">
        <v>4315</v>
      </c>
    </row>
    <row r="3943" spans="1:9" ht="14.5" x14ac:dyDescent="0.35">
      <c r="A3943" s="2">
        <v>1797002</v>
      </c>
      <c r="B3943" s="2" t="str">
        <f>"3328134605900003"</f>
        <v>3328134605900003</v>
      </c>
      <c r="C3943" s="2" t="s">
        <v>2973</v>
      </c>
      <c r="D3943" s="2" t="s">
        <v>17</v>
      </c>
      <c r="E3943" s="2" t="s">
        <v>11</v>
      </c>
      <c r="F3943" s="2" t="s">
        <v>50</v>
      </c>
      <c r="G3943" s="2" t="s">
        <v>72</v>
      </c>
      <c r="H3943" s="2" t="s">
        <v>803</v>
      </c>
      <c r="I3943" s="2" t="s">
        <v>3030</v>
      </c>
    </row>
    <row r="3944" spans="1:9" ht="14.5" x14ac:dyDescent="0.35">
      <c r="A3944" s="2">
        <v>2257137</v>
      </c>
      <c r="B3944" s="2" t="str">
        <f>"3328134606610003"</f>
        <v>3328134606610003</v>
      </c>
      <c r="C3944" s="2" t="s">
        <v>4548</v>
      </c>
      <c r="D3944" s="2" t="s">
        <v>10</v>
      </c>
      <c r="E3944" s="2" t="s">
        <v>11</v>
      </c>
      <c r="F3944" s="2" t="s">
        <v>67</v>
      </c>
      <c r="G3944" s="2" t="s">
        <v>512</v>
      </c>
      <c r="H3944" s="2" t="s">
        <v>330</v>
      </c>
      <c r="I3944" s="2" t="s">
        <v>4402</v>
      </c>
    </row>
    <row r="3945" spans="1:9" ht="14.5" x14ac:dyDescent="0.35">
      <c r="A3945" s="2">
        <v>2556730</v>
      </c>
      <c r="B3945" s="2" t="str">
        <f>"3328134606610003"</f>
        <v>3328134606610003</v>
      </c>
      <c r="C3945" s="2" t="s">
        <v>4549</v>
      </c>
      <c r="D3945" s="2" t="s">
        <v>17</v>
      </c>
      <c r="E3945" s="2" t="s">
        <v>11</v>
      </c>
      <c r="F3945" s="2" t="s">
        <v>18</v>
      </c>
      <c r="G3945" s="2" t="s">
        <v>19</v>
      </c>
      <c r="H3945" s="2" t="s">
        <v>4290</v>
      </c>
      <c r="I3945" s="2" t="s">
        <v>4290</v>
      </c>
    </row>
    <row r="3946" spans="1:9" ht="14.5" x14ac:dyDescent="0.35">
      <c r="A3946" s="2">
        <v>296408</v>
      </c>
      <c r="B3946" s="2" t="str">
        <f>"3328134702010001"</f>
        <v>3328134702010001</v>
      </c>
      <c r="C3946" s="2" t="s">
        <v>4550</v>
      </c>
      <c r="D3946" s="2" t="s">
        <v>10</v>
      </c>
      <c r="E3946" s="2" t="s">
        <v>11</v>
      </c>
      <c r="F3946" s="2" t="s">
        <v>18</v>
      </c>
      <c r="G3946" s="2" t="s">
        <v>268</v>
      </c>
      <c r="H3946" s="2" t="s">
        <v>277</v>
      </c>
      <c r="I3946" s="2" t="s">
        <v>2762</v>
      </c>
    </row>
    <row r="3947" spans="1:9" ht="14.5" x14ac:dyDescent="0.35">
      <c r="A3947" s="2">
        <v>2557108</v>
      </c>
      <c r="B3947" s="2" t="str">
        <f>"3328134702010001"</f>
        <v>3328134702010001</v>
      </c>
      <c r="C3947" s="2" t="s">
        <v>4550</v>
      </c>
      <c r="D3947" s="2" t="s">
        <v>17</v>
      </c>
      <c r="E3947" s="2" t="s">
        <v>11</v>
      </c>
      <c r="F3947" s="2" t="s">
        <v>18</v>
      </c>
      <c r="G3947" s="2" t="s">
        <v>19</v>
      </c>
      <c r="H3947" s="2" t="s">
        <v>4290</v>
      </c>
      <c r="I3947" s="2" t="s">
        <v>4347</v>
      </c>
    </row>
    <row r="3948" spans="1:9" ht="14.5" x14ac:dyDescent="0.35">
      <c r="A3948" s="2">
        <v>2150529</v>
      </c>
      <c r="B3948" s="2" t="str">
        <f>"3328134705010003"</f>
        <v>3328134705010003</v>
      </c>
      <c r="C3948" s="2" t="s">
        <v>4551</v>
      </c>
      <c r="D3948" s="2" t="s">
        <v>10</v>
      </c>
      <c r="E3948" s="2" t="s">
        <v>11</v>
      </c>
      <c r="F3948" s="2" t="s">
        <v>18</v>
      </c>
      <c r="G3948" s="2" t="s">
        <v>19</v>
      </c>
      <c r="H3948" s="2" t="s">
        <v>4290</v>
      </c>
      <c r="I3948" s="2" t="s">
        <v>4290</v>
      </c>
    </row>
    <row r="3949" spans="1:9" ht="14.5" x14ac:dyDescent="0.35">
      <c r="A3949" s="2">
        <v>421181</v>
      </c>
      <c r="B3949" s="2" t="str">
        <f>"3328134705010003"</f>
        <v>3328134705010003</v>
      </c>
      <c r="C3949" s="2" t="s">
        <v>4551</v>
      </c>
      <c r="D3949" s="2" t="s">
        <v>17</v>
      </c>
      <c r="E3949" s="2" t="s">
        <v>11</v>
      </c>
      <c r="F3949" s="2" t="s">
        <v>18</v>
      </c>
      <c r="G3949" s="2" t="s">
        <v>268</v>
      </c>
      <c r="H3949" s="2" t="s">
        <v>448</v>
      </c>
      <c r="I3949" s="2" t="s">
        <v>1508</v>
      </c>
    </row>
    <row r="3950" spans="1:9" ht="14.5" x14ac:dyDescent="0.35">
      <c r="A3950" s="2">
        <v>257671</v>
      </c>
      <c r="B3950" s="2" t="str">
        <f>"3328134706030003"</f>
        <v>3328134706030003</v>
      </c>
      <c r="C3950" s="2" t="s">
        <v>4552</v>
      </c>
      <c r="D3950" s="2" t="s">
        <v>10</v>
      </c>
      <c r="E3950" s="2" t="s">
        <v>11</v>
      </c>
      <c r="F3950" s="2" t="s">
        <v>18</v>
      </c>
      <c r="G3950" s="2" t="s">
        <v>268</v>
      </c>
      <c r="H3950" s="2" t="s">
        <v>371</v>
      </c>
      <c r="I3950" s="2" t="s">
        <v>497</v>
      </c>
    </row>
    <row r="3951" spans="1:9" ht="14.5" x14ac:dyDescent="0.35">
      <c r="A3951" s="2">
        <v>2556585</v>
      </c>
      <c r="B3951" s="2" t="str">
        <f>"3328134706030003"</f>
        <v>3328134706030003</v>
      </c>
      <c r="C3951" s="2" t="s">
        <v>4553</v>
      </c>
      <c r="D3951" s="2" t="s">
        <v>17</v>
      </c>
      <c r="E3951" s="2" t="s">
        <v>11</v>
      </c>
      <c r="F3951" s="2" t="s">
        <v>18</v>
      </c>
      <c r="G3951" s="2" t="s">
        <v>19</v>
      </c>
      <c r="H3951" s="2" t="s">
        <v>4290</v>
      </c>
      <c r="I3951" s="2" t="s">
        <v>4329</v>
      </c>
    </row>
    <row r="3952" spans="1:9" ht="14.5" x14ac:dyDescent="0.35">
      <c r="A3952" s="2">
        <v>194196</v>
      </c>
      <c r="B3952" s="2" t="str">
        <f>"3328134711000002"</f>
        <v>3328134711000002</v>
      </c>
      <c r="C3952" s="2" t="s">
        <v>4554</v>
      </c>
      <c r="D3952" s="2" t="s">
        <v>10</v>
      </c>
      <c r="E3952" s="2" t="s">
        <v>11</v>
      </c>
      <c r="F3952" s="2" t="s">
        <v>91</v>
      </c>
      <c r="G3952" s="2" t="s">
        <v>101</v>
      </c>
      <c r="H3952" s="2" t="s">
        <v>4555</v>
      </c>
      <c r="I3952" s="2" t="s">
        <v>4556</v>
      </c>
    </row>
    <row r="3953" spans="1:9" ht="14.5" x14ac:dyDescent="0.35">
      <c r="A3953" s="2">
        <v>2556159</v>
      </c>
      <c r="B3953" s="2" t="str">
        <f>"3328134711000002"</f>
        <v>3328134711000002</v>
      </c>
      <c r="C3953" s="2" t="s">
        <v>4554</v>
      </c>
      <c r="D3953" s="2" t="s">
        <v>17</v>
      </c>
      <c r="E3953" s="2" t="s">
        <v>11</v>
      </c>
      <c r="F3953" s="2" t="s">
        <v>18</v>
      </c>
      <c r="G3953" s="2" t="s">
        <v>19</v>
      </c>
      <c r="H3953" s="2" t="s">
        <v>4290</v>
      </c>
      <c r="I3953" s="2" t="s">
        <v>344</v>
      </c>
    </row>
    <row r="3954" spans="1:9" ht="14.5" x14ac:dyDescent="0.35">
      <c r="A3954" s="2">
        <v>1442217</v>
      </c>
      <c r="B3954" s="2" t="str">
        <f>"3328134804020004"</f>
        <v>3328134804020004</v>
      </c>
      <c r="C3954" s="2" t="s">
        <v>4557</v>
      </c>
      <c r="D3954" s="2" t="s">
        <v>10</v>
      </c>
      <c r="E3954" s="2" t="s">
        <v>11</v>
      </c>
      <c r="F3954" s="2" t="s">
        <v>18</v>
      </c>
      <c r="G3954" s="2" t="s">
        <v>19</v>
      </c>
      <c r="H3954" s="2" t="s">
        <v>4290</v>
      </c>
      <c r="I3954" s="2" t="s">
        <v>878</v>
      </c>
    </row>
    <row r="3955" spans="1:9" ht="14.5" x14ac:dyDescent="0.35">
      <c r="A3955" s="2">
        <v>1352895</v>
      </c>
      <c r="B3955" s="2" t="str">
        <f>"3328134804020004"</f>
        <v>3328134804020004</v>
      </c>
      <c r="C3955" s="2" t="s">
        <v>4558</v>
      </c>
      <c r="D3955" s="2" t="s">
        <v>10</v>
      </c>
      <c r="E3955" s="2" t="s">
        <v>57</v>
      </c>
      <c r="F3955" s="2" t="s">
        <v>303</v>
      </c>
      <c r="G3955" s="2" t="s">
        <v>608</v>
      </c>
      <c r="H3955" s="2" t="s">
        <v>609</v>
      </c>
      <c r="I3955" s="2" t="s">
        <v>610</v>
      </c>
    </row>
    <row r="3956" spans="1:9" ht="14.5" x14ac:dyDescent="0.35">
      <c r="A3956" s="2">
        <v>1907406</v>
      </c>
      <c r="B3956" s="2" t="str">
        <f>"3328134807040003"</f>
        <v>3328134807040003</v>
      </c>
      <c r="C3956" s="2" t="s">
        <v>4559</v>
      </c>
      <c r="D3956" s="2" t="s">
        <v>10</v>
      </c>
      <c r="E3956" s="2" t="s">
        <v>11</v>
      </c>
      <c r="F3956" s="2" t="s">
        <v>18</v>
      </c>
      <c r="G3956" s="2" t="s">
        <v>19</v>
      </c>
      <c r="H3956" s="2" t="s">
        <v>4290</v>
      </c>
      <c r="I3956" s="2" t="s">
        <v>4298</v>
      </c>
    </row>
    <row r="3957" spans="1:9" ht="14.5" x14ac:dyDescent="0.35">
      <c r="A3957" s="2">
        <v>762645</v>
      </c>
      <c r="B3957" s="2" t="str">
        <f>"3328134807040003"</f>
        <v>3328134807040003</v>
      </c>
      <c r="C3957" s="2" t="s">
        <v>4560</v>
      </c>
      <c r="D3957" s="2" t="s">
        <v>10</v>
      </c>
      <c r="E3957" s="2" t="s">
        <v>57</v>
      </c>
      <c r="F3957" s="2" t="s">
        <v>379</v>
      </c>
      <c r="G3957" s="2" t="s">
        <v>711</v>
      </c>
      <c r="H3957" s="2" t="s">
        <v>718</v>
      </c>
      <c r="I3957" s="2" t="s">
        <v>719</v>
      </c>
    </row>
    <row r="3958" spans="1:9" ht="14.5" x14ac:dyDescent="0.35">
      <c r="A3958" s="2">
        <v>554076</v>
      </c>
      <c r="B3958" s="2" t="str">
        <f>"3328134905910004"</f>
        <v>3328134905910004</v>
      </c>
      <c r="C3958" s="2" t="s">
        <v>4561</v>
      </c>
      <c r="D3958" s="2" t="s">
        <v>10</v>
      </c>
      <c r="E3958" s="2" t="s">
        <v>11</v>
      </c>
      <c r="F3958" s="2" t="s">
        <v>67</v>
      </c>
      <c r="G3958" s="2" t="s">
        <v>696</v>
      </c>
      <c r="H3958" s="2" t="s">
        <v>375</v>
      </c>
      <c r="I3958" s="2" t="s">
        <v>1477</v>
      </c>
    </row>
    <row r="3959" spans="1:9" ht="14.5" x14ac:dyDescent="0.35">
      <c r="A3959" s="2">
        <v>2557479</v>
      </c>
      <c r="B3959" s="2" t="str">
        <f>"3328134905910004"</f>
        <v>3328134905910004</v>
      </c>
      <c r="C3959" s="2" t="s">
        <v>4561</v>
      </c>
      <c r="D3959" s="2" t="s">
        <v>17</v>
      </c>
      <c r="E3959" s="2" t="s">
        <v>11</v>
      </c>
      <c r="F3959" s="2" t="s">
        <v>18</v>
      </c>
      <c r="G3959" s="2" t="s">
        <v>19</v>
      </c>
      <c r="H3959" s="2" t="s">
        <v>4290</v>
      </c>
      <c r="I3959" s="2" t="s">
        <v>1381</v>
      </c>
    </row>
    <row r="3960" spans="1:9" ht="14.5" x14ac:dyDescent="0.35">
      <c r="A3960" s="2">
        <v>1559920</v>
      </c>
      <c r="B3960" s="2" t="str">
        <f>"3328134908010006"</f>
        <v>3328134908010006</v>
      </c>
      <c r="C3960" s="2" t="s">
        <v>4562</v>
      </c>
      <c r="D3960" s="2" t="s">
        <v>10</v>
      </c>
      <c r="E3960" s="2" t="s">
        <v>11</v>
      </c>
      <c r="F3960" s="2" t="s">
        <v>91</v>
      </c>
      <c r="G3960" s="2" t="s">
        <v>320</v>
      </c>
      <c r="H3960" s="2" t="s">
        <v>2523</v>
      </c>
      <c r="I3960" s="2" t="s">
        <v>4563</v>
      </c>
    </row>
    <row r="3961" spans="1:9" ht="14.5" x14ac:dyDescent="0.35">
      <c r="A3961" s="2">
        <v>2556180</v>
      </c>
      <c r="B3961" s="2" t="str">
        <f>"3328134908010006"</f>
        <v>3328134908010006</v>
      </c>
      <c r="C3961" s="2" t="s">
        <v>4562</v>
      </c>
      <c r="D3961" s="2" t="s">
        <v>17</v>
      </c>
      <c r="E3961" s="2" t="s">
        <v>11</v>
      </c>
      <c r="F3961" s="2" t="s">
        <v>18</v>
      </c>
      <c r="G3961" s="2" t="s">
        <v>19</v>
      </c>
      <c r="H3961" s="2" t="s">
        <v>4290</v>
      </c>
      <c r="I3961" s="2" t="s">
        <v>344</v>
      </c>
    </row>
    <row r="3962" spans="1:9" ht="14.5" x14ac:dyDescent="0.35">
      <c r="A3962" s="2">
        <v>1942568</v>
      </c>
      <c r="B3962" s="2" t="str">
        <f>"3328134912960001"</f>
        <v>3328134912960001</v>
      </c>
      <c r="C3962" s="2" t="s">
        <v>4564</v>
      </c>
      <c r="D3962" s="2" t="s">
        <v>10</v>
      </c>
      <c r="E3962" s="2" t="s">
        <v>11</v>
      </c>
      <c r="F3962" s="2" t="s">
        <v>18</v>
      </c>
      <c r="G3962" s="2" t="s">
        <v>19</v>
      </c>
      <c r="H3962" s="2" t="s">
        <v>4290</v>
      </c>
      <c r="I3962" s="2" t="s">
        <v>4329</v>
      </c>
    </row>
    <row r="3963" spans="1:9" ht="14.5" x14ac:dyDescent="0.35">
      <c r="A3963" s="2">
        <v>422081</v>
      </c>
      <c r="B3963" s="2" t="str">
        <f>"3328134912960001"</f>
        <v>3328134912960001</v>
      </c>
      <c r="C3963" s="2" t="s">
        <v>4564</v>
      </c>
      <c r="D3963" s="2" t="s">
        <v>17</v>
      </c>
      <c r="E3963" s="2" t="s">
        <v>11</v>
      </c>
      <c r="F3963" s="2" t="s">
        <v>18</v>
      </c>
      <c r="G3963" s="2" t="s">
        <v>268</v>
      </c>
      <c r="H3963" s="2" t="s">
        <v>269</v>
      </c>
      <c r="I3963" s="2" t="s">
        <v>996</v>
      </c>
    </row>
    <row r="3964" spans="1:9" ht="14.5" x14ac:dyDescent="0.35">
      <c r="A3964" s="2">
        <v>1884859</v>
      </c>
      <c r="B3964" s="2" t="str">
        <f>"3328135012830003"</f>
        <v>3328135012830003</v>
      </c>
      <c r="C3964" s="2" t="s">
        <v>4565</v>
      </c>
      <c r="D3964" s="2" t="s">
        <v>10</v>
      </c>
      <c r="E3964" s="2" t="s">
        <v>11</v>
      </c>
      <c r="F3964" s="2" t="s">
        <v>18</v>
      </c>
      <c r="G3964" s="2" t="s">
        <v>19</v>
      </c>
      <c r="H3964" s="2" t="s">
        <v>4290</v>
      </c>
      <c r="I3964" s="2" t="s">
        <v>4303</v>
      </c>
    </row>
    <row r="3965" spans="1:9" ht="14.5" x14ac:dyDescent="0.35">
      <c r="A3965" s="2">
        <v>1403086</v>
      </c>
      <c r="B3965" s="2" t="str">
        <f>"3328135012830003"</f>
        <v>3328135012830003</v>
      </c>
      <c r="C3965" s="2" t="s">
        <v>4565</v>
      </c>
      <c r="D3965" s="2" t="s">
        <v>17</v>
      </c>
      <c r="E3965" s="2" t="s">
        <v>11</v>
      </c>
      <c r="F3965" s="2" t="s">
        <v>303</v>
      </c>
      <c r="G3965" s="2" t="s">
        <v>3472</v>
      </c>
      <c r="H3965" s="2" t="s">
        <v>4566</v>
      </c>
      <c r="I3965" s="2" t="s">
        <v>4567</v>
      </c>
    </row>
    <row r="3966" spans="1:9" ht="14.5" x14ac:dyDescent="0.35">
      <c r="A3966" s="2">
        <v>914332</v>
      </c>
      <c r="B3966" s="2" t="str">
        <f>"3328135104850001"</f>
        <v>3328135104850001</v>
      </c>
      <c r="C3966" s="2" t="s">
        <v>4568</v>
      </c>
      <c r="D3966" s="2" t="s">
        <v>10</v>
      </c>
      <c r="E3966" s="2" t="s">
        <v>11</v>
      </c>
      <c r="F3966" s="2" t="s">
        <v>50</v>
      </c>
      <c r="G3966" s="2" t="s">
        <v>86</v>
      </c>
      <c r="H3966" s="2" t="s">
        <v>530</v>
      </c>
      <c r="I3966" s="2" t="s">
        <v>537</v>
      </c>
    </row>
    <row r="3967" spans="1:9" ht="14.5" x14ac:dyDescent="0.35">
      <c r="A3967" s="2">
        <v>2556493</v>
      </c>
      <c r="B3967" s="2" t="str">
        <f>"3328135104850001"</f>
        <v>3328135104850001</v>
      </c>
      <c r="C3967" s="2" t="s">
        <v>4568</v>
      </c>
      <c r="D3967" s="2" t="s">
        <v>17</v>
      </c>
      <c r="E3967" s="2" t="s">
        <v>11</v>
      </c>
      <c r="F3967" s="2" t="s">
        <v>18</v>
      </c>
      <c r="G3967" s="2" t="s">
        <v>19</v>
      </c>
      <c r="H3967" s="2" t="s">
        <v>4290</v>
      </c>
      <c r="I3967" s="2" t="s">
        <v>4315</v>
      </c>
    </row>
    <row r="3968" spans="1:9" ht="14.5" x14ac:dyDescent="0.35">
      <c r="A3968" s="2">
        <v>1476241</v>
      </c>
      <c r="B3968" s="2" t="str">
        <f>"3328135106770003"</f>
        <v>3328135106770003</v>
      </c>
      <c r="C3968" s="2" t="s">
        <v>4569</v>
      </c>
      <c r="D3968" s="2" t="s">
        <v>10</v>
      </c>
      <c r="E3968" s="2" t="s">
        <v>11</v>
      </c>
      <c r="F3968" s="2" t="s">
        <v>18</v>
      </c>
      <c r="G3968" s="2" t="s">
        <v>19</v>
      </c>
      <c r="H3968" s="2" t="s">
        <v>4290</v>
      </c>
      <c r="I3968" s="2" t="s">
        <v>4436</v>
      </c>
    </row>
    <row r="3969" spans="1:9" ht="14.5" x14ac:dyDescent="0.35">
      <c r="A3969" s="2">
        <v>1352173</v>
      </c>
      <c r="B3969" s="2" t="str">
        <f>"3328135106770003"</f>
        <v>3328135106770003</v>
      </c>
      <c r="C3969" s="2" t="s">
        <v>4570</v>
      </c>
      <c r="D3969" s="2" t="s">
        <v>10</v>
      </c>
      <c r="E3969" s="2" t="s">
        <v>57</v>
      </c>
      <c r="F3969" s="2" t="s">
        <v>303</v>
      </c>
      <c r="G3969" s="2" t="s">
        <v>608</v>
      </c>
      <c r="H3969" s="2" t="s">
        <v>609</v>
      </c>
      <c r="I3969" s="2" t="s">
        <v>610</v>
      </c>
    </row>
    <row r="3970" spans="1:9" ht="14.5" x14ac:dyDescent="0.35">
      <c r="A3970" s="2">
        <v>1477217</v>
      </c>
      <c r="B3970" s="2" t="str">
        <f>"3328135110950004"</f>
        <v>3328135110950004</v>
      </c>
      <c r="C3970" s="2" t="s">
        <v>4571</v>
      </c>
      <c r="D3970" s="2" t="s">
        <v>10</v>
      </c>
      <c r="E3970" s="2" t="s">
        <v>11</v>
      </c>
      <c r="F3970" s="2" t="s">
        <v>18</v>
      </c>
      <c r="G3970" s="2" t="s">
        <v>19</v>
      </c>
      <c r="H3970" s="2" t="s">
        <v>4290</v>
      </c>
      <c r="I3970" s="2" t="s">
        <v>4436</v>
      </c>
    </row>
    <row r="3971" spans="1:9" ht="14.5" x14ac:dyDescent="0.35">
      <c r="A3971" s="2">
        <v>421025</v>
      </c>
      <c r="B3971" s="2" t="str">
        <f>"3328135110950004"</f>
        <v>3328135110950004</v>
      </c>
      <c r="C3971" s="2" t="s">
        <v>4571</v>
      </c>
      <c r="D3971" s="2" t="s">
        <v>17</v>
      </c>
      <c r="E3971" s="2" t="s">
        <v>11</v>
      </c>
      <c r="F3971" s="2" t="s">
        <v>18</v>
      </c>
      <c r="G3971" s="2" t="s">
        <v>268</v>
      </c>
      <c r="H3971" s="2" t="s">
        <v>448</v>
      </c>
      <c r="I3971" s="2" t="s">
        <v>3897</v>
      </c>
    </row>
    <row r="3972" spans="1:9" ht="14.5" x14ac:dyDescent="0.35">
      <c r="A3972" s="2">
        <v>1907704</v>
      </c>
      <c r="B3972" s="2" t="str">
        <f>"3328135305970002"</f>
        <v>3328135305970002</v>
      </c>
      <c r="C3972" s="2" t="s">
        <v>4572</v>
      </c>
      <c r="D3972" s="2" t="s">
        <v>10</v>
      </c>
      <c r="E3972" s="2" t="s">
        <v>11</v>
      </c>
      <c r="F3972" s="2" t="s">
        <v>18</v>
      </c>
      <c r="G3972" s="2" t="s">
        <v>19</v>
      </c>
      <c r="H3972" s="2" t="s">
        <v>4290</v>
      </c>
      <c r="I3972" s="2" t="s">
        <v>4298</v>
      </c>
    </row>
    <row r="3973" spans="1:9" ht="14.5" x14ac:dyDescent="0.35">
      <c r="A3973" s="2">
        <v>1936092</v>
      </c>
      <c r="B3973" s="2" t="str">
        <f>"3328135305970002"</f>
        <v>3328135305970002</v>
      </c>
      <c r="C3973" s="2" t="s">
        <v>4572</v>
      </c>
      <c r="D3973" s="2" t="s">
        <v>17</v>
      </c>
      <c r="E3973" s="2" t="s">
        <v>11</v>
      </c>
      <c r="F3973" s="2" t="s">
        <v>50</v>
      </c>
      <c r="G3973" s="2" t="s">
        <v>86</v>
      </c>
      <c r="H3973" s="2" t="s">
        <v>925</v>
      </c>
      <c r="I3973" s="2" t="s">
        <v>4573</v>
      </c>
    </row>
    <row r="3974" spans="1:9" ht="14.5" x14ac:dyDescent="0.35">
      <c r="A3974" s="2">
        <v>1880757</v>
      </c>
      <c r="B3974" s="2" t="str">
        <f>"3328135402850004"</f>
        <v>3328135402850004</v>
      </c>
      <c r="C3974" s="2" t="s">
        <v>4574</v>
      </c>
      <c r="D3974" s="2" t="s">
        <v>10</v>
      </c>
      <c r="E3974" s="2" t="s">
        <v>11</v>
      </c>
      <c r="F3974" s="2" t="s">
        <v>18</v>
      </c>
      <c r="G3974" s="2" t="s">
        <v>19</v>
      </c>
      <c r="H3974" s="2" t="s">
        <v>4290</v>
      </c>
      <c r="I3974" s="2" t="s">
        <v>4303</v>
      </c>
    </row>
    <row r="3975" spans="1:9" ht="14.5" x14ac:dyDescent="0.35">
      <c r="A3975" s="2">
        <v>1268687</v>
      </c>
      <c r="B3975" s="2" t="str">
        <f>"3328135402850004"</f>
        <v>3328135402850004</v>
      </c>
      <c r="C3975" s="2" t="s">
        <v>4574</v>
      </c>
      <c r="D3975" s="2" t="s">
        <v>17</v>
      </c>
      <c r="E3975" s="2" t="s">
        <v>11</v>
      </c>
      <c r="F3975" s="2" t="s">
        <v>18</v>
      </c>
      <c r="G3975" s="2" t="s">
        <v>1920</v>
      </c>
      <c r="H3975" s="2" t="s">
        <v>4575</v>
      </c>
      <c r="I3975" s="2" t="s">
        <v>4576</v>
      </c>
    </row>
    <row r="3976" spans="1:9" ht="14.5" x14ac:dyDescent="0.35">
      <c r="A3976" s="2">
        <v>1479131</v>
      </c>
      <c r="B3976" s="2" t="str">
        <f>"3328135411940009"</f>
        <v>3328135411940009</v>
      </c>
      <c r="C3976" s="2" t="s">
        <v>4577</v>
      </c>
      <c r="D3976" s="2" t="s">
        <v>10</v>
      </c>
      <c r="E3976" s="2" t="s">
        <v>11</v>
      </c>
      <c r="F3976" s="2" t="s">
        <v>18</v>
      </c>
      <c r="G3976" s="2" t="s">
        <v>19</v>
      </c>
      <c r="H3976" s="2" t="s">
        <v>4290</v>
      </c>
      <c r="I3976" s="2" t="s">
        <v>4436</v>
      </c>
    </row>
    <row r="3977" spans="1:9" ht="14.5" x14ac:dyDescent="0.35">
      <c r="A3977" s="2">
        <v>421676</v>
      </c>
      <c r="B3977" s="2" t="str">
        <f>"3328135411940009"</f>
        <v>3328135411940009</v>
      </c>
      <c r="C3977" s="2" t="s">
        <v>4577</v>
      </c>
      <c r="D3977" s="2" t="s">
        <v>17</v>
      </c>
      <c r="E3977" s="2" t="s">
        <v>11</v>
      </c>
      <c r="F3977" s="2" t="s">
        <v>18</v>
      </c>
      <c r="G3977" s="2" t="s">
        <v>268</v>
      </c>
      <c r="H3977" s="2" t="s">
        <v>371</v>
      </c>
      <c r="I3977" s="2" t="s">
        <v>2772</v>
      </c>
    </row>
    <row r="3978" spans="1:9" ht="14.5" x14ac:dyDescent="0.35">
      <c r="A3978" s="2">
        <v>269008</v>
      </c>
      <c r="B3978" s="2" t="str">
        <f>"3328135505700001"</f>
        <v>3328135505700001</v>
      </c>
      <c r="C3978" s="2" t="s">
        <v>4578</v>
      </c>
      <c r="D3978" s="2" t="s">
        <v>10</v>
      </c>
      <c r="E3978" s="2" t="s">
        <v>11</v>
      </c>
      <c r="F3978" s="2" t="s">
        <v>91</v>
      </c>
      <c r="G3978" s="2" t="s">
        <v>155</v>
      </c>
      <c r="H3978" s="2" t="s">
        <v>4579</v>
      </c>
      <c r="I3978" s="2" t="s">
        <v>4580</v>
      </c>
    </row>
    <row r="3979" spans="1:9" ht="14.5" x14ac:dyDescent="0.35">
      <c r="A3979" s="2">
        <v>2557603</v>
      </c>
      <c r="B3979" s="2" t="str">
        <f>"3328135505700001"</f>
        <v>3328135505700001</v>
      </c>
      <c r="C3979" s="2" t="s">
        <v>4578</v>
      </c>
      <c r="D3979" s="2" t="s">
        <v>17</v>
      </c>
      <c r="E3979" s="2" t="s">
        <v>11</v>
      </c>
      <c r="F3979" s="2" t="s">
        <v>18</v>
      </c>
      <c r="G3979" s="2" t="s">
        <v>19</v>
      </c>
      <c r="H3979" s="2" t="s">
        <v>4290</v>
      </c>
      <c r="I3979" s="2" t="s">
        <v>878</v>
      </c>
    </row>
    <row r="3980" spans="1:9" ht="14.5" x14ac:dyDescent="0.35">
      <c r="A3980" s="2">
        <v>1905812</v>
      </c>
      <c r="B3980" s="2" t="str">
        <f>"3328135506880006"</f>
        <v>3328135506880006</v>
      </c>
      <c r="C3980" s="2" t="s">
        <v>4581</v>
      </c>
      <c r="D3980" s="2" t="s">
        <v>10</v>
      </c>
      <c r="E3980" s="2" t="s">
        <v>11</v>
      </c>
      <c r="F3980" s="2" t="s">
        <v>18</v>
      </c>
      <c r="G3980" s="2" t="s">
        <v>19</v>
      </c>
      <c r="H3980" s="2" t="s">
        <v>4290</v>
      </c>
      <c r="I3980" s="2" t="s">
        <v>4298</v>
      </c>
    </row>
    <row r="3981" spans="1:9" ht="14.5" x14ac:dyDescent="0.35">
      <c r="A3981" s="2">
        <v>423168</v>
      </c>
      <c r="B3981" s="2" t="str">
        <f>"3328135506880006"</f>
        <v>3328135506880006</v>
      </c>
      <c r="C3981" s="2" t="s">
        <v>4581</v>
      </c>
      <c r="D3981" s="2" t="s">
        <v>17</v>
      </c>
      <c r="E3981" s="2" t="s">
        <v>11</v>
      </c>
      <c r="F3981" s="2" t="s">
        <v>18</v>
      </c>
      <c r="G3981" s="2" t="s">
        <v>268</v>
      </c>
      <c r="H3981" s="2" t="s">
        <v>269</v>
      </c>
      <c r="I3981" s="2" t="s">
        <v>1398</v>
      </c>
    </row>
    <row r="3982" spans="1:9" ht="14.5" x14ac:dyDescent="0.35">
      <c r="A3982" s="2">
        <v>1877069</v>
      </c>
      <c r="B3982" s="2" t="str">
        <f>"3328135507920005"</f>
        <v>3328135507920005</v>
      </c>
      <c r="C3982" s="2" t="s">
        <v>4582</v>
      </c>
      <c r="D3982" s="2" t="s">
        <v>10</v>
      </c>
      <c r="E3982" s="2" t="s">
        <v>11</v>
      </c>
      <c r="F3982" s="2" t="s">
        <v>18</v>
      </c>
      <c r="G3982" s="2" t="s">
        <v>19</v>
      </c>
      <c r="H3982" s="2" t="s">
        <v>4290</v>
      </c>
      <c r="I3982" s="2" t="s">
        <v>344</v>
      </c>
    </row>
    <row r="3983" spans="1:9" ht="14.5" x14ac:dyDescent="0.35">
      <c r="A3983" s="2">
        <v>1272388</v>
      </c>
      <c r="B3983" s="2" t="str">
        <f>"3328135507920005"</f>
        <v>3328135507920005</v>
      </c>
      <c r="C3983" s="2" t="s">
        <v>4582</v>
      </c>
      <c r="D3983" s="2" t="s">
        <v>17</v>
      </c>
      <c r="E3983" s="2" t="s">
        <v>11</v>
      </c>
      <c r="F3983" s="2" t="s">
        <v>18</v>
      </c>
      <c r="G3983" s="2" t="s">
        <v>1920</v>
      </c>
      <c r="H3983" s="2" t="s">
        <v>4583</v>
      </c>
      <c r="I3983" s="2" t="s">
        <v>839</v>
      </c>
    </row>
    <row r="3984" spans="1:9" ht="14.5" x14ac:dyDescent="0.35">
      <c r="A3984" s="2">
        <v>421182</v>
      </c>
      <c r="B3984" s="2" t="str">
        <f>"3328135604980003"</f>
        <v>3328135604980003</v>
      </c>
      <c r="C3984" s="2" t="s">
        <v>4584</v>
      </c>
      <c r="D3984" s="2" t="s">
        <v>17</v>
      </c>
      <c r="E3984" s="2" t="s">
        <v>11</v>
      </c>
      <c r="F3984" s="2" t="s">
        <v>18</v>
      </c>
      <c r="G3984" s="2" t="s">
        <v>268</v>
      </c>
      <c r="H3984" s="2" t="s">
        <v>448</v>
      </c>
      <c r="I3984" s="2" t="s">
        <v>1508</v>
      </c>
    </row>
    <row r="3985" spans="1:9" ht="14.5" x14ac:dyDescent="0.35">
      <c r="A3985" s="2">
        <v>1898979</v>
      </c>
      <c r="B3985" s="2" t="str">
        <f>"3328135604980003"</f>
        <v>3328135604980003</v>
      </c>
      <c r="C3985" s="2" t="s">
        <v>4584</v>
      </c>
      <c r="D3985" s="2" t="s">
        <v>189</v>
      </c>
      <c r="E3985" s="2" t="s">
        <v>11</v>
      </c>
      <c r="F3985" s="2" t="s">
        <v>18</v>
      </c>
      <c r="G3985" s="2" t="s">
        <v>19</v>
      </c>
      <c r="H3985" s="2" t="s">
        <v>4290</v>
      </c>
      <c r="I3985" s="2" t="s">
        <v>4358</v>
      </c>
    </row>
    <row r="3986" spans="1:9" ht="14.5" x14ac:dyDescent="0.35">
      <c r="A3986" s="2">
        <v>1901030</v>
      </c>
      <c r="B3986" s="2" t="str">
        <f>"3328135608970001"</f>
        <v>3328135608970001</v>
      </c>
      <c r="C3986" s="2" t="s">
        <v>4585</v>
      </c>
      <c r="D3986" s="2" t="s">
        <v>10</v>
      </c>
      <c r="E3986" s="2" t="s">
        <v>11</v>
      </c>
      <c r="F3986" s="2" t="s">
        <v>18</v>
      </c>
      <c r="G3986" s="2" t="s">
        <v>19</v>
      </c>
      <c r="H3986" s="2" t="s">
        <v>4290</v>
      </c>
      <c r="I3986" s="2" t="s">
        <v>4358</v>
      </c>
    </row>
    <row r="3987" spans="1:9" ht="14.5" x14ac:dyDescent="0.35">
      <c r="A3987" s="2">
        <v>423282</v>
      </c>
      <c r="B3987" s="2" t="str">
        <f>"3328135608970001"</f>
        <v>3328135608970001</v>
      </c>
      <c r="C3987" s="2" t="s">
        <v>4585</v>
      </c>
      <c r="D3987" s="2" t="s">
        <v>17</v>
      </c>
      <c r="E3987" s="2" t="s">
        <v>11</v>
      </c>
      <c r="F3987" s="2" t="s">
        <v>18</v>
      </c>
      <c r="G3987" s="2" t="s">
        <v>268</v>
      </c>
      <c r="H3987" s="2" t="s">
        <v>269</v>
      </c>
      <c r="I3987" s="2" t="s">
        <v>1662</v>
      </c>
    </row>
    <row r="3988" spans="1:9" ht="14.5" x14ac:dyDescent="0.35">
      <c r="A3988" s="2">
        <v>369519</v>
      </c>
      <c r="B3988" s="2" t="str">
        <f>"3328135701670002"</f>
        <v>3328135701670002</v>
      </c>
      <c r="C3988" s="2" t="s">
        <v>4586</v>
      </c>
      <c r="D3988" s="2" t="s">
        <v>10</v>
      </c>
      <c r="E3988" s="2" t="s">
        <v>11</v>
      </c>
      <c r="F3988" s="2" t="s">
        <v>18</v>
      </c>
      <c r="G3988" s="2" t="s">
        <v>268</v>
      </c>
      <c r="H3988" s="2" t="s">
        <v>269</v>
      </c>
      <c r="I3988" s="2" t="s">
        <v>996</v>
      </c>
    </row>
    <row r="3989" spans="1:9" ht="14.5" x14ac:dyDescent="0.35">
      <c r="A3989" s="2">
        <v>2556152</v>
      </c>
      <c r="B3989" s="2" t="str">
        <f>"3328135701670002"</f>
        <v>3328135701670002</v>
      </c>
      <c r="C3989" s="2" t="s">
        <v>4587</v>
      </c>
      <c r="D3989" s="2" t="s">
        <v>17</v>
      </c>
      <c r="E3989" s="2" t="s">
        <v>11</v>
      </c>
      <c r="F3989" s="2" t="s">
        <v>18</v>
      </c>
      <c r="G3989" s="2" t="s">
        <v>19</v>
      </c>
      <c r="H3989" s="2" t="s">
        <v>4290</v>
      </c>
      <c r="I3989" s="2" t="s">
        <v>344</v>
      </c>
    </row>
    <row r="3990" spans="1:9" ht="14.5" x14ac:dyDescent="0.35">
      <c r="A3990" s="2">
        <v>214658</v>
      </c>
      <c r="B3990" s="2" t="str">
        <f>"3328135702910003"</f>
        <v>3328135702910003</v>
      </c>
      <c r="C3990" s="2" t="s">
        <v>4588</v>
      </c>
      <c r="D3990" s="2" t="s">
        <v>10</v>
      </c>
      <c r="E3990" s="2" t="s">
        <v>11</v>
      </c>
      <c r="F3990" s="2" t="s">
        <v>18</v>
      </c>
      <c r="G3990" s="2" t="s">
        <v>268</v>
      </c>
      <c r="H3990" s="2" t="s">
        <v>371</v>
      </c>
      <c r="I3990" s="2" t="s">
        <v>2772</v>
      </c>
    </row>
    <row r="3991" spans="1:9" ht="14.5" x14ac:dyDescent="0.35">
      <c r="A3991" s="2">
        <v>2556639</v>
      </c>
      <c r="B3991" s="2" t="str">
        <f>"3328135702910003"</f>
        <v>3328135702910003</v>
      </c>
      <c r="C3991" s="2" t="s">
        <v>4588</v>
      </c>
      <c r="D3991" s="2" t="s">
        <v>17</v>
      </c>
      <c r="E3991" s="2" t="s">
        <v>11</v>
      </c>
      <c r="F3991" s="2" t="s">
        <v>18</v>
      </c>
      <c r="G3991" s="2" t="s">
        <v>19</v>
      </c>
      <c r="H3991" s="2" t="s">
        <v>4290</v>
      </c>
      <c r="I3991" s="2" t="s">
        <v>4318</v>
      </c>
    </row>
    <row r="3992" spans="1:9" ht="14.5" x14ac:dyDescent="0.35">
      <c r="A3992" s="2">
        <v>1790618</v>
      </c>
      <c r="B3992" s="2" t="str">
        <f>"3328135705970005"</f>
        <v>3328135705970005</v>
      </c>
      <c r="C3992" s="2" t="s">
        <v>4589</v>
      </c>
      <c r="D3992" s="2" t="s">
        <v>10</v>
      </c>
      <c r="E3992" s="2" t="s">
        <v>11</v>
      </c>
      <c r="F3992" s="2" t="s">
        <v>67</v>
      </c>
      <c r="G3992" s="2" t="s">
        <v>791</v>
      </c>
      <c r="H3992" s="2" t="s">
        <v>4590</v>
      </c>
      <c r="I3992" s="2" t="s">
        <v>4590</v>
      </c>
    </row>
    <row r="3993" spans="1:9" ht="14.5" x14ac:dyDescent="0.35">
      <c r="A3993" s="2">
        <v>2556442</v>
      </c>
      <c r="B3993" s="2" t="str">
        <f>"3328135705970005"</f>
        <v>3328135705970005</v>
      </c>
      <c r="C3993" s="2" t="s">
        <v>4591</v>
      </c>
      <c r="D3993" s="2" t="s">
        <v>17</v>
      </c>
      <c r="E3993" s="2" t="s">
        <v>11</v>
      </c>
      <c r="F3993" s="2" t="s">
        <v>18</v>
      </c>
      <c r="G3993" s="2" t="s">
        <v>19</v>
      </c>
      <c r="H3993" s="2" t="s">
        <v>4290</v>
      </c>
      <c r="I3993" s="2" t="s">
        <v>4315</v>
      </c>
    </row>
    <row r="3994" spans="1:9" ht="14.5" x14ac:dyDescent="0.35">
      <c r="A3994" s="2">
        <v>1940874</v>
      </c>
      <c r="B3994" s="2" t="str">
        <f>"3328135707840003"</f>
        <v>3328135707840003</v>
      </c>
      <c r="C3994" s="2" t="s">
        <v>4592</v>
      </c>
      <c r="D3994" s="2" t="s">
        <v>10</v>
      </c>
      <c r="E3994" s="2" t="s">
        <v>11</v>
      </c>
      <c r="F3994" s="2" t="s">
        <v>18</v>
      </c>
      <c r="G3994" s="2" t="s">
        <v>19</v>
      </c>
      <c r="H3994" s="2" t="s">
        <v>4290</v>
      </c>
      <c r="I3994" s="2" t="s">
        <v>4329</v>
      </c>
    </row>
    <row r="3995" spans="1:9" ht="14.5" x14ac:dyDescent="0.35">
      <c r="A3995" s="2">
        <v>1627738</v>
      </c>
      <c r="B3995" s="2" t="str">
        <f>"3328135707840003"</f>
        <v>3328135707840003</v>
      </c>
      <c r="C3995" s="2" t="s">
        <v>4593</v>
      </c>
      <c r="D3995" s="2" t="s">
        <v>17</v>
      </c>
      <c r="E3995" s="2" t="s">
        <v>11</v>
      </c>
      <c r="F3995" s="2" t="s">
        <v>18</v>
      </c>
      <c r="G3995" s="2" t="s">
        <v>264</v>
      </c>
      <c r="H3995" s="2" t="s">
        <v>248</v>
      </c>
      <c r="I3995" s="2" t="s">
        <v>868</v>
      </c>
    </row>
    <row r="3996" spans="1:9" ht="14.5" x14ac:dyDescent="0.35">
      <c r="A3996" s="2">
        <v>1904626</v>
      </c>
      <c r="B3996" s="2" t="str">
        <f>"3328135709640002"</f>
        <v>3328135709640002</v>
      </c>
      <c r="C3996" s="2" t="s">
        <v>4594</v>
      </c>
      <c r="D3996" s="2" t="s">
        <v>10</v>
      </c>
      <c r="E3996" s="2" t="s">
        <v>11</v>
      </c>
      <c r="F3996" s="2" t="s">
        <v>18</v>
      </c>
      <c r="G3996" s="2" t="s">
        <v>19</v>
      </c>
      <c r="H3996" s="2" t="s">
        <v>4290</v>
      </c>
      <c r="I3996" s="2" t="s">
        <v>4298</v>
      </c>
    </row>
    <row r="3997" spans="1:9" ht="14.5" x14ac:dyDescent="0.35">
      <c r="A3997" s="2">
        <v>2427405</v>
      </c>
      <c r="B3997" s="2" t="str">
        <f>"3328135709640002"</f>
        <v>3328135709640002</v>
      </c>
      <c r="C3997" s="2" t="s">
        <v>4594</v>
      </c>
      <c r="D3997" s="2" t="s">
        <v>17</v>
      </c>
      <c r="E3997" s="2" t="s">
        <v>11</v>
      </c>
      <c r="F3997" s="2" t="s">
        <v>50</v>
      </c>
      <c r="G3997" s="2" t="s">
        <v>58</v>
      </c>
      <c r="H3997" s="2" t="s">
        <v>2527</v>
      </c>
      <c r="I3997" s="2" t="s">
        <v>2435</v>
      </c>
    </row>
    <row r="3998" spans="1:9" ht="14.5" x14ac:dyDescent="0.35">
      <c r="A3998" s="2">
        <v>1941848</v>
      </c>
      <c r="B3998" s="2" t="str">
        <f>"3328135710880003"</f>
        <v>3328135710880003</v>
      </c>
      <c r="C3998" s="2" t="s">
        <v>4595</v>
      </c>
      <c r="D3998" s="2" t="s">
        <v>10</v>
      </c>
      <c r="E3998" s="2" t="s">
        <v>11</v>
      </c>
      <c r="F3998" s="2" t="s">
        <v>18</v>
      </c>
      <c r="G3998" s="2" t="s">
        <v>19</v>
      </c>
      <c r="H3998" s="2" t="s">
        <v>4290</v>
      </c>
      <c r="I3998" s="2" t="s">
        <v>4329</v>
      </c>
    </row>
    <row r="3999" spans="1:9" ht="14.5" x14ac:dyDescent="0.35">
      <c r="A3999" s="2">
        <v>3067109</v>
      </c>
      <c r="B3999" s="2" t="str">
        <f>"3328135710880003"</f>
        <v>3328135710880003</v>
      </c>
      <c r="C3999" s="2" t="s">
        <v>4596</v>
      </c>
      <c r="D3999" s="2" t="s">
        <v>17</v>
      </c>
      <c r="E3999" s="2" t="s">
        <v>11</v>
      </c>
      <c r="F3999" s="2" t="s">
        <v>18</v>
      </c>
      <c r="G3999" s="2" t="s">
        <v>163</v>
      </c>
      <c r="H3999" s="2" t="s">
        <v>4597</v>
      </c>
      <c r="I3999" s="2" t="s">
        <v>4598</v>
      </c>
    </row>
    <row r="4000" spans="1:9" ht="14.5" x14ac:dyDescent="0.35">
      <c r="A4000" s="2">
        <v>1901343</v>
      </c>
      <c r="B4000" s="2" t="str">
        <f>"3328135801030001"</f>
        <v>3328135801030001</v>
      </c>
      <c r="C4000" s="2" t="s">
        <v>4599</v>
      </c>
      <c r="D4000" s="2" t="s">
        <v>10</v>
      </c>
      <c r="E4000" s="2" t="s">
        <v>11</v>
      </c>
      <c r="F4000" s="2" t="s">
        <v>18</v>
      </c>
      <c r="G4000" s="2" t="s">
        <v>19</v>
      </c>
      <c r="H4000" s="2" t="s">
        <v>4290</v>
      </c>
      <c r="I4000" s="2" t="s">
        <v>4358</v>
      </c>
    </row>
    <row r="4001" spans="1:9" ht="14.5" x14ac:dyDescent="0.35">
      <c r="A4001" s="2">
        <v>1352898</v>
      </c>
      <c r="B4001" s="2" t="str">
        <f>"3328135801030001"</f>
        <v>3328135801030001</v>
      </c>
      <c r="C4001" s="2" t="s">
        <v>4600</v>
      </c>
      <c r="D4001" s="2" t="s">
        <v>10</v>
      </c>
      <c r="E4001" s="2" t="s">
        <v>57</v>
      </c>
      <c r="F4001" s="2" t="s">
        <v>303</v>
      </c>
      <c r="G4001" s="2" t="s">
        <v>608</v>
      </c>
      <c r="H4001" s="2" t="s">
        <v>609</v>
      </c>
      <c r="I4001" s="2" t="s">
        <v>610</v>
      </c>
    </row>
    <row r="4002" spans="1:9" ht="14.5" x14ac:dyDescent="0.35">
      <c r="A4002" s="2">
        <v>1885427</v>
      </c>
      <c r="B4002" s="2" t="str">
        <f>"3328135906030002"</f>
        <v>3328135906030002</v>
      </c>
      <c r="C4002" s="2" t="s">
        <v>4601</v>
      </c>
      <c r="D4002" s="2" t="s">
        <v>10</v>
      </c>
      <c r="E4002" s="2" t="s">
        <v>11</v>
      </c>
      <c r="F4002" s="2" t="s">
        <v>18</v>
      </c>
      <c r="G4002" s="2" t="s">
        <v>19</v>
      </c>
      <c r="H4002" s="2" t="s">
        <v>4290</v>
      </c>
      <c r="I4002" s="2" t="s">
        <v>4303</v>
      </c>
    </row>
    <row r="4003" spans="1:9" ht="14.5" x14ac:dyDescent="0.35">
      <c r="A4003" s="2">
        <v>1796519</v>
      </c>
      <c r="B4003" s="2" t="str">
        <f>"3328135906030002"</f>
        <v>3328135906030002</v>
      </c>
      <c r="C4003" s="2" t="s">
        <v>4601</v>
      </c>
      <c r="D4003" s="2" t="s">
        <v>17</v>
      </c>
      <c r="E4003" s="2" t="s">
        <v>11</v>
      </c>
      <c r="F4003" s="2" t="s">
        <v>50</v>
      </c>
      <c r="G4003" s="2" t="s">
        <v>72</v>
      </c>
      <c r="H4003" s="2" t="s">
        <v>803</v>
      </c>
      <c r="I4003" s="2" t="s">
        <v>2246</v>
      </c>
    </row>
    <row r="4004" spans="1:9" ht="14.5" x14ac:dyDescent="0.35">
      <c r="A4004" s="2">
        <v>2087716</v>
      </c>
      <c r="B4004" s="2" t="str">
        <f>"3328135911860009"</f>
        <v>3328135911860009</v>
      </c>
      <c r="C4004" s="2" t="s">
        <v>4602</v>
      </c>
      <c r="D4004" s="2" t="s">
        <v>10</v>
      </c>
      <c r="E4004" s="2" t="s">
        <v>11</v>
      </c>
      <c r="F4004" s="2" t="s">
        <v>18</v>
      </c>
      <c r="G4004" s="2" t="s">
        <v>19</v>
      </c>
      <c r="H4004" s="2" t="s">
        <v>4290</v>
      </c>
      <c r="I4004" s="2" t="s">
        <v>4309</v>
      </c>
    </row>
    <row r="4005" spans="1:9" ht="14.5" x14ac:dyDescent="0.35">
      <c r="A4005" s="2">
        <v>1400821</v>
      </c>
      <c r="B4005" s="2" t="str">
        <f>"3328135911860009"</f>
        <v>3328135911860009</v>
      </c>
      <c r="C4005" s="2" t="s">
        <v>4602</v>
      </c>
      <c r="D4005" s="2" t="s">
        <v>17</v>
      </c>
      <c r="E4005" s="2" t="s">
        <v>11</v>
      </c>
      <c r="F4005" s="2" t="s">
        <v>303</v>
      </c>
      <c r="G4005" s="2" t="s">
        <v>3472</v>
      </c>
      <c r="H4005" s="2" t="s">
        <v>4603</v>
      </c>
      <c r="I4005" s="2" t="s">
        <v>4604</v>
      </c>
    </row>
    <row r="4006" spans="1:9" ht="14.5" x14ac:dyDescent="0.35">
      <c r="A4006" s="2">
        <v>1897528</v>
      </c>
      <c r="B4006" s="2" t="str">
        <f>"3328136011910002"</f>
        <v>3328136011910002</v>
      </c>
      <c r="C4006" s="2" t="s">
        <v>4605</v>
      </c>
      <c r="D4006" s="2" t="s">
        <v>189</v>
      </c>
      <c r="E4006" s="2" t="s">
        <v>11</v>
      </c>
      <c r="F4006" s="2" t="s">
        <v>18</v>
      </c>
      <c r="G4006" s="2" t="s">
        <v>19</v>
      </c>
      <c r="H4006" s="2" t="s">
        <v>4290</v>
      </c>
      <c r="I4006" s="2" t="s">
        <v>4606</v>
      </c>
    </row>
    <row r="4007" spans="1:9" ht="14.5" x14ac:dyDescent="0.35">
      <c r="A4007" s="2">
        <v>695539</v>
      </c>
      <c r="B4007" s="2" t="str">
        <f>"3328136011910002"</f>
        <v>3328136011910002</v>
      </c>
      <c r="C4007" s="2" t="s">
        <v>4605</v>
      </c>
      <c r="D4007" s="2" t="s">
        <v>17</v>
      </c>
      <c r="E4007" s="2" t="s">
        <v>11</v>
      </c>
      <c r="F4007" s="2" t="s">
        <v>18</v>
      </c>
      <c r="G4007" s="2" t="s">
        <v>190</v>
      </c>
      <c r="H4007" s="2" t="s">
        <v>4607</v>
      </c>
      <c r="I4007" s="2" t="s">
        <v>4608</v>
      </c>
    </row>
    <row r="4008" spans="1:9" ht="14.5" x14ac:dyDescent="0.35">
      <c r="A4008" s="2">
        <v>2464906</v>
      </c>
      <c r="B4008" s="2" t="str">
        <f>"3328136104970003"</f>
        <v>3328136104970003</v>
      </c>
      <c r="C4008" s="2" t="s">
        <v>4609</v>
      </c>
      <c r="D4008" s="2" t="s">
        <v>10</v>
      </c>
      <c r="E4008" s="2" t="s">
        <v>11</v>
      </c>
      <c r="F4008" s="2" t="s">
        <v>18</v>
      </c>
      <c r="G4008" s="2" t="s">
        <v>19</v>
      </c>
      <c r="H4008" s="2" t="s">
        <v>4290</v>
      </c>
      <c r="I4008" s="2" t="s">
        <v>2513</v>
      </c>
    </row>
    <row r="4009" spans="1:9" ht="14.5" x14ac:dyDescent="0.35">
      <c r="A4009" s="2">
        <v>421583</v>
      </c>
      <c r="B4009" s="2" t="str">
        <f>"3328136104970003"</f>
        <v>3328136104970003</v>
      </c>
      <c r="C4009" s="2" t="s">
        <v>4609</v>
      </c>
      <c r="D4009" s="2" t="s">
        <v>17</v>
      </c>
      <c r="E4009" s="2" t="s">
        <v>11</v>
      </c>
      <c r="F4009" s="2" t="s">
        <v>18</v>
      </c>
      <c r="G4009" s="2" t="s">
        <v>268</v>
      </c>
      <c r="H4009" s="2" t="s">
        <v>371</v>
      </c>
      <c r="I4009" s="2" t="s">
        <v>2346</v>
      </c>
    </row>
    <row r="4010" spans="1:9" ht="14.5" x14ac:dyDescent="0.35">
      <c r="A4010" s="2">
        <v>2514284</v>
      </c>
      <c r="B4010" s="2" t="str">
        <f>"3328136205850001"</f>
        <v>3328136205850001</v>
      </c>
      <c r="C4010" s="2" t="s">
        <v>4610</v>
      </c>
      <c r="D4010" s="2" t="s">
        <v>10</v>
      </c>
      <c r="E4010" s="2" t="s">
        <v>11</v>
      </c>
      <c r="F4010" s="2" t="s">
        <v>18</v>
      </c>
      <c r="G4010" s="2" t="s">
        <v>19</v>
      </c>
      <c r="H4010" s="2" t="s">
        <v>4290</v>
      </c>
      <c r="I4010" s="2" t="s">
        <v>4513</v>
      </c>
    </row>
    <row r="4011" spans="1:9" ht="14.5" x14ac:dyDescent="0.35">
      <c r="A4011" s="2">
        <v>264542</v>
      </c>
      <c r="B4011" s="2" t="str">
        <f>"3328136205850001"</f>
        <v>3328136205850001</v>
      </c>
      <c r="C4011" s="2" t="s">
        <v>4611</v>
      </c>
      <c r="D4011" s="2" t="s">
        <v>17</v>
      </c>
      <c r="E4011" s="2" t="s">
        <v>11</v>
      </c>
      <c r="F4011" s="2" t="s">
        <v>4380</v>
      </c>
      <c r="G4011" s="2" t="s">
        <v>4612</v>
      </c>
      <c r="H4011" s="2" t="s">
        <v>4613</v>
      </c>
      <c r="I4011" s="2" t="s">
        <v>4614</v>
      </c>
    </row>
    <row r="4012" spans="1:9" ht="14.5" x14ac:dyDescent="0.35">
      <c r="A4012" s="2">
        <v>2556404</v>
      </c>
      <c r="B4012" s="2" t="str">
        <f>"3328136302020006"</f>
        <v>3328136302020006</v>
      </c>
      <c r="C4012" s="2" t="s">
        <v>4615</v>
      </c>
      <c r="D4012" s="2" t="s">
        <v>17</v>
      </c>
      <c r="E4012" s="2" t="s">
        <v>11</v>
      </c>
      <c r="F4012" s="2" t="s">
        <v>18</v>
      </c>
      <c r="G4012" s="2" t="s">
        <v>19</v>
      </c>
      <c r="H4012" s="2" t="s">
        <v>4290</v>
      </c>
      <c r="I4012" s="2" t="s">
        <v>4315</v>
      </c>
    </row>
    <row r="4013" spans="1:9" ht="14.5" x14ac:dyDescent="0.35">
      <c r="A4013" s="2">
        <v>1392353</v>
      </c>
      <c r="B4013" s="2" t="str">
        <f>"3328136302020006"</f>
        <v>3328136302020006</v>
      </c>
      <c r="C4013" s="2" t="s">
        <v>4615</v>
      </c>
      <c r="D4013" s="2" t="s">
        <v>10</v>
      </c>
      <c r="E4013" s="2" t="s">
        <v>57</v>
      </c>
      <c r="F4013" s="2" t="s">
        <v>303</v>
      </c>
      <c r="G4013" s="2" t="s">
        <v>608</v>
      </c>
      <c r="H4013" s="2" t="s">
        <v>1089</v>
      </c>
      <c r="I4013" s="2" t="s">
        <v>4616</v>
      </c>
    </row>
    <row r="4014" spans="1:9" ht="14.5" x14ac:dyDescent="0.35">
      <c r="A4014" s="2">
        <v>381030</v>
      </c>
      <c r="B4014" s="2" t="str">
        <f>"3328136302910002"</f>
        <v>3328136302910002</v>
      </c>
      <c r="C4014" s="2" t="s">
        <v>4617</v>
      </c>
      <c r="D4014" s="2" t="s">
        <v>10</v>
      </c>
      <c r="E4014" s="2" t="s">
        <v>11</v>
      </c>
      <c r="F4014" s="2" t="s">
        <v>18</v>
      </c>
      <c r="G4014" s="2" t="s">
        <v>268</v>
      </c>
      <c r="H4014" s="2" t="s">
        <v>448</v>
      </c>
      <c r="I4014" s="2" t="s">
        <v>449</v>
      </c>
    </row>
    <row r="4015" spans="1:9" ht="14.5" x14ac:dyDescent="0.35">
      <c r="A4015" s="2">
        <v>2556227</v>
      </c>
      <c r="B4015" s="2" t="str">
        <f>"3328136302910002"</f>
        <v>3328136302910002</v>
      </c>
      <c r="C4015" s="2" t="s">
        <v>4617</v>
      </c>
      <c r="D4015" s="2" t="s">
        <v>17</v>
      </c>
      <c r="E4015" s="2" t="s">
        <v>11</v>
      </c>
      <c r="F4015" s="2" t="s">
        <v>18</v>
      </c>
      <c r="G4015" s="2" t="s">
        <v>19</v>
      </c>
      <c r="H4015" s="2" t="s">
        <v>4290</v>
      </c>
      <c r="I4015" s="2" t="s">
        <v>4303</v>
      </c>
    </row>
    <row r="4016" spans="1:9" ht="14.5" x14ac:dyDescent="0.35">
      <c r="A4016" s="2">
        <v>1018730</v>
      </c>
      <c r="B4016" s="2" t="str">
        <f>"3328136307890001"</f>
        <v>3328136307890001</v>
      </c>
      <c r="C4016" s="2" t="s">
        <v>4618</v>
      </c>
      <c r="D4016" s="2" t="s">
        <v>10</v>
      </c>
      <c r="E4016" s="2" t="s">
        <v>11</v>
      </c>
      <c r="F4016" s="2" t="s">
        <v>18</v>
      </c>
      <c r="G4016" s="2" t="s">
        <v>264</v>
      </c>
      <c r="H4016" s="2" t="s">
        <v>264</v>
      </c>
      <c r="I4016" s="2" t="s">
        <v>4619</v>
      </c>
    </row>
    <row r="4017" spans="1:9" ht="14.5" x14ac:dyDescent="0.35">
      <c r="A4017" s="2">
        <v>2556661</v>
      </c>
      <c r="B4017" s="2" t="str">
        <f>"3328136307890001"</f>
        <v>3328136307890001</v>
      </c>
      <c r="C4017" s="2" t="s">
        <v>4618</v>
      </c>
      <c r="D4017" s="2" t="s">
        <v>17</v>
      </c>
      <c r="E4017" s="2" t="s">
        <v>11</v>
      </c>
      <c r="F4017" s="2" t="s">
        <v>18</v>
      </c>
      <c r="G4017" s="2" t="s">
        <v>19</v>
      </c>
      <c r="H4017" s="2" t="s">
        <v>4290</v>
      </c>
      <c r="I4017" s="2" t="s">
        <v>4318</v>
      </c>
    </row>
    <row r="4018" spans="1:9" ht="14.5" x14ac:dyDescent="0.35">
      <c r="A4018" s="2">
        <v>269007</v>
      </c>
      <c r="B4018" s="2" t="str">
        <f>"3328136309010003"</f>
        <v>3328136309010003</v>
      </c>
      <c r="C4018" s="2" t="s">
        <v>4620</v>
      </c>
      <c r="D4018" s="2" t="s">
        <v>10</v>
      </c>
      <c r="E4018" s="2" t="s">
        <v>11</v>
      </c>
      <c r="F4018" s="2" t="s">
        <v>91</v>
      </c>
      <c r="G4018" s="2" t="s">
        <v>155</v>
      </c>
      <c r="H4018" s="2" t="s">
        <v>4579</v>
      </c>
      <c r="I4018" s="2" t="s">
        <v>4580</v>
      </c>
    </row>
    <row r="4019" spans="1:9" ht="14.5" x14ac:dyDescent="0.35">
      <c r="A4019" s="2">
        <v>2557604</v>
      </c>
      <c r="B4019" s="2" t="str">
        <f>"3328136309010003"</f>
        <v>3328136309010003</v>
      </c>
      <c r="C4019" s="2" t="s">
        <v>4620</v>
      </c>
      <c r="D4019" s="2" t="s">
        <v>17</v>
      </c>
      <c r="E4019" s="2" t="s">
        <v>11</v>
      </c>
      <c r="F4019" s="2" t="s">
        <v>18</v>
      </c>
      <c r="G4019" s="2" t="s">
        <v>19</v>
      </c>
      <c r="H4019" s="2" t="s">
        <v>4290</v>
      </c>
      <c r="I4019" s="2" t="s">
        <v>878</v>
      </c>
    </row>
    <row r="4020" spans="1:9" ht="14.5" x14ac:dyDescent="0.35">
      <c r="A4020" s="2">
        <v>2109393</v>
      </c>
      <c r="B4020" s="2" t="str">
        <f>"3328136309960004"</f>
        <v>3328136309960004</v>
      </c>
      <c r="C4020" s="2" t="s">
        <v>4621</v>
      </c>
      <c r="D4020" s="2" t="s">
        <v>10</v>
      </c>
      <c r="E4020" s="2" t="s">
        <v>11</v>
      </c>
      <c r="F4020" s="2" t="s">
        <v>18</v>
      </c>
      <c r="G4020" s="2" t="s">
        <v>19</v>
      </c>
      <c r="H4020" s="2" t="s">
        <v>4290</v>
      </c>
      <c r="I4020" s="2" t="s">
        <v>4347</v>
      </c>
    </row>
    <row r="4021" spans="1:9" ht="14.5" x14ac:dyDescent="0.35">
      <c r="A4021" s="2">
        <v>1117581</v>
      </c>
      <c r="B4021" s="2" t="str">
        <f>"3328136309960004"</f>
        <v>3328136309960004</v>
      </c>
      <c r="C4021" s="2" t="s">
        <v>4621</v>
      </c>
      <c r="D4021" s="2" t="s">
        <v>17</v>
      </c>
      <c r="E4021" s="2" t="s">
        <v>11</v>
      </c>
      <c r="F4021" s="2" t="s">
        <v>18</v>
      </c>
      <c r="G4021" s="2" t="s">
        <v>171</v>
      </c>
      <c r="H4021" s="2" t="s">
        <v>171</v>
      </c>
      <c r="I4021" s="2" t="s">
        <v>4365</v>
      </c>
    </row>
    <row r="4022" spans="1:9" ht="14.5" x14ac:dyDescent="0.35">
      <c r="A4022" s="2">
        <v>296409</v>
      </c>
      <c r="B4022" s="2" t="str">
        <f>"3328136312770002"</f>
        <v>3328136312770002</v>
      </c>
      <c r="C4022" s="2" t="s">
        <v>4622</v>
      </c>
      <c r="D4022" s="2" t="s">
        <v>10</v>
      </c>
      <c r="E4022" s="2" t="s">
        <v>11</v>
      </c>
      <c r="F4022" s="2" t="s">
        <v>18</v>
      </c>
      <c r="G4022" s="2" t="s">
        <v>268</v>
      </c>
      <c r="H4022" s="2" t="s">
        <v>277</v>
      </c>
      <c r="I4022" s="2" t="s">
        <v>2762</v>
      </c>
    </row>
    <row r="4023" spans="1:9" ht="14.5" x14ac:dyDescent="0.35">
      <c r="A4023" s="2">
        <v>2557109</v>
      </c>
      <c r="B4023" s="2" t="str">
        <f>"3328136312770002"</f>
        <v>3328136312770002</v>
      </c>
      <c r="C4023" s="2" t="s">
        <v>4622</v>
      </c>
      <c r="D4023" s="2" t="s">
        <v>17</v>
      </c>
      <c r="E4023" s="2" t="s">
        <v>11</v>
      </c>
      <c r="F4023" s="2" t="s">
        <v>18</v>
      </c>
      <c r="G4023" s="2" t="s">
        <v>19</v>
      </c>
      <c r="H4023" s="2" t="s">
        <v>4290</v>
      </c>
      <c r="I4023" s="2" t="s">
        <v>4347</v>
      </c>
    </row>
    <row r="4024" spans="1:9" ht="14.5" x14ac:dyDescent="0.35">
      <c r="A4024" s="2">
        <v>325857</v>
      </c>
      <c r="B4024" s="2" t="str">
        <f>"3328136404880004"</f>
        <v>3328136404880004</v>
      </c>
      <c r="C4024" s="2" t="s">
        <v>4574</v>
      </c>
      <c r="D4024" s="2" t="s">
        <v>10</v>
      </c>
      <c r="E4024" s="2" t="s">
        <v>11</v>
      </c>
      <c r="F4024" s="2" t="s">
        <v>18</v>
      </c>
      <c r="G4024" s="2" t="s">
        <v>268</v>
      </c>
      <c r="H4024" s="2" t="s">
        <v>269</v>
      </c>
      <c r="I4024" s="2" t="s">
        <v>4408</v>
      </c>
    </row>
    <row r="4025" spans="1:9" ht="14.5" x14ac:dyDescent="0.35">
      <c r="A4025" s="2">
        <v>2556996</v>
      </c>
      <c r="B4025" s="2" t="str">
        <f>"3328136404880004"</f>
        <v>3328136404880004</v>
      </c>
      <c r="C4025" s="2" t="s">
        <v>4574</v>
      </c>
      <c r="D4025" s="2" t="s">
        <v>17</v>
      </c>
      <c r="E4025" s="2" t="s">
        <v>11</v>
      </c>
      <c r="F4025" s="2" t="s">
        <v>18</v>
      </c>
      <c r="G4025" s="2" t="s">
        <v>19</v>
      </c>
      <c r="H4025" s="2" t="s">
        <v>4290</v>
      </c>
      <c r="I4025" s="2" t="s">
        <v>4513</v>
      </c>
    </row>
    <row r="4026" spans="1:9" ht="14.5" x14ac:dyDescent="0.35">
      <c r="A4026" s="2">
        <v>1897421</v>
      </c>
      <c r="B4026" s="2" t="str">
        <f>"3328136412030001"</f>
        <v>3328136412030001</v>
      </c>
      <c r="C4026" s="2" t="s">
        <v>4623</v>
      </c>
      <c r="D4026" s="2" t="s">
        <v>10</v>
      </c>
      <c r="E4026" s="2" t="s">
        <v>11</v>
      </c>
      <c r="F4026" s="2" t="s">
        <v>18</v>
      </c>
      <c r="G4026" s="2" t="s">
        <v>19</v>
      </c>
      <c r="H4026" s="2" t="s">
        <v>4290</v>
      </c>
      <c r="I4026" s="2" t="s">
        <v>4606</v>
      </c>
    </row>
    <row r="4027" spans="1:9" ht="14.5" x14ac:dyDescent="0.35">
      <c r="A4027" s="2">
        <v>1352896</v>
      </c>
      <c r="B4027" s="2" t="str">
        <f>"3328136412030001"</f>
        <v>3328136412030001</v>
      </c>
      <c r="C4027" s="2" t="s">
        <v>4623</v>
      </c>
      <c r="D4027" s="2" t="s">
        <v>10</v>
      </c>
      <c r="E4027" s="2" t="s">
        <v>57</v>
      </c>
      <c r="F4027" s="2" t="s">
        <v>303</v>
      </c>
      <c r="G4027" s="2" t="s">
        <v>608</v>
      </c>
      <c r="H4027" s="2" t="s">
        <v>609</v>
      </c>
      <c r="I4027" s="2" t="s">
        <v>610</v>
      </c>
    </row>
    <row r="4028" spans="1:9" ht="14.5" x14ac:dyDescent="0.35">
      <c r="A4028" s="2">
        <v>1911141</v>
      </c>
      <c r="B4028" s="2" t="str">
        <f>"3328136606940002"</f>
        <v>3328136606940002</v>
      </c>
      <c r="C4028" s="2" t="s">
        <v>4624</v>
      </c>
      <c r="D4028" s="2" t="s">
        <v>10</v>
      </c>
      <c r="E4028" s="2" t="s">
        <v>11</v>
      </c>
      <c r="F4028" s="2" t="s">
        <v>18</v>
      </c>
      <c r="G4028" s="2" t="s">
        <v>19</v>
      </c>
      <c r="H4028" s="2" t="s">
        <v>4290</v>
      </c>
      <c r="I4028" s="2" t="s">
        <v>4475</v>
      </c>
    </row>
    <row r="4029" spans="1:9" ht="14.5" x14ac:dyDescent="0.35">
      <c r="A4029" s="2">
        <v>423175</v>
      </c>
      <c r="B4029" s="2" t="str">
        <f>"3328136606940002"</f>
        <v>3328136606940002</v>
      </c>
      <c r="C4029" s="2" t="s">
        <v>4625</v>
      </c>
      <c r="D4029" s="2" t="s">
        <v>17</v>
      </c>
      <c r="E4029" s="2" t="s">
        <v>11</v>
      </c>
      <c r="F4029" s="2" t="s">
        <v>18</v>
      </c>
      <c r="G4029" s="2" t="s">
        <v>268</v>
      </c>
      <c r="H4029" s="2" t="s">
        <v>269</v>
      </c>
      <c r="I4029" s="2" t="s">
        <v>4408</v>
      </c>
    </row>
    <row r="4030" spans="1:9" ht="14.5" x14ac:dyDescent="0.35">
      <c r="A4030" s="2">
        <v>2409758</v>
      </c>
      <c r="B4030" s="2" t="str">
        <f>"3328136612850001"</f>
        <v>3328136612850001</v>
      </c>
      <c r="C4030" s="2" t="s">
        <v>4626</v>
      </c>
      <c r="D4030" s="2" t="s">
        <v>10</v>
      </c>
      <c r="E4030" s="2" t="s">
        <v>11</v>
      </c>
      <c r="F4030" s="2" t="s">
        <v>18</v>
      </c>
      <c r="G4030" s="2" t="s">
        <v>19</v>
      </c>
      <c r="H4030" s="2" t="s">
        <v>4290</v>
      </c>
      <c r="I4030" s="2" t="s">
        <v>1381</v>
      </c>
    </row>
    <row r="4031" spans="1:9" ht="14.5" x14ac:dyDescent="0.35">
      <c r="A4031" s="2">
        <v>1959536</v>
      </c>
      <c r="B4031" s="2" t="str">
        <f>"3328136612850001"</f>
        <v>3328136612850001</v>
      </c>
      <c r="C4031" s="2" t="s">
        <v>4626</v>
      </c>
      <c r="D4031" s="2" t="s">
        <v>17</v>
      </c>
      <c r="E4031" s="2" t="s">
        <v>11</v>
      </c>
      <c r="F4031" s="2" t="s">
        <v>50</v>
      </c>
      <c r="G4031" s="2" t="s">
        <v>86</v>
      </c>
      <c r="H4031" s="2" t="s">
        <v>1268</v>
      </c>
      <c r="I4031" s="2" t="s">
        <v>2503</v>
      </c>
    </row>
    <row r="4032" spans="1:9" ht="14.5" x14ac:dyDescent="0.35">
      <c r="A4032" s="2">
        <v>2409657</v>
      </c>
      <c r="B4032" s="2" t="str">
        <f>"3328136804030001"</f>
        <v>3328136804030001</v>
      </c>
      <c r="C4032" s="2" t="s">
        <v>4627</v>
      </c>
      <c r="D4032" s="2" t="s">
        <v>10</v>
      </c>
      <c r="E4032" s="2" t="s">
        <v>11</v>
      </c>
      <c r="F4032" s="2" t="s">
        <v>18</v>
      </c>
      <c r="G4032" s="2" t="s">
        <v>19</v>
      </c>
      <c r="H4032" s="2" t="s">
        <v>4290</v>
      </c>
      <c r="I4032" s="2" t="s">
        <v>1381</v>
      </c>
    </row>
    <row r="4033" spans="1:9" ht="14.5" x14ac:dyDescent="0.35">
      <c r="A4033" s="2">
        <v>1352897</v>
      </c>
      <c r="B4033" s="2" t="str">
        <f>"3328136804030001"</f>
        <v>3328136804030001</v>
      </c>
      <c r="C4033" s="2" t="s">
        <v>4627</v>
      </c>
      <c r="D4033" s="2" t="s">
        <v>10</v>
      </c>
      <c r="E4033" s="2" t="s">
        <v>57</v>
      </c>
      <c r="F4033" s="2" t="s">
        <v>303</v>
      </c>
      <c r="G4033" s="2" t="s">
        <v>608</v>
      </c>
      <c r="H4033" s="2" t="s">
        <v>609</v>
      </c>
      <c r="I4033" s="2" t="s">
        <v>610</v>
      </c>
    </row>
    <row r="4034" spans="1:9" ht="14.5" x14ac:dyDescent="0.35">
      <c r="A4034" s="2">
        <v>1744464</v>
      </c>
      <c r="B4034" s="2" t="str">
        <f>"3328136805920003"</f>
        <v>3328136805920003</v>
      </c>
      <c r="C4034" s="2" t="s">
        <v>4628</v>
      </c>
      <c r="D4034" s="2" t="s">
        <v>10</v>
      </c>
      <c r="E4034" s="2" t="s">
        <v>11</v>
      </c>
      <c r="F4034" s="2" t="s">
        <v>18</v>
      </c>
      <c r="G4034" s="2" t="s">
        <v>19</v>
      </c>
      <c r="H4034" s="2" t="s">
        <v>4290</v>
      </c>
      <c r="I4034" s="2" t="s">
        <v>4426</v>
      </c>
    </row>
    <row r="4035" spans="1:9" ht="14.5" x14ac:dyDescent="0.35">
      <c r="A4035" s="2">
        <v>2431550</v>
      </c>
      <c r="B4035" s="2" t="str">
        <f>"3328136805920003"</f>
        <v>3328136805920003</v>
      </c>
      <c r="C4035" s="2" t="s">
        <v>4628</v>
      </c>
      <c r="D4035" s="2" t="s">
        <v>17</v>
      </c>
      <c r="E4035" s="2" t="s">
        <v>11</v>
      </c>
      <c r="F4035" s="2" t="s">
        <v>50</v>
      </c>
      <c r="G4035" s="2" t="s">
        <v>58</v>
      </c>
      <c r="H4035" s="2" t="s">
        <v>1283</v>
      </c>
      <c r="I4035" s="2" t="s">
        <v>2971</v>
      </c>
    </row>
    <row r="4036" spans="1:9" ht="14.5" x14ac:dyDescent="0.35">
      <c r="A4036" s="2">
        <v>1898908</v>
      </c>
      <c r="B4036" s="2" t="str">
        <f>"3328136812960004"</f>
        <v>3328136812960004</v>
      </c>
      <c r="C4036" s="2" t="s">
        <v>4629</v>
      </c>
      <c r="D4036" s="2" t="s">
        <v>189</v>
      </c>
      <c r="E4036" s="2" t="s">
        <v>11</v>
      </c>
      <c r="F4036" s="2" t="s">
        <v>18</v>
      </c>
      <c r="G4036" s="2" t="s">
        <v>19</v>
      </c>
      <c r="H4036" s="2" t="s">
        <v>4290</v>
      </c>
      <c r="I4036" s="2" t="s">
        <v>4358</v>
      </c>
    </row>
    <row r="4037" spans="1:9" ht="14.5" x14ac:dyDescent="0.35">
      <c r="A4037" s="2">
        <v>1636274</v>
      </c>
      <c r="B4037" s="2" t="str">
        <f>"3328136812960004"</f>
        <v>3328136812960004</v>
      </c>
      <c r="C4037" s="2" t="s">
        <v>4629</v>
      </c>
      <c r="D4037" s="2" t="s">
        <v>17</v>
      </c>
      <c r="E4037" s="2" t="s">
        <v>11</v>
      </c>
      <c r="F4037" s="2" t="s">
        <v>18</v>
      </c>
      <c r="G4037" s="2" t="s">
        <v>264</v>
      </c>
      <c r="H4037" s="2" t="s">
        <v>477</v>
      </c>
      <c r="I4037" s="2" t="s">
        <v>4630</v>
      </c>
    </row>
    <row r="4038" spans="1:9" ht="14.5" x14ac:dyDescent="0.35">
      <c r="A4038" s="2">
        <v>1858136</v>
      </c>
      <c r="B4038" s="2" t="str">
        <f>"3328136906840006"</f>
        <v>3328136906840006</v>
      </c>
      <c r="C4038" s="2" t="s">
        <v>153</v>
      </c>
      <c r="D4038" s="2" t="s">
        <v>10</v>
      </c>
      <c r="E4038" s="2" t="s">
        <v>11</v>
      </c>
      <c r="F4038" s="2" t="s">
        <v>50</v>
      </c>
      <c r="G4038" s="2" t="s">
        <v>58</v>
      </c>
      <c r="H4038" s="2" t="s">
        <v>97</v>
      </c>
      <c r="I4038" s="2" t="s">
        <v>342</v>
      </c>
    </row>
    <row r="4039" spans="1:9" ht="14.5" x14ac:dyDescent="0.35">
      <c r="A4039" s="2">
        <v>2556759</v>
      </c>
      <c r="B4039" s="2" t="str">
        <f>"3328136906840006"</f>
        <v>3328136906840006</v>
      </c>
      <c r="C4039" s="2" t="s">
        <v>153</v>
      </c>
      <c r="D4039" s="2" t="s">
        <v>17</v>
      </c>
      <c r="E4039" s="2" t="s">
        <v>11</v>
      </c>
      <c r="F4039" s="2" t="s">
        <v>18</v>
      </c>
      <c r="G4039" s="2" t="s">
        <v>19</v>
      </c>
      <c r="H4039" s="2" t="s">
        <v>4290</v>
      </c>
      <c r="I4039" s="2" t="s">
        <v>4358</v>
      </c>
    </row>
    <row r="4040" spans="1:9" ht="14.5" x14ac:dyDescent="0.35">
      <c r="A4040" s="2">
        <v>213496</v>
      </c>
      <c r="B4040" s="2" t="str">
        <f>"3328137011920004"</f>
        <v>3328137011920004</v>
      </c>
      <c r="C4040" s="2" t="s">
        <v>4631</v>
      </c>
      <c r="D4040" s="2" t="s">
        <v>10</v>
      </c>
      <c r="E4040" s="2" t="s">
        <v>11</v>
      </c>
      <c r="F4040" s="2" t="s">
        <v>18</v>
      </c>
      <c r="G4040" s="2" t="s">
        <v>268</v>
      </c>
      <c r="H4040" s="2" t="s">
        <v>371</v>
      </c>
      <c r="I4040" s="2" t="s">
        <v>2772</v>
      </c>
    </row>
    <row r="4041" spans="1:9" ht="14.5" x14ac:dyDescent="0.35">
      <c r="A4041" s="2">
        <v>2557467</v>
      </c>
      <c r="B4041" s="2" t="str">
        <f>"3328137011920004"</f>
        <v>3328137011920004</v>
      </c>
      <c r="C4041" s="2" t="s">
        <v>4631</v>
      </c>
      <c r="D4041" s="2" t="s">
        <v>17</v>
      </c>
      <c r="E4041" s="2" t="s">
        <v>11</v>
      </c>
      <c r="F4041" s="2" t="s">
        <v>18</v>
      </c>
      <c r="G4041" s="2" t="s">
        <v>19</v>
      </c>
      <c r="H4041" s="2" t="s">
        <v>4290</v>
      </c>
      <c r="I4041" s="2" t="s">
        <v>1381</v>
      </c>
    </row>
    <row r="4042" spans="1:9" ht="14.5" x14ac:dyDescent="0.35">
      <c r="A4042" s="2">
        <v>2083802</v>
      </c>
      <c r="B4042" s="2" t="str">
        <f>"3328137107030001"</f>
        <v>3328137107030001</v>
      </c>
      <c r="C4042" s="2" t="s">
        <v>4632</v>
      </c>
      <c r="D4042" s="2" t="s">
        <v>10</v>
      </c>
      <c r="E4042" s="2" t="s">
        <v>11</v>
      </c>
      <c r="F4042" s="2" t="s">
        <v>18</v>
      </c>
      <c r="G4042" s="2" t="s">
        <v>19</v>
      </c>
      <c r="H4042" s="2" t="s">
        <v>4290</v>
      </c>
      <c r="I4042" s="2" t="s">
        <v>4309</v>
      </c>
    </row>
    <row r="4043" spans="1:9" ht="14.5" x14ac:dyDescent="0.35">
      <c r="A4043" s="2">
        <v>1352899</v>
      </c>
      <c r="B4043" s="2" t="str">
        <f>"3328137107030001"</f>
        <v>3328137107030001</v>
      </c>
      <c r="C4043" s="2" t="s">
        <v>4632</v>
      </c>
      <c r="D4043" s="2" t="s">
        <v>10</v>
      </c>
      <c r="E4043" s="2" t="s">
        <v>57</v>
      </c>
      <c r="F4043" s="2" t="s">
        <v>303</v>
      </c>
      <c r="G4043" s="2" t="s">
        <v>608</v>
      </c>
      <c r="H4043" s="2" t="s">
        <v>609</v>
      </c>
      <c r="I4043" s="2" t="s">
        <v>610</v>
      </c>
    </row>
    <row r="4044" spans="1:9" ht="14.5" x14ac:dyDescent="0.35">
      <c r="A4044" s="2">
        <v>2408492</v>
      </c>
      <c r="B4044" s="2" t="str">
        <f>"3328152610010012"</f>
        <v>3328152610010012</v>
      </c>
      <c r="C4044" s="2" t="s">
        <v>4633</v>
      </c>
      <c r="D4044" s="2" t="s">
        <v>10</v>
      </c>
      <c r="E4044" s="2" t="s">
        <v>11</v>
      </c>
      <c r="F4044" s="2" t="s">
        <v>18</v>
      </c>
      <c r="G4044" s="2" t="s">
        <v>19</v>
      </c>
      <c r="H4044" s="2" t="s">
        <v>4290</v>
      </c>
      <c r="I4044" s="2" t="s">
        <v>1381</v>
      </c>
    </row>
    <row r="4045" spans="1:9" ht="14.5" x14ac:dyDescent="0.35">
      <c r="A4045" s="2">
        <v>423825</v>
      </c>
      <c r="B4045" s="2" t="str">
        <f>"3328152610010012"</f>
        <v>3328152610010012</v>
      </c>
      <c r="C4045" s="2" t="s">
        <v>4634</v>
      </c>
      <c r="D4045" s="2" t="s">
        <v>10</v>
      </c>
      <c r="E4045" s="2" t="s">
        <v>57</v>
      </c>
      <c r="F4045" s="2" t="s">
        <v>18</v>
      </c>
      <c r="G4045" s="2" t="s">
        <v>268</v>
      </c>
      <c r="H4045" s="2" t="s">
        <v>277</v>
      </c>
      <c r="I4045" s="2" t="s">
        <v>278</v>
      </c>
    </row>
    <row r="4046" spans="1:9" ht="14.5" x14ac:dyDescent="0.35">
      <c r="A4046" s="2">
        <v>1442602</v>
      </c>
      <c r="B4046" s="2" t="str">
        <f>"3329034505870007"</f>
        <v>3329034505870007</v>
      </c>
      <c r="C4046" s="2" t="s">
        <v>4635</v>
      </c>
      <c r="D4046" s="2" t="s">
        <v>10</v>
      </c>
      <c r="E4046" s="2" t="s">
        <v>11</v>
      </c>
      <c r="F4046" s="2" t="s">
        <v>18</v>
      </c>
      <c r="G4046" s="2" t="s">
        <v>19</v>
      </c>
      <c r="H4046" s="2" t="s">
        <v>4290</v>
      </c>
      <c r="I4046" s="2" t="s">
        <v>878</v>
      </c>
    </row>
    <row r="4047" spans="1:9" ht="14.5" x14ac:dyDescent="0.35">
      <c r="A4047" s="2">
        <v>1652944</v>
      </c>
      <c r="B4047" s="2" t="str">
        <f>"3329034505870007"</f>
        <v>3329034505870007</v>
      </c>
      <c r="C4047" s="2" t="s">
        <v>4635</v>
      </c>
      <c r="D4047" s="2" t="s">
        <v>17</v>
      </c>
      <c r="E4047" s="2" t="s">
        <v>11</v>
      </c>
      <c r="F4047" s="2" t="s">
        <v>18</v>
      </c>
      <c r="G4047" s="2" t="s">
        <v>264</v>
      </c>
      <c r="H4047" s="2" t="s">
        <v>461</v>
      </c>
      <c r="I4047" s="2" t="s">
        <v>842</v>
      </c>
    </row>
    <row r="4048" spans="1:9" ht="14.5" x14ac:dyDescent="0.35">
      <c r="A4048" s="2">
        <v>1185994</v>
      </c>
      <c r="B4048" s="2" t="str">
        <f>"3329040712840001"</f>
        <v>3329040712840001</v>
      </c>
      <c r="C4048" s="2" t="s">
        <v>4636</v>
      </c>
      <c r="D4048" s="2" t="s">
        <v>10</v>
      </c>
      <c r="E4048" s="2" t="s">
        <v>11</v>
      </c>
      <c r="F4048" s="2" t="s">
        <v>18</v>
      </c>
      <c r="G4048" s="2" t="s">
        <v>264</v>
      </c>
      <c r="H4048" s="2" t="s">
        <v>396</v>
      </c>
      <c r="I4048" s="2" t="s">
        <v>844</v>
      </c>
    </row>
    <row r="4049" spans="1:9" ht="14.5" x14ac:dyDescent="0.35">
      <c r="A4049" s="2">
        <v>2557174</v>
      </c>
      <c r="B4049" s="2" t="str">
        <f>"3329040712840001"</f>
        <v>3329040712840001</v>
      </c>
      <c r="C4049" s="2" t="s">
        <v>4636</v>
      </c>
      <c r="D4049" s="2" t="s">
        <v>17</v>
      </c>
      <c r="E4049" s="2" t="s">
        <v>11</v>
      </c>
      <c r="F4049" s="2" t="s">
        <v>18</v>
      </c>
      <c r="G4049" s="2" t="s">
        <v>19</v>
      </c>
      <c r="H4049" s="2" t="s">
        <v>4290</v>
      </c>
      <c r="I4049" s="2" t="s">
        <v>4309</v>
      </c>
    </row>
    <row r="4050" spans="1:9" ht="14.5" x14ac:dyDescent="0.35">
      <c r="A4050" s="2">
        <v>1319852</v>
      </c>
      <c r="B4050" s="2" t="str">
        <f>"3329051001930001"</f>
        <v>3329051001930001</v>
      </c>
      <c r="C4050" s="2" t="s">
        <v>4637</v>
      </c>
      <c r="D4050" s="2" t="s">
        <v>10</v>
      </c>
      <c r="E4050" s="2" t="s">
        <v>11</v>
      </c>
      <c r="F4050" s="2" t="s">
        <v>18</v>
      </c>
      <c r="G4050" s="2" t="s">
        <v>264</v>
      </c>
      <c r="H4050" s="2" t="s">
        <v>289</v>
      </c>
      <c r="I4050" s="2" t="s">
        <v>290</v>
      </c>
    </row>
    <row r="4051" spans="1:9" ht="14.5" x14ac:dyDescent="0.35">
      <c r="A4051" s="2">
        <v>2556421</v>
      </c>
      <c r="B4051" s="2" t="str">
        <f>"3329051001930001"</f>
        <v>3329051001930001</v>
      </c>
      <c r="C4051" s="2" t="s">
        <v>4637</v>
      </c>
      <c r="D4051" s="2" t="s">
        <v>17</v>
      </c>
      <c r="E4051" s="2" t="s">
        <v>11</v>
      </c>
      <c r="F4051" s="2" t="s">
        <v>18</v>
      </c>
      <c r="G4051" s="2" t="s">
        <v>19</v>
      </c>
      <c r="H4051" s="2" t="s">
        <v>4290</v>
      </c>
      <c r="I4051" s="2" t="s">
        <v>4315</v>
      </c>
    </row>
    <row r="4052" spans="1:9" ht="14.5" x14ac:dyDescent="0.35">
      <c r="A4052" s="2">
        <v>637703</v>
      </c>
      <c r="B4052" s="2" t="str">
        <f>"3329081208890017"</f>
        <v>3329081208890017</v>
      </c>
      <c r="C4052" s="2" t="s">
        <v>4638</v>
      </c>
      <c r="D4052" s="2" t="s">
        <v>10</v>
      </c>
      <c r="E4052" s="2" t="s">
        <v>11</v>
      </c>
      <c r="F4052" s="2" t="s">
        <v>18</v>
      </c>
      <c r="G4052" s="2" t="s">
        <v>264</v>
      </c>
      <c r="H4052" s="2" t="s">
        <v>248</v>
      </c>
      <c r="I4052" s="2" t="s">
        <v>4639</v>
      </c>
    </row>
    <row r="4053" spans="1:9" ht="14.5" x14ac:dyDescent="0.35">
      <c r="A4053" s="2">
        <v>2556740</v>
      </c>
      <c r="B4053" s="2" t="str">
        <f>"3329081208890017"</f>
        <v>3329081208890017</v>
      </c>
      <c r="C4053" s="2" t="s">
        <v>4638</v>
      </c>
      <c r="D4053" s="2" t="s">
        <v>17</v>
      </c>
      <c r="E4053" s="2" t="s">
        <v>11</v>
      </c>
      <c r="F4053" s="2" t="s">
        <v>18</v>
      </c>
      <c r="G4053" s="2" t="s">
        <v>19</v>
      </c>
      <c r="H4053" s="2" t="s">
        <v>4290</v>
      </c>
      <c r="I4053" s="2" t="s">
        <v>4290</v>
      </c>
    </row>
    <row r="4054" spans="1:9" ht="14.5" x14ac:dyDescent="0.35">
      <c r="A4054" s="2">
        <v>1941781</v>
      </c>
      <c r="B4054" s="2" t="str">
        <f>"3329081507650002"</f>
        <v>3329081507650002</v>
      </c>
      <c r="C4054" s="2" t="s">
        <v>4640</v>
      </c>
      <c r="D4054" s="2" t="s">
        <v>10</v>
      </c>
      <c r="E4054" s="2" t="s">
        <v>11</v>
      </c>
      <c r="F4054" s="2" t="s">
        <v>18</v>
      </c>
      <c r="G4054" s="2" t="s">
        <v>19</v>
      </c>
      <c r="H4054" s="2" t="s">
        <v>4290</v>
      </c>
      <c r="I4054" s="2" t="s">
        <v>4329</v>
      </c>
    </row>
    <row r="4055" spans="1:9" ht="14.5" x14ac:dyDescent="0.35">
      <c r="A4055" s="2">
        <v>1627274</v>
      </c>
      <c r="B4055" s="2" t="str">
        <f>"3329081507650002"</f>
        <v>3329081507650002</v>
      </c>
      <c r="C4055" s="2" t="s">
        <v>4640</v>
      </c>
      <c r="D4055" s="2" t="s">
        <v>17</v>
      </c>
      <c r="E4055" s="2" t="s">
        <v>11</v>
      </c>
      <c r="F4055" s="2" t="s">
        <v>18</v>
      </c>
      <c r="G4055" s="2" t="s">
        <v>264</v>
      </c>
      <c r="H4055" s="2" t="s">
        <v>248</v>
      </c>
      <c r="I4055" s="2" t="s">
        <v>2689</v>
      </c>
    </row>
    <row r="4056" spans="1:9" ht="14.5" x14ac:dyDescent="0.35">
      <c r="A4056" s="2">
        <v>1940873</v>
      </c>
      <c r="B4056" s="2" t="str">
        <f>"3329082804840013"</f>
        <v>3329082804840013</v>
      </c>
      <c r="C4056" s="2" t="s">
        <v>4641</v>
      </c>
      <c r="D4056" s="2" t="s">
        <v>10</v>
      </c>
      <c r="E4056" s="2" t="s">
        <v>11</v>
      </c>
      <c r="F4056" s="2" t="s">
        <v>18</v>
      </c>
      <c r="G4056" s="2" t="s">
        <v>19</v>
      </c>
      <c r="H4056" s="2" t="s">
        <v>4290</v>
      </c>
      <c r="I4056" s="2" t="s">
        <v>4329</v>
      </c>
    </row>
    <row r="4057" spans="1:9" ht="14.5" x14ac:dyDescent="0.35">
      <c r="A4057" s="2">
        <v>1627611</v>
      </c>
      <c r="B4057" s="2" t="str">
        <f>"3329082804840013"</f>
        <v>3329082804840013</v>
      </c>
      <c r="C4057" s="2" t="s">
        <v>4642</v>
      </c>
      <c r="D4057" s="2" t="s">
        <v>17</v>
      </c>
      <c r="E4057" s="2" t="s">
        <v>11</v>
      </c>
      <c r="F4057" s="2" t="s">
        <v>18</v>
      </c>
      <c r="G4057" s="2" t="s">
        <v>264</v>
      </c>
      <c r="H4057" s="2" t="s">
        <v>248</v>
      </c>
      <c r="I4057" s="2" t="s">
        <v>868</v>
      </c>
    </row>
    <row r="4058" spans="1:9" ht="14.5" x14ac:dyDescent="0.35">
      <c r="A4058" s="2">
        <v>865678</v>
      </c>
      <c r="B4058" s="2" t="str">
        <f>"3329086610020004"</f>
        <v>3329086610020004</v>
      </c>
      <c r="C4058" s="2" t="s">
        <v>4643</v>
      </c>
      <c r="D4058" s="2" t="s">
        <v>10</v>
      </c>
      <c r="E4058" s="2" t="s">
        <v>11</v>
      </c>
      <c r="F4058" s="2" t="s">
        <v>18</v>
      </c>
      <c r="G4058" s="2" t="s">
        <v>264</v>
      </c>
      <c r="H4058" s="2" t="s">
        <v>248</v>
      </c>
      <c r="I4058" s="2" t="s">
        <v>992</v>
      </c>
    </row>
    <row r="4059" spans="1:9" ht="14.5" x14ac:dyDescent="0.35">
      <c r="A4059" s="2">
        <v>2557493</v>
      </c>
      <c r="B4059" s="2" t="str">
        <f>"3329086610020004"</f>
        <v>3329086610020004</v>
      </c>
      <c r="C4059" s="2" t="s">
        <v>4644</v>
      </c>
      <c r="D4059" s="2" t="s">
        <v>17</v>
      </c>
      <c r="E4059" s="2" t="s">
        <v>11</v>
      </c>
      <c r="F4059" s="2" t="s">
        <v>18</v>
      </c>
      <c r="G4059" s="2" t="s">
        <v>19</v>
      </c>
      <c r="H4059" s="2" t="s">
        <v>4290</v>
      </c>
      <c r="I4059" s="2" t="s">
        <v>878</v>
      </c>
    </row>
    <row r="4060" spans="1:9" ht="14.5" x14ac:dyDescent="0.35">
      <c r="A4060" s="2">
        <v>835814</v>
      </c>
      <c r="B4060" s="2" t="str">
        <f>"3329096508960006"</f>
        <v>3329096508960006</v>
      </c>
      <c r="C4060" s="2" t="s">
        <v>4645</v>
      </c>
      <c r="D4060" s="2" t="s">
        <v>10</v>
      </c>
      <c r="E4060" s="2" t="s">
        <v>11</v>
      </c>
      <c r="F4060" s="2" t="s">
        <v>18</v>
      </c>
      <c r="G4060" s="2" t="s">
        <v>264</v>
      </c>
      <c r="H4060" s="2" t="s">
        <v>264</v>
      </c>
      <c r="I4060" s="2" t="s">
        <v>264</v>
      </c>
    </row>
    <row r="4061" spans="1:9" ht="14.5" x14ac:dyDescent="0.35">
      <c r="A4061" s="2">
        <v>2556748</v>
      </c>
      <c r="B4061" s="2" t="str">
        <f>"3329096508960006"</f>
        <v>3329096508960006</v>
      </c>
      <c r="C4061" s="2" t="s">
        <v>4646</v>
      </c>
      <c r="D4061" s="2" t="s">
        <v>17</v>
      </c>
      <c r="E4061" s="2" t="s">
        <v>11</v>
      </c>
      <c r="F4061" s="2" t="s">
        <v>18</v>
      </c>
      <c r="G4061" s="2" t="s">
        <v>19</v>
      </c>
      <c r="H4061" s="2" t="s">
        <v>4290</v>
      </c>
      <c r="I4061" s="2" t="s">
        <v>4290</v>
      </c>
    </row>
    <row r="4062" spans="1:9" ht="14.5" x14ac:dyDescent="0.35">
      <c r="A4062" s="2">
        <v>1879716</v>
      </c>
      <c r="B4062" s="2" t="str">
        <f>"3329100302760004"</f>
        <v>3329100302760004</v>
      </c>
      <c r="C4062" s="2" t="s">
        <v>4007</v>
      </c>
      <c r="D4062" s="2" t="s">
        <v>10</v>
      </c>
      <c r="E4062" s="2" t="s">
        <v>11</v>
      </c>
      <c r="F4062" s="2" t="s">
        <v>18</v>
      </c>
      <c r="G4062" s="2" t="s">
        <v>19</v>
      </c>
      <c r="H4062" s="2" t="s">
        <v>4290</v>
      </c>
      <c r="I4062" s="2" t="s">
        <v>4303</v>
      </c>
    </row>
    <row r="4063" spans="1:9" ht="14.5" x14ac:dyDescent="0.35">
      <c r="A4063" s="2">
        <v>1688149</v>
      </c>
      <c r="B4063" s="2" t="str">
        <f>"3329100302760004"</f>
        <v>3329100302760004</v>
      </c>
      <c r="C4063" s="2" t="s">
        <v>4647</v>
      </c>
      <c r="D4063" s="2" t="s">
        <v>17</v>
      </c>
      <c r="E4063" s="2" t="s">
        <v>11</v>
      </c>
      <c r="F4063" s="2" t="s">
        <v>18</v>
      </c>
      <c r="G4063" s="2" t="s">
        <v>264</v>
      </c>
      <c r="H4063" s="2" t="s">
        <v>273</v>
      </c>
      <c r="I4063" s="2" t="s">
        <v>1804</v>
      </c>
    </row>
    <row r="4064" spans="1:9" ht="14.5" x14ac:dyDescent="0.35">
      <c r="A4064" s="2">
        <v>1440720</v>
      </c>
      <c r="B4064" s="2" t="str">
        <f>"3329104307990005"</f>
        <v>3329104307990005</v>
      </c>
      <c r="C4064" s="2" t="s">
        <v>4648</v>
      </c>
      <c r="D4064" s="2" t="s">
        <v>10</v>
      </c>
      <c r="E4064" s="2" t="s">
        <v>11</v>
      </c>
      <c r="F4064" s="2" t="s">
        <v>18</v>
      </c>
      <c r="G4064" s="2" t="s">
        <v>264</v>
      </c>
      <c r="H4064" s="2" t="s">
        <v>273</v>
      </c>
      <c r="I4064" s="2" t="s">
        <v>875</v>
      </c>
    </row>
    <row r="4065" spans="1:9" ht="14.5" x14ac:dyDescent="0.35">
      <c r="A4065" s="2">
        <v>2556727</v>
      </c>
      <c r="B4065" s="2" t="str">
        <f>"3329104307990005"</f>
        <v>3329104307990005</v>
      </c>
      <c r="C4065" s="2" t="s">
        <v>4649</v>
      </c>
      <c r="D4065" s="2" t="s">
        <v>17</v>
      </c>
      <c r="E4065" s="2" t="s">
        <v>11</v>
      </c>
      <c r="F4065" s="2" t="s">
        <v>18</v>
      </c>
      <c r="G4065" s="2" t="s">
        <v>19</v>
      </c>
      <c r="H4065" s="2" t="s">
        <v>4290</v>
      </c>
      <c r="I4065" s="2" t="s">
        <v>4290</v>
      </c>
    </row>
    <row r="4066" spans="1:9" ht="14.5" x14ac:dyDescent="0.35">
      <c r="A4066" s="2">
        <v>1884655</v>
      </c>
      <c r="B4066" s="2" t="str">
        <f>"3329143112830080"</f>
        <v>3329143112830080</v>
      </c>
      <c r="C4066" s="2" t="s">
        <v>3088</v>
      </c>
      <c r="D4066" s="2" t="s">
        <v>10</v>
      </c>
      <c r="E4066" s="2" t="s">
        <v>11</v>
      </c>
      <c r="F4066" s="2" t="s">
        <v>18</v>
      </c>
      <c r="G4066" s="2" t="s">
        <v>19</v>
      </c>
      <c r="H4066" s="2" t="s">
        <v>4290</v>
      </c>
      <c r="I4066" s="2" t="s">
        <v>4303</v>
      </c>
    </row>
    <row r="4067" spans="1:9" ht="14.5" x14ac:dyDescent="0.35">
      <c r="A4067" s="2">
        <v>1638945</v>
      </c>
      <c r="B4067" s="2" t="str">
        <f>"3329143112830080"</f>
        <v>3329143112830080</v>
      </c>
      <c r="C4067" s="2" t="s">
        <v>4650</v>
      </c>
      <c r="D4067" s="2" t="s">
        <v>17</v>
      </c>
      <c r="E4067" s="2" t="s">
        <v>11</v>
      </c>
      <c r="F4067" s="2" t="s">
        <v>18</v>
      </c>
      <c r="G4067" s="2" t="s">
        <v>264</v>
      </c>
      <c r="H4067" s="2" t="s">
        <v>477</v>
      </c>
      <c r="I4067" s="2" t="s">
        <v>478</v>
      </c>
    </row>
    <row r="4068" spans="1:9" ht="14.5" x14ac:dyDescent="0.35">
      <c r="A4068" s="2">
        <v>648285</v>
      </c>
      <c r="B4068" s="2" t="str">
        <f>"3329145701020006"</f>
        <v>3329145701020006</v>
      </c>
      <c r="C4068" s="2" t="s">
        <v>4651</v>
      </c>
      <c r="D4068" s="2" t="s">
        <v>10</v>
      </c>
      <c r="E4068" s="2" t="s">
        <v>11</v>
      </c>
      <c r="F4068" s="2" t="s">
        <v>18</v>
      </c>
      <c r="G4068" s="2" t="s">
        <v>264</v>
      </c>
      <c r="H4068" s="2" t="s">
        <v>248</v>
      </c>
      <c r="I4068" s="2" t="s">
        <v>3414</v>
      </c>
    </row>
    <row r="4069" spans="1:9" ht="14.5" x14ac:dyDescent="0.35">
      <c r="A4069" s="2">
        <v>2556425</v>
      </c>
      <c r="B4069" s="2" t="str">
        <f>"3329145701020006"</f>
        <v>3329145701020006</v>
      </c>
      <c r="C4069" s="2" t="s">
        <v>4651</v>
      </c>
      <c r="D4069" s="2" t="s">
        <v>17</v>
      </c>
      <c r="E4069" s="2" t="s">
        <v>11</v>
      </c>
      <c r="F4069" s="2" t="s">
        <v>18</v>
      </c>
      <c r="G4069" s="2" t="s">
        <v>19</v>
      </c>
      <c r="H4069" s="2" t="s">
        <v>4290</v>
      </c>
      <c r="I4069" s="2" t="s">
        <v>4315</v>
      </c>
    </row>
    <row r="4070" spans="1:9" ht="14.5" x14ac:dyDescent="0.35">
      <c r="A4070" s="2">
        <v>2409274</v>
      </c>
      <c r="B4070" s="2" t="str">
        <f>"3374106305800001"</f>
        <v>3374106305800001</v>
      </c>
      <c r="C4070" s="2" t="s">
        <v>4652</v>
      </c>
      <c r="D4070" s="2" t="s">
        <v>10</v>
      </c>
      <c r="E4070" s="2" t="s">
        <v>11</v>
      </c>
      <c r="F4070" s="2" t="s">
        <v>18</v>
      </c>
      <c r="G4070" s="2" t="s">
        <v>19</v>
      </c>
      <c r="H4070" s="2" t="s">
        <v>4290</v>
      </c>
      <c r="I4070" s="2" t="s">
        <v>1381</v>
      </c>
    </row>
    <row r="4071" spans="1:9" ht="14.5" x14ac:dyDescent="0.35">
      <c r="A4071" s="2">
        <v>322694</v>
      </c>
      <c r="B4071" s="2" t="str">
        <f>"3374106305800001"</f>
        <v>3374106305800001</v>
      </c>
      <c r="C4071" s="2" t="s">
        <v>4652</v>
      </c>
      <c r="D4071" s="2" t="s">
        <v>17</v>
      </c>
      <c r="E4071" s="2" t="s">
        <v>11</v>
      </c>
      <c r="F4071" s="2" t="s">
        <v>18</v>
      </c>
      <c r="G4071" s="2" t="s">
        <v>4533</v>
      </c>
      <c r="H4071" s="2" t="s">
        <v>4534</v>
      </c>
      <c r="I4071" s="2" t="s">
        <v>98</v>
      </c>
    </row>
    <row r="4072" spans="1:9" ht="14.5" x14ac:dyDescent="0.35">
      <c r="A4072" s="2">
        <v>2515451</v>
      </c>
      <c r="B4072" s="2" t="str">
        <f>"3376014710010003"</f>
        <v>3376014710010003</v>
      </c>
      <c r="C4072" s="2" t="s">
        <v>4653</v>
      </c>
      <c r="D4072" s="2" t="s">
        <v>10</v>
      </c>
      <c r="E4072" s="2" t="s">
        <v>11</v>
      </c>
      <c r="F4072" s="2" t="s">
        <v>18</v>
      </c>
      <c r="G4072" s="2" t="s">
        <v>19</v>
      </c>
      <c r="H4072" s="2" t="s">
        <v>4290</v>
      </c>
      <c r="I4072" s="2" t="s">
        <v>4513</v>
      </c>
    </row>
    <row r="4073" spans="1:9" ht="14.5" x14ac:dyDescent="0.35">
      <c r="A4073" s="2">
        <v>423341</v>
      </c>
      <c r="B4073" s="2" t="str">
        <f>"3376014710010003"</f>
        <v>3376014710010003</v>
      </c>
      <c r="C4073" s="2" t="s">
        <v>4654</v>
      </c>
      <c r="D4073" s="2" t="s">
        <v>17</v>
      </c>
      <c r="E4073" s="2" t="s">
        <v>11</v>
      </c>
      <c r="F4073" s="2" t="s">
        <v>18</v>
      </c>
      <c r="G4073" s="2" t="s">
        <v>268</v>
      </c>
      <c r="H4073" s="2" t="s">
        <v>277</v>
      </c>
      <c r="I4073" s="2" t="s">
        <v>278</v>
      </c>
    </row>
    <row r="4074" spans="1:9" ht="14.5" x14ac:dyDescent="0.35">
      <c r="A4074" s="2">
        <v>3654598</v>
      </c>
      <c r="B4074" s="2" t="str">
        <f>"3376015606060002"</f>
        <v>3376015606060002</v>
      </c>
      <c r="C4074" s="2" t="s">
        <v>4655</v>
      </c>
      <c r="D4074" s="2" t="s">
        <v>10</v>
      </c>
      <c r="E4074" s="2" t="s">
        <v>11</v>
      </c>
      <c r="F4074" s="2" t="s">
        <v>91</v>
      </c>
      <c r="G4074" s="2" t="s">
        <v>650</v>
      </c>
      <c r="H4074" s="2" t="s">
        <v>2282</v>
      </c>
      <c r="I4074" s="2" t="s">
        <v>4656</v>
      </c>
    </row>
    <row r="4075" spans="1:9" ht="14.5" x14ac:dyDescent="0.35">
      <c r="A4075" s="2">
        <v>2557514</v>
      </c>
      <c r="B4075" s="2" t="str">
        <f>"3376015606060002"</f>
        <v>3376015606060002</v>
      </c>
      <c r="C4075" s="2" t="s">
        <v>4655</v>
      </c>
      <c r="D4075" s="2" t="s">
        <v>17</v>
      </c>
      <c r="E4075" s="2" t="s">
        <v>11</v>
      </c>
      <c r="F4075" s="2" t="s">
        <v>18</v>
      </c>
      <c r="G4075" s="2" t="s">
        <v>19</v>
      </c>
      <c r="H4075" s="2" t="s">
        <v>4290</v>
      </c>
      <c r="I4075" s="2" t="s">
        <v>878</v>
      </c>
    </row>
    <row r="4076" spans="1:9" ht="14.5" x14ac:dyDescent="0.35">
      <c r="A4076" s="2">
        <v>302450</v>
      </c>
      <c r="B4076" s="2" t="str">
        <f>"3376015906950001"</f>
        <v>3376015906950001</v>
      </c>
      <c r="C4076" s="2" t="s">
        <v>4657</v>
      </c>
      <c r="D4076" s="2" t="s">
        <v>10</v>
      </c>
      <c r="E4076" s="2" t="s">
        <v>11</v>
      </c>
      <c r="F4076" s="2" t="s">
        <v>18</v>
      </c>
      <c r="G4076" s="2" t="s">
        <v>268</v>
      </c>
      <c r="H4076" s="2" t="s">
        <v>277</v>
      </c>
      <c r="I4076" s="2" t="s">
        <v>2762</v>
      </c>
    </row>
    <row r="4077" spans="1:9" ht="14.5" x14ac:dyDescent="0.35">
      <c r="A4077" s="2">
        <v>2557554</v>
      </c>
      <c r="B4077" s="2" t="str">
        <f>"3376015906950001"</f>
        <v>3376015906950001</v>
      </c>
      <c r="C4077" s="2" t="s">
        <v>4657</v>
      </c>
      <c r="D4077" s="2" t="s">
        <v>17</v>
      </c>
      <c r="E4077" s="2" t="s">
        <v>11</v>
      </c>
      <c r="F4077" s="2" t="s">
        <v>18</v>
      </c>
      <c r="G4077" s="2" t="s">
        <v>19</v>
      </c>
      <c r="H4077" s="2" t="s">
        <v>4290</v>
      </c>
      <c r="I4077" s="2" t="s">
        <v>878</v>
      </c>
    </row>
    <row r="4078" spans="1:9" ht="14.5" x14ac:dyDescent="0.35">
      <c r="A4078" s="2">
        <v>2557147</v>
      </c>
      <c r="B4078" s="2" t="str">
        <f>"3376016710990002"</f>
        <v>3376016710990002</v>
      </c>
      <c r="C4078" s="2" t="s">
        <v>4658</v>
      </c>
      <c r="D4078" s="2" t="s">
        <v>17</v>
      </c>
      <c r="E4078" s="2" t="s">
        <v>11</v>
      </c>
      <c r="F4078" s="2" t="s">
        <v>18</v>
      </c>
      <c r="G4078" s="2" t="s">
        <v>19</v>
      </c>
      <c r="H4078" s="2" t="s">
        <v>4290</v>
      </c>
      <c r="I4078" s="2" t="s">
        <v>4347</v>
      </c>
    </row>
    <row r="4079" spans="1:9" ht="14.5" x14ac:dyDescent="0.35">
      <c r="A4079" s="2">
        <v>274309</v>
      </c>
      <c r="B4079" s="2" t="str">
        <f>"3376016710990002"</f>
        <v>3376016710990002</v>
      </c>
      <c r="C4079" s="2" t="s">
        <v>4658</v>
      </c>
      <c r="D4079" s="2" t="s">
        <v>189</v>
      </c>
      <c r="E4079" s="2" t="s">
        <v>11</v>
      </c>
      <c r="F4079" s="2" t="s">
        <v>18</v>
      </c>
      <c r="G4079" s="2" t="s">
        <v>268</v>
      </c>
      <c r="H4079" s="2" t="s">
        <v>277</v>
      </c>
      <c r="I4079" s="2" t="s">
        <v>3326</v>
      </c>
    </row>
    <row r="4080" spans="1:9" ht="14.5" x14ac:dyDescent="0.35">
      <c r="A4080" s="2">
        <v>213495</v>
      </c>
      <c r="B4080" s="2" t="str">
        <f>"3376021212910003"</f>
        <v>3376021212910003</v>
      </c>
      <c r="C4080" s="2" t="s">
        <v>4659</v>
      </c>
      <c r="D4080" s="2" t="s">
        <v>10</v>
      </c>
      <c r="E4080" s="2" t="s">
        <v>11</v>
      </c>
      <c r="F4080" s="2" t="s">
        <v>18</v>
      </c>
      <c r="G4080" s="2" t="s">
        <v>268</v>
      </c>
      <c r="H4080" s="2" t="s">
        <v>371</v>
      </c>
      <c r="I4080" s="2" t="s">
        <v>2772</v>
      </c>
    </row>
    <row r="4081" spans="1:9" ht="14.5" x14ac:dyDescent="0.35">
      <c r="A4081" s="2">
        <v>2557466</v>
      </c>
      <c r="B4081" s="2" t="str">
        <f>"3376021212910003"</f>
        <v>3376021212910003</v>
      </c>
      <c r="C4081" s="2" t="s">
        <v>4659</v>
      </c>
      <c r="D4081" s="2" t="s">
        <v>17</v>
      </c>
      <c r="E4081" s="2" t="s">
        <v>11</v>
      </c>
      <c r="F4081" s="2" t="s">
        <v>18</v>
      </c>
      <c r="G4081" s="2" t="s">
        <v>19</v>
      </c>
      <c r="H4081" s="2" t="s">
        <v>4290</v>
      </c>
      <c r="I4081" s="2" t="s">
        <v>1381</v>
      </c>
    </row>
    <row r="4082" spans="1:9" ht="14.5" x14ac:dyDescent="0.35">
      <c r="A4082" s="2">
        <v>227691</v>
      </c>
      <c r="B4082" s="2" t="str">
        <f>"3376022005900001"</f>
        <v>3376022005900001</v>
      </c>
      <c r="C4082" s="2" t="s">
        <v>4660</v>
      </c>
      <c r="D4082" s="2" t="s">
        <v>10</v>
      </c>
      <c r="E4082" s="2" t="s">
        <v>11</v>
      </c>
      <c r="F4082" s="2" t="s">
        <v>18</v>
      </c>
      <c r="G4082" s="2" t="s">
        <v>268</v>
      </c>
      <c r="H4082" s="2" t="s">
        <v>371</v>
      </c>
      <c r="I4082" s="2" t="s">
        <v>2346</v>
      </c>
    </row>
    <row r="4083" spans="1:9" ht="14.5" x14ac:dyDescent="0.35">
      <c r="A4083" s="2">
        <v>2556743</v>
      </c>
      <c r="B4083" s="2" t="str">
        <f>"3376022005900001"</f>
        <v>3376022005900001</v>
      </c>
      <c r="C4083" s="2" t="s">
        <v>4660</v>
      </c>
      <c r="D4083" s="2" t="s">
        <v>17</v>
      </c>
      <c r="E4083" s="2" t="s">
        <v>11</v>
      </c>
      <c r="F4083" s="2" t="s">
        <v>18</v>
      </c>
      <c r="G4083" s="2" t="s">
        <v>19</v>
      </c>
      <c r="H4083" s="2" t="s">
        <v>4290</v>
      </c>
      <c r="I4083" s="2" t="s">
        <v>4290</v>
      </c>
    </row>
    <row r="4084" spans="1:9" ht="14.5" x14ac:dyDescent="0.35">
      <c r="A4084" s="2">
        <v>266101</v>
      </c>
      <c r="B4084" s="2" t="str">
        <f>"3376022105960007"</f>
        <v>3376022105960007</v>
      </c>
      <c r="C4084" s="2" t="s">
        <v>4661</v>
      </c>
      <c r="D4084" s="2" t="s">
        <v>10</v>
      </c>
      <c r="E4084" s="2" t="s">
        <v>11</v>
      </c>
      <c r="F4084" s="2" t="s">
        <v>18</v>
      </c>
      <c r="G4084" s="2" t="s">
        <v>268</v>
      </c>
      <c r="H4084" s="2" t="s">
        <v>371</v>
      </c>
      <c r="I4084" s="2" t="s">
        <v>497</v>
      </c>
    </row>
    <row r="4085" spans="1:9" ht="14.5" x14ac:dyDescent="0.35">
      <c r="A4085" s="2">
        <v>2557568</v>
      </c>
      <c r="B4085" s="2" t="str">
        <f>"3376022105960007"</f>
        <v>3376022105960007</v>
      </c>
      <c r="C4085" s="2" t="s">
        <v>4661</v>
      </c>
      <c r="D4085" s="2" t="s">
        <v>17</v>
      </c>
      <c r="E4085" s="2" t="s">
        <v>11</v>
      </c>
      <c r="F4085" s="2" t="s">
        <v>18</v>
      </c>
      <c r="G4085" s="2" t="s">
        <v>19</v>
      </c>
      <c r="H4085" s="2" t="s">
        <v>4290</v>
      </c>
      <c r="I4085" s="2" t="s">
        <v>878</v>
      </c>
    </row>
    <row r="4086" spans="1:9" ht="14.5" x14ac:dyDescent="0.35">
      <c r="A4086" s="2">
        <v>251613</v>
      </c>
      <c r="B4086" s="2" t="str">
        <f>"3376024707900003"</f>
        <v>3376024707900003</v>
      </c>
      <c r="C4086" s="2" t="s">
        <v>4662</v>
      </c>
      <c r="D4086" s="2" t="s">
        <v>10</v>
      </c>
      <c r="E4086" s="2" t="s">
        <v>11</v>
      </c>
      <c r="F4086" s="2" t="s">
        <v>18</v>
      </c>
      <c r="G4086" s="2" t="s">
        <v>268</v>
      </c>
      <c r="H4086" s="2" t="s">
        <v>371</v>
      </c>
      <c r="I4086" s="2" t="s">
        <v>497</v>
      </c>
    </row>
    <row r="4087" spans="1:9" ht="14.5" x14ac:dyDescent="0.35">
      <c r="A4087" s="2">
        <v>2556913</v>
      </c>
      <c r="B4087" s="2" t="str">
        <f>"3376024707900003"</f>
        <v>3376024707900003</v>
      </c>
      <c r="C4087" s="2" t="s">
        <v>4662</v>
      </c>
      <c r="D4087" s="2" t="s">
        <v>17</v>
      </c>
      <c r="E4087" s="2" t="s">
        <v>11</v>
      </c>
      <c r="F4087" s="2" t="s">
        <v>18</v>
      </c>
      <c r="G4087" s="2" t="s">
        <v>19</v>
      </c>
      <c r="H4087" s="2" t="s">
        <v>4290</v>
      </c>
      <c r="I4087" s="2" t="s">
        <v>4606</v>
      </c>
    </row>
    <row r="4088" spans="1:9" ht="14.5" x14ac:dyDescent="0.35">
      <c r="A4088" s="2">
        <v>2110663</v>
      </c>
      <c r="B4088" s="2" t="str">
        <f>"3376030112800001"</f>
        <v>3376030112800001</v>
      </c>
      <c r="C4088" s="2" t="s">
        <v>350</v>
      </c>
      <c r="D4088" s="2" t="s">
        <v>10</v>
      </c>
      <c r="E4088" s="2" t="s">
        <v>11</v>
      </c>
      <c r="F4088" s="2" t="s">
        <v>18</v>
      </c>
      <c r="G4088" s="2" t="s">
        <v>19</v>
      </c>
      <c r="H4088" s="2" t="s">
        <v>4290</v>
      </c>
      <c r="I4088" s="2" t="s">
        <v>4347</v>
      </c>
    </row>
    <row r="4089" spans="1:9" ht="14.5" x14ac:dyDescent="0.35">
      <c r="A4089" s="2">
        <v>423808</v>
      </c>
      <c r="B4089" s="2" t="str">
        <f>"3376030112800001"</f>
        <v>3376030112800001</v>
      </c>
      <c r="C4089" s="2" t="s">
        <v>4663</v>
      </c>
      <c r="D4089" s="2" t="s">
        <v>10</v>
      </c>
      <c r="E4089" s="2" t="s">
        <v>57</v>
      </c>
      <c r="F4089" s="2" t="s">
        <v>18</v>
      </c>
      <c r="G4089" s="2" t="s">
        <v>268</v>
      </c>
      <c r="H4089" s="2" t="s">
        <v>277</v>
      </c>
      <c r="I4089" s="2" t="s">
        <v>278</v>
      </c>
    </row>
    <row r="4090" spans="1:9" ht="14.5" x14ac:dyDescent="0.35">
      <c r="A4090" s="2">
        <v>1911140</v>
      </c>
      <c r="B4090" s="2" t="str">
        <f>"3376030204940001"</f>
        <v>3376030204940001</v>
      </c>
      <c r="C4090" s="2" t="s">
        <v>4664</v>
      </c>
      <c r="D4090" s="2" t="s">
        <v>10</v>
      </c>
      <c r="E4090" s="2" t="s">
        <v>11</v>
      </c>
      <c r="F4090" s="2" t="s">
        <v>18</v>
      </c>
      <c r="G4090" s="2" t="s">
        <v>19</v>
      </c>
      <c r="H4090" s="2" t="s">
        <v>4290</v>
      </c>
      <c r="I4090" s="2" t="s">
        <v>4475</v>
      </c>
    </row>
    <row r="4091" spans="1:9" ht="14.5" x14ac:dyDescent="0.35">
      <c r="A4091" s="2">
        <v>423174</v>
      </c>
      <c r="B4091" s="2" t="str">
        <f>"3376030204940001"</f>
        <v>3376030204940001</v>
      </c>
      <c r="C4091" s="2" t="s">
        <v>4665</v>
      </c>
      <c r="D4091" s="2" t="s">
        <v>17</v>
      </c>
      <c r="E4091" s="2" t="s">
        <v>11</v>
      </c>
      <c r="F4091" s="2" t="s">
        <v>18</v>
      </c>
      <c r="G4091" s="2" t="s">
        <v>268</v>
      </c>
      <c r="H4091" s="2" t="s">
        <v>269</v>
      </c>
      <c r="I4091" s="2" t="s">
        <v>4408</v>
      </c>
    </row>
    <row r="4092" spans="1:9" ht="14.5" x14ac:dyDescent="0.35">
      <c r="A4092" s="2">
        <v>346143</v>
      </c>
      <c r="B4092" s="2" t="str">
        <f>"3376030410000001"</f>
        <v>3376030410000001</v>
      </c>
      <c r="C4092" s="2" t="s">
        <v>4666</v>
      </c>
      <c r="D4092" s="2" t="s">
        <v>10</v>
      </c>
      <c r="E4092" s="2" t="s">
        <v>11</v>
      </c>
      <c r="F4092" s="2" t="s">
        <v>18</v>
      </c>
      <c r="G4092" s="2" t="s">
        <v>268</v>
      </c>
      <c r="H4092" s="2" t="s">
        <v>269</v>
      </c>
      <c r="I4092" s="2" t="s">
        <v>3140</v>
      </c>
    </row>
    <row r="4093" spans="1:9" ht="14.5" x14ac:dyDescent="0.35">
      <c r="A4093" s="2">
        <v>2557175</v>
      </c>
      <c r="B4093" s="2" t="str">
        <f>"3376030410000001"</f>
        <v>3376030410000001</v>
      </c>
      <c r="C4093" s="2" t="s">
        <v>4666</v>
      </c>
      <c r="D4093" s="2" t="s">
        <v>17</v>
      </c>
      <c r="E4093" s="2" t="s">
        <v>11</v>
      </c>
      <c r="F4093" s="2" t="s">
        <v>18</v>
      </c>
      <c r="G4093" s="2" t="s">
        <v>19</v>
      </c>
      <c r="H4093" s="2" t="s">
        <v>4290</v>
      </c>
      <c r="I4093" s="2" t="s">
        <v>4309</v>
      </c>
    </row>
    <row r="4094" spans="1:9" ht="14.5" x14ac:dyDescent="0.35">
      <c r="A4094" s="2">
        <v>282157</v>
      </c>
      <c r="B4094" s="2" t="str">
        <f>"3376031511710001"</f>
        <v>3376031511710001</v>
      </c>
      <c r="C4094" s="2" t="s">
        <v>4667</v>
      </c>
      <c r="D4094" s="2" t="s">
        <v>10</v>
      </c>
      <c r="E4094" s="2" t="s">
        <v>11</v>
      </c>
      <c r="F4094" s="2" t="s">
        <v>18</v>
      </c>
      <c r="G4094" s="2" t="s">
        <v>268</v>
      </c>
      <c r="H4094" s="2" t="s">
        <v>277</v>
      </c>
      <c r="I4094" s="2" t="s">
        <v>884</v>
      </c>
    </row>
    <row r="4095" spans="1:9" ht="14.5" x14ac:dyDescent="0.35">
      <c r="A4095" s="2">
        <v>2556573</v>
      </c>
      <c r="B4095" s="2" t="str">
        <f>"3376031511710001"</f>
        <v>3376031511710001</v>
      </c>
      <c r="C4095" s="2" t="s">
        <v>4668</v>
      </c>
      <c r="D4095" s="2" t="s">
        <v>17</v>
      </c>
      <c r="E4095" s="2" t="s">
        <v>11</v>
      </c>
      <c r="F4095" s="2" t="s">
        <v>18</v>
      </c>
      <c r="G4095" s="2" t="s">
        <v>19</v>
      </c>
      <c r="H4095" s="2" t="s">
        <v>4290</v>
      </c>
      <c r="I4095" s="2" t="s">
        <v>4329</v>
      </c>
    </row>
    <row r="4096" spans="1:9" ht="14.5" x14ac:dyDescent="0.35">
      <c r="A4096" s="2">
        <v>1195751</v>
      </c>
      <c r="B4096" s="2" t="str">
        <f>"3376031610770001"</f>
        <v>3376031610770001</v>
      </c>
      <c r="C4096" s="2" t="s">
        <v>4669</v>
      </c>
      <c r="D4096" s="2" t="s">
        <v>10</v>
      </c>
      <c r="E4096" s="2" t="s">
        <v>11</v>
      </c>
      <c r="F4096" s="2" t="s">
        <v>18</v>
      </c>
      <c r="G4096" s="2" t="s">
        <v>733</v>
      </c>
      <c r="H4096" s="2" t="s">
        <v>1127</v>
      </c>
      <c r="I4096" s="2" t="s">
        <v>4670</v>
      </c>
    </row>
    <row r="4097" spans="1:9" ht="14.5" x14ac:dyDescent="0.35">
      <c r="A4097" s="2">
        <v>2557062</v>
      </c>
      <c r="B4097" s="2" t="str">
        <f>"3376031610770001"</f>
        <v>3376031610770001</v>
      </c>
      <c r="C4097" s="2" t="s">
        <v>4671</v>
      </c>
      <c r="D4097" s="2" t="s">
        <v>17</v>
      </c>
      <c r="E4097" s="2" t="s">
        <v>11</v>
      </c>
      <c r="F4097" s="2" t="s">
        <v>18</v>
      </c>
      <c r="G4097" s="2" t="s">
        <v>19</v>
      </c>
      <c r="H4097" s="2" t="s">
        <v>4290</v>
      </c>
      <c r="I4097" s="2" t="s">
        <v>4513</v>
      </c>
    </row>
    <row r="4098" spans="1:9" ht="14.5" x14ac:dyDescent="0.35">
      <c r="A4098" s="2">
        <v>1482073</v>
      </c>
      <c r="B4098" s="2" t="str">
        <f>"3376034202980001"</f>
        <v>3376034202980001</v>
      </c>
      <c r="C4098" s="2" t="s">
        <v>4672</v>
      </c>
      <c r="D4098" s="2" t="s">
        <v>10</v>
      </c>
      <c r="E4098" s="2" t="s">
        <v>11</v>
      </c>
      <c r="F4098" s="2" t="s">
        <v>18</v>
      </c>
      <c r="G4098" s="2" t="s">
        <v>19</v>
      </c>
      <c r="H4098" s="2" t="s">
        <v>4290</v>
      </c>
      <c r="I4098" s="2" t="s">
        <v>4436</v>
      </c>
    </row>
    <row r="4099" spans="1:9" ht="14.5" x14ac:dyDescent="0.35">
      <c r="A4099" s="2">
        <v>1642183</v>
      </c>
      <c r="B4099" s="2" t="str">
        <f>"3376034202980001"</f>
        <v>3376034202980001</v>
      </c>
      <c r="C4099" s="2" t="s">
        <v>4672</v>
      </c>
      <c r="D4099" s="2" t="s">
        <v>17</v>
      </c>
      <c r="E4099" s="2" t="s">
        <v>11</v>
      </c>
      <c r="F4099" s="2" t="s">
        <v>18</v>
      </c>
      <c r="G4099" s="2" t="s">
        <v>264</v>
      </c>
      <c r="H4099" s="2" t="s">
        <v>773</v>
      </c>
      <c r="I4099" s="2" t="s">
        <v>1850</v>
      </c>
    </row>
    <row r="4100" spans="1:9" ht="14.5" x14ac:dyDescent="0.35">
      <c r="A4100" s="2">
        <v>365516</v>
      </c>
      <c r="B4100" s="2" t="str">
        <f>"3376034301050001"</f>
        <v>3376034301050001</v>
      </c>
      <c r="C4100" s="2" t="s">
        <v>4673</v>
      </c>
      <c r="D4100" s="2" t="s">
        <v>189</v>
      </c>
      <c r="E4100" s="2" t="s">
        <v>11</v>
      </c>
      <c r="F4100" s="2" t="s">
        <v>18</v>
      </c>
      <c r="G4100" s="2" t="s">
        <v>268</v>
      </c>
      <c r="H4100" s="2" t="s">
        <v>269</v>
      </c>
      <c r="I4100" s="2" t="s">
        <v>996</v>
      </c>
    </row>
    <row r="4101" spans="1:9" ht="14.5" x14ac:dyDescent="0.35">
      <c r="A4101" s="2">
        <v>2557610</v>
      </c>
      <c r="B4101" s="2" t="str">
        <f>"3376034301050001"</f>
        <v>3376034301050001</v>
      </c>
      <c r="C4101" s="2" t="s">
        <v>4674</v>
      </c>
      <c r="D4101" s="2" t="s">
        <v>17</v>
      </c>
      <c r="E4101" s="2" t="s">
        <v>11</v>
      </c>
      <c r="F4101" s="2" t="s">
        <v>18</v>
      </c>
      <c r="G4101" s="2" t="s">
        <v>19</v>
      </c>
      <c r="H4101" s="2" t="s">
        <v>4290</v>
      </c>
      <c r="I4101" s="2" t="s">
        <v>878</v>
      </c>
    </row>
    <row r="4102" spans="1:9" ht="14.5" x14ac:dyDescent="0.35">
      <c r="A4102" s="2">
        <v>1482072</v>
      </c>
      <c r="B4102" s="2" t="str">
        <f>"3376035306030002"</f>
        <v>3376035306030002</v>
      </c>
      <c r="C4102" s="2" t="s">
        <v>4675</v>
      </c>
      <c r="D4102" s="2" t="s">
        <v>10</v>
      </c>
      <c r="E4102" s="2" t="s">
        <v>11</v>
      </c>
      <c r="F4102" s="2" t="s">
        <v>18</v>
      </c>
      <c r="G4102" s="2" t="s">
        <v>19</v>
      </c>
      <c r="H4102" s="2" t="s">
        <v>4290</v>
      </c>
      <c r="I4102" s="2" t="s">
        <v>4436</v>
      </c>
    </row>
    <row r="4103" spans="1:9" ht="14.5" x14ac:dyDescent="0.35">
      <c r="A4103" s="2">
        <v>1642182</v>
      </c>
      <c r="B4103" s="2" t="str">
        <f>"3376035306030002"</f>
        <v>3376035306030002</v>
      </c>
      <c r="C4103" s="2" t="s">
        <v>4675</v>
      </c>
      <c r="D4103" s="2" t="s">
        <v>17</v>
      </c>
      <c r="E4103" s="2" t="s">
        <v>11</v>
      </c>
      <c r="F4103" s="2" t="s">
        <v>18</v>
      </c>
      <c r="G4103" s="2" t="s">
        <v>264</v>
      </c>
      <c r="H4103" s="2" t="s">
        <v>773</v>
      </c>
      <c r="I4103" s="2" t="s">
        <v>1850</v>
      </c>
    </row>
    <row r="4104" spans="1:9" ht="14.5" x14ac:dyDescent="0.35">
      <c r="A4104" s="2">
        <v>307465</v>
      </c>
      <c r="B4104" s="2" t="str">
        <f>"3376036303960001"</f>
        <v>3376036303960001</v>
      </c>
      <c r="C4104" s="2" t="s">
        <v>4676</v>
      </c>
      <c r="D4104" s="2" t="s">
        <v>10</v>
      </c>
      <c r="E4104" s="2" t="s">
        <v>11</v>
      </c>
      <c r="F4104" s="2" t="s">
        <v>18</v>
      </c>
      <c r="G4104" s="2" t="s">
        <v>268</v>
      </c>
      <c r="H4104" s="2" t="s">
        <v>269</v>
      </c>
      <c r="I4104" s="2" t="s">
        <v>4250</v>
      </c>
    </row>
    <row r="4105" spans="1:9" ht="14.5" x14ac:dyDescent="0.35">
      <c r="A4105" s="2">
        <v>2556408</v>
      </c>
      <c r="B4105" s="2" t="str">
        <f>"3376036303960001"</f>
        <v>3376036303960001</v>
      </c>
      <c r="C4105" s="2" t="s">
        <v>4676</v>
      </c>
      <c r="D4105" s="2" t="s">
        <v>17</v>
      </c>
      <c r="E4105" s="2" t="s">
        <v>11</v>
      </c>
      <c r="F4105" s="2" t="s">
        <v>18</v>
      </c>
      <c r="G4105" s="2" t="s">
        <v>19</v>
      </c>
      <c r="H4105" s="2" t="s">
        <v>4290</v>
      </c>
      <c r="I4105" s="2" t="s">
        <v>4315</v>
      </c>
    </row>
    <row r="4106" spans="1:9" ht="14.5" x14ac:dyDescent="0.35">
      <c r="A4106" s="2">
        <v>1902212</v>
      </c>
      <c r="B4106" s="2" t="str">
        <f>"3376036406840003"</f>
        <v>3376036406840003</v>
      </c>
      <c r="C4106" s="2" t="s">
        <v>2608</v>
      </c>
      <c r="D4106" s="2" t="s">
        <v>10</v>
      </c>
      <c r="E4106" s="2" t="s">
        <v>11</v>
      </c>
      <c r="F4106" s="2" t="s">
        <v>18</v>
      </c>
      <c r="G4106" s="2" t="s">
        <v>19</v>
      </c>
      <c r="H4106" s="2" t="s">
        <v>4290</v>
      </c>
      <c r="I4106" s="2" t="s">
        <v>4358</v>
      </c>
    </row>
    <row r="4107" spans="1:9" ht="14.5" x14ac:dyDescent="0.35">
      <c r="A4107" s="2">
        <v>423273</v>
      </c>
      <c r="B4107" s="2" t="str">
        <f>"3376036406840003"</f>
        <v>3376036406840003</v>
      </c>
      <c r="C4107" s="2" t="s">
        <v>4677</v>
      </c>
      <c r="D4107" s="2" t="s">
        <v>17</v>
      </c>
      <c r="E4107" s="2" t="s">
        <v>11</v>
      </c>
      <c r="F4107" s="2" t="s">
        <v>18</v>
      </c>
      <c r="G4107" s="2" t="s">
        <v>268</v>
      </c>
      <c r="H4107" s="2" t="s">
        <v>269</v>
      </c>
      <c r="I4107" s="2" t="s">
        <v>1662</v>
      </c>
    </row>
    <row r="4108" spans="1:9" ht="14.5" x14ac:dyDescent="0.35">
      <c r="A4108" s="2">
        <v>347368</v>
      </c>
      <c r="B4108" s="2" t="str">
        <f>"3376036503950005"</f>
        <v>3376036503950005</v>
      </c>
      <c r="C4108" s="2" t="s">
        <v>4678</v>
      </c>
      <c r="D4108" s="2" t="s">
        <v>10</v>
      </c>
      <c r="E4108" s="2" t="s">
        <v>11</v>
      </c>
      <c r="F4108" s="2" t="s">
        <v>18</v>
      </c>
      <c r="G4108" s="2" t="s">
        <v>268</v>
      </c>
      <c r="H4108" s="2" t="s">
        <v>269</v>
      </c>
      <c r="I4108" s="2" t="s">
        <v>3140</v>
      </c>
    </row>
    <row r="4109" spans="1:9" ht="14.5" x14ac:dyDescent="0.35">
      <c r="A4109" s="2">
        <v>2556644</v>
      </c>
      <c r="B4109" s="2" t="str">
        <f>"3376036503950005"</f>
        <v>3376036503950005</v>
      </c>
      <c r="C4109" s="2" t="s">
        <v>4678</v>
      </c>
      <c r="D4109" s="2" t="s">
        <v>17</v>
      </c>
      <c r="E4109" s="2" t="s">
        <v>11</v>
      </c>
      <c r="F4109" s="2" t="s">
        <v>18</v>
      </c>
      <c r="G4109" s="2" t="s">
        <v>19</v>
      </c>
      <c r="H4109" s="2" t="s">
        <v>4290</v>
      </c>
      <c r="I4109" s="2" t="s">
        <v>4318</v>
      </c>
    </row>
    <row r="4110" spans="1:9" ht="14.5" x14ac:dyDescent="0.35">
      <c r="A4110" s="2">
        <v>363261</v>
      </c>
      <c r="B4110" s="2" t="str">
        <f>"3376036504820002"</f>
        <v>3376036504820002</v>
      </c>
      <c r="C4110" s="2" t="s">
        <v>4679</v>
      </c>
      <c r="D4110" s="2" t="s">
        <v>10</v>
      </c>
      <c r="E4110" s="2" t="s">
        <v>11</v>
      </c>
      <c r="F4110" s="2" t="s">
        <v>18</v>
      </c>
      <c r="G4110" s="2" t="s">
        <v>268</v>
      </c>
      <c r="H4110" s="2" t="s">
        <v>269</v>
      </c>
      <c r="I4110" s="2" t="s">
        <v>996</v>
      </c>
    </row>
    <row r="4111" spans="1:9" ht="14.5" x14ac:dyDescent="0.35">
      <c r="A4111" s="2">
        <v>2556450</v>
      </c>
      <c r="B4111" s="2" t="str">
        <f>"3376036504820002"</f>
        <v>3376036504820002</v>
      </c>
      <c r="C4111" s="2" t="s">
        <v>4679</v>
      </c>
      <c r="D4111" s="2" t="s">
        <v>17</v>
      </c>
      <c r="E4111" s="2" t="s">
        <v>11</v>
      </c>
      <c r="F4111" s="2" t="s">
        <v>18</v>
      </c>
      <c r="G4111" s="2" t="s">
        <v>19</v>
      </c>
      <c r="H4111" s="2" t="s">
        <v>4290</v>
      </c>
      <c r="I4111" s="2" t="s">
        <v>4315</v>
      </c>
    </row>
    <row r="4112" spans="1:9" ht="14.5" x14ac:dyDescent="0.35">
      <c r="A4112" s="2">
        <v>1482074</v>
      </c>
      <c r="B4112" s="2" t="str">
        <f>"3376036808690003"</f>
        <v>3376036808690003</v>
      </c>
      <c r="C4112" s="2" t="s">
        <v>4680</v>
      </c>
      <c r="D4112" s="2" t="s">
        <v>10</v>
      </c>
      <c r="E4112" s="2" t="s">
        <v>11</v>
      </c>
      <c r="F4112" s="2" t="s">
        <v>18</v>
      </c>
      <c r="G4112" s="2" t="s">
        <v>19</v>
      </c>
      <c r="H4112" s="2" t="s">
        <v>4290</v>
      </c>
      <c r="I4112" s="2" t="s">
        <v>4436</v>
      </c>
    </row>
    <row r="4113" spans="1:9" ht="14.5" x14ac:dyDescent="0.35">
      <c r="A4113" s="2">
        <v>1642195</v>
      </c>
      <c r="B4113" s="2" t="str">
        <f>"3376036808690003"</f>
        <v>3376036808690003</v>
      </c>
      <c r="C4113" s="2" t="s">
        <v>4680</v>
      </c>
      <c r="D4113" s="2" t="s">
        <v>17</v>
      </c>
      <c r="E4113" s="2" t="s">
        <v>11</v>
      </c>
      <c r="F4113" s="2" t="s">
        <v>18</v>
      </c>
      <c r="G4113" s="2" t="s">
        <v>264</v>
      </c>
      <c r="H4113" s="2" t="s">
        <v>773</v>
      </c>
      <c r="I4113" s="2" t="s">
        <v>1850</v>
      </c>
    </row>
    <row r="4114" spans="1:9" ht="14.5" x14ac:dyDescent="0.35">
      <c r="A4114" s="2">
        <v>390959</v>
      </c>
      <c r="B4114" s="2" t="str">
        <f>"3376040904950002"</f>
        <v>3376040904950002</v>
      </c>
      <c r="C4114" s="2" t="s">
        <v>4681</v>
      </c>
      <c r="D4114" s="2" t="s">
        <v>10</v>
      </c>
      <c r="E4114" s="2" t="s">
        <v>11</v>
      </c>
      <c r="F4114" s="2" t="s">
        <v>18</v>
      </c>
      <c r="G4114" s="2" t="s">
        <v>268</v>
      </c>
      <c r="H4114" s="2" t="s">
        <v>448</v>
      </c>
      <c r="I4114" s="2" t="s">
        <v>3897</v>
      </c>
    </row>
    <row r="4115" spans="1:9" ht="14.5" x14ac:dyDescent="0.35">
      <c r="A4115" s="2">
        <v>2556531</v>
      </c>
      <c r="B4115" s="2" t="str">
        <f>"3376040904950002"</f>
        <v>3376040904950002</v>
      </c>
      <c r="C4115" s="2" t="s">
        <v>4682</v>
      </c>
      <c r="D4115" s="2" t="s">
        <v>17</v>
      </c>
      <c r="E4115" s="2" t="s">
        <v>11</v>
      </c>
      <c r="F4115" s="2" t="s">
        <v>18</v>
      </c>
      <c r="G4115" s="2" t="s">
        <v>19</v>
      </c>
      <c r="H4115" s="2" t="s">
        <v>4290</v>
      </c>
      <c r="I4115" s="2" t="s">
        <v>4329</v>
      </c>
    </row>
    <row r="4116" spans="1:9" ht="14.5" x14ac:dyDescent="0.35">
      <c r="A4116" s="2">
        <v>2150528</v>
      </c>
      <c r="B4116" s="2" t="str">
        <f>"3376041708910004"</f>
        <v>3376041708910004</v>
      </c>
      <c r="C4116" s="2" t="s">
        <v>2926</v>
      </c>
      <c r="D4116" s="2" t="s">
        <v>10</v>
      </c>
      <c r="E4116" s="2" t="s">
        <v>11</v>
      </c>
      <c r="F4116" s="2" t="s">
        <v>18</v>
      </c>
      <c r="G4116" s="2" t="s">
        <v>19</v>
      </c>
      <c r="H4116" s="2" t="s">
        <v>4290</v>
      </c>
      <c r="I4116" s="2" t="s">
        <v>4290</v>
      </c>
    </row>
    <row r="4117" spans="1:9" ht="14.5" x14ac:dyDescent="0.35">
      <c r="A4117" s="2">
        <v>421180</v>
      </c>
      <c r="B4117" s="2" t="str">
        <f>"3376041708910004"</f>
        <v>3376041708910004</v>
      </c>
      <c r="C4117" s="2" t="s">
        <v>2926</v>
      </c>
      <c r="D4117" s="2" t="s">
        <v>17</v>
      </c>
      <c r="E4117" s="2" t="s">
        <v>11</v>
      </c>
      <c r="F4117" s="2" t="s">
        <v>18</v>
      </c>
      <c r="G4117" s="2" t="s">
        <v>268</v>
      </c>
      <c r="H4117" s="2" t="s">
        <v>448</v>
      </c>
      <c r="I4117" s="2" t="s">
        <v>1508</v>
      </c>
    </row>
    <row r="4118" spans="1:9" ht="14.5" x14ac:dyDescent="0.35">
      <c r="A4118" s="2">
        <v>374458</v>
      </c>
      <c r="B4118" s="2" t="str">
        <f>"3376045004880001"</f>
        <v>3376045004880001</v>
      </c>
      <c r="C4118" s="2" t="s">
        <v>4683</v>
      </c>
      <c r="D4118" s="2" t="s">
        <v>10</v>
      </c>
      <c r="E4118" s="2" t="s">
        <v>11</v>
      </c>
      <c r="F4118" s="2" t="s">
        <v>18</v>
      </c>
      <c r="G4118" s="2" t="s">
        <v>268</v>
      </c>
      <c r="H4118" s="2" t="s">
        <v>448</v>
      </c>
      <c r="I4118" s="2" t="s">
        <v>2101</v>
      </c>
    </row>
    <row r="4119" spans="1:9" ht="14.5" x14ac:dyDescent="0.35">
      <c r="A4119" s="2">
        <v>2556412</v>
      </c>
      <c r="B4119" s="2" t="str">
        <f>"3376045004880001"</f>
        <v>3376045004880001</v>
      </c>
      <c r="C4119" s="2" t="s">
        <v>4683</v>
      </c>
      <c r="D4119" s="2" t="s">
        <v>17</v>
      </c>
      <c r="E4119" s="2" t="s">
        <v>11</v>
      </c>
      <c r="F4119" s="2" t="s">
        <v>18</v>
      </c>
      <c r="G4119" s="2" t="s">
        <v>19</v>
      </c>
      <c r="H4119" s="2" t="s">
        <v>4290</v>
      </c>
      <c r="I4119" s="2" t="s">
        <v>4315</v>
      </c>
    </row>
    <row r="4120" spans="1:9" ht="14.5" x14ac:dyDescent="0.35">
      <c r="A4120" s="2">
        <v>628474</v>
      </c>
      <c r="B4120" s="2" t="str">
        <f>"3525102711970001"</f>
        <v>3525102711970001</v>
      </c>
      <c r="C4120" s="2" t="s">
        <v>4684</v>
      </c>
      <c r="D4120" s="2" t="s">
        <v>10</v>
      </c>
      <c r="E4120" s="2" t="s">
        <v>11</v>
      </c>
      <c r="F4120" s="2" t="s">
        <v>303</v>
      </c>
      <c r="G4120" s="2" t="s">
        <v>4685</v>
      </c>
      <c r="H4120" s="2" t="s">
        <v>4686</v>
      </c>
      <c r="I4120" s="2" t="s">
        <v>4687</v>
      </c>
    </row>
    <row r="4121" spans="1:9" ht="14.5" x14ac:dyDescent="0.35">
      <c r="A4121" s="2">
        <v>2557277</v>
      </c>
      <c r="B4121" s="2" t="str">
        <f>"3525102711970001"</f>
        <v>3525102711970001</v>
      </c>
      <c r="C4121" s="2" t="s">
        <v>4684</v>
      </c>
      <c r="D4121" s="2" t="s">
        <v>17</v>
      </c>
      <c r="E4121" s="2" t="s">
        <v>11</v>
      </c>
      <c r="F4121" s="2" t="s">
        <v>18</v>
      </c>
      <c r="G4121" s="2" t="s">
        <v>19</v>
      </c>
      <c r="H4121" s="2" t="s">
        <v>4290</v>
      </c>
      <c r="I4121" s="2" t="s">
        <v>4436</v>
      </c>
    </row>
    <row r="4122" spans="1:9" ht="14.5" x14ac:dyDescent="0.35">
      <c r="A4122" s="2">
        <v>805864</v>
      </c>
      <c r="B4122" s="2" t="str">
        <f>"3673052007750001"</f>
        <v>3673052007750001</v>
      </c>
      <c r="C4122" s="2" t="s">
        <v>4688</v>
      </c>
      <c r="D4122" s="2" t="s">
        <v>10</v>
      </c>
      <c r="E4122" s="2" t="s">
        <v>11</v>
      </c>
      <c r="F4122" s="2" t="s">
        <v>67</v>
      </c>
      <c r="G4122" s="2" t="s">
        <v>696</v>
      </c>
      <c r="H4122" s="2" t="s">
        <v>4689</v>
      </c>
      <c r="I4122" s="2" t="s">
        <v>4690</v>
      </c>
    </row>
    <row r="4123" spans="1:9" ht="14.5" x14ac:dyDescent="0.35">
      <c r="A4123" s="2">
        <v>2556251</v>
      </c>
      <c r="B4123" s="2" t="str">
        <f>"3673052007750001"</f>
        <v>3673052007750001</v>
      </c>
      <c r="C4123" s="2" t="s">
        <v>4691</v>
      </c>
      <c r="D4123" s="2" t="s">
        <v>17</v>
      </c>
      <c r="E4123" s="2" t="s">
        <v>11</v>
      </c>
      <c r="F4123" s="2" t="s">
        <v>18</v>
      </c>
      <c r="G4123" s="2" t="s">
        <v>19</v>
      </c>
      <c r="H4123" s="2" t="s">
        <v>4290</v>
      </c>
      <c r="I4123" s="2" t="s">
        <v>4303</v>
      </c>
    </row>
    <row r="4124" spans="1:9" ht="14.5" x14ac:dyDescent="0.35">
      <c r="A4124" s="2">
        <v>122883</v>
      </c>
      <c r="B4124" s="2" t="str">
        <f>"8102101005820002"</f>
        <v>8102101005820002</v>
      </c>
      <c r="C4124" s="2" t="s">
        <v>4023</v>
      </c>
      <c r="D4124" s="2" t="s">
        <v>10</v>
      </c>
      <c r="E4124" s="2" t="s">
        <v>11</v>
      </c>
      <c r="F4124" s="2" t="s">
        <v>1374</v>
      </c>
      <c r="G4124" s="2" t="s">
        <v>2551</v>
      </c>
      <c r="H4124" s="2" t="s">
        <v>2552</v>
      </c>
      <c r="I4124" s="2" t="s">
        <v>3319</v>
      </c>
    </row>
    <row r="4125" spans="1:9" ht="14.5" x14ac:dyDescent="0.35">
      <c r="A4125" s="2">
        <v>2557334</v>
      </c>
      <c r="B4125" s="2" t="str">
        <f>"8102101005820002"</f>
        <v>8102101005820002</v>
      </c>
      <c r="C4125" s="2" t="s">
        <v>4023</v>
      </c>
      <c r="D4125" s="2" t="s">
        <v>17</v>
      </c>
      <c r="E4125" s="2" t="s">
        <v>11</v>
      </c>
      <c r="F4125" s="2" t="s">
        <v>18</v>
      </c>
      <c r="G4125" s="2" t="s">
        <v>19</v>
      </c>
      <c r="H4125" s="2" t="s">
        <v>4290</v>
      </c>
      <c r="I4125" s="2" t="s">
        <v>4436</v>
      </c>
    </row>
    <row r="4126" spans="1:9" ht="14.5" x14ac:dyDescent="0.35">
      <c r="A4126" s="2">
        <v>432873</v>
      </c>
      <c r="B4126" s="2" t="str">
        <f>"9171026310720001"</f>
        <v>9171026310720001</v>
      </c>
      <c r="C4126" s="2" t="s">
        <v>4692</v>
      </c>
      <c r="D4126" s="2" t="s">
        <v>10</v>
      </c>
      <c r="E4126" s="2" t="s">
        <v>11</v>
      </c>
      <c r="F4126" s="2" t="s">
        <v>783</v>
      </c>
      <c r="G4126" s="2" t="s">
        <v>1112</v>
      </c>
      <c r="H4126" s="2" t="s">
        <v>3651</v>
      </c>
      <c r="I4126" s="2" t="s">
        <v>4693</v>
      </c>
    </row>
    <row r="4127" spans="1:9" ht="14.5" x14ac:dyDescent="0.35">
      <c r="A4127" s="2">
        <v>2557513</v>
      </c>
      <c r="B4127" s="2" t="str">
        <f>"9171026310720001"</f>
        <v>9171026310720001</v>
      </c>
      <c r="C4127" s="2" t="s">
        <v>4692</v>
      </c>
      <c r="D4127" s="2" t="s">
        <v>17</v>
      </c>
      <c r="E4127" s="2" t="s">
        <v>11</v>
      </c>
      <c r="F4127" s="2" t="s">
        <v>18</v>
      </c>
      <c r="G4127" s="2" t="s">
        <v>19</v>
      </c>
      <c r="H4127" s="2" t="s">
        <v>4290</v>
      </c>
      <c r="I4127" s="2" t="s">
        <v>878</v>
      </c>
    </row>
    <row r="4128" spans="1:9" ht="14.5" x14ac:dyDescent="0.35">
      <c r="A4128" s="2">
        <v>107246</v>
      </c>
      <c r="B4128" s="2" t="str">
        <f>"1209132104950004"</f>
        <v>1209132104950004</v>
      </c>
      <c r="C4128" s="2" t="s">
        <v>4694</v>
      </c>
      <c r="D4128" s="2" t="s">
        <v>10</v>
      </c>
      <c r="E4128" s="2" t="s">
        <v>11</v>
      </c>
      <c r="F4128" s="2" t="s">
        <v>667</v>
      </c>
      <c r="G4128" s="2" t="s">
        <v>668</v>
      </c>
      <c r="H4128" s="2" t="s">
        <v>4695</v>
      </c>
      <c r="I4128" s="2" t="s">
        <v>4696</v>
      </c>
    </row>
    <row r="4129" spans="1:9" ht="14.5" x14ac:dyDescent="0.35">
      <c r="A4129" s="2">
        <v>2558636</v>
      </c>
      <c r="B4129" s="2" t="str">
        <f>"1209132104950004"</f>
        <v>1209132104950004</v>
      </c>
      <c r="C4129" s="2" t="s">
        <v>4694</v>
      </c>
      <c r="D4129" s="2" t="s">
        <v>17</v>
      </c>
      <c r="E4129" s="2" t="s">
        <v>11</v>
      </c>
      <c r="F4129" s="2" t="s">
        <v>18</v>
      </c>
      <c r="G4129" s="2" t="s">
        <v>19</v>
      </c>
      <c r="H4129" s="2" t="s">
        <v>3565</v>
      </c>
      <c r="I4129" s="2" t="s">
        <v>4697</v>
      </c>
    </row>
    <row r="4130" spans="1:9" ht="14.5" x14ac:dyDescent="0.35">
      <c r="A4130" s="2">
        <v>107245</v>
      </c>
      <c r="B4130" s="2" t="str">
        <f>"1209136106750002"</f>
        <v>1209136106750002</v>
      </c>
      <c r="C4130" s="2" t="s">
        <v>4698</v>
      </c>
      <c r="D4130" s="2" t="s">
        <v>10</v>
      </c>
      <c r="E4130" s="2" t="s">
        <v>11</v>
      </c>
      <c r="F4130" s="2" t="s">
        <v>667</v>
      </c>
      <c r="G4130" s="2" t="s">
        <v>668</v>
      </c>
      <c r="H4130" s="2" t="s">
        <v>4695</v>
      </c>
      <c r="I4130" s="2" t="s">
        <v>4696</v>
      </c>
    </row>
    <row r="4131" spans="1:9" ht="14.5" x14ac:dyDescent="0.35">
      <c r="A4131" s="2">
        <v>2558638</v>
      </c>
      <c r="B4131" s="2" t="str">
        <f>"1209136106750002"</f>
        <v>1209136106750002</v>
      </c>
      <c r="C4131" s="2" t="s">
        <v>4698</v>
      </c>
      <c r="D4131" s="2" t="s">
        <v>17</v>
      </c>
      <c r="E4131" s="2" t="s">
        <v>11</v>
      </c>
      <c r="F4131" s="2" t="s">
        <v>18</v>
      </c>
      <c r="G4131" s="2" t="s">
        <v>19</v>
      </c>
      <c r="H4131" s="2" t="s">
        <v>3565</v>
      </c>
      <c r="I4131" s="2" t="s">
        <v>4697</v>
      </c>
    </row>
    <row r="4132" spans="1:9" ht="14.5" x14ac:dyDescent="0.35">
      <c r="A4132" s="2">
        <v>107244</v>
      </c>
      <c r="B4132" s="2" t="str">
        <f>"1209136308990004"</f>
        <v>1209136308990004</v>
      </c>
      <c r="C4132" s="2" t="s">
        <v>4699</v>
      </c>
      <c r="D4132" s="2" t="s">
        <v>10</v>
      </c>
      <c r="E4132" s="2" t="s">
        <v>11</v>
      </c>
      <c r="F4132" s="2" t="s">
        <v>667</v>
      </c>
      <c r="G4132" s="2" t="s">
        <v>668</v>
      </c>
      <c r="H4132" s="2" t="s">
        <v>4695</v>
      </c>
      <c r="I4132" s="2" t="s">
        <v>4696</v>
      </c>
    </row>
    <row r="4133" spans="1:9" ht="14.5" x14ac:dyDescent="0.35">
      <c r="A4133" s="2">
        <v>2558637</v>
      </c>
      <c r="B4133" s="2" t="str">
        <f>"1209136308990004"</f>
        <v>1209136308990004</v>
      </c>
      <c r="C4133" s="2" t="s">
        <v>4699</v>
      </c>
      <c r="D4133" s="2" t="s">
        <v>17</v>
      </c>
      <c r="E4133" s="2" t="s">
        <v>11</v>
      </c>
      <c r="F4133" s="2" t="s">
        <v>18</v>
      </c>
      <c r="G4133" s="2" t="s">
        <v>19</v>
      </c>
      <c r="H4133" s="2" t="s">
        <v>3565</v>
      </c>
      <c r="I4133" s="2" t="s">
        <v>4697</v>
      </c>
    </row>
    <row r="4134" spans="1:9" ht="14.5" x14ac:dyDescent="0.35">
      <c r="A4134" s="2">
        <v>30746</v>
      </c>
      <c r="B4134" s="2" t="str">
        <f>"1406022006940005"</f>
        <v>1406022006940005</v>
      </c>
      <c r="C4134" s="2" t="s">
        <v>4700</v>
      </c>
      <c r="D4134" s="2" t="s">
        <v>10</v>
      </c>
      <c r="E4134" s="2" t="s">
        <v>11</v>
      </c>
      <c r="F4134" s="2" t="s">
        <v>228</v>
      </c>
      <c r="G4134" s="2" t="s">
        <v>2142</v>
      </c>
      <c r="H4134" s="2" t="s">
        <v>4701</v>
      </c>
      <c r="I4134" s="2" t="s">
        <v>4702</v>
      </c>
    </row>
    <row r="4135" spans="1:9" ht="14.5" x14ac:dyDescent="0.35">
      <c r="A4135" s="2">
        <v>2559338</v>
      </c>
      <c r="B4135" s="2" t="str">
        <f>"1406022006940005"</f>
        <v>1406022006940005</v>
      </c>
      <c r="C4135" s="2" t="s">
        <v>4700</v>
      </c>
      <c r="D4135" s="2" t="s">
        <v>17</v>
      </c>
      <c r="E4135" s="2" t="s">
        <v>11</v>
      </c>
      <c r="F4135" s="2" t="s">
        <v>18</v>
      </c>
      <c r="G4135" s="2" t="s">
        <v>19</v>
      </c>
      <c r="H4135" s="2" t="s">
        <v>3565</v>
      </c>
      <c r="I4135" s="2" t="s">
        <v>4703</v>
      </c>
    </row>
    <row r="4136" spans="1:9" ht="14.5" x14ac:dyDescent="0.35">
      <c r="A4136" s="2">
        <v>365351</v>
      </c>
      <c r="B4136" s="2" t="str">
        <f>"1406090407830006"</f>
        <v>1406090407830006</v>
      </c>
      <c r="C4136" s="2" t="s">
        <v>4704</v>
      </c>
      <c r="D4136" s="2" t="s">
        <v>10</v>
      </c>
      <c r="E4136" s="2" t="s">
        <v>11</v>
      </c>
      <c r="F4136" s="2" t="s">
        <v>228</v>
      </c>
      <c r="G4136" s="2" t="s">
        <v>2142</v>
      </c>
      <c r="H4136" s="2" t="s">
        <v>4705</v>
      </c>
      <c r="I4136" s="2" t="s">
        <v>4706</v>
      </c>
    </row>
    <row r="4137" spans="1:9" ht="14.5" x14ac:dyDescent="0.35">
      <c r="A4137" s="2">
        <v>2558376</v>
      </c>
      <c r="B4137" s="2" t="str">
        <f>"1406090407830006"</f>
        <v>1406090407830006</v>
      </c>
      <c r="C4137" s="2" t="s">
        <v>4707</v>
      </c>
      <c r="D4137" s="2" t="s">
        <v>17</v>
      </c>
      <c r="E4137" s="2" t="s">
        <v>11</v>
      </c>
      <c r="F4137" s="2" t="s">
        <v>18</v>
      </c>
      <c r="G4137" s="2" t="s">
        <v>19</v>
      </c>
      <c r="H4137" s="2" t="s">
        <v>3565</v>
      </c>
      <c r="I4137" s="2" t="s">
        <v>4708</v>
      </c>
    </row>
    <row r="4138" spans="1:9" ht="14.5" x14ac:dyDescent="0.35">
      <c r="A4138" s="2">
        <v>198599</v>
      </c>
      <c r="B4138" s="2" t="str">
        <f>"1806032804980003"</f>
        <v>1806032804980003</v>
      </c>
      <c r="C4138" s="2" t="s">
        <v>4709</v>
      </c>
      <c r="D4138" s="2" t="s">
        <v>10</v>
      </c>
      <c r="E4138" s="2" t="s">
        <v>11</v>
      </c>
      <c r="F4138" s="2" t="s">
        <v>44</v>
      </c>
      <c r="G4138" s="2" t="s">
        <v>45</v>
      </c>
      <c r="H4138" s="2" t="s">
        <v>392</v>
      </c>
      <c r="I4138" s="2" t="s">
        <v>4710</v>
      </c>
    </row>
    <row r="4139" spans="1:9" ht="14.5" x14ac:dyDescent="0.35">
      <c r="A4139" s="2">
        <v>2558092</v>
      </c>
      <c r="B4139" s="2" t="str">
        <f>"1806032804980003"</f>
        <v>1806032804980003</v>
      </c>
      <c r="C4139" s="2" t="s">
        <v>4709</v>
      </c>
      <c r="D4139" s="2" t="s">
        <v>17</v>
      </c>
      <c r="E4139" s="2" t="s">
        <v>11</v>
      </c>
      <c r="F4139" s="2" t="s">
        <v>18</v>
      </c>
      <c r="G4139" s="2" t="s">
        <v>19</v>
      </c>
      <c r="H4139" s="2" t="s">
        <v>3565</v>
      </c>
      <c r="I4139" s="2" t="s">
        <v>4711</v>
      </c>
    </row>
    <row r="4140" spans="1:9" ht="14.5" x14ac:dyDescent="0.35">
      <c r="A4140" s="2">
        <v>219055</v>
      </c>
      <c r="B4140" s="2" t="str">
        <f>"3171046911900001"</f>
        <v>3171046911900001</v>
      </c>
      <c r="C4140" s="2" t="s">
        <v>4712</v>
      </c>
      <c r="D4140" s="2" t="s">
        <v>10</v>
      </c>
      <c r="E4140" s="2" t="s">
        <v>11</v>
      </c>
      <c r="F4140" s="2" t="s">
        <v>50</v>
      </c>
      <c r="G4140" s="2" t="s">
        <v>280</v>
      </c>
      <c r="H4140" s="2" t="s">
        <v>2179</v>
      </c>
      <c r="I4140" s="2" t="s">
        <v>266</v>
      </c>
    </row>
    <row r="4141" spans="1:9" ht="14.5" x14ac:dyDescent="0.35">
      <c r="A4141" s="2">
        <v>2558438</v>
      </c>
      <c r="B4141" s="2" t="str">
        <f>"3171046911900001"</f>
        <v>3171046911900001</v>
      </c>
      <c r="C4141" s="2" t="s">
        <v>4712</v>
      </c>
      <c r="D4141" s="2" t="s">
        <v>17</v>
      </c>
      <c r="E4141" s="2" t="s">
        <v>11</v>
      </c>
      <c r="F4141" s="2" t="s">
        <v>18</v>
      </c>
      <c r="G4141" s="2" t="s">
        <v>19</v>
      </c>
      <c r="H4141" s="2" t="s">
        <v>3565</v>
      </c>
      <c r="I4141" s="2" t="s">
        <v>4708</v>
      </c>
    </row>
    <row r="4142" spans="1:9" ht="14.5" x14ac:dyDescent="0.35">
      <c r="A4142" s="2">
        <v>601491</v>
      </c>
      <c r="B4142" s="2" t="str">
        <f>"3171080808750009"</f>
        <v>3171080808750009</v>
      </c>
      <c r="C4142" s="2" t="s">
        <v>4713</v>
      </c>
      <c r="D4142" s="2" t="s">
        <v>10</v>
      </c>
      <c r="E4142" s="2" t="s">
        <v>11</v>
      </c>
      <c r="F4142" s="2" t="s">
        <v>50</v>
      </c>
      <c r="G4142" s="2" t="s">
        <v>280</v>
      </c>
      <c r="H4142" s="2" t="s">
        <v>2507</v>
      </c>
      <c r="I4142" s="2" t="s">
        <v>3162</v>
      </c>
    </row>
    <row r="4143" spans="1:9" ht="14.5" x14ac:dyDescent="0.35">
      <c r="A4143" s="2">
        <v>2558230</v>
      </c>
      <c r="B4143" s="2" t="str">
        <f>"3171080808750009"</f>
        <v>3171080808750009</v>
      </c>
      <c r="C4143" s="2" t="s">
        <v>4713</v>
      </c>
      <c r="D4143" s="2" t="s">
        <v>17</v>
      </c>
      <c r="E4143" s="2" t="s">
        <v>11</v>
      </c>
      <c r="F4143" s="2" t="s">
        <v>18</v>
      </c>
      <c r="G4143" s="2" t="s">
        <v>19</v>
      </c>
      <c r="H4143" s="2" t="s">
        <v>3565</v>
      </c>
      <c r="I4143" s="2" t="s">
        <v>4714</v>
      </c>
    </row>
    <row r="4144" spans="1:9" ht="14.5" x14ac:dyDescent="0.35">
      <c r="A4144" s="2">
        <v>605068</v>
      </c>
      <c r="B4144" s="2" t="str">
        <f>"3171082003580005"</f>
        <v>3171082003580005</v>
      </c>
      <c r="C4144" s="2" t="s">
        <v>4715</v>
      </c>
      <c r="D4144" s="2" t="s">
        <v>10</v>
      </c>
      <c r="E4144" s="2" t="s">
        <v>11</v>
      </c>
      <c r="F4144" s="2" t="s">
        <v>50</v>
      </c>
      <c r="G4144" s="2" t="s">
        <v>280</v>
      </c>
      <c r="H4144" s="2" t="s">
        <v>2507</v>
      </c>
      <c r="I4144" s="2" t="s">
        <v>3162</v>
      </c>
    </row>
    <row r="4145" spans="1:9" ht="14.5" x14ac:dyDescent="0.35">
      <c r="A4145" s="2">
        <v>2558327</v>
      </c>
      <c r="B4145" s="2" t="str">
        <f>"3171082003580005"</f>
        <v>3171082003580005</v>
      </c>
      <c r="C4145" s="2" t="s">
        <v>4716</v>
      </c>
      <c r="D4145" s="2" t="s">
        <v>17</v>
      </c>
      <c r="E4145" s="2" t="s">
        <v>11</v>
      </c>
      <c r="F4145" s="2" t="s">
        <v>18</v>
      </c>
      <c r="G4145" s="2" t="s">
        <v>19</v>
      </c>
      <c r="H4145" s="2" t="s">
        <v>3565</v>
      </c>
      <c r="I4145" s="2" t="s">
        <v>4708</v>
      </c>
    </row>
    <row r="4146" spans="1:9" ht="14.5" x14ac:dyDescent="0.35">
      <c r="A4146" s="2">
        <v>595906</v>
      </c>
      <c r="B4146" s="2" t="str">
        <f>"3171082008670004"</f>
        <v>3171082008670004</v>
      </c>
      <c r="C4146" s="2" t="s">
        <v>4717</v>
      </c>
      <c r="D4146" s="2" t="s">
        <v>10</v>
      </c>
      <c r="E4146" s="2" t="s">
        <v>11</v>
      </c>
      <c r="F4146" s="2" t="s">
        <v>50</v>
      </c>
      <c r="G4146" s="2" t="s">
        <v>280</v>
      </c>
      <c r="H4146" s="2" t="s">
        <v>2507</v>
      </c>
      <c r="I4146" s="2" t="s">
        <v>3162</v>
      </c>
    </row>
    <row r="4147" spans="1:9" ht="14.5" x14ac:dyDescent="0.35">
      <c r="A4147" s="2">
        <v>2571872</v>
      </c>
      <c r="B4147" s="2" t="str">
        <f>"3171082008670004"</f>
        <v>3171082008670004</v>
      </c>
      <c r="C4147" s="2" t="s">
        <v>4717</v>
      </c>
      <c r="D4147" s="2" t="s">
        <v>17</v>
      </c>
      <c r="E4147" s="2" t="s">
        <v>11</v>
      </c>
      <c r="F4147" s="2" t="s">
        <v>18</v>
      </c>
      <c r="G4147" s="2" t="s">
        <v>19</v>
      </c>
      <c r="H4147" s="2" t="s">
        <v>3565</v>
      </c>
      <c r="I4147" s="2" t="s">
        <v>4156</v>
      </c>
    </row>
    <row r="4148" spans="1:9" ht="14.5" x14ac:dyDescent="0.35">
      <c r="A4148" s="2">
        <v>1089067</v>
      </c>
      <c r="B4148" s="2" t="str">
        <f>"3172015408870003"</f>
        <v>3172015408870003</v>
      </c>
      <c r="C4148" s="2" t="s">
        <v>4718</v>
      </c>
      <c r="D4148" s="2" t="s">
        <v>10</v>
      </c>
      <c r="E4148" s="2" t="s">
        <v>11</v>
      </c>
      <c r="F4148" s="2" t="s">
        <v>50</v>
      </c>
      <c r="G4148" s="2" t="s">
        <v>51</v>
      </c>
      <c r="H4148" s="2" t="s">
        <v>52</v>
      </c>
      <c r="I4148" s="2" t="s">
        <v>52</v>
      </c>
    </row>
    <row r="4149" spans="1:9" ht="14.5" x14ac:dyDescent="0.35">
      <c r="A4149" s="2">
        <v>2559000</v>
      </c>
      <c r="B4149" s="2" t="str">
        <f>"3172015408870003"</f>
        <v>3172015408870003</v>
      </c>
      <c r="C4149" s="2" t="s">
        <v>4718</v>
      </c>
      <c r="D4149" s="2" t="s">
        <v>17</v>
      </c>
      <c r="E4149" s="2" t="s">
        <v>11</v>
      </c>
      <c r="F4149" s="2" t="s">
        <v>18</v>
      </c>
      <c r="G4149" s="2" t="s">
        <v>19</v>
      </c>
      <c r="H4149" s="2" t="s">
        <v>3565</v>
      </c>
      <c r="I4149" s="2" t="s">
        <v>4719</v>
      </c>
    </row>
    <row r="4150" spans="1:9" ht="14.5" x14ac:dyDescent="0.35">
      <c r="A4150" s="2">
        <v>1089016</v>
      </c>
      <c r="B4150" s="2" t="str">
        <f>"3172015703580004"</f>
        <v>3172015703580004</v>
      </c>
      <c r="C4150" s="2" t="s">
        <v>4720</v>
      </c>
      <c r="D4150" s="2" t="s">
        <v>10</v>
      </c>
      <c r="E4150" s="2" t="s">
        <v>11</v>
      </c>
      <c r="F4150" s="2" t="s">
        <v>50</v>
      </c>
      <c r="G4150" s="2" t="s">
        <v>51</v>
      </c>
      <c r="H4150" s="2" t="s">
        <v>52</v>
      </c>
      <c r="I4150" s="2" t="s">
        <v>52</v>
      </c>
    </row>
    <row r="4151" spans="1:9" ht="14.5" x14ac:dyDescent="0.35">
      <c r="A4151" s="2">
        <v>2559001</v>
      </c>
      <c r="B4151" s="2" t="str">
        <f>"3172015703580004"</f>
        <v>3172015703580004</v>
      </c>
      <c r="C4151" s="2" t="s">
        <v>4720</v>
      </c>
      <c r="D4151" s="2" t="s">
        <v>17</v>
      </c>
      <c r="E4151" s="2" t="s">
        <v>11</v>
      </c>
      <c r="F4151" s="2" t="s">
        <v>18</v>
      </c>
      <c r="G4151" s="2" t="s">
        <v>19</v>
      </c>
      <c r="H4151" s="2" t="s">
        <v>3565</v>
      </c>
      <c r="I4151" s="2" t="s">
        <v>4719</v>
      </c>
    </row>
    <row r="4152" spans="1:9" ht="14.5" x14ac:dyDescent="0.35">
      <c r="A4152" s="2">
        <v>150200</v>
      </c>
      <c r="B4152" s="2" t="str">
        <f>"3172023112470016"</f>
        <v>3172023112470016</v>
      </c>
      <c r="C4152" s="2" t="s">
        <v>4721</v>
      </c>
      <c r="D4152" s="2" t="s">
        <v>10</v>
      </c>
      <c r="E4152" s="2" t="s">
        <v>11</v>
      </c>
      <c r="F4152" s="2" t="s">
        <v>50</v>
      </c>
      <c r="G4152" s="2" t="s">
        <v>51</v>
      </c>
      <c r="H4152" s="2" t="s">
        <v>62</v>
      </c>
      <c r="I4152" s="2" t="s">
        <v>63</v>
      </c>
    </row>
    <row r="4153" spans="1:9" ht="14.5" x14ac:dyDescent="0.35">
      <c r="A4153" s="2">
        <v>2559298</v>
      </c>
      <c r="B4153" s="2" t="str">
        <f>"3172023112470016"</f>
        <v>3172023112470016</v>
      </c>
      <c r="C4153" s="2" t="s">
        <v>4722</v>
      </c>
      <c r="D4153" s="2" t="s">
        <v>17</v>
      </c>
      <c r="E4153" s="2" t="s">
        <v>11</v>
      </c>
      <c r="F4153" s="2" t="s">
        <v>18</v>
      </c>
      <c r="G4153" s="2" t="s">
        <v>19</v>
      </c>
      <c r="H4153" s="2" t="s">
        <v>3565</v>
      </c>
      <c r="I4153" s="2" t="s">
        <v>4703</v>
      </c>
    </row>
    <row r="4154" spans="1:9" ht="14.5" x14ac:dyDescent="0.35">
      <c r="A4154" s="2">
        <v>1322373</v>
      </c>
      <c r="B4154" s="2" t="str">
        <f>"3172035707030012"</f>
        <v>3172035707030012</v>
      </c>
      <c r="C4154" s="2" t="s">
        <v>4723</v>
      </c>
      <c r="D4154" s="2" t="s">
        <v>10</v>
      </c>
      <c r="E4154" s="2" t="s">
        <v>11</v>
      </c>
      <c r="F4154" s="2" t="s">
        <v>50</v>
      </c>
      <c r="G4154" s="2" t="s">
        <v>51</v>
      </c>
      <c r="H4154" s="2" t="s">
        <v>284</v>
      </c>
      <c r="I4154" s="2" t="s">
        <v>285</v>
      </c>
    </row>
    <row r="4155" spans="1:9" ht="14.5" x14ac:dyDescent="0.35">
      <c r="A4155" s="2">
        <v>2558339</v>
      </c>
      <c r="B4155" s="2" t="str">
        <f>"3172035707030012"</f>
        <v>3172035707030012</v>
      </c>
      <c r="C4155" s="2" t="s">
        <v>4724</v>
      </c>
      <c r="D4155" s="2" t="s">
        <v>17</v>
      </c>
      <c r="E4155" s="2" t="s">
        <v>11</v>
      </c>
      <c r="F4155" s="2" t="s">
        <v>18</v>
      </c>
      <c r="G4155" s="2" t="s">
        <v>19</v>
      </c>
      <c r="H4155" s="2" t="s">
        <v>3565</v>
      </c>
      <c r="I4155" s="2" t="s">
        <v>4708</v>
      </c>
    </row>
    <row r="4156" spans="1:9" ht="14.5" x14ac:dyDescent="0.35">
      <c r="A4156" s="2">
        <v>94159</v>
      </c>
      <c r="B4156" s="2" t="str">
        <f>"3172041307780013"</f>
        <v>3172041307780013</v>
      </c>
      <c r="C4156" s="2" t="s">
        <v>4725</v>
      </c>
      <c r="D4156" s="2" t="s">
        <v>10</v>
      </c>
      <c r="E4156" s="2" t="s">
        <v>11</v>
      </c>
      <c r="F4156" s="2" t="s">
        <v>50</v>
      </c>
      <c r="G4156" s="2" t="s">
        <v>51</v>
      </c>
      <c r="H4156" s="2" t="s">
        <v>78</v>
      </c>
      <c r="I4156" s="2" t="s">
        <v>78</v>
      </c>
    </row>
    <row r="4157" spans="1:9" ht="14.5" x14ac:dyDescent="0.35">
      <c r="A4157" s="2">
        <v>2558220</v>
      </c>
      <c r="B4157" s="2" t="str">
        <f>"3172041307780013"</f>
        <v>3172041307780013</v>
      </c>
      <c r="C4157" s="2" t="s">
        <v>4726</v>
      </c>
      <c r="D4157" s="2" t="s">
        <v>17</v>
      </c>
      <c r="E4157" s="2" t="s">
        <v>11</v>
      </c>
      <c r="F4157" s="2" t="s">
        <v>18</v>
      </c>
      <c r="G4157" s="2" t="s">
        <v>19</v>
      </c>
      <c r="H4157" s="2" t="s">
        <v>3565</v>
      </c>
      <c r="I4157" s="2" t="s">
        <v>4714</v>
      </c>
    </row>
    <row r="4158" spans="1:9" ht="14.5" x14ac:dyDescent="0.35">
      <c r="A4158" s="2">
        <v>1104523</v>
      </c>
      <c r="B4158" s="2" t="str">
        <f>"3173010608780024"</f>
        <v>3173010608780024</v>
      </c>
      <c r="C4158" s="2" t="s">
        <v>4727</v>
      </c>
      <c r="D4158" s="2" t="s">
        <v>10</v>
      </c>
      <c r="E4158" s="2" t="s">
        <v>11</v>
      </c>
      <c r="F4158" s="2" t="s">
        <v>50</v>
      </c>
      <c r="G4158" s="2" t="s">
        <v>86</v>
      </c>
      <c r="H4158" s="2" t="s">
        <v>1268</v>
      </c>
      <c r="I4158" s="2" t="s">
        <v>2503</v>
      </c>
    </row>
    <row r="4159" spans="1:9" ht="14.5" x14ac:dyDescent="0.35">
      <c r="A4159" s="2">
        <v>2558938</v>
      </c>
      <c r="B4159" s="2" t="str">
        <f>"3173010608780024"</f>
        <v>3173010608780024</v>
      </c>
      <c r="C4159" s="2" t="s">
        <v>4728</v>
      </c>
      <c r="D4159" s="2" t="s">
        <v>17</v>
      </c>
      <c r="E4159" s="2" t="s">
        <v>11</v>
      </c>
      <c r="F4159" s="2" t="s">
        <v>18</v>
      </c>
      <c r="G4159" s="2" t="s">
        <v>19</v>
      </c>
      <c r="H4159" s="2" t="s">
        <v>3565</v>
      </c>
      <c r="I4159" s="2" t="s">
        <v>4719</v>
      </c>
    </row>
    <row r="4160" spans="1:9" ht="14.5" x14ac:dyDescent="0.35">
      <c r="A4160" s="2">
        <v>757001</v>
      </c>
      <c r="B4160" s="2" t="str">
        <f>"3173016102061005"</f>
        <v>3173016102061005</v>
      </c>
      <c r="C4160" s="2" t="s">
        <v>4729</v>
      </c>
      <c r="D4160" s="2" t="s">
        <v>10</v>
      </c>
      <c r="E4160" s="2" t="s">
        <v>11</v>
      </c>
      <c r="F4160" s="2" t="s">
        <v>50</v>
      </c>
      <c r="G4160" s="2" t="s">
        <v>280</v>
      </c>
      <c r="H4160" s="2" t="s">
        <v>402</v>
      </c>
      <c r="I4160" s="2" t="s">
        <v>4730</v>
      </c>
    </row>
    <row r="4161" spans="1:9" ht="14.5" x14ac:dyDescent="0.35">
      <c r="A4161" s="2">
        <v>2571707</v>
      </c>
      <c r="B4161" s="2" t="str">
        <f>"3173016102061005"</f>
        <v>3173016102061005</v>
      </c>
      <c r="C4161" s="2" t="s">
        <v>4729</v>
      </c>
      <c r="D4161" s="2" t="s">
        <v>17</v>
      </c>
      <c r="E4161" s="2" t="s">
        <v>11</v>
      </c>
      <c r="F4161" s="2" t="s">
        <v>18</v>
      </c>
      <c r="G4161" s="2" t="s">
        <v>19</v>
      </c>
      <c r="H4161" s="2" t="s">
        <v>3565</v>
      </c>
      <c r="I4161" s="2" t="s">
        <v>4731</v>
      </c>
    </row>
    <row r="4162" spans="1:9" ht="14.5" x14ac:dyDescent="0.35">
      <c r="A4162" s="2">
        <v>158652</v>
      </c>
      <c r="B4162" s="2" t="str">
        <f>"3173022505860015"</f>
        <v>3173022505860015</v>
      </c>
      <c r="C4162" s="2" t="s">
        <v>4732</v>
      </c>
      <c r="D4162" s="2" t="s">
        <v>10</v>
      </c>
      <c r="E4162" s="2" t="s">
        <v>11</v>
      </c>
      <c r="F4162" s="2" t="s">
        <v>50</v>
      </c>
      <c r="G4162" s="2" t="s">
        <v>86</v>
      </c>
      <c r="H4162" s="2" t="s">
        <v>205</v>
      </c>
      <c r="I4162" s="2" t="s">
        <v>1952</v>
      </c>
    </row>
    <row r="4163" spans="1:9" ht="14.5" x14ac:dyDescent="0.35">
      <c r="A4163" s="2">
        <v>2558814</v>
      </c>
      <c r="B4163" s="2" t="str">
        <f>"3173022505860015"</f>
        <v>3173022505860015</v>
      </c>
      <c r="C4163" s="2" t="s">
        <v>4732</v>
      </c>
      <c r="D4163" s="2" t="s">
        <v>17</v>
      </c>
      <c r="E4163" s="2" t="s">
        <v>11</v>
      </c>
      <c r="F4163" s="2" t="s">
        <v>18</v>
      </c>
      <c r="G4163" s="2" t="s">
        <v>19</v>
      </c>
      <c r="H4163" s="2" t="s">
        <v>3565</v>
      </c>
      <c r="I4163" s="2" t="s">
        <v>3565</v>
      </c>
    </row>
    <row r="4164" spans="1:9" ht="14.5" x14ac:dyDescent="0.35">
      <c r="A4164" s="2">
        <v>158651</v>
      </c>
      <c r="B4164" s="2" t="str">
        <f>"3173026003910001"</f>
        <v>3173026003910001</v>
      </c>
      <c r="C4164" s="2" t="s">
        <v>4733</v>
      </c>
      <c r="D4164" s="2" t="s">
        <v>10</v>
      </c>
      <c r="E4164" s="2" t="s">
        <v>11</v>
      </c>
      <c r="F4164" s="2" t="s">
        <v>50</v>
      </c>
      <c r="G4164" s="2" t="s">
        <v>86</v>
      </c>
      <c r="H4164" s="2" t="s">
        <v>205</v>
      </c>
      <c r="I4164" s="2" t="s">
        <v>1952</v>
      </c>
    </row>
    <row r="4165" spans="1:9" ht="14.5" x14ac:dyDescent="0.35">
      <c r="A4165" s="2">
        <v>2558815</v>
      </c>
      <c r="B4165" s="2" t="str">
        <f>"3173026003910001"</f>
        <v>3173026003910001</v>
      </c>
      <c r="C4165" s="2" t="s">
        <v>4733</v>
      </c>
      <c r="D4165" s="2" t="s">
        <v>17</v>
      </c>
      <c r="E4165" s="2" t="s">
        <v>11</v>
      </c>
      <c r="F4165" s="2" t="s">
        <v>18</v>
      </c>
      <c r="G4165" s="2" t="s">
        <v>19</v>
      </c>
      <c r="H4165" s="2" t="s">
        <v>3565</v>
      </c>
      <c r="I4165" s="2" t="s">
        <v>3565</v>
      </c>
    </row>
    <row r="4166" spans="1:9" ht="14.5" x14ac:dyDescent="0.35">
      <c r="A4166" s="2">
        <v>574557</v>
      </c>
      <c r="B4166" s="2" t="str">
        <f>"3173031002900003"</f>
        <v>3173031002900003</v>
      </c>
      <c r="C4166" s="2" t="s">
        <v>4734</v>
      </c>
      <c r="D4166" s="2" t="s">
        <v>10</v>
      </c>
      <c r="E4166" s="2" t="s">
        <v>11</v>
      </c>
      <c r="F4166" s="2" t="s">
        <v>50</v>
      </c>
      <c r="G4166" s="2" t="s">
        <v>86</v>
      </c>
      <c r="H4166" s="2" t="s">
        <v>1463</v>
      </c>
      <c r="I4166" s="2" t="s">
        <v>2210</v>
      </c>
    </row>
    <row r="4167" spans="1:9" ht="14.5" x14ac:dyDescent="0.35">
      <c r="A4167" s="2">
        <v>2558823</v>
      </c>
      <c r="B4167" s="2" t="str">
        <f>"3173031002900003"</f>
        <v>3173031002900003</v>
      </c>
      <c r="C4167" s="2" t="s">
        <v>4734</v>
      </c>
      <c r="D4167" s="2" t="s">
        <v>17</v>
      </c>
      <c r="E4167" s="2" t="s">
        <v>11</v>
      </c>
      <c r="F4167" s="2" t="s">
        <v>18</v>
      </c>
      <c r="G4167" s="2" t="s">
        <v>19</v>
      </c>
      <c r="H4167" s="2" t="s">
        <v>3565</v>
      </c>
      <c r="I4167" s="2" t="s">
        <v>4735</v>
      </c>
    </row>
    <row r="4168" spans="1:9" ht="14.5" x14ac:dyDescent="0.35">
      <c r="A4168" s="2">
        <v>35149</v>
      </c>
      <c r="B4168" s="2" t="str">
        <f>"3173071502730006"</f>
        <v>3173071502730006</v>
      </c>
      <c r="C4168" s="2" t="s">
        <v>4736</v>
      </c>
      <c r="D4168" s="2" t="s">
        <v>10</v>
      </c>
      <c r="E4168" s="2" t="s">
        <v>11</v>
      </c>
      <c r="F4168" s="2" t="s">
        <v>50</v>
      </c>
      <c r="G4168" s="2" t="s">
        <v>86</v>
      </c>
      <c r="H4168" s="2" t="s">
        <v>925</v>
      </c>
      <c r="I4168" s="2" t="s">
        <v>4737</v>
      </c>
    </row>
    <row r="4169" spans="1:9" ht="14.5" x14ac:dyDescent="0.35">
      <c r="A4169" s="2">
        <v>2559065</v>
      </c>
      <c r="B4169" s="2" t="str">
        <f>"3173071502730006"</f>
        <v>3173071502730006</v>
      </c>
      <c r="C4169" s="2" t="s">
        <v>4738</v>
      </c>
      <c r="D4169" s="2" t="s">
        <v>17</v>
      </c>
      <c r="E4169" s="2" t="s">
        <v>11</v>
      </c>
      <c r="F4169" s="2" t="s">
        <v>18</v>
      </c>
      <c r="G4169" s="2" t="s">
        <v>19</v>
      </c>
      <c r="H4169" s="2" t="s">
        <v>3565</v>
      </c>
      <c r="I4169" s="2" t="s">
        <v>4719</v>
      </c>
    </row>
    <row r="4170" spans="1:9" ht="14.5" x14ac:dyDescent="0.35">
      <c r="A4170" s="2">
        <v>961081</v>
      </c>
      <c r="B4170" s="2" t="str">
        <f>"3173080112751001"</f>
        <v>3173080112751001</v>
      </c>
      <c r="C4170" s="2" t="s">
        <v>4739</v>
      </c>
      <c r="D4170" s="2" t="s">
        <v>10</v>
      </c>
      <c r="E4170" s="2" t="s">
        <v>11</v>
      </c>
      <c r="F4170" s="2" t="s">
        <v>50</v>
      </c>
      <c r="G4170" s="2" t="s">
        <v>86</v>
      </c>
      <c r="H4170" s="2" t="s">
        <v>530</v>
      </c>
      <c r="I4170" s="2" t="s">
        <v>531</v>
      </c>
    </row>
    <row r="4171" spans="1:9" ht="14.5" x14ac:dyDescent="0.35">
      <c r="A4171" s="2">
        <v>2558447</v>
      </c>
      <c r="B4171" s="2" t="str">
        <f>"3173080112751001"</f>
        <v>3173080112751001</v>
      </c>
      <c r="C4171" s="2" t="s">
        <v>4740</v>
      </c>
      <c r="D4171" s="2" t="s">
        <v>17</v>
      </c>
      <c r="E4171" s="2" t="s">
        <v>11</v>
      </c>
      <c r="F4171" s="2" t="s">
        <v>18</v>
      </c>
      <c r="G4171" s="2" t="s">
        <v>19</v>
      </c>
      <c r="H4171" s="2" t="s">
        <v>3565</v>
      </c>
      <c r="I4171" s="2" t="s">
        <v>4708</v>
      </c>
    </row>
    <row r="4172" spans="1:9" ht="14.5" x14ac:dyDescent="0.35">
      <c r="A4172" s="2">
        <v>961086</v>
      </c>
      <c r="B4172" s="2" t="str">
        <f>"3173085707041001"</f>
        <v>3173085707041001</v>
      </c>
      <c r="C4172" s="2" t="s">
        <v>4741</v>
      </c>
      <c r="D4172" s="2" t="s">
        <v>10</v>
      </c>
      <c r="E4172" s="2" t="s">
        <v>11</v>
      </c>
      <c r="F4172" s="2" t="s">
        <v>50</v>
      </c>
      <c r="G4172" s="2" t="s">
        <v>86</v>
      </c>
      <c r="H4172" s="2" t="s">
        <v>530</v>
      </c>
      <c r="I4172" s="2" t="s">
        <v>531</v>
      </c>
    </row>
    <row r="4173" spans="1:9" ht="14.5" x14ac:dyDescent="0.35">
      <c r="A4173" s="2">
        <v>2558445</v>
      </c>
      <c r="B4173" s="2" t="str">
        <f>"3173085707041001"</f>
        <v>3173085707041001</v>
      </c>
      <c r="C4173" s="2" t="s">
        <v>4742</v>
      </c>
      <c r="D4173" s="2" t="s">
        <v>17</v>
      </c>
      <c r="E4173" s="2" t="s">
        <v>11</v>
      </c>
      <c r="F4173" s="2" t="s">
        <v>18</v>
      </c>
      <c r="G4173" s="2" t="s">
        <v>19</v>
      </c>
      <c r="H4173" s="2" t="s">
        <v>3565</v>
      </c>
      <c r="I4173" s="2" t="s">
        <v>4708</v>
      </c>
    </row>
    <row r="4174" spans="1:9" ht="14.5" x14ac:dyDescent="0.35">
      <c r="A4174" s="2">
        <v>961078</v>
      </c>
      <c r="B4174" s="2" t="str">
        <f>"3173086610851003"</f>
        <v>3173086610851003</v>
      </c>
      <c r="C4174" s="2" t="s">
        <v>4743</v>
      </c>
      <c r="D4174" s="2" t="s">
        <v>10</v>
      </c>
      <c r="E4174" s="2" t="s">
        <v>11</v>
      </c>
      <c r="F4174" s="2" t="s">
        <v>50</v>
      </c>
      <c r="G4174" s="2" t="s">
        <v>86</v>
      </c>
      <c r="H4174" s="2" t="s">
        <v>530</v>
      </c>
      <c r="I4174" s="2" t="s">
        <v>531</v>
      </c>
    </row>
    <row r="4175" spans="1:9" ht="14.5" x14ac:dyDescent="0.35">
      <c r="A4175" s="2">
        <v>2558446</v>
      </c>
      <c r="B4175" s="2" t="str">
        <f>"3173086610851003"</f>
        <v>3173086610851003</v>
      </c>
      <c r="C4175" s="2" t="s">
        <v>4744</v>
      </c>
      <c r="D4175" s="2" t="s">
        <v>17</v>
      </c>
      <c r="E4175" s="2" t="s">
        <v>11</v>
      </c>
      <c r="F4175" s="2" t="s">
        <v>18</v>
      </c>
      <c r="G4175" s="2" t="s">
        <v>19</v>
      </c>
      <c r="H4175" s="2" t="s">
        <v>3565</v>
      </c>
      <c r="I4175" s="2" t="s">
        <v>4708</v>
      </c>
    </row>
    <row r="4176" spans="1:9" ht="14.5" x14ac:dyDescent="0.35">
      <c r="A4176" s="2">
        <v>1779962</v>
      </c>
      <c r="B4176" s="2" t="str">
        <f>"3174032410910003"</f>
        <v>3174032410910003</v>
      </c>
      <c r="C4176" s="2" t="s">
        <v>4745</v>
      </c>
      <c r="D4176" s="2" t="s">
        <v>10</v>
      </c>
      <c r="E4176" s="2" t="s">
        <v>11</v>
      </c>
      <c r="F4176" s="2" t="s">
        <v>50</v>
      </c>
      <c r="G4176" s="2" t="s">
        <v>72</v>
      </c>
      <c r="H4176" s="2" t="s">
        <v>1172</v>
      </c>
      <c r="I4176" s="2" t="s">
        <v>2228</v>
      </c>
    </row>
    <row r="4177" spans="1:9" ht="14.5" x14ac:dyDescent="0.35">
      <c r="A4177" s="2">
        <v>2571754</v>
      </c>
      <c r="B4177" s="2" t="str">
        <f>"3174032410910003"</f>
        <v>3174032410910003</v>
      </c>
      <c r="C4177" s="2" t="s">
        <v>4745</v>
      </c>
      <c r="D4177" s="2" t="s">
        <v>17</v>
      </c>
      <c r="E4177" s="2" t="s">
        <v>11</v>
      </c>
      <c r="F4177" s="2" t="s">
        <v>18</v>
      </c>
      <c r="G4177" s="2" t="s">
        <v>19</v>
      </c>
      <c r="H4177" s="2" t="s">
        <v>3565</v>
      </c>
      <c r="I4177" s="2" t="s">
        <v>4731</v>
      </c>
    </row>
    <row r="4178" spans="1:9" ht="14.5" x14ac:dyDescent="0.35">
      <c r="A4178" s="2">
        <v>1111640</v>
      </c>
      <c r="B4178" s="2" t="str">
        <f>"3174062007900004"</f>
        <v>3174062007900004</v>
      </c>
      <c r="C4178" s="2" t="s">
        <v>565</v>
      </c>
      <c r="D4178" s="2" t="s">
        <v>10</v>
      </c>
      <c r="E4178" s="2" t="s">
        <v>11</v>
      </c>
      <c r="F4178" s="2" t="s">
        <v>50</v>
      </c>
      <c r="G4178" s="2" t="s">
        <v>72</v>
      </c>
      <c r="H4178" s="2" t="s">
        <v>1093</v>
      </c>
      <c r="I4178" s="2" t="s">
        <v>4307</v>
      </c>
    </row>
    <row r="4179" spans="1:9" ht="14.5" x14ac:dyDescent="0.35">
      <c r="A4179" s="2">
        <v>2571926</v>
      </c>
      <c r="B4179" s="2" t="str">
        <f>"3174062007900004"</f>
        <v>3174062007900004</v>
      </c>
      <c r="C4179" s="2" t="s">
        <v>565</v>
      </c>
      <c r="D4179" s="2" t="s">
        <v>17</v>
      </c>
      <c r="E4179" s="2" t="s">
        <v>11</v>
      </c>
      <c r="F4179" s="2" t="s">
        <v>18</v>
      </c>
      <c r="G4179" s="2" t="s">
        <v>19</v>
      </c>
      <c r="H4179" s="2" t="s">
        <v>3565</v>
      </c>
      <c r="I4179" s="2" t="s">
        <v>4156</v>
      </c>
    </row>
    <row r="4180" spans="1:9" ht="14.5" x14ac:dyDescent="0.35">
      <c r="A4180" s="2">
        <v>1339403</v>
      </c>
      <c r="B4180" s="2" t="str">
        <f>"3174070505690003"</f>
        <v>3174070505690003</v>
      </c>
      <c r="C4180" s="2" t="s">
        <v>4746</v>
      </c>
      <c r="D4180" s="2" t="s">
        <v>10</v>
      </c>
      <c r="E4180" s="2" t="s">
        <v>11</v>
      </c>
      <c r="F4180" s="2" t="s">
        <v>50</v>
      </c>
      <c r="G4180" s="2" t="s">
        <v>72</v>
      </c>
      <c r="H4180" s="2" t="s">
        <v>73</v>
      </c>
      <c r="I4180" s="2" t="s">
        <v>1957</v>
      </c>
    </row>
    <row r="4181" spans="1:9" ht="14.5" x14ac:dyDescent="0.35">
      <c r="A4181" s="2">
        <v>2571731</v>
      </c>
      <c r="B4181" s="2" t="str">
        <f>"3174070505690003"</f>
        <v>3174070505690003</v>
      </c>
      <c r="C4181" s="2" t="s">
        <v>4746</v>
      </c>
      <c r="D4181" s="2" t="s">
        <v>17</v>
      </c>
      <c r="E4181" s="2" t="s">
        <v>11</v>
      </c>
      <c r="F4181" s="2" t="s">
        <v>18</v>
      </c>
      <c r="G4181" s="2" t="s">
        <v>19</v>
      </c>
      <c r="H4181" s="2" t="s">
        <v>3565</v>
      </c>
      <c r="I4181" s="2" t="s">
        <v>4731</v>
      </c>
    </row>
    <row r="4182" spans="1:9" ht="14.5" x14ac:dyDescent="0.35">
      <c r="A4182" s="2">
        <v>793507</v>
      </c>
      <c r="B4182" s="2" t="str">
        <f>"3174072307870004"</f>
        <v>3174072307870004</v>
      </c>
      <c r="C4182" s="2" t="s">
        <v>4747</v>
      </c>
      <c r="D4182" s="2" t="s">
        <v>10</v>
      </c>
      <c r="E4182" s="2" t="s">
        <v>11</v>
      </c>
      <c r="F4182" s="2" t="s">
        <v>50</v>
      </c>
      <c r="G4182" s="2" t="s">
        <v>72</v>
      </c>
      <c r="H4182" s="2" t="s">
        <v>73</v>
      </c>
      <c r="I4182" s="2" t="s">
        <v>74</v>
      </c>
    </row>
    <row r="4183" spans="1:9" ht="14.5" x14ac:dyDescent="0.35">
      <c r="A4183" s="2">
        <v>2557944</v>
      </c>
      <c r="B4183" s="2" t="str">
        <f>"3174072307870004"</f>
        <v>3174072307870004</v>
      </c>
      <c r="C4183" s="2" t="s">
        <v>4747</v>
      </c>
      <c r="D4183" s="2" t="s">
        <v>17</v>
      </c>
      <c r="E4183" s="2" t="s">
        <v>11</v>
      </c>
      <c r="F4183" s="2" t="s">
        <v>18</v>
      </c>
      <c r="G4183" s="2" t="s">
        <v>19</v>
      </c>
      <c r="H4183" s="2" t="s">
        <v>3565</v>
      </c>
      <c r="I4183" s="2" t="s">
        <v>4748</v>
      </c>
    </row>
    <row r="4184" spans="1:9" ht="14.5" x14ac:dyDescent="0.35">
      <c r="A4184" s="2">
        <v>1089068</v>
      </c>
      <c r="B4184" s="2" t="str">
        <f>"3175020305710013"</f>
        <v>3175020305710013</v>
      </c>
      <c r="C4184" s="2" t="s">
        <v>4749</v>
      </c>
      <c r="D4184" s="2" t="s">
        <v>10</v>
      </c>
      <c r="E4184" s="2" t="s">
        <v>11</v>
      </c>
      <c r="F4184" s="2" t="s">
        <v>50</v>
      </c>
      <c r="G4184" s="2" t="s">
        <v>51</v>
      </c>
      <c r="H4184" s="2" t="s">
        <v>52</v>
      </c>
      <c r="I4184" s="2" t="s">
        <v>52</v>
      </c>
    </row>
    <row r="4185" spans="1:9" ht="14.5" x14ac:dyDescent="0.35">
      <c r="A4185" s="2">
        <v>2558999</v>
      </c>
      <c r="B4185" s="2" t="str">
        <f>"3175020305710013"</f>
        <v>3175020305710013</v>
      </c>
      <c r="C4185" s="2" t="s">
        <v>4749</v>
      </c>
      <c r="D4185" s="2" t="s">
        <v>17</v>
      </c>
      <c r="E4185" s="2" t="s">
        <v>11</v>
      </c>
      <c r="F4185" s="2" t="s">
        <v>18</v>
      </c>
      <c r="G4185" s="2" t="s">
        <v>19</v>
      </c>
      <c r="H4185" s="2" t="s">
        <v>3565</v>
      </c>
      <c r="I4185" s="2" t="s">
        <v>4719</v>
      </c>
    </row>
    <row r="4186" spans="1:9" ht="14.5" x14ac:dyDescent="0.35">
      <c r="A4186" s="2">
        <v>2226946</v>
      </c>
      <c r="B4186" s="2" t="str">
        <f>"3175065807050008"</f>
        <v>3175065807050008</v>
      </c>
      <c r="C4186" s="2" t="s">
        <v>4750</v>
      </c>
      <c r="D4186" s="2" t="s">
        <v>10</v>
      </c>
      <c r="E4186" s="2" t="s">
        <v>11</v>
      </c>
      <c r="F4186" s="2" t="s">
        <v>50</v>
      </c>
      <c r="G4186" s="2" t="s">
        <v>58</v>
      </c>
      <c r="H4186" s="2" t="s">
        <v>417</v>
      </c>
      <c r="I4186" s="2" t="s">
        <v>418</v>
      </c>
    </row>
    <row r="4187" spans="1:9" ht="14.5" x14ac:dyDescent="0.35">
      <c r="A4187" s="2">
        <v>1874960</v>
      </c>
      <c r="B4187" s="2" t="str">
        <f>"3175065807050008"</f>
        <v>3175065807050008</v>
      </c>
      <c r="C4187" s="2" t="s">
        <v>4751</v>
      </c>
      <c r="D4187" s="2" t="s">
        <v>189</v>
      </c>
      <c r="E4187" s="2" t="s">
        <v>11</v>
      </c>
      <c r="F4187" s="2" t="s">
        <v>18</v>
      </c>
      <c r="G4187" s="2" t="s">
        <v>19</v>
      </c>
      <c r="H4187" s="2" t="s">
        <v>3565</v>
      </c>
      <c r="I4187" s="2" t="s">
        <v>4752</v>
      </c>
    </row>
    <row r="4188" spans="1:9" ht="14.5" x14ac:dyDescent="0.35">
      <c r="A4188" s="2">
        <v>1517895</v>
      </c>
      <c r="B4188" s="2" t="str">
        <f>"3201016407850013"</f>
        <v>3201016407850013</v>
      </c>
      <c r="C4188" s="2" t="s">
        <v>4753</v>
      </c>
      <c r="D4188" s="2" t="s">
        <v>10</v>
      </c>
      <c r="E4188" s="2" t="s">
        <v>11</v>
      </c>
      <c r="F4188" s="2" t="s">
        <v>18</v>
      </c>
      <c r="G4188" s="2" t="s">
        <v>19</v>
      </c>
      <c r="H4188" s="2" t="s">
        <v>4754</v>
      </c>
      <c r="I4188" s="2" t="s">
        <v>4755</v>
      </c>
    </row>
    <row r="4189" spans="1:9" ht="14.5" x14ac:dyDescent="0.35">
      <c r="A4189" s="2">
        <v>2571842</v>
      </c>
      <c r="B4189" s="2" t="str">
        <f>"3201016407850013"</f>
        <v>3201016407850013</v>
      </c>
      <c r="C4189" s="2" t="s">
        <v>4756</v>
      </c>
      <c r="D4189" s="2" t="s">
        <v>17</v>
      </c>
      <c r="E4189" s="2" t="s">
        <v>11</v>
      </c>
      <c r="F4189" s="2" t="s">
        <v>18</v>
      </c>
      <c r="G4189" s="2" t="s">
        <v>19</v>
      </c>
      <c r="H4189" s="2" t="s">
        <v>3565</v>
      </c>
      <c r="I4189" s="2" t="s">
        <v>4156</v>
      </c>
    </row>
    <row r="4190" spans="1:9" ht="14.5" x14ac:dyDescent="0.35">
      <c r="A4190" s="2">
        <v>523977</v>
      </c>
      <c r="B4190" s="2" t="str">
        <f>"3201021104850015"</f>
        <v>3201021104850015</v>
      </c>
      <c r="C4190" s="2" t="s">
        <v>4757</v>
      </c>
      <c r="D4190" s="2" t="s">
        <v>10</v>
      </c>
      <c r="E4190" s="2" t="s">
        <v>11</v>
      </c>
      <c r="F4190" s="2" t="s">
        <v>91</v>
      </c>
      <c r="G4190" s="2" t="s">
        <v>650</v>
      </c>
      <c r="H4190" s="2" t="s">
        <v>1752</v>
      </c>
      <c r="I4190" s="2" t="s">
        <v>4758</v>
      </c>
    </row>
    <row r="4191" spans="1:9" ht="14.5" x14ac:dyDescent="0.35">
      <c r="A4191" s="2">
        <v>2558228</v>
      </c>
      <c r="B4191" s="2" t="str">
        <f>"3201021104850015"</f>
        <v>3201021104850015</v>
      </c>
      <c r="C4191" s="2" t="s">
        <v>4757</v>
      </c>
      <c r="D4191" s="2" t="s">
        <v>17</v>
      </c>
      <c r="E4191" s="2" t="s">
        <v>11</v>
      </c>
      <c r="F4191" s="2" t="s">
        <v>18</v>
      </c>
      <c r="G4191" s="2" t="s">
        <v>19</v>
      </c>
      <c r="H4191" s="2" t="s">
        <v>3565</v>
      </c>
      <c r="I4191" s="2" t="s">
        <v>4714</v>
      </c>
    </row>
    <row r="4192" spans="1:9" ht="14.5" x14ac:dyDescent="0.35">
      <c r="A4192" s="2">
        <v>523973</v>
      </c>
      <c r="B4192" s="2" t="str">
        <f>"3201024608870008"</f>
        <v>3201024608870008</v>
      </c>
      <c r="C4192" s="2" t="s">
        <v>4759</v>
      </c>
      <c r="D4192" s="2" t="s">
        <v>10</v>
      </c>
      <c r="E4192" s="2" t="s">
        <v>11</v>
      </c>
      <c r="F4192" s="2" t="s">
        <v>91</v>
      </c>
      <c r="G4192" s="2" t="s">
        <v>650</v>
      </c>
      <c r="H4192" s="2" t="s">
        <v>1752</v>
      </c>
      <c r="I4192" s="2" t="s">
        <v>4758</v>
      </c>
    </row>
    <row r="4193" spans="1:9" ht="14.5" x14ac:dyDescent="0.35">
      <c r="A4193" s="2">
        <v>2558229</v>
      </c>
      <c r="B4193" s="2" t="str">
        <f>"3201024608870008"</f>
        <v>3201024608870008</v>
      </c>
      <c r="C4193" s="2" t="s">
        <v>4759</v>
      </c>
      <c r="D4193" s="2" t="s">
        <v>17</v>
      </c>
      <c r="E4193" s="2" t="s">
        <v>11</v>
      </c>
      <c r="F4193" s="2" t="s">
        <v>18</v>
      </c>
      <c r="G4193" s="2" t="s">
        <v>19</v>
      </c>
      <c r="H4193" s="2" t="s">
        <v>3565</v>
      </c>
      <c r="I4193" s="2" t="s">
        <v>4714</v>
      </c>
    </row>
    <row r="4194" spans="1:9" ht="14.5" x14ac:dyDescent="0.35">
      <c r="A4194" s="2">
        <v>696921</v>
      </c>
      <c r="B4194" s="2" t="str">
        <f>"3201122309540002"</f>
        <v>3201122309540002</v>
      </c>
      <c r="C4194" s="2" t="s">
        <v>4760</v>
      </c>
      <c r="D4194" s="2" t="s">
        <v>10</v>
      </c>
      <c r="E4194" s="2" t="s">
        <v>11</v>
      </c>
      <c r="F4194" s="2" t="s">
        <v>50</v>
      </c>
      <c r="G4194" s="2" t="s">
        <v>51</v>
      </c>
      <c r="H4194" s="2" t="s">
        <v>62</v>
      </c>
      <c r="I4194" s="2" t="s">
        <v>62</v>
      </c>
    </row>
    <row r="4195" spans="1:9" ht="14.5" x14ac:dyDescent="0.35">
      <c r="A4195" s="2">
        <v>2559051</v>
      </c>
      <c r="B4195" s="2" t="str">
        <f>"3201122309540002"</f>
        <v>3201122309540002</v>
      </c>
      <c r="C4195" s="2" t="s">
        <v>4760</v>
      </c>
      <c r="D4195" s="2" t="s">
        <v>17</v>
      </c>
      <c r="E4195" s="2" t="s">
        <v>11</v>
      </c>
      <c r="F4195" s="2" t="s">
        <v>18</v>
      </c>
      <c r="G4195" s="2" t="s">
        <v>19</v>
      </c>
      <c r="H4195" s="2" t="s">
        <v>3565</v>
      </c>
      <c r="I4195" s="2" t="s">
        <v>4719</v>
      </c>
    </row>
    <row r="4196" spans="1:9" ht="14.5" x14ac:dyDescent="0.35">
      <c r="A4196" s="2">
        <v>720097</v>
      </c>
      <c r="B4196" s="2" t="str">
        <f>"3208076303980003"</f>
        <v>3208076303980003</v>
      </c>
      <c r="C4196" s="2" t="s">
        <v>4761</v>
      </c>
      <c r="D4196" s="2" t="s">
        <v>10</v>
      </c>
      <c r="E4196" s="2" t="s">
        <v>11</v>
      </c>
      <c r="F4196" s="2" t="s">
        <v>91</v>
      </c>
      <c r="G4196" s="2" t="s">
        <v>109</v>
      </c>
      <c r="H4196" s="2" t="s">
        <v>110</v>
      </c>
      <c r="I4196" s="2" t="s">
        <v>4762</v>
      </c>
    </row>
    <row r="4197" spans="1:9" ht="14.5" x14ac:dyDescent="0.35">
      <c r="A4197" s="2">
        <v>2558646</v>
      </c>
      <c r="B4197" s="2" t="str">
        <f>"3208076303980003"</f>
        <v>3208076303980003</v>
      </c>
      <c r="C4197" s="2" t="s">
        <v>4761</v>
      </c>
      <c r="D4197" s="2" t="s">
        <v>17</v>
      </c>
      <c r="E4197" s="2" t="s">
        <v>11</v>
      </c>
      <c r="F4197" s="2" t="s">
        <v>18</v>
      </c>
      <c r="G4197" s="2" t="s">
        <v>19</v>
      </c>
      <c r="H4197" s="2" t="s">
        <v>3565</v>
      </c>
      <c r="I4197" s="2" t="s">
        <v>4697</v>
      </c>
    </row>
    <row r="4198" spans="1:9" ht="14.5" x14ac:dyDescent="0.35">
      <c r="A4198" s="2">
        <v>225394</v>
      </c>
      <c r="B4198" s="2" t="str">
        <f>"3209250607920003"</f>
        <v>3209250607920003</v>
      </c>
      <c r="C4198" s="2" t="s">
        <v>4763</v>
      </c>
      <c r="D4198" s="2" t="s">
        <v>10</v>
      </c>
      <c r="E4198" s="2" t="s">
        <v>11</v>
      </c>
      <c r="F4198" s="2" t="s">
        <v>91</v>
      </c>
      <c r="G4198" s="2" t="s">
        <v>985</v>
      </c>
      <c r="H4198" s="2" t="s">
        <v>4764</v>
      </c>
      <c r="I4198" s="2" t="s">
        <v>1381</v>
      </c>
    </row>
    <row r="4199" spans="1:9" ht="14.5" x14ac:dyDescent="0.35">
      <c r="A4199" s="2">
        <v>2558134</v>
      </c>
      <c r="B4199" s="2" t="str">
        <f>"3209250607920003"</f>
        <v>3209250607920003</v>
      </c>
      <c r="C4199" s="2" t="s">
        <v>4763</v>
      </c>
      <c r="D4199" s="2" t="s">
        <v>17</v>
      </c>
      <c r="E4199" s="2" t="s">
        <v>11</v>
      </c>
      <c r="F4199" s="2" t="s">
        <v>18</v>
      </c>
      <c r="G4199" s="2" t="s">
        <v>19</v>
      </c>
      <c r="H4199" s="2" t="s">
        <v>3565</v>
      </c>
      <c r="I4199" s="2" t="s">
        <v>4765</v>
      </c>
    </row>
    <row r="4200" spans="1:9" ht="14.5" x14ac:dyDescent="0.35">
      <c r="A4200" s="2">
        <v>1808076</v>
      </c>
      <c r="B4200" s="2" t="str">
        <f>"3209281412990001"</f>
        <v>3209281412990001</v>
      </c>
      <c r="C4200" s="2" t="s">
        <v>4766</v>
      </c>
      <c r="D4200" s="2" t="s">
        <v>10</v>
      </c>
      <c r="E4200" s="2" t="s">
        <v>11</v>
      </c>
      <c r="F4200" s="2" t="s">
        <v>91</v>
      </c>
      <c r="G4200" s="2" t="s">
        <v>985</v>
      </c>
      <c r="H4200" s="2" t="s">
        <v>4767</v>
      </c>
      <c r="I4200" s="2" t="s">
        <v>4768</v>
      </c>
    </row>
    <row r="4201" spans="1:9" ht="14.5" x14ac:dyDescent="0.35">
      <c r="A4201" s="2">
        <v>2557793</v>
      </c>
      <c r="B4201" s="2" t="str">
        <f>"3209281412990001"</f>
        <v>3209281412990001</v>
      </c>
      <c r="C4201" s="2" t="s">
        <v>4766</v>
      </c>
      <c r="D4201" s="2" t="s">
        <v>17</v>
      </c>
      <c r="E4201" s="2" t="s">
        <v>11</v>
      </c>
      <c r="F4201" s="2" t="s">
        <v>18</v>
      </c>
      <c r="G4201" s="2" t="s">
        <v>19</v>
      </c>
      <c r="H4201" s="2" t="s">
        <v>3565</v>
      </c>
      <c r="I4201" s="2" t="s">
        <v>4769</v>
      </c>
    </row>
    <row r="4202" spans="1:9" ht="14.5" x14ac:dyDescent="0.35">
      <c r="A4202" s="2">
        <v>1727547</v>
      </c>
      <c r="B4202" s="2" t="str">
        <f>"3211032405550001"</f>
        <v>3211032405550001</v>
      </c>
      <c r="C4202" s="2" t="s">
        <v>4770</v>
      </c>
      <c r="D4202" s="2" t="s">
        <v>10</v>
      </c>
      <c r="E4202" s="2" t="s">
        <v>11</v>
      </c>
      <c r="F4202" s="2" t="s">
        <v>18</v>
      </c>
      <c r="G4202" s="2" t="s">
        <v>19</v>
      </c>
      <c r="H4202" s="2" t="s">
        <v>3565</v>
      </c>
      <c r="I4202" s="2" t="s">
        <v>4771</v>
      </c>
    </row>
    <row r="4203" spans="1:9" ht="14.5" x14ac:dyDescent="0.35">
      <c r="A4203" s="2">
        <v>1825650</v>
      </c>
      <c r="B4203" s="2" t="str">
        <f>"3211032405550001"</f>
        <v>3211032405550001</v>
      </c>
      <c r="C4203" s="2" t="s">
        <v>4772</v>
      </c>
      <c r="D4203" s="2" t="s">
        <v>17</v>
      </c>
      <c r="E4203" s="2" t="s">
        <v>11</v>
      </c>
      <c r="F4203" s="2" t="s">
        <v>91</v>
      </c>
      <c r="G4203" s="2" t="s">
        <v>1763</v>
      </c>
      <c r="H4203" s="2" t="s">
        <v>4773</v>
      </c>
      <c r="I4203" s="2" t="s">
        <v>2361</v>
      </c>
    </row>
    <row r="4204" spans="1:9" ht="14.5" x14ac:dyDescent="0.35">
      <c r="A4204" s="2">
        <v>1891452</v>
      </c>
      <c r="B4204" s="2" t="str">
        <f>"3211084803910011"</f>
        <v>3211084803910011</v>
      </c>
      <c r="C4204" s="2" t="s">
        <v>4774</v>
      </c>
      <c r="D4204" s="2" t="s">
        <v>189</v>
      </c>
      <c r="E4204" s="2" t="s">
        <v>11</v>
      </c>
      <c r="F4204" s="2" t="s">
        <v>18</v>
      </c>
      <c r="G4204" s="2" t="s">
        <v>19</v>
      </c>
      <c r="H4204" s="2" t="s">
        <v>3565</v>
      </c>
      <c r="I4204" s="2" t="s">
        <v>4775</v>
      </c>
    </row>
    <row r="4205" spans="1:9" ht="14.5" x14ac:dyDescent="0.35">
      <c r="A4205" s="2">
        <v>1888720</v>
      </c>
      <c r="B4205" s="2" t="str">
        <f>"3211084803910011"</f>
        <v>3211084803910011</v>
      </c>
      <c r="C4205" s="2" t="s">
        <v>4774</v>
      </c>
      <c r="D4205" s="2" t="s">
        <v>17</v>
      </c>
      <c r="E4205" s="2" t="s">
        <v>11</v>
      </c>
      <c r="F4205" s="2" t="s">
        <v>91</v>
      </c>
      <c r="G4205" s="2" t="s">
        <v>1763</v>
      </c>
      <c r="H4205" s="2" t="s">
        <v>4776</v>
      </c>
      <c r="I4205" s="2" t="s">
        <v>4777</v>
      </c>
    </row>
    <row r="4206" spans="1:9" ht="14.5" x14ac:dyDescent="0.35">
      <c r="A4206" s="2">
        <v>1632018</v>
      </c>
      <c r="B4206" s="2" t="str">
        <f>"3211183012520002"</f>
        <v>3211183012520002</v>
      </c>
      <c r="C4206" s="2" t="s">
        <v>4778</v>
      </c>
      <c r="D4206" s="2" t="s">
        <v>10</v>
      </c>
      <c r="E4206" s="2" t="s">
        <v>11</v>
      </c>
      <c r="F4206" s="2" t="s">
        <v>91</v>
      </c>
      <c r="G4206" s="2" t="s">
        <v>1763</v>
      </c>
      <c r="H4206" s="2" t="s">
        <v>4779</v>
      </c>
      <c r="I4206" s="2" t="s">
        <v>4780</v>
      </c>
    </row>
    <row r="4207" spans="1:9" ht="14.5" x14ac:dyDescent="0.35">
      <c r="A4207" s="2">
        <v>2571652</v>
      </c>
      <c r="B4207" s="2" t="str">
        <f>"3211183012520002"</f>
        <v>3211183012520002</v>
      </c>
      <c r="C4207" s="2" t="s">
        <v>4778</v>
      </c>
      <c r="D4207" s="2" t="s">
        <v>17</v>
      </c>
      <c r="E4207" s="2" t="s">
        <v>11</v>
      </c>
      <c r="F4207" s="2" t="s">
        <v>18</v>
      </c>
      <c r="G4207" s="2" t="s">
        <v>19</v>
      </c>
      <c r="H4207" s="2" t="s">
        <v>3565</v>
      </c>
      <c r="I4207" s="2" t="s">
        <v>678</v>
      </c>
    </row>
    <row r="4208" spans="1:9" ht="14.5" x14ac:dyDescent="0.35">
      <c r="A4208" s="2">
        <v>1632019</v>
      </c>
      <c r="B4208" s="2" t="str">
        <f>"3211185511570006"</f>
        <v>3211185511570006</v>
      </c>
      <c r="C4208" s="2" t="s">
        <v>4781</v>
      </c>
      <c r="D4208" s="2" t="s">
        <v>10</v>
      </c>
      <c r="E4208" s="2" t="s">
        <v>11</v>
      </c>
      <c r="F4208" s="2" t="s">
        <v>91</v>
      </c>
      <c r="G4208" s="2" t="s">
        <v>1763</v>
      </c>
      <c r="H4208" s="2" t="s">
        <v>4779</v>
      </c>
      <c r="I4208" s="2" t="s">
        <v>4780</v>
      </c>
    </row>
    <row r="4209" spans="1:9" ht="14.5" x14ac:dyDescent="0.35">
      <c r="A4209" s="2">
        <v>2571653</v>
      </c>
      <c r="B4209" s="2" t="str">
        <f>"3211185511570006"</f>
        <v>3211185511570006</v>
      </c>
      <c r="C4209" s="2" t="s">
        <v>4781</v>
      </c>
      <c r="D4209" s="2" t="s">
        <v>17</v>
      </c>
      <c r="E4209" s="2" t="s">
        <v>11</v>
      </c>
      <c r="F4209" s="2" t="s">
        <v>18</v>
      </c>
      <c r="G4209" s="2" t="s">
        <v>19</v>
      </c>
      <c r="H4209" s="2" t="s">
        <v>3565</v>
      </c>
      <c r="I4209" s="2" t="s">
        <v>678</v>
      </c>
    </row>
    <row r="4210" spans="1:9" ht="14.5" x14ac:dyDescent="0.35">
      <c r="A4210" s="2">
        <v>1527404</v>
      </c>
      <c r="B4210" s="2" t="str">
        <f>"3211230504740008"</f>
        <v>3211230504740008</v>
      </c>
      <c r="C4210" s="2" t="s">
        <v>4782</v>
      </c>
      <c r="D4210" s="2" t="s">
        <v>10</v>
      </c>
      <c r="E4210" s="2" t="s">
        <v>11</v>
      </c>
      <c r="F4210" s="2" t="s">
        <v>91</v>
      </c>
      <c r="G4210" s="2" t="s">
        <v>1763</v>
      </c>
      <c r="H4210" s="2" t="s">
        <v>138</v>
      </c>
      <c r="I4210" s="2" t="s">
        <v>4783</v>
      </c>
    </row>
    <row r="4211" spans="1:9" ht="14.5" x14ac:dyDescent="0.35">
      <c r="A4211" s="2">
        <v>2558701</v>
      </c>
      <c r="B4211" s="2" t="str">
        <f>"3211230504740008"</f>
        <v>3211230504740008</v>
      </c>
      <c r="C4211" s="2" t="s">
        <v>4782</v>
      </c>
      <c r="D4211" s="2" t="s">
        <v>17</v>
      </c>
      <c r="E4211" s="2" t="s">
        <v>11</v>
      </c>
      <c r="F4211" s="2" t="s">
        <v>18</v>
      </c>
      <c r="G4211" s="2" t="s">
        <v>19</v>
      </c>
      <c r="H4211" s="2" t="s">
        <v>3565</v>
      </c>
      <c r="I4211" s="2" t="s">
        <v>4752</v>
      </c>
    </row>
    <row r="4212" spans="1:9" ht="14.5" x14ac:dyDescent="0.35">
      <c r="A4212" s="2">
        <v>1527406</v>
      </c>
      <c r="B4212" s="2" t="str">
        <f>"3211231504970001"</f>
        <v>3211231504970001</v>
      </c>
      <c r="C4212" s="2" t="s">
        <v>4784</v>
      </c>
      <c r="D4212" s="2" t="s">
        <v>10</v>
      </c>
      <c r="E4212" s="2" t="s">
        <v>11</v>
      </c>
      <c r="F4212" s="2" t="s">
        <v>91</v>
      </c>
      <c r="G4212" s="2" t="s">
        <v>1763</v>
      </c>
      <c r="H4212" s="2" t="s">
        <v>138</v>
      </c>
      <c r="I4212" s="2" t="s">
        <v>4783</v>
      </c>
    </row>
    <row r="4213" spans="1:9" ht="14.5" x14ac:dyDescent="0.35">
      <c r="A4213" s="2">
        <v>2558702</v>
      </c>
      <c r="B4213" s="2" t="str">
        <f>"3211231504970001"</f>
        <v>3211231504970001</v>
      </c>
      <c r="C4213" s="2" t="s">
        <v>4784</v>
      </c>
      <c r="D4213" s="2" t="s">
        <v>17</v>
      </c>
      <c r="E4213" s="2" t="s">
        <v>11</v>
      </c>
      <c r="F4213" s="2" t="s">
        <v>18</v>
      </c>
      <c r="G4213" s="2" t="s">
        <v>19</v>
      </c>
      <c r="H4213" s="2" t="s">
        <v>3565</v>
      </c>
      <c r="I4213" s="2" t="s">
        <v>4752</v>
      </c>
    </row>
    <row r="4214" spans="1:9" ht="14.5" x14ac:dyDescent="0.35">
      <c r="A4214" s="2">
        <v>1527405</v>
      </c>
      <c r="B4214" s="2" t="str">
        <f>"3211232008030003"</f>
        <v>3211232008030003</v>
      </c>
      <c r="C4214" s="2" t="s">
        <v>4785</v>
      </c>
      <c r="D4214" s="2" t="s">
        <v>10</v>
      </c>
      <c r="E4214" s="2" t="s">
        <v>11</v>
      </c>
      <c r="F4214" s="2" t="s">
        <v>91</v>
      </c>
      <c r="G4214" s="2" t="s">
        <v>1763</v>
      </c>
      <c r="H4214" s="2" t="s">
        <v>138</v>
      </c>
      <c r="I4214" s="2" t="s">
        <v>4783</v>
      </c>
    </row>
    <row r="4215" spans="1:9" ht="14.5" x14ac:dyDescent="0.35">
      <c r="A4215" s="2">
        <v>2558703</v>
      </c>
      <c r="B4215" s="2" t="str">
        <f>"3211232008030003"</f>
        <v>3211232008030003</v>
      </c>
      <c r="C4215" s="2" t="s">
        <v>4785</v>
      </c>
      <c r="D4215" s="2" t="s">
        <v>17</v>
      </c>
      <c r="E4215" s="2" t="s">
        <v>11</v>
      </c>
      <c r="F4215" s="2" t="s">
        <v>18</v>
      </c>
      <c r="G4215" s="2" t="s">
        <v>19</v>
      </c>
      <c r="H4215" s="2" t="s">
        <v>3565</v>
      </c>
      <c r="I4215" s="2" t="s">
        <v>4752</v>
      </c>
    </row>
    <row r="4216" spans="1:9" ht="14.5" x14ac:dyDescent="0.35">
      <c r="A4216" s="2">
        <v>1527403</v>
      </c>
      <c r="B4216" s="2" t="str">
        <f>"3211235510770001"</f>
        <v>3211235510770001</v>
      </c>
      <c r="C4216" s="2" t="s">
        <v>4786</v>
      </c>
      <c r="D4216" s="2" t="s">
        <v>10</v>
      </c>
      <c r="E4216" s="2" t="s">
        <v>11</v>
      </c>
      <c r="F4216" s="2" t="s">
        <v>91</v>
      </c>
      <c r="G4216" s="2" t="s">
        <v>1763</v>
      </c>
      <c r="H4216" s="2" t="s">
        <v>138</v>
      </c>
      <c r="I4216" s="2" t="s">
        <v>4783</v>
      </c>
    </row>
    <row r="4217" spans="1:9" ht="14.5" x14ac:dyDescent="0.35">
      <c r="A4217" s="2">
        <v>2558704</v>
      </c>
      <c r="B4217" s="2" t="str">
        <f>"3211235510770001"</f>
        <v>3211235510770001</v>
      </c>
      <c r="C4217" s="2" t="s">
        <v>4786</v>
      </c>
      <c r="D4217" s="2" t="s">
        <v>17</v>
      </c>
      <c r="E4217" s="2" t="s">
        <v>11</v>
      </c>
      <c r="F4217" s="2" t="s">
        <v>18</v>
      </c>
      <c r="G4217" s="2" t="s">
        <v>19</v>
      </c>
      <c r="H4217" s="2" t="s">
        <v>3565</v>
      </c>
      <c r="I4217" s="2" t="s">
        <v>4752</v>
      </c>
    </row>
    <row r="4218" spans="1:9" ht="14.5" x14ac:dyDescent="0.35">
      <c r="A4218" s="2">
        <v>831498</v>
      </c>
      <c r="B4218" s="2" t="str">
        <f>"3212112311030001"</f>
        <v>3212112311030001</v>
      </c>
      <c r="C4218" s="2" t="s">
        <v>4787</v>
      </c>
      <c r="D4218" s="2" t="s">
        <v>10</v>
      </c>
      <c r="E4218" s="2" t="s">
        <v>11</v>
      </c>
      <c r="F4218" s="2" t="s">
        <v>91</v>
      </c>
      <c r="G4218" s="2" t="s">
        <v>114</v>
      </c>
      <c r="H4218" s="2" t="s">
        <v>4788</v>
      </c>
      <c r="I4218" s="2" t="s">
        <v>4789</v>
      </c>
    </row>
    <row r="4219" spans="1:9" ht="14.5" x14ac:dyDescent="0.35">
      <c r="A4219" s="2">
        <v>2558569</v>
      </c>
      <c r="B4219" s="2" t="str">
        <f>"3212112311030001"</f>
        <v>3212112311030001</v>
      </c>
      <c r="C4219" s="2" t="s">
        <v>4790</v>
      </c>
      <c r="D4219" s="2" t="s">
        <v>17</v>
      </c>
      <c r="E4219" s="2" t="s">
        <v>11</v>
      </c>
      <c r="F4219" s="2" t="s">
        <v>18</v>
      </c>
      <c r="G4219" s="2" t="s">
        <v>19</v>
      </c>
      <c r="H4219" s="2" t="s">
        <v>3565</v>
      </c>
      <c r="I4219" s="2" t="s">
        <v>4697</v>
      </c>
    </row>
    <row r="4220" spans="1:9" ht="14.5" x14ac:dyDescent="0.35">
      <c r="A4220" s="2">
        <v>1728164</v>
      </c>
      <c r="B4220" s="2" t="str">
        <f>"3216084301890002"</f>
        <v>3216084301890002</v>
      </c>
      <c r="C4220" s="2" t="s">
        <v>4791</v>
      </c>
      <c r="D4220" s="2" t="s">
        <v>10</v>
      </c>
      <c r="E4220" s="2" t="s">
        <v>11</v>
      </c>
      <c r="F4220" s="2" t="s">
        <v>91</v>
      </c>
      <c r="G4220" s="2" t="s">
        <v>92</v>
      </c>
      <c r="H4220" s="2" t="s">
        <v>105</v>
      </c>
      <c r="I4220" s="2" t="s">
        <v>3694</v>
      </c>
    </row>
    <row r="4221" spans="1:9" ht="14.5" x14ac:dyDescent="0.35">
      <c r="A4221" s="2">
        <v>2558121</v>
      </c>
      <c r="B4221" s="2" t="str">
        <f>"3216084301890002"</f>
        <v>3216084301890002</v>
      </c>
      <c r="C4221" s="2" t="s">
        <v>4792</v>
      </c>
      <c r="D4221" s="2" t="s">
        <v>17</v>
      </c>
      <c r="E4221" s="2" t="s">
        <v>11</v>
      </c>
      <c r="F4221" s="2" t="s">
        <v>18</v>
      </c>
      <c r="G4221" s="2" t="s">
        <v>19</v>
      </c>
      <c r="H4221" s="2" t="s">
        <v>3565</v>
      </c>
      <c r="I4221" s="2" t="s">
        <v>4765</v>
      </c>
    </row>
    <row r="4222" spans="1:9" ht="14.5" x14ac:dyDescent="0.35">
      <c r="A4222" s="2">
        <v>357569</v>
      </c>
      <c r="B4222" s="2" t="str">
        <f>"3275024407720015"</f>
        <v>3275024407720015</v>
      </c>
      <c r="C4222" s="2" t="s">
        <v>4793</v>
      </c>
      <c r="D4222" s="2" t="s">
        <v>10</v>
      </c>
      <c r="E4222" s="2" t="s">
        <v>11</v>
      </c>
      <c r="F4222" s="2" t="s">
        <v>91</v>
      </c>
      <c r="G4222" s="2" t="s">
        <v>159</v>
      </c>
      <c r="H4222" s="2" t="s">
        <v>1288</v>
      </c>
      <c r="I4222" s="2" t="s">
        <v>2918</v>
      </c>
    </row>
    <row r="4223" spans="1:9" ht="14.5" x14ac:dyDescent="0.35">
      <c r="A4223" s="2">
        <v>2571695</v>
      </c>
      <c r="B4223" s="2" t="str">
        <f>"3275024407720015"</f>
        <v>3275024407720015</v>
      </c>
      <c r="C4223" s="2" t="s">
        <v>4793</v>
      </c>
      <c r="D4223" s="2" t="s">
        <v>17</v>
      </c>
      <c r="E4223" s="2" t="s">
        <v>11</v>
      </c>
      <c r="F4223" s="2" t="s">
        <v>18</v>
      </c>
      <c r="G4223" s="2" t="s">
        <v>19</v>
      </c>
      <c r="H4223" s="2" t="s">
        <v>3565</v>
      </c>
      <c r="I4223" s="2" t="s">
        <v>678</v>
      </c>
    </row>
    <row r="4224" spans="1:9" ht="14.5" x14ac:dyDescent="0.35">
      <c r="A4224" s="2">
        <v>67768</v>
      </c>
      <c r="B4224" s="2" t="str">
        <f>"3275031709840034"</f>
        <v>3275031709840034</v>
      </c>
      <c r="C4224" s="2" t="s">
        <v>4794</v>
      </c>
      <c r="D4224" s="2" t="s">
        <v>10</v>
      </c>
      <c r="E4224" s="2" t="s">
        <v>11</v>
      </c>
      <c r="F4224" s="2" t="s">
        <v>91</v>
      </c>
      <c r="G4224" s="2" t="s">
        <v>159</v>
      </c>
      <c r="H4224" s="2" t="s">
        <v>1828</v>
      </c>
      <c r="I4224" s="2" t="s">
        <v>3707</v>
      </c>
    </row>
    <row r="4225" spans="1:9" ht="14.5" x14ac:dyDescent="0.35">
      <c r="A4225" s="2">
        <v>2558218</v>
      </c>
      <c r="B4225" s="2" t="str">
        <f>"3275031709840034"</f>
        <v>3275031709840034</v>
      </c>
      <c r="C4225" s="2" t="s">
        <v>4795</v>
      </c>
      <c r="D4225" s="2" t="s">
        <v>17</v>
      </c>
      <c r="E4225" s="2" t="s">
        <v>11</v>
      </c>
      <c r="F4225" s="2" t="s">
        <v>18</v>
      </c>
      <c r="G4225" s="2" t="s">
        <v>19</v>
      </c>
      <c r="H4225" s="2" t="s">
        <v>3565</v>
      </c>
      <c r="I4225" s="2" t="s">
        <v>4714</v>
      </c>
    </row>
    <row r="4226" spans="1:9" ht="14.5" x14ac:dyDescent="0.35">
      <c r="A4226" s="2">
        <v>1947247</v>
      </c>
      <c r="B4226" s="2" t="str">
        <f>"3305051908930001"</f>
        <v>3305051908930001</v>
      </c>
      <c r="C4226" s="2" t="s">
        <v>4796</v>
      </c>
      <c r="D4226" s="2" t="s">
        <v>10</v>
      </c>
      <c r="E4226" s="2" t="s">
        <v>11</v>
      </c>
      <c r="F4226" s="2" t="s">
        <v>18</v>
      </c>
      <c r="G4226" s="2" t="s">
        <v>19</v>
      </c>
      <c r="H4226" s="2" t="s">
        <v>3565</v>
      </c>
      <c r="I4226" s="2" t="s">
        <v>4748</v>
      </c>
    </row>
    <row r="4227" spans="1:9" ht="14.5" x14ac:dyDescent="0.35">
      <c r="A4227" s="2">
        <v>1112187</v>
      </c>
      <c r="B4227" s="2" t="str">
        <f>"3305051908930001"</f>
        <v>3305051908930001</v>
      </c>
      <c r="C4227" s="2" t="s">
        <v>4796</v>
      </c>
      <c r="D4227" s="2" t="s">
        <v>17</v>
      </c>
      <c r="E4227" s="2" t="s">
        <v>11</v>
      </c>
      <c r="F4227" s="2" t="s">
        <v>18</v>
      </c>
      <c r="G4227" s="2" t="s">
        <v>171</v>
      </c>
      <c r="H4227" s="2" t="s">
        <v>4797</v>
      </c>
      <c r="I4227" s="2" t="s">
        <v>4798</v>
      </c>
    </row>
    <row r="4228" spans="1:9" ht="14.5" x14ac:dyDescent="0.35">
      <c r="A4228" s="2">
        <v>82610</v>
      </c>
      <c r="B4228" s="2" t="str">
        <f>"3314030311920001"</f>
        <v>3314030311920001</v>
      </c>
      <c r="C4228" s="2" t="s">
        <v>4799</v>
      </c>
      <c r="D4228" s="2" t="s">
        <v>189</v>
      </c>
      <c r="E4228" s="2" t="s">
        <v>11</v>
      </c>
      <c r="F4228" s="2" t="s">
        <v>18</v>
      </c>
      <c r="G4228" s="2" t="s">
        <v>3495</v>
      </c>
      <c r="H4228" s="2" t="s">
        <v>4800</v>
      </c>
      <c r="I4228" s="2" t="s">
        <v>4801</v>
      </c>
    </row>
    <row r="4229" spans="1:9" ht="14.5" x14ac:dyDescent="0.35">
      <c r="A4229" s="2">
        <v>2571659</v>
      </c>
      <c r="B4229" s="2" t="str">
        <f>"3314030311920001"</f>
        <v>3314030311920001</v>
      </c>
      <c r="C4229" s="2" t="s">
        <v>4799</v>
      </c>
      <c r="D4229" s="2" t="s">
        <v>17</v>
      </c>
      <c r="E4229" s="2" t="s">
        <v>11</v>
      </c>
      <c r="F4229" s="2" t="s">
        <v>18</v>
      </c>
      <c r="G4229" s="2" t="s">
        <v>19</v>
      </c>
      <c r="H4229" s="2" t="s">
        <v>3565</v>
      </c>
      <c r="I4229" s="2" t="s">
        <v>678</v>
      </c>
    </row>
    <row r="4230" spans="1:9" ht="14.5" x14ac:dyDescent="0.35">
      <c r="A4230" s="2">
        <v>1045357</v>
      </c>
      <c r="B4230" s="2" t="str">
        <f>"3327101505840041"</f>
        <v>3327101505840041</v>
      </c>
      <c r="C4230" s="2" t="s">
        <v>4802</v>
      </c>
      <c r="D4230" s="2" t="s">
        <v>10</v>
      </c>
      <c r="E4230" s="2" t="s">
        <v>11</v>
      </c>
      <c r="F4230" s="2" t="s">
        <v>91</v>
      </c>
      <c r="G4230" s="2" t="s">
        <v>320</v>
      </c>
      <c r="H4230" s="2" t="s">
        <v>1319</v>
      </c>
      <c r="I4230" s="2" t="s">
        <v>3999</v>
      </c>
    </row>
    <row r="4231" spans="1:9" ht="14.5" x14ac:dyDescent="0.35">
      <c r="A4231" s="2">
        <v>2559110</v>
      </c>
      <c r="B4231" s="2" t="str">
        <f>"3327101505840041"</f>
        <v>3327101505840041</v>
      </c>
      <c r="C4231" s="2" t="s">
        <v>4802</v>
      </c>
      <c r="D4231" s="2" t="s">
        <v>17</v>
      </c>
      <c r="E4231" s="2" t="s">
        <v>11</v>
      </c>
      <c r="F4231" s="2" t="s">
        <v>18</v>
      </c>
      <c r="G4231" s="2" t="s">
        <v>19</v>
      </c>
      <c r="H4231" s="2" t="s">
        <v>3565</v>
      </c>
      <c r="I4231" s="2" t="s">
        <v>4771</v>
      </c>
    </row>
    <row r="4232" spans="1:9" ht="14.5" x14ac:dyDescent="0.35">
      <c r="A4232" s="2">
        <v>2226804</v>
      </c>
      <c r="B4232" s="2" t="str">
        <f>"3327102411780004"</f>
        <v>3327102411780004</v>
      </c>
      <c r="C4232" s="2" t="s">
        <v>4803</v>
      </c>
      <c r="D4232" s="2" t="s">
        <v>10</v>
      </c>
      <c r="E4232" s="2" t="s">
        <v>11</v>
      </c>
      <c r="F4232" s="2" t="s">
        <v>18</v>
      </c>
      <c r="G4232" s="2" t="s">
        <v>199</v>
      </c>
      <c r="H4232" s="2" t="s">
        <v>200</v>
      </c>
      <c r="I4232" s="2" t="s">
        <v>4804</v>
      </c>
    </row>
    <row r="4233" spans="1:9" ht="14.5" x14ac:dyDescent="0.35">
      <c r="A4233" s="2">
        <v>2571884</v>
      </c>
      <c r="B4233" s="2" t="str">
        <f>"3327102411780004"</f>
        <v>3327102411780004</v>
      </c>
      <c r="C4233" s="2" t="s">
        <v>4803</v>
      </c>
      <c r="D4233" s="2" t="s">
        <v>17</v>
      </c>
      <c r="E4233" s="2" t="s">
        <v>11</v>
      </c>
      <c r="F4233" s="2" t="s">
        <v>18</v>
      </c>
      <c r="G4233" s="2" t="s">
        <v>19</v>
      </c>
      <c r="H4233" s="2" t="s">
        <v>3565</v>
      </c>
      <c r="I4233" s="2" t="s">
        <v>4156</v>
      </c>
    </row>
    <row r="4234" spans="1:9" ht="14.5" x14ac:dyDescent="0.35">
      <c r="A4234" s="2">
        <v>27434</v>
      </c>
      <c r="B4234" s="2" t="str">
        <f>"3328095705930002"</f>
        <v>3328095705930002</v>
      </c>
      <c r="C4234" s="2" t="s">
        <v>4805</v>
      </c>
      <c r="D4234" s="2" t="s">
        <v>10</v>
      </c>
      <c r="E4234" s="2" t="s">
        <v>11</v>
      </c>
      <c r="F4234" s="2" t="s">
        <v>50</v>
      </c>
      <c r="G4234" s="2" t="s">
        <v>280</v>
      </c>
      <c r="H4234" s="2" t="s">
        <v>2179</v>
      </c>
      <c r="I4234" s="2" t="s">
        <v>4806</v>
      </c>
    </row>
    <row r="4235" spans="1:9" ht="14.5" x14ac:dyDescent="0.35">
      <c r="A4235" s="2">
        <v>1790935</v>
      </c>
      <c r="B4235" s="2" t="str">
        <f>"3328095705930002"</f>
        <v>3328095705930002</v>
      </c>
      <c r="C4235" s="2" t="s">
        <v>4807</v>
      </c>
      <c r="D4235" s="2" t="s">
        <v>189</v>
      </c>
      <c r="E4235" s="2" t="s">
        <v>11</v>
      </c>
      <c r="F4235" s="2" t="s">
        <v>18</v>
      </c>
      <c r="G4235" s="2" t="s">
        <v>19</v>
      </c>
      <c r="H4235" s="2" t="s">
        <v>3565</v>
      </c>
      <c r="I4235" s="2" t="s">
        <v>4769</v>
      </c>
    </row>
    <row r="4236" spans="1:9" ht="14.5" x14ac:dyDescent="0.35">
      <c r="A4236" s="2">
        <v>322590</v>
      </c>
      <c r="B4236" s="2" t="str">
        <f>"3328102504820002"</f>
        <v>3328102504820002</v>
      </c>
      <c r="C4236" s="2" t="s">
        <v>4808</v>
      </c>
      <c r="D4236" s="2" t="s">
        <v>10</v>
      </c>
      <c r="E4236" s="2" t="s">
        <v>11</v>
      </c>
      <c r="F4236" s="2" t="s">
        <v>18</v>
      </c>
      <c r="G4236" s="2" t="s">
        <v>268</v>
      </c>
      <c r="H4236" s="2" t="s">
        <v>277</v>
      </c>
      <c r="I4236" s="2" t="s">
        <v>278</v>
      </c>
    </row>
    <row r="4237" spans="1:9" ht="14.5" x14ac:dyDescent="0.35">
      <c r="A4237" s="2">
        <v>2558062</v>
      </c>
      <c r="B4237" s="2" t="str">
        <f>"3328102504820002"</f>
        <v>3328102504820002</v>
      </c>
      <c r="C4237" s="2" t="s">
        <v>4808</v>
      </c>
      <c r="D4237" s="2" t="s">
        <v>17</v>
      </c>
      <c r="E4237" s="2" t="s">
        <v>11</v>
      </c>
      <c r="F4237" s="2" t="s">
        <v>18</v>
      </c>
      <c r="G4237" s="2" t="s">
        <v>19</v>
      </c>
      <c r="H4237" s="2" t="s">
        <v>3565</v>
      </c>
      <c r="I4237" s="2" t="s">
        <v>4711</v>
      </c>
    </row>
    <row r="4238" spans="1:9" ht="14.5" x14ac:dyDescent="0.35">
      <c r="A4238" s="2">
        <v>544596</v>
      </c>
      <c r="B4238" s="2" t="str">
        <f>"3328112904970002"</f>
        <v>3328112904970002</v>
      </c>
      <c r="C4238" s="2" t="s">
        <v>4809</v>
      </c>
      <c r="D4238" s="2" t="s">
        <v>10</v>
      </c>
      <c r="E4238" s="2" t="s">
        <v>11</v>
      </c>
      <c r="F4238" s="2" t="s">
        <v>783</v>
      </c>
      <c r="G4238" s="2" t="s">
        <v>1112</v>
      </c>
      <c r="H4238" s="2" t="s">
        <v>1113</v>
      </c>
      <c r="I4238" s="2" t="s">
        <v>4810</v>
      </c>
    </row>
    <row r="4239" spans="1:9" ht="14.5" x14ac:dyDescent="0.35">
      <c r="A4239" s="2">
        <v>2558118</v>
      </c>
      <c r="B4239" s="2" t="str">
        <f>"3328112904970002"</f>
        <v>3328112904970002</v>
      </c>
      <c r="C4239" s="2" t="s">
        <v>4809</v>
      </c>
      <c r="D4239" s="2" t="s">
        <v>17</v>
      </c>
      <c r="E4239" s="2" t="s">
        <v>11</v>
      </c>
      <c r="F4239" s="2" t="s">
        <v>18</v>
      </c>
      <c r="G4239" s="2" t="s">
        <v>19</v>
      </c>
      <c r="H4239" s="2" t="s">
        <v>3565</v>
      </c>
      <c r="I4239" s="2" t="s">
        <v>4765</v>
      </c>
    </row>
    <row r="4240" spans="1:9" ht="14.5" x14ac:dyDescent="0.35">
      <c r="A4240" s="2">
        <v>353112</v>
      </c>
      <c r="B4240" s="2" t="str">
        <f>"3328117012920009"</f>
        <v>3328117012920009</v>
      </c>
      <c r="C4240" s="2" t="s">
        <v>4811</v>
      </c>
      <c r="D4240" s="2" t="s">
        <v>10</v>
      </c>
      <c r="E4240" s="2" t="s">
        <v>11</v>
      </c>
      <c r="F4240" s="2" t="s">
        <v>18</v>
      </c>
      <c r="G4240" s="2" t="s">
        <v>268</v>
      </c>
      <c r="H4240" s="2" t="s">
        <v>269</v>
      </c>
      <c r="I4240" s="2" t="s">
        <v>270</v>
      </c>
    </row>
    <row r="4241" spans="1:9" ht="14.5" x14ac:dyDescent="0.35">
      <c r="A4241" s="2">
        <v>2558699</v>
      </c>
      <c r="B4241" s="2" t="str">
        <f>"3328117012920009"</f>
        <v>3328117012920009</v>
      </c>
      <c r="C4241" s="2" t="s">
        <v>4811</v>
      </c>
      <c r="D4241" s="2" t="s">
        <v>17</v>
      </c>
      <c r="E4241" s="2" t="s">
        <v>11</v>
      </c>
      <c r="F4241" s="2" t="s">
        <v>18</v>
      </c>
      <c r="G4241" s="2" t="s">
        <v>19</v>
      </c>
      <c r="H4241" s="2" t="s">
        <v>3565</v>
      </c>
      <c r="I4241" s="2" t="s">
        <v>4752</v>
      </c>
    </row>
    <row r="4242" spans="1:9" ht="14.5" x14ac:dyDescent="0.35">
      <c r="A4242" s="2">
        <v>444838</v>
      </c>
      <c r="B4242" s="2" t="str">
        <f>"3328120810870004"</f>
        <v>3328120810870004</v>
      </c>
      <c r="C4242" s="2" t="s">
        <v>4812</v>
      </c>
      <c r="D4242" s="2" t="s">
        <v>10</v>
      </c>
      <c r="E4242" s="2" t="s">
        <v>11</v>
      </c>
      <c r="F4242" s="2" t="s">
        <v>18</v>
      </c>
      <c r="G4242" s="2" t="s">
        <v>264</v>
      </c>
      <c r="H4242" s="2" t="s">
        <v>477</v>
      </c>
      <c r="I4242" s="2" t="s">
        <v>3855</v>
      </c>
    </row>
    <row r="4243" spans="1:9" ht="14.5" x14ac:dyDescent="0.35">
      <c r="A4243" s="2">
        <v>2558059</v>
      </c>
      <c r="B4243" s="2" t="str">
        <f>"3328120810870004"</f>
        <v>3328120810870004</v>
      </c>
      <c r="C4243" s="2" t="s">
        <v>4812</v>
      </c>
      <c r="D4243" s="2" t="s">
        <v>17</v>
      </c>
      <c r="E4243" s="2" t="s">
        <v>11</v>
      </c>
      <c r="F4243" s="2" t="s">
        <v>18</v>
      </c>
      <c r="G4243" s="2" t="s">
        <v>19</v>
      </c>
      <c r="H4243" s="2" t="s">
        <v>3565</v>
      </c>
      <c r="I4243" s="2" t="s">
        <v>4711</v>
      </c>
    </row>
    <row r="4244" spans="1:9" ht="14.5" x14ac:dyDescent="0.35">
      <c r="A4244" s="2">
        <v>1704840</v>
      </c>
      <c r="B4244" s="2" t="str">
        <f>"3328121503830001"</f>
        <v>3328121503830001</v>
      </c>
      <c r="C4244" s="2" t="s">
        <v>4813</v>
      </c>
      <c r="D4244" s="2" t="s">
        <v>10</v>
      </c>
      <c r="E4244" s="2" t="s">
        <v>11</v>
      </c>
      <c r="F4244" s="2" t="s">
        <v>18</v>
      </c>
      <c r="G4244" s="2" t="s">
        <v>19</v>
      </c>
      <c r="H4244" s="2" t="s">
        <v>3565</v>
      </c>
      <c r="I4244" s="2" t="s">
        <v>4814</v>
      </c>
    </row>
    <row r="4245" spans="1:9" ht="14.5" x14ac:dyDescent="0.35">
      <c r="A4245" s="2">
        <v>1327677</v>
      </c>
      <c r="B4245" s="2" t="str">
        <f>"3328121503830001"</f>
        <v>3328121503830001</v>
      </c>
      <c r="C4245" s="2" t="s">
        <v>4815</v>
      </c>
      <c r="D4245" s="2" t="s">
        <v>17</v>
      </c>
      <c r="E4245" s="2" t="s">
        <v>11</v>
      </c>
      <c r="F4245" s="2" t="s">
        <v>18</v>
      </c>
      <c r="G4245" s="2" t="s">
        <v>2434</v>
      </c>
      <c r="H4245" s="2" t="s">
        <v>1266</v>
      </c>
      <c r="I4245" s="2" t="s">
        <v>4816</v>
      </c>
    </row>
    <row r="4246" spans="1:9" ht="14.5" x14ac:dyDescent="0.35">
      <c r="A4246" s="2">
        <v>1201510</v>
      </c>
      <c r="B4246" s="2" t="str">
        <f>"3328140106610005"</f>
        <v>3328140106610005</v>
      </c>
      <c r="C4246" s="2" t="s">
        <v>4817</v>
      </c>
      <c r="D4246" s="2" t="s">
        <v>10</v>
      </c>
      <c r="E4246" s="2" t="s">
        <v>11</v>
      </c>
      <c r="F4246" s="2" t="s">
        <v>50</v>
      </c>
      <c r="G4246" s="2" t="s">
        <v>86</v>
      </c>
      <c r="H4246" s="2" t="s">
        <v>313</v>
      </c>
      <c r="I4246" s="2" t="s">
        <v>2219</v>
      </c>
    </row>
    <row r="4247" spans="1:9" ht="14.5" x14ac:dyDescent="0.35">
      <c r="A4247" s="2">
        <v>2558989</v>
      </c>
      <c r="B4247" s="2" t="str">
        <f>"3328140106610005"</f>
        <v>3328140106610005</v>
      </c>
      <c r="C4247" s="2" t="s">
        <v>4817</v>
      </c>
      <c r="D4247" s="2" t="s">
        <v>17</v>
      </c>
      <c r="E4247" s="2" t="s">
        <v>11</v>
      </c>
      <c r="F4247" s="2" t="s">
        <v>18</v>
      </c>
      <c r="G4247" s="2" t="s">
        <v>19</v>
      </c>
      <c r="H4247" s="2" t="s">
        <v>3565</v>
      </c>
      <c r="I4247" s="2" t="s">
        <v>4719</v>
      </c>
    </row>
    <row r="4248" spans="1:9" ht="14.5" x14ac:dyDescent="0.35">
      <c r="A4248" s="2">
        <v>2333842</v>
      </c>
      <c r="B4248" s="2" t="str">
        <f>"3328140307680001"</f>
        <v>3328140307680001</v>
      </c>
      <c r="C4248" s="2" t="s">
        <v>4818</v>
      </c>
      <c r="D4248" s="2" t="s">
        <v>10</v>
      </c>
      <c r="E4248" s="2" t="s">
        <v>11</v>
      </c>
      <c r="F4248" s="2" t="s">
        <v>50</v>
      </c>
      <c r="G4248" s="2" t="s">
        <v>58</v>
      </c>
      <c r="H4248" s="2" t="s">
        <v>417</v>
      </c>
      <c r="I4248" s="2" t="s">
        <v>59</v>
      </c>
    </row>
    <row r="4249" spans="1:9" ht="14.5" x14ac:dyDescent="0.35">
      <c r="A4249" s="2">
        <v>2558330</v>
      </c>
      <c r="B4249" s="2" t="str">
        <f>"3328140307680001"</f>
        <v>3328140307680001</v>
      </c>
      <c r="C4249" s="2" t="s">
        <v>4819</v>
      </c>
      <c r="D4249" s="2" t="s">
        <v>17</v>
      </c>
      <c r="E4249" s="2" t="s">
        <v>11</v>
      </c>
      <c r="F4249" s="2" t="s">
        <v>18</v>
      </c>
      <c r="G4249" s="2" t="s">
        <v>19</v>
      </c>
      <c r="H4249" s="2" t="s">
        <v>3565</v>
      </c>
      <c r="I4249" s="2" t="s">
        <v>4708</v>
      </c>
    </row>
    <row r="4250" spans="1:9" ht="14.5" x14ac:dyDescent="0.35">
      <c r="A4250" s="2">
        <v>1783043</v>
      </c>
      <c r="B4250" s="2" t="str">
        <f>"3328140308900004"</f>
        <v>3328140308900004</v>
      </c>
      <c r="C4250" s="2" t="s">
        <v>4820</v>
      </c>
      <c r="D4250" s="2" t="s">
        <v>10</v>
      </c>
      <c r="E4250" s="2" t="s">
        <v>11</v>
      </c>
      <c r="F4250" s="2" t="s">
        <v>18</v>
      </c>
      <c r="G4250" s="2" t="s">
        <v>19</v>
      </c>
      <c r="H4250" s="2" t="s">
        <v>3565</v>
      </c>
      <c r="I4250" s="2" t="s">
        <v>4156</v>
      </c>
    </row>
    <row r="4251" spans="1:9" ht="14.5" x14ac:dyDescent="0.35">
      <c r="A4251" s="2">
        <v>1940928</v>
      </c>
      <c r="B4251" s="2" t="str">
        <f>"3328140308900004"</f>
        <v>3328140308900004</v>
      </c>
      <c r="C4251" s="2" t="s">
        <v>4821</v>
      </c>
      <c r="D4251" s="2" t="s">
        <v>17</v>
      </c>
      <c r="E4251" s="2" t="s">
        <v>11</v>
      </c>
      <c r="F4251" s="2" t="s">
        <v>50</v>
      </c>
      <c r="G4251" s="2" t="s">
        <v>86</v>
      </c>
      <c r="H4251" s="2" t="s">
        <v>87</v>
      </c>
      <c r="I4251" s="2" t="s">
        <v>88</v>
      </c>
    </row>
    <row r="4252" spans="1:9" ht="14.5" x14ac:dyDescent="0.35">
      <c r="A4252" s="2">
        <v>1920324</v>
      </c>
      <c r="B4252" s="2" t="str">
        <f>"3328140402020003"</f>
        <v>3328140402020003</v>
      </c>
      <c r="C4252" s="2" t="s">
        <v>4822</v>
      </c>
      <c r="D4252" s="2" t="s">
        <v>10</v>
      </c>
      <c r="E4252" s="2" t="s">
        <v>11</v>
      </c>
      <c r="F4252" s="2" t="s">
        <v>18</v>
      </c>
      <c r="G4252" s="2" t="s">
        <v>19</v>
      </c>
      <c r="H4252" s="2" t="s">
        <v>3565</v>
      </c>
      <c r="I4252" s="2" t="s">
        <v>4765</v>
      </c>
    </row>
    <row r="4253" spans="1:9" ht="14.5" x14ac:dyDescent="0.35">
      <c r="A4253" s="2">
        <v>1350437</v>
      </c>
      <c r="B4253" s="2" t="str">
        <f>"3328140402020003"</f>
        <v>3328140402020003</v>
      </c>
      <c r="C4253" s="2" t="s">
        <v>4822</v>
      </c>
      <c r="D4253" s="2" t="s">
        <v>10</v>
      </c>
      <c r="E4253" s="2" t="s">
        <v>57</v>
      </c>
      <c r="F4253" s="2" t="s">
        <v>303</v>
      </c>
      <c r="G4253" s="2" t="s">
        <v>608</v>
      </c>
      <c r="H4253" s="2" t="s">
        <v>609</v>
      </c>
      <c r="I4253" s="2" t="s">
        <v>610</v>
      </c>
    </row>
    <row r="4254" spans="1:9" ht="14.5" x14ac:dyDescent="0.35">
      <c r="A4254" s="2">
        <v>770703</v>
      </c>
      <c r="B4254" s="2" t="str">
        <f>"3328140503940005"</f>
        <v>3328140503940005</v>
      </c>
      <c r="C4254" s="2" t="s">
        <v>1292</v>
      </c>
      <c r="D4254" s="2" t="s">
        <v>10</v>
      </c>
      <c r="E4254" s="2" t="s">
        <v>11</v>
      </c>
      <c r="F4254" s="2" t="s">
        <v>50</v>
      </c>
      <c r="G4254" s="2" t="s">
        <v>51</v>
      </c>
      <c r="H4254" s="2" t="s">
        <v>284</v>
      </c>
      <c r="I4254" s="2" t="s">
        <v>284</v>
      </c>
    </row>
    <row r="4255" spans="1:9" ht="14.5" x14ac:dyDescent="0.35">
      <c r="A4255" s="2">
        <v>2571818</v>
      </c>
      <c r="B4255" s="2" t="str">
        <f>"3328140503940005"</f>
        <v>3328140503940005</v>
      </c>
      <c r="C4255" s="2" t="s">
        <v>1292</v>
      </c>
      <c r="D4255" s="2" t="s">
        <v>17</v>
      </c>
      <c r="E4255" s="2" t="s">
        <v>11</v>
      </c>
      <c r="F4255" s="2" t="s">
        <v>18</v>
      </c>
      <c r="G4255" s="2" t="s">
        <v>19</v>
      </c>
      <c r="H4255" s="2" t="s">
        <v>3565</v>
      </c>
      <c r="I4255" s="2" t="s">
        <v>4156</v>
      </c>
    </row>
    <row r="4256" spans="1:9" ht="14.5" x14ac:dyDescent="0.35">
      <c r="A4256" s="2">
        <v>757702</v>
      </c>
      <c r="B4256" s="2" t="str">
        <f>"3328140511750008"</f>
        <v>3328140511750008</v>
      </c>
      <c r="C4256" s="2" t="s">
        <v>4823</v>
      </c>
      <c r="D4256" s="2" t="s">
        <v>10</v>
      </c>
      <c r="E4256" s="2" t="s">
        <v>11</v>
      </c>
      <c r="F4256" s="2" t="s">
        <v>50</v>
      </c>
      <c r="G4256" s="2" t="s">
        <v>280</v>
      </c>
      <c r="H4256" s="2" t="s">
        <v>402</v>
      </c>
      <c r="I4256" s="2" t="s">
        <v>4730</v>
      </c>
    </row>
    <row r="4257" spans="1:9" ht="14.5" x14ac:dyDescent="0.35">
      <c r="A4257" s="2">
        <v>2571711</v>
      </c>
      <c r="B4257" s="2" t="str">
        <f>"3328140511750008"</f>
        <v>3328140511750008</v>
      </c>
      <c r="C4257" s="2" t="s">
        <v>4823</v>
      </c>
      <c r="D4257" s="2" t="s">
        <v>17</v>
      </c>
      <c r="E4257" s="2" t="s">
        <v>11</v>
      </c>
      <c r="F4257" s="2" t="s">
        <v>18</v>
      </c>
      <c r="G4257" s="2" t="s">
        <v>19</v>
      </c>
      <c r="H4257" s="2" t="s">
        <v>3565</v>
      </c>
      <c r="I4257" s="2" t="s">
        <v>4731</v>
      </c>
    </row>
    <row r="4258" spans="1:9" ht="14.5" x14ac:dyDescent="0.35">
      <c r="A4258" s="2">
        <v>1926833</v>
      </c>
      <c r="B4258" s="2" t="str">
        <f>"3328140601010001"</f>
        <v>3328140601010001</v>
      </c>
      <c r="C4258" s="2" t="s">
        <v>4824</v>
      </c>
      <c r="D4258" s="2" t="s">
        <v>10</v>
      </c>
      <c r="E4258" s="2" t="s">
        <v>11</v>
      </c>
      <c r="F4258" s="2" t="s">
        <v>18</v>
      </c>
      <c r="G4258" s="2" t="s">
        <v>19</v>
      </c>
      <c r="H4258" s="2" t="s">
        <v>3565</v>
      </c>
      <c r="I4258" s="2" t="s">
        <v>678</v>
      </c>
    </row>
    <row r="4259" spans="1:9" ht="14.5" x14ac:dyDescent="0.35">
      <c r="A4259" s="2">
        <v>1350439</v>
      </c>
      <c r="B4259" s="2" t="str">
        <f>"3328140601010001"</f>
        <v>3328140601010001</v>
      </c>
      <c r="C4259" s="2" t="s">
        <v>4825</v>
      </c>
      <c r="D4259" s="2" t="s">
        <v>10</v>
      </c>
      <c r="E4259" s="2" t="s">
        <v>57</v>
      </c>
      <c r="F4259" s="2" t="s">
        <v>303</v>
      </c>
      <c r="G4259" s="2" t="s">
        <v>608</v>
      </c>
      <c r="H4259" s="2" t="s">
        <v>609</v>
      </c>
      <c r="I4259" s="2" t="s">
        <v>610</v>
      </c>
    </row>
    <row r="4260" spans="1:9" ht="14.5" x14ac:dyDescent="0.35">
      <c r="A4260" s="2">
        <v>1804331</v>
      </c>
      <c r="B4260" s="2" t="str">
        <f>"3328140605020003"</f>
        <v>3328140605020003</v>
      </c>
      <c r="C4260" s="2" t="s">
        <v>4826</v>
      </c>
      <c r="D4260" s="2" t="s">
        <v>189</v>
      </c>
      <c r="E4260" s="2" t="s">
        <v>11</v>
      </c>
      <c r="F4260" s="2" t="s">
        <v>18</v>
      </c>
      <c r="G4260" s="2" t="s">
        <v>19</v>
      </c>
      <c r="H4260" s="2" t="s">
        <v>3565</v>
      </c>
      <c r="I4260" s="2" t="s">
        <v>4697</v>
      </c>
    </row>
    <row r="4261" spans="1:9" ht="14.5" x14ac:dyDescent="0.35">
      <c r="A4261" s="2">
        <v>1350435</v>
      </c>
      <c r="B4261" s="2" t="str">
        <f>"3328140605020003"</f>
        <v>3328140605020003</v>
      </c>
      <c r="C4261" s="2" t="s">
        <v>4826</v>
      </c>
      <c r="D4261" s="2" t="s">
        <v>10</v>
      </c>
      <c r="E4261" s="2" t="s">
        <v>57</v>
      </c>
      <c r="F4261" s="2" t="s">
        <v>303</v>
      </c>
      <c r="G4261" s="2" t="s">
        <v>608</v>
      </c>
      <c r="H4261" s="2" t="s">
        <v>609</v>
      </c>
      <c r="I4261" s="2" t="s">
        <v>610</v>
      </c>
    </row>
    <row r="4262" spans="1:9" ht="14.5" x14ac:dyDescent="0.35">
      <c r="A4262" s="2">
        <v>243521</v>
      </c>
      <c r="B4262" s="2" t="str">
        <f>"3328140709810004"</f>
        <v>3328140709810004</v>
      </c>
      <c r="C4262" s="2" t="s">
        <v>4827</v>
      </c>
      <c r="D4262" s="2" t="s">
        <v>10</v>
      </c>
      <c r="E4262" s="2" t="s">
        <v>11</v>
      </c>
      <c r="F4262" s="2" t="s">
        <v>18</v>
      </c>
      <c r="G4262" s="2" t="s">
        <v>268</v>
      </c>
      <c r="H4262" s="2" t="s">
        <v>371</v>
      </c>
      <c r="I4262" s="2" t="s">
        <v>372</v>
      </c>
    </row>
    <row r="4263" spans="1:9" ht="14.5" x14ac:dyDescent="0.35">
      <c r="A4263" s="2">
        <v>2558391</v>
      </c>
      <c r="B4263" s="2" t="str">
        <f>"3328140709810004"</f>
        <v>3328140709810004</v>
      </c>
      <c r="C4263" s="2" t="s">
        <v>4827</v>
      </c>
      <c r="D4263" s="2" t="s">
        <v>17</v>
      </c>
      <c r="E4263" s="2" t="s">
        <v>11</v>
      </c>
      <c r="F4263" s="2" t="s">
        <v>18</v>
      </c>
      <c r="G4263" s="2" t="s">
        <v>19</v>
      </c>
      <c r="H4263" s="2" t="s">
        <v>3565</v>
      </c>
      <c r="I4263" s="2" t="s">
        <v>4708</v>
      </c>
    </row>
    <row r="4264" spans="1:9" ht="14.5" x14ac:dyDescent="0.35">
      <c r="A4264" s="2">
        <v>2559022</v>
      </c>
      <c r="B4264" s="2" t="str">
        <f>"3328140906880003"</f>
        <v>3328140906880003</v>
      </c>
      <c r="C4264" s="2" t="s">
        <v>4828</v>
      </c>
      <c r="D4264" s="2" t="s">
        <v>17</v>
      </c>
      <c r="E4264" s="2" t="s">
        <v>11</v>
      </c>
      <c r="F4264" s="2" t="s">
        <v>18</v>
      </c>
      <c r="G4264" s="2" t="s">
        <v>19</v>
      </c>
      <c r="H4264" s="2" t="s">
        <v>3565</v>
      </c>
      <c r="I4264" s="2" t="s">
        <v>4719</v>
      </c>
    </row>
    <row r="4265" spans="1:9" ht="14.5" x14ac:dyDescent="0.35">
      <c r="A4265" s="2">
        <v>167471</v>
      </c>
      <c r="B4265" s="2" t="str">
        <f>"3328140906880003"</f>
        <v>3328140906880003</v>
      </c>
      <c r="C4265" s="2" t="s">
        <v>4828</v>
      </c>
      <c r="D4265" s="2" t="s">
        <v>17</v>
      </c>
      <c r="E4265" s="2" t="s">
        <v>11</v>
      </c>
      <c r="F4265" s="2" t="s">
        <v>33</v>
      </c>
      <c r="G4265" s="2" t="s">
        <v>4829</v>
      </c>
      <c r="H4265" s="2" t="s">
        <v>4830</v>
      </c>
      <c r="I4265" s="2" t="s">
        <v>4831</v>
      </c>
    </row>
    <row r="4266" spans="1:9" ht="14.5" x14ac:dyDescent="0.35">
      <c r="A4266" s="2">
        <v>659597</v>
      </c>
      <c r="B4266" s="2" t="str">
        <f>"3328140908670002"</f>
        <v>3328140908670002</v>
      </c>
      <c r="C4266" s="2" t="s">
        <v>4832</v>
      </c>
      <c r="D4266" s="2" t="s">
        <v>10</v>
      </c>
      <c r="E4266" s="2" t="s">
        <v>11</v>
      </c>
      <c r="F4266" s="2" t="s">
        <v>91</v>
      </c>
      <c r="G4266" s="2" t="s">
        <v>438</v>
      </c>
      <c r="H4266" s="2" t="s">
        <v>439</v>
      </c>
      <c r="I4266" s="2" t="s">
        <v>4833</v>
      </c>
    </row>
    <row r="4267" spans="1:9" ht="14.5" x14ac:dyDescent="0.35">
      <c r="A4267" s="2">
        <v>2571660</v>
      </c>
      <c r="B4267" s="2" t="str">
        <f>"3328140908670002"</f>
        <v>3328140908670002</v>
      </c>
      <c r="C4267" s="2" t="s">
        <v>4832</v>
      </c>
      <c r="D4267" s="2" t="s">
        <v>17</v>
      </c>
      <c r="E4267" s="2" t="s">
        <v>11</v>
      </c>
      <c r="F4267" s="2" t="s">
        <v>18</v>
      </c>
      <c r="G4267" s="2" t="s">
        <v>19</v>
      </c>
      <c r="H4267" s="2" t="s">
        <v>3565</v>
      </c>
      <c r="I4267" s="2" t="s">
        <v>678</v>
      </c>
    </row>
    <row r="4268" spans="1:9" ht="14.5" x14ac:dyDescent="0.35">
      <c r="A4268" s="2">
        <v>616279</v>
      </c>
      <c r="B4268" s="2" t="str">
        <f>"3328141001690004"</f>
        <v>3328141001690004</v>
      </c>
      <c r="C4268" s="2" t="s">
        <v>4091</v>
      </c>
      <c r="D4268" s="2" t="s">
        <v>10</v>
      </c>
      <c r="E4268" s="2" t="s">
        <v>11</v>
      </c>
      <c r="F4268" s="2" t="s">
        <v>50</v>
      </c>
      <c r="G4268" s="2" t="s">
        <v>280</v>
      </c>
      <c r="H4268" s="2" t="s">
        <v>1121</v>
      </c>
      <c r="I4268" s="2" t="s">
        <v>4834</v>
      </c>
    </row>
    <row r="4269" spans="1:9" ht="14.5" x14ac:dyDescent="0.35">
      <c r="A4269" s="2">
        <v>2559370</v>
      </c>
      <c r="B4269" s="2" t="str">
        <f>"3328141001690004"</f>
        <v>3328141001690004</v>
      </c>
      <c r="C4269" s="2" t="s">
        <v>4835</v>
      </c>
      <c r="D4269" s="2" t="s">
        <v>17</v>
      </c>
      <c r="E4269" s="2" t="s">
        <v>11</v>
      </c>
      <c r="F4269" s="2" t="s">
        <v>18</v>
      </c>
      <c r="G4269" s="2" t="s">
        <v>19</v>
      </c>
      <c r="H4269" s="2" t="s">
        <v>3565</v>
      </c>
      <c r="I4269" s="2" t="s">
        <v>4836</v>
      </c>
    </row>
    <row r="4270" spans="1:9" ht="14.5" x14ac:dyDescent="0.35">
      <c r="A4270" s="2">
        <v>1817896</v>
      </c>
      <c r="B4270" s="2" t="str">
        <f>"3328141004060002"</f>
        <v>3328141004060002</v>
      </c>
      <c r="C4270" s="2" t="s">
        <v>4837</v>
      </c>
      <c r="D4270" s="2" t="s">
        <v>189</v>
      </c>
      <c r="E4270" s="2" t="s">
        <v>11</v>
      </c>
      <c r="F4270" s="2" t="s">
        <v>18</v>
      </c>
      <c r="G4270" s="2" t="s">
        <v>19</v>
      </c>
      <c r="H4270" s="2" t="s">
        <v>3565</v>
      </c>
      <c r="I4270" s="2" t="s">
        <v>4697</v>
      </c>
    </row>
    <row r="4271" spans="1:9" ht="14.5" x14ac:dyDescent="0.35">
      <c r="A4271" s="2">
        <v>1350436</v>
      </c>
      <c r="B4271" s="2" t="str">
        <f>"3328141004060002"</f>
        <v>3328141004060002</v>
      </c>
      <c r="C4271" s="2" t="s">
        <v>4837</v>
      </c>
      <c r="D4271" s="2" t="s">
        <v>10</v>
      </c>
      <c r="E4271" s="2" t="s">
        <v>57</v>
      </c>
      <c r="F4271" s="2" t="s">
        <v>303</v>
      </c>
      <c r="G4271" s="2" t="s">
        <v>608</v>
      </c>
      <c r="H4271" s="2" t="s">
        <v>609</v>
      </c>
      <c r="I4271" s="2" t="s">
        <v>610</v>
      </c>
    </row>
    <row r="4272" spans="1:9" ht="14.5" x14ac:dyDescent="0.35">
      <c r="A4272" s="2">
        <v>2013828</v>
      </c>
      <c r="B4272" s="2" t="str">
        <f>"3328141007720003"</f>
        <v>3328141007720003</v>
      </c>
      <c r="C4272" s="2" t="s">
        <v>4838</v>
      </c>
      <c r="D4272" s="2" t="s">
        <v>10</v>
      </c>
      <c r="E4272" s="2" t="s">
        <v>11</v>
      </c>
      <c r="F4272" s="2" t="s">
        <v>67</v>
      </c>
      <c r="G4272" s="2" t="s">
        <v>68</v>
      </c>
      <c r="H4272" s="2" t="s">
        <v>678</v>
      </c>
      <c r="I4272" s="2" t="s">
        <v>4839</v>
      </c>
    </row>
    <row r="4273" spans="1:9" ht="14.5" x14ac:dyDescent="0.35">
      <c r="A4273" s="2">
        <v>2557759</v>
      </c>
      <c r="B4273" s="2" t="str">
        <f>"3328141007720003"</f>
        <v>3328141007720003</v>
      </c>
      <c r="C4273" s="2" t="s">
        <v>4838</v>
      </c>
      <c r="D4273" s="2" t="s">
        <v>17</v>
      </c>
      <c r="E4273" s="2" t="s">
        <v>11</v>
      </c>
      <c r="F4273" s="2" t="s">
        <v>18</v>
      </c>
      <c r="G4273" s="2" t="s">
        <v>19</v>
      </c>
      <c r="H4273" s="2" t="s">
        <v>3565</v>
      </c>
      <c r="I4273" s="2" t="s">
        <v>4769</v>
      </c>
    </row>
    <row r="4274" spans="1:9" ht="14.5" x14ac:dyDescent="0.35">
      <c r="A4274" s="2">
        <v>1436554</v>
      </c>
      <c r="B4274" s="2" t="str">
        <f>"3328141102880003"</f>
        <v>3328141102880003</v>
      </c>
      <c r="C4274" s="2" t="s">
        <v>4840</v>
      </c>
      <c r="D4274" s="2" t="s">
        <v>10</v>
      </c>
      <c r="E4274" s="2" t="s">
        <v>11</v>
      </c>
      <c r="F4274" s="2" t="s">
        <v>67</v>
      </c>
      <c r="G4274" s="2" t="s">
        <v>68</v>
      </c>
      <c r="H4274" s="2" t="s">
        <v>2817</v>
      </c>
      <c r="I4274" s="2" t="s">
        <v>317</v>
      </c>
    </row>
    <row r="4275" spans="1:9" ht="14.5" x14ac:dyDescent="0.35">
      <c r="A4275" s="2">
        <v>2558199</v>
      </c>
      <c r="B4275" s="2" t="str">
        <f>"3328141102880003"</f>
        <v>3328141102880003</v>
      </c>
      <c r="C4275" s="2" t="s">
        <v>4840</v>
      </c>
      <c r="D4275" s="2" t="s">
        <v>17</v>
      </c>
      <c r="E4275" s="2" t="s">
        <v>11</v>
      </c>
      <c r="F4275" s="2" t="s">
        <v>18</v>
      </c>
      <c r="G4275" s="2" t="s">
        <v>19</v>
      </c>
      <c r="H4275" s="2" t="s">
        <v>3565</v>
      </c>
      <c r="I4275" s="2" t="s">
        <v>4765</v>
      </c>
    </row>
    <row r="4276" spans="1:9" ht="14.5" x14ac:dyDescent="0.35">
      <c r="A4276" s="2">
        <v>1919933</v>
      </c>
      <c r="B4276" s="2" t="str">
        <f>"3328141106780003"</f>
        <v>3328141106780003</v>
      </c>
      <c r="C4276" s="2" t="s">
        <v>4841</v>
      </c>
      <c r="D4276" s="2" t="s">
        <v>10</v>
      </c>
      <c r="E4276" s="2" t="s">
        <v>11</v>
      </c>
      <c r="F4276" s="2" t="s">
        <v>18</v>
      </c>
      <c r="G4276" s="2" t="s">
        <v>19</v>
      </c>
      <c r="H4276" s="2" t="s">
        <v>3565</v>
      </c>
      <c r="I4276" s="2" t="s">
        <v>4765</v>
      </c>
    </row>
    <row r="4277" spans="1:9" ht="14.5" x14ac:dyDescent="0.35">
      <c r="A4277" s="2">
        <v>881511</v>
      </c>
      <c r="B4277" s="2" t="str">
        <f>"3328141106780003"</f>
        <v>3328141106780003</v>
      </c>
      <c r="C4277" s="2" t="s">
        <v>4841</v>
      </c>
      <c r="D4277" s="2" t="s">
        <v>17</v>
      </c>
      <c r="E4277" s="2" t="s">
        <v>11</v>
      </c>
      <c r="F4277" s="2" t="s">
        <v>18</v>
      </c>
      <c r="G4277" s="2" t="s">
        <v>1522</v>
      </c>
      <c r="H4277" s="2" t="s">
        <v>4842</v>
      </c>
      <c r="I4277" s="2" t="s">
        <v>2066</v>
      </c>
    </row>
    <row r="4278" spans="1:9" ht="14.5" x14ac:dyDescent="0.35">
      <c r="A4278" s="2">
        <v>2503824</v>
      </c>
      <c r="B4278" s="2" t="str">
        <f>"3328141302950006"</f>
        <v>3328141302950006</v>
      </c>
      <c r="C4278" s="2" t="s">
        <v>4843</v>
      </c>
      <c r="D4278" s="2" t="s">
        <v>10</v>
      </c>
      <c r="E4278" s="2" t="s">
        <v>11</v>
      </c>
      <c r="F4278" s="2" t="s">
        <v>67</v>
      </c>
      <c r="G4278" s="2" t="s">
        <v>375</v>
      </c>
      <c r="H4278" s="2" t="s">
        <v>4411</v>
      </c>
      <c r="I4278" s="2" t="s">
        <v>4844</v>
      </c>
    </row>
    <row r="4279" spans="1:9" ht="14.5" x14ac:dyDescent="0.35">
      <c r="A4279" s="2">
        <v>2558402</v>
      </c>
      <c r="B4279" s="2" t="str">
        <f>"3328141302950006"</f>
        <v>3328141302950006</v>
      </c>
      <c r="C4279" s="2" t="s">
        <v>4843</v>
      </c>
      <c r="D4279" s="2" t="s">
        <v>17</v>
      </c>
      <c r="E4279" s="2" t="s">
        <v>11</v>
      </c>
      <c r="F4279" s="2" t="s">
        <v>18</v>
      </c>
      <c r="G4279" s="2" t="s">
        <v>19</v>
      </c>
      <c r="H4279" s="2" t="s">
        <v>3565</v>
      </c>
      <c r="I4279" s="2" t="s">
        <v>4708</v>
      </c>
    </row>
    <row r="4280" spans="1:9" ht="14.5" x14ac:dyDescent="0.35">
      <c r="A4280" s="2">
        <v>866971</v>
      </c>
      <c r="B4280" s="2" t="str">
        <f>"3328141402940001"</f>
        <v>3328141402940001</v>
      </c>
      <c r="C4280" s="2" t="s">
        <v>4845</v>
      </c>
      <c r="D4280" s="2" t="s">
        <v>10</v>
      </c>
      <c r="E4280" s="2" t="s">
        <v>11</v>
      </c>
      <c r="F4280" s="2" t="s">
        <v>50</v>
      </c>
      <c r="G4280" s="2" t="s">
        <v>72</v>
      </c>
      <c r="H4280" s="2" t="s">
        <v>73</v>
      </c>
      <c r="I4280" s="2" t="s">
        <v>800</v>
      </c>
    </row>
    <row r="4281" spans="1:9" ht="14.5" x14ac:dyDescent="0.35">
      <c r="A4281" s="2">
        <v>1874759</v>
      </c>
      <c r="B4281" s="2" t="str">
        <f>"3328141402940001"</f>
        <v>3328141402940001</v>
      </c>
      <c r="C4281" s="2" t="s">
        <v>4845</v>
      </c>
      <c r="D4281" s="2" t="s">
        <v>189</v>
      </c>
      <c r="E4281" s="2" t="s">
        <v>11</v>
      </c>
      <c r="F4281" s="2" t="s">
        <v>18</v>
      </c>
      <c r="G4281" s="2" t="s">
        <v>19</v>
      </c>
      <c r="H4281" s="2" t="s">
        <v>3565</v>
      </c>
      <c r="I4281" s="2" t="s">
        <v>4752</v>
      </c>
    </row>
    <row r="4282" spans="1:9" ht="14.5" x14ac:dyDescent="0.35">
      <c r="A4282" s="2">
        <v>1315754</v>
      </c>
      <c r="B4282" s="2" t="str">
        <f>"3328141405750004"</f>
        <v>3328141405750004</v>
      </c>
      <c r="C4282" s="2" t="s">
        <v>4846</v>
      </c>
      <c r="D4282" s="2" t="s">
        <v>10</v>
      </c>
      <c r="E4282" s="2" t="s">
        <v>11</v>
      </c>
      <c r="F4282" s="2" t="s">
        <v>50</v>
      </c>
      <c r="G4282" s="2" t="s">
        <v>86</v>
      </c>
      <c r="H4282" s="2" t="s">
        <v>1268</v>
      </c>
      <c r="I4282" s="2" t="s">
        <v>2203</v>
      </c>
    </row>
    <row r="4283" spans="1:9" ht="14.5" x14ac:dyDescent="0.35">
      <c r="A4283" s="2">
        <v>2559047</v>
      </c>
      <c r="B4283" s="2" t="str">
        <f>"3328141405750004"</f>
        <v>3328141405750004</v>
      </c>
      <c r="C4283" s="2" t="s">
        <v>4846</v>
      </c>
      <c r="D4283" s="2" t="s">
        <v>17</v>
      </c>
      <c r="E4283" s="2" t="s">
        <v>11</v>
      </c>
      <c r="F4283" s="2" t="s">
        <v>18</v>
      </c>
      <c r="G4283" s="2" t="s">
        <v>19</v>
      </c>
      <c r="H4283" s="2" t="s">
        <v>3565</v>
      </c>
      <c r="I4283" s="2" t="s">
        <v>4719</v>
      </c>
    </row>
    <row r="4284" spans="1:9" ht="14.5" x14ac:dyDescent="0.35">
      <c r="A4284" s="2">
        <v>1663455</v>
      </c>
      <c r="B4284" s="2" t="str">
        <f>"3328141409050004"</f>
        <v>3328141409050004</v>
      </c>
      <c r="C4284" s="2" t="s">
        <v>4847</v>
      </c>
      <c r="D4284" s="2" t="s">
        <v>189</v>
      </c>
      <c r="E4284" s="2" t="s">
        <v>11</v>
      </c>
      <c r="F4284" s="2" t="s">
        <v>18</v>
      </c>
      <c r="G4284" s="2" t="s">
        <v>19</v>
      </c>
      <c r="H4284" s="2" t="s">
        <v>3565</v>
      </c>
      <c r="I4284" s="2" t="s">
        <v>4708</v>
      </c>
    </row>
    <row r="4285" spans="1:9" ht="14.5" x14ac:dyDescent="0.35">
      <c r="A4285" s="2">
        <v>1350434</v>
      </c>
      <c r="B4285" s="2" t="str">
        <f>"3328141409050004"</f>
        <v>3328141409050004</v>
      </c>
      <c r="C4285" s="2" t="s">
        <v>4848</v>
      </c>
      <c r="D4285" s="2" t="s">
        <v>10</v>
      </c>
      <c r="E4285" s="2" t="s">
        <v>57</v>
      </c>
      <c r="F4285" s="2" t="s">
        <v>303</v>
      </c>
      <c r="G4285" s="2" t="s">
        <v>608</v>
      </c>
      <c r="H4285" s="2" t="s">
        <v>609</v>
      </c>
      <c r="I4285" s="2" t="s">
        <v>610</v>
      </c>
    </row>
    <row r="4286" spans="1:9" ht="14.5" x14ac:dyDescent="0.35">
      <c r="A4286" s="2">
        <v>154079</v>
      </c>
      <c r="B4286" s="2" t="str">
        <f>"3328141507560001"</f>
        <v>3328141507560001</v>
      </c>
      <c r="C4286" s="2" t="s">
        <v>4849</v>
      </c>
      <c r="D4286" s="2" t="s">
        <v>10</v>
      </c>
      <c r="E4286" s="2" t="s">
        <v>11</v>
      </c>
      <c r="F4286" s="2" t="s">
        <v>50</v>
      </c>
      <c r="G4286" s="2" t="s">
        <v>86</v>
      </c>
      <c r="H4286" s="2" t="s">
        <v>205</v>
      </c>
      <c r="I4286" s="2" t="s">
        <v>1952</v>
      </c>
    </row>
    <row r="4287" spans="1:9" ht="14.5" x14ac:dyDescent="0.35">
      <c r="A4287" s="2">
        <v>2558272</v>
      </c>
      <c r="B4287" s="2" t="str">
        <f>"3328141507560001"</f>
        <v>3328141507560001</v>
      </c>
      <c r="C4287" s="2" t="s">
        <v>4849</v>
      </c>
      <c r="D4287" s="2" t="s">
        <v>17</v>
      </c>
      <c r="E4287" s="2" t="s">
        <v>11</v>
      </c>
      <c r="F4287" s="2" t="s">
        <v>18</v>
      </c>
      <c r="G4287" s="2" t="s">
        <v>19</v>
      </c>
      <c r="H4287" s="2" t="s">
        <v>3565</v>
      </c>
      <c r="I4287" s="2" t="s">
        <v>4714</v>
      </c>
    </row>
    <row r="4288" spans="1:9" ht="14.5" x14ac:dyDescent="0.35">
      <c r="A4288" s="2">
        <v>1233670</v>
      </c>
      <c r="B4288" s="2" t="str">
        <f>"3328141508720001"</f>
        <v>3328141508720001</v>
      </c>
      <c r="C4288" s="2" t="s">
        <v>4850</v>
      </c>
      <c r="D4288" s="2" t="s">
        <v>10</v>
      </c>
      <c r="E4288" s="2" t="s">
        <v>11</v>
      </c>
      <c r="F4288" s="2" t="s">
        <v>18</v>
      </c>
      <c r="G4288" s="2" t="s">
        <v>264</v>
      </c>
      <c r="H4288" s="2" t="s">
        <v>248</v>
      </c>
      <c r="I4288" s="2" t="s">
        <v>868</v>
      </c>
    </row>
    <row r="4289" spans="1:9" ht="14.5" x14ac:dyDescent="0.35">
      <c r="A4289" s="2">
        <v>2571655</v>
      </c>
      <c r="B4289" s="2" t="str">
        <f>"3328141508720001"</f>
        <v>3328141508720001</v>
      </c>
      <c r="C4289" s="2" t="s">
        <v>4850</v>
      </c>
      <c r="D4289" s="2" t="s">
        <v>17</v>
      </c>
      <c r="E4289" s="2" t="s">
        <v>11</v>
      </c>
      <c r="F4289" s="2" t="s">
        <v>18</v>
      </c>
      <c r="G4289" s="2" t="s">
        <v>19</v>
      </c>
      <c r="H4289" s="2" t="s">
        <v>3565</v>
      </c>
      <c r="I4289" s="2" t="s">
        <v>678</v>
      </c>
    </row>
    <row r="4290" spans="1:9" ht="14.5" x14ac:dyDescent="0.35">
      <c r="A4290" s="2">
        <v>1874141</v>
      </c>
      <c r="B4290" s="2" t="str">
        <f>"3328141510850004"</f>
        <v>3328141510850004</v>
      </c>
      <c r="C4290" s="2" t="s">
        <v>4851</v>
      </c>
      <c r="D4290" s="2" t="s">
        <v>10</v>
      </c>
      <c r="E4290" s="2" t="s">
        <v>11</v>
      </c>
      <c r="F4290" s="2" t="s">
        <v>18</v>
      </c>
      <c r="G4290" s="2" t="s">
        <v>19</v>
      </c>
      <c r="H4290" s="2" t="s">
        <v>3565</v>
      </c>
      <c r="I4290" s="2" t="s">
        <v>4752</v>
      </c>
    </row>
    <row r="4291" spans="1:9" ht="14.5" x14ac:dyDescent="0.35">
      <c r="A4291" s="2">
        <v>1551528</v>
      </c>
      <c r="B4291" s="2" t="str">
        <f>"3328141510850004"</f>
        <v>3328141510850004</v>
      </c>
      <c r="C4291" s="2" t="s">
        <v>4851</v>
      </c>
      <c r="D4291" s="2" t="s">
        <v>17</v>
      </c>
      <c r="E4291" s="2" t="s">
        <v>11</v>
      </c>
      <c r="F4291" s="2" t="s">
        <v>18</v>
      </c>
      <c r="G4291" s="2" t="s">
        <v>195</v>
      </c>
      <c r="H4291" s="2" t="s">
        <v>307</v>
      </c>
      <c r="I4291" s="2" t="s">
        <v>307</v>
      </c>
    </row>
    <row r="4292" spans="1:9" ht="14.5" x14ac:dyDescent="0.35">
      <c r="A4292" s="2">
        <v>1800999</v>
      </c>
      <c r="B4292" s="2" t="str">
        <f>"3328141512990001"</f>
        <v>3328141512990001</v>
      </c>
      <c r="C4292" s="2" t="s">
        <v>4852</v>
      </c>
      <c r="D4292" s="2" t="s">
        <v>10</v>
      </c>
      <c r="E4292" s="2" t="s">
        <v>11</v>
      </c>
      <c r="F4292" s="2" t="s">
        <v>18</v>
      </c>
      <c r="G4292" s="2" t="s">
        <v>19</v>
      </c>
      <c r="H4292" s="2" t="s">
        <v>3565</v>
      </c>
      <c r="I4292" s="2" t="s">
        <v>4703</v>
      </c>
    </row>
    <row r="4293" spans="1:9" ht="14.5" x14ac:dyDescent="0.35">
      <c r="A4293" s="2">
        <v>252397</v>
      </c>
      <c r="B4293" s="2" t="str">
        <f>"3328141512990001"</f>
        <v>3328141512990001</v>
      </c>
      <c r="C4293" s="2" t="s">
        <v>4852</v>
      </c>
      <c r="D4293" s="2" t="s">
        <v>10</v>
      </c>
      <c r="E4293" s="2" t="s">
        <v>57</v>
      </c>
      <c r="F4293" s="2" t="s">
        <v>521</v>
      </c>
      <c r="G4293" s="2" t="s">
        <v>657</v>
      </c>
      <c r="H4293" s="2" t="s">
        <v>658</v>
      </c>
      <c r="I4293" s="2" t="s">
        <v>3357</v>
      </c>
    </row>
    <row r="4294" spans="1:9" ht="14.5" x14ac:dyDescent="0.35">
      <c r="A4294" s="2">
        <v>141845</v>
      </c>
      <c r="B4294" s="2" t="str">
        <f>"3328142402710002"</f>
        <v>3328142402710002</v>
      </c>
      <c r="C4294" s="2" t="s">
        <v>4853</v>
      </c>
      <c r="D4294" s="2" t="s">
        <v>10</v>
      </c>
      <c r="E4294" s="2" t="s">
        <v>11</v>
      </c>
      <c r="F4294" s="2" t="s">
        <v>50</v>
      </c>
      <c r="G4294" s="2" t="s">
        <v>72</v>
      </c>
      <c r="H4294" s="2" t="s">
        <v>1840</v>
      </c>
      <c r="I4294" s="2" t="s">
        <v>3787</v>
      </c>
    </row>
    <row r="4295" spans="1:9" ht="14.5" x14ac:dyDescent="0.35">
      <c r="A4295" s="2">
        <v>2571970</v>
      </c>
      <c r="B4295" s="2" t="str">
        <f>"3328142402710002"</f>
        <v>3328142402710002</v>
      </c>
      <c r="C4295" s="2" t="s">
        <v>4853</v>
      </c>
      <c r="D4295" s="2" t="s">
        <v>17</v>
      </c>
      <c r="E4295" s="2" t="s">
        <v>11</v>
      </c>
      <c r="F4295" s="2" t="s">
        <v>18</v>
      </c>
      <c r="G4295" s="2" t="s">
        <v>19</v>
      </c>
      <c r="H4295" s="2" t="s">
        <v>3565</v>
      </c>
      <c r="I4295" s="2" t="s">
        <v>4156</v>
      </c>
    </row>
    <row r="4296" spans="1:9" ht="14.5" x14ac:dyDescent="0.35">
      <c r="A4296" s="2">
        <v>1794040</v>
      </c>
      <c r="B4296" s="2" t="str">
        <f>"3328142503980007"</f>
        <v>3328142503980007</v>
      </c>
      <c r="C4296" s="2" t="s">
        <v>4854</v>
      </c>
      <c r="D4296" s="2" t="s">
        <v>189</v>
      </c>
      <c r="E4296" s="2" t="s">
        <v>11</v>
      </c>
      <c r="F4296" s="2" t="s">
        <v>18</v>
      </c>
      <c r="G4296" s="2" t="s">
        <v>19</v>
      </c>
      <c r="H4296" s="2" t="s">
        <v>3565</v>
      </c>
      <c r="I4296" s="2" t="s">
        <v>4769</v>
      </c>
    </row>
    <row r="4297" spans="1:9" ht="14.5" x14ac:dyDescent="0.35">
      <c r="A4297" s="2">
        <v>2613995</v>
      </c>
      <c r="B4297" s="2" t="str">
        <f>"3328142503980007"</f>
        <v>3328142503980007</v>
      </c>
      <c r="C4297" s="2" t="s">
        <v>4855</v>
      </c>
      <c r="D4297" s="2" t="s">
        <v>10</v>
      </c>
      <c r="E4297" s="2" t="s">
        <v>57</v>
      </c>
      <c r="F4297" s="2" t="s">
        <v>18</v>
      </c>
      <c r="G4297" s="2" t="s">
        <v>1438</v>
      </c>
      <c r="H4297" s="2" t="s">
        <v>3511</v>
      </c>
      <c r="I4297" s="2" t="s">
        <v>3086</v>
      </c>
    </row>
    <row r="4298" spans="1:9" ht="14.5" x14ac:dyDescent="0.35">
      <c r="A4298" s="2">
        <v>1313076</v>
      </c>
      <c r="B4298" s="2" t="str">
        <f>"3328142705950004"</f>
        <v>3328142705950004</v>
      </c>
      <c r="C4298" s="2" t="s">
        <v>4856</v>
      </c>
      <c r="D4298" s="2" t="s">
        <v>10</v>
      </c>
      <c r="E4298" s="2" t="s">
        <v>11</v>
      </c>
      <c r="F4298" s="2" t="s">
        <v>50</v>
      </c>
      <c r="G4298" s="2" t="s">
        <v>51</v>
      </c>
      <c r="H4298" s="2" t="s">
        <v>284</v>
      </c>
      <c r="I4298" s="2" t="s">
        <v>285</v>
      </c>
    </row>
    <row r="4299" spans="1:9" ht="14.5" x14ac:dyDescent="0.35">
      <c r="A4299" s="2">
        <v>2571787</v>
      </c>
      <c r="B4299" s="2" t="str">
        <f>"3328142705950004"</f>
        <v>3328142705950004</v>
      </c>
      <c r="C4299" s="2" t="s">
        <v>4857</v>
      </c>
      <c r="D4299" s="2" t="s">
        <v>17</v>
      </c>
      <c r="E4299" s="2" t="s">
        <v>11</v>
      </c>
      <c r="F4299" s="2" t="s">
        <v>18</v>
      </c>
      <c r="G4299" s="2" t="s">
        <v>19</v>
      </c>
      <c r="H4299" s="2" t="s">
        <v>3565</v>
      </c>
      <c r="I4299" s="2" t="s">
        <v>4858</v>
      </c>
    </row>
    <row r="4300" spans="1:9" ht="14.5" x14ac:dyDescent="0.35">
      <c r="A4300" s="2">
        <v>1055567</v>
      </c>
      <c r="B4300" s="2" t="str">
        <f>"3328142811000003"</f>
        <v>3328142811000003</v>
      </c>
      <c r="C4300" s="2" t="s">
        <v>4859</v>
      </c>
      <c r="D4300" s="2" t="s">
        <v>10</v>
      </c>
      <c r="E4300" s="2" t="s">
        <v>11</v>
      </c>
      <c r="F4300" s="2" t="s">
        <v>91</v>
      </c>
      <c r="G4300" s="2" t="s">
        <v>320</v>
      </c>
      <c r="H4300" s="2" t="s">
        <v>409</v>
      </c>
      <c r="I4300" s="2" t="s">
        <v>4860</v>
      </c>
    </row>
    <row r="4301" spans="1:9" ht="14.5" x14ac:dyDescent="0.35">
      <c r="A4301" s="2">
        <v>2571792</v>
      </c>
      <c r="B4301" s="2" t="str">
        <f>"3328142811000003"</f>
        <v>3328142811000003</v>
      </c>
      <c r="C4301" s="2" t="s">
        <v>4859</v>
      </c>
      <c r="D4301" s="2" t="s">
        <v>17</v>
      </c>
      <c r="E4301" s="2" t="s">
        <v>11</v>
      </c>
      <c r="F4301" s="2" t="s">
        <v>18</v>
      </c>
      <c r="G4301" s="2" t="s">
        <v>19</v>
      </c>
      <c r="H4301" s="2" t="s">
        <v>3565</v>
      </c>
      <c r="I4301" s="2" t="s">
        <v>4858</v>
      </c>
    </row>
    <row r="4302" spans="1:9" ht="14.5" x14ac:dyDescent="0.35">
      <c r="A4302" s="2">
        <v>1872117</v>
      </c>
      <c r="B4302" s="2" t="str">
        <f>"3328142903950004"</f>
        <v>3328142903950004</v>
      </c>
      <c r="C4302" s="2" t="s">
        <v>4861</v>
      </c>
      <c r="D4302" s="2" t="s">
        <v>10</v>
      </c>
      <c r="E4302" s="2" t="s">
        <v>11</v>
      </c>
      <c r="F4302" s="2" t="s">
        <v>18</v>
      </c>
      <c r="G4302" s="2" t="s">
        <v>19</v>
      </c>
      <c r="H4302" s="2" t="s">
        <v>3565</v>
      </c>
      <c r="I4302" s="2" t="s">
        <v>3565</v>
      </c>
    </row>
    <row r="4303" spans="1:9" ht="14.5" x14ac:dyDescent="0.35">
      <c r="A4303" s="2">
        <v>1955043</v>
      </c>
      <c r="B4303" s="2" t="str">
        <f>"3328142903950004"</f>
        <v>3328142903950004</v>
      </c>
      <c r="C4303" s="2" t="s">
        <v>4862</v>
      </c>
      <c r="D4303" s="2" t="s">
        <v>17</v>
      </c>
      <c r="E4303" s="2" t="s">
        <v>11</v>
      </c>
      <c r="F4303" s="2" t="s">
        <v>50</v>
      </c>
      <c r="G4303" s="2" t="s">
        <v>86</v>
      </c>
      <c r="H4303" s="2" t="s">
        <v>313</v>
      </c>
      <c r="I4303" s="2" t="s">
        <v>4863</v>
      </c>
    </row>
    <row r="4304" spans="1:9" ht="14.5" x14ac:dyDescent="0.35">
      <c r="A4304" s="2">
        <v>2557952</v>
      </c>
      <c r="B4304" s="2" t="str">
        <f>"3328142911030002"</f>
        <v>3328142911030002</v>
      </c>
      <c r="C4304" s="2" t="s">
        <v>4864</v>
      </c>
      <c r="D4304" s="2" t="s">
        <v>17</v>
      </c>
      <c r="E4304" s="2" t="s">
        <v>11</v>
      </c>
      <c r="F4304" s="2" t="s">
        <v>18</v>
      </c>
      <c r="G4304" s="2" t="s">
        <v>19</v>
      </c>
      <c r="H4304" s="2" t="s">
        <v>3565</v>
      </c>
      <c r="I4304" s="2" t="s">
        <v>4748</v>
      </c>
    </row>
    <row r="4305" spans="1:9" ht="14.5" x14ac:dyDescent="0.35">
      <c r="A4305" s="2">
        <v>2084840</v>
      </c>
      <c r="B4305" s="2" t="str">
        <f>"3328142911030002"</f>
        <v>3328142911030002</v>
      </c>
      <c r="C4305" s="2" t="s">
        <v>4865</v>
      </c>
      <c r="D4305" s="2" t="s">
        <v>17</v>
      </c>
      <c r="E4305" s="2" t="s">
        <v>57</v>
      </c>
      <c r="F4305" s="2" t="s">
        <v>18</v>
      </c>
      <c r="G4305" s="2" t="s">
        <v>962</v>
      </c>
      <c r="H4305" s="2" t="s">
        <v>1046</v>
      </c>
      <c r="I4305" s="2" t="s">
        <v>1046</v>
      </c>
    </row>
    <row r="4306" spans="1:9" ht="14.5" x14ac:dyDescent="0.35">
      <c r="A4306" s="2">
        <v>146727</v>
      </c>
      <c r="B4306" s="2" t="str">
        <f>"3328143009020001"</f>
        <v>3328143009020001</v>
      </c>
      <c r="C4306" s="2" t="s">
        <v>4866</v>
      </c>
      <c r="D4306" s="2" t="s">
        <v>10</v>
      </c>
      <c r="E4306" s="2" t="s">
        <v>11</v>
      </c>
      <c r="F4306" s="2" t="s">
        <v>1959</v>
      </c>
      <c r="G4306" s="2" t="s">
        <v>4867</v>
      </c>
      <c r="H4306" s="2" t="s">
        <v>4868</v>
      </c>
      <c r="I4306" s="2" t="s">
        <v>4869</v>
      </c>
    </row>
    <row r="4307" spans="1:9" ht="14.5" x14ac:dyDescent="0.35">
      <c r="A4307" s="2">
        <v>2558152</v>
      </c>
      <c r="B4307" s="2" t="str">
        <f>"3328143009020001"</f>
        <v>3328143009020001</v>
      </c>
      <c r="C4307" s="2" t="s">
        <v>4866</v>
      </c>
      <c r="D4307" s="2" t="s">
        <v>17</v>
      </c>
      <c r="E4307" s="2" t="s">
        <v>11</v>
      </c>
      <c r="F4307" s="2" t="s">
        <v>18</v>
      </c>
      <c r="G4307" s="2" t="s">
        <v>19</v>
      </c>
      <c r="H4307" s="2" t="s">
        <v>3565</v>
      </c>
      <c r="I4307" s="2" t="s">
        <v>4765</v>
      </c>
    </row>
    <row r="4308" spans="1:9" ht="14.5" x14ac:dyDescent="0.35">
      <c r="A4308" s="2">
        <v>1350440</v>
      </c>
      <c r="B4308" s="2" t="str">
        <f>"3328143108060001"</f>
        <v>3328143108060001</v>
      </c>
      <c r="C4308" s="2" t="s">
        <v>4870</v>
      </c>
      <c r="D4308" s="2" t="s">
        <v>10</v>
      </c>
      <c r="E4308" s="2" t="s">
        <v>57</v>
      </c>
      <c r="F4308" s="2" t="s">
        <v>303</v>
      </c>
      <c r="G4308" s="2" t="s">
        <v>608</v>
      </c>
      <c r="H4308" s="2" t="s">
        <v>609</v>
      </c>
      <c r="I4308" s="2" t="s">
        <v>610</v>
      </c>
    </row>
    <row r="4309" spans="1:9" ht="14.5" x14ac:dyDescent="0.35">
      <c r="A4309" s="2">
        <v>1926834</v>
      </c>
      <c r="B4309" s="2" t="str">
        <f>"3328143108060001"</f>
        <v>3328143108060001</v>
      </c>
      <c r="C4309" s="2" t="s">
        <v>4871</v>
      </c>
      <c r="D4309" s="2" t="s">
        <v>189</v>
      </c>
      <c r="E4309" s="2" t="s">
        <v>11</v>
      </c>
      <c r="F4309" s="2" t="s">
        <v>18</v>
      </c>
      <c r="G4309" s="2" t="s">
        <v>19</v>
      </c>
      <c r="H4309" s="2" t="s">
        <v>3565</v>
      </c>
      <c r="I4309" s="2" t="s">
        <v>678</v>
      </c>
    </row>
    <row r="4310" spans="1:9" ht="14.5" x14ac:dyDescent="0.35">
      <c r="A4310" s="2">
        <v>1127991</v>
      </c>
      <c r="B4310" s="2" t="str">
        <f>"3328144102870002"</f>
        <v>3328144102870002</v>
      </c>
      <c r="C4310" s="2" t="s">
        <v>4872</v>
      </c>
      <c r="D4310" s="2" t="s">
        <v>10</v>
      </c>
      <c r="E4310" s="2" t="s">
        <v>11</v>
      </c>
      <c r="F4310" s="2" t="s">
        <v>91</v>
      </c>
      <c r="G4310" s="2" t="s">
        <v>159</v>
      </c>
      <c r="H4310" s="2" t="s">
        <v>1828</v>
      </c>
      <c r="I4310" s="2" t="s">
        <v>3289</v>
      </c>
    </row>
    <row r="4311" spans="1:9" ht="14.5" x14ac:dyDescent="0.35">
      <c r="A4311" s="2">
        <v>2558579</v>
      </c>
      <c r="B4311" s="2" t="str">
        <f>"3328144102870002"</f>
        <v>3328144102870002</v>
      </c>
      <c r="C4311" s="2" t="s">
        <v>4873</v>
      </c>
      <c r="D4311" s="2" t="s">
        <v>17</v>
      </c>
      <c r="E4311" s="2" t="s">
        <v>11</v>
      </c>
      <c r="F4311" s="2" t="s">
        <v>18</v>
      </c>
      <c r="G4311" s="2" t="s">
        <v>19</v>
      </c>
      <c r="H4311" s="2" t="s">
        <v>3565</v>
      </c>
      <c r="I4311" s="2" t="s">
        <v>4697</v>
      </c>
    </row>
    <row r="4312" spans="1:9" ht="14.5" x14ac:dyDescent="0.35">
      <c r="A4312" s="2">
        <v>67770</v>
      </c>
      <c r="B4312" s="2" t="str">
        <f>"3328144104790003"</f>
        <v>3328144104790003</v>
      </c>
      <c r="C4312" s="2" t="s">
        <v>4874</v>
      </c>
      <c r="D4312" s="2" t="s">
        <v>10</v>
      </c>
      <c r="E4312" s="2" t="s">
        <v>11</v>
      </c>
      <c r="F4312" s="2" t="s">
        <v>91</v>
      </c>
      <c r="G4312" s="2" t="s">
        <v>159</v>
      </c>
      <c r="H4312" s="2" t="s">
        <v>1828</v>
      </c>
      <c r="I4312" s="2" t="s">
        <v>3707</v>
      </c>
    </row>
    <row r="4313" spans="1:9" ht="14.5" x14ac:dyDescent="0.35">
      <c r="A4313" s="2">
        <v>2558219</v>
      </c>
      <c r="B4313" s="2" t="str">
        <f>"3328144104790003"</f>
        <v>3328144104790003</v>
      </c>
      <c r="C4313" s="2" t="s">
        <v>4875</v>
      </c>
      <c r="D4313" s="2" t="s">
        <v>17</v>
      </c>
      <c r="E4313" s="2" t="s">
        <v>11</v>
      </c>
      <c r="F4313" s="2" t="s">
        <v>18</v>
      </c>
      <c r="G4313" s="2" t="s">
        <v>19</v>
      </c>
      <c r="H4313" s="2" t="s">
        <v>3565</v>
      </c>
      <c r="I4313" s="2" t="s">
        <v>4714</v>
      </c>
    </row>
    <row r="4314" spans="1:9" ht="14.5" x14ac:dyDescent="0.35">
      <c r="A4314" s="2">
        <v>600831</v>
      </c>
      <c r="B4314" s="2" t="str">
        <f>"3328144110060006"</f>
        <v>3328144110060006</v>
      </c>
      <c r="C4314" s="2" t="s">
        <v>4876</v>
      </c>
      <c r="D4314" s="2" t="s">
        <v>10</v>
      </c>
      <c r="E4314" s="2" t="s">
        <v>11</v>
      </c>
      <c r="F4314" s="2" t="s">
        <v>303</v>
      </c>
      <c r="G4314" s="2" t="s">
        <v>2791</v>
      </c>
      <c r="H4314" s="2" t="s">
        <v>2791</v>
      </c>
      <c r="I4314" s="2" t="s">
        <v>4877</v>
      </c>
    </row>
    <row r="4315" spans="1:9" ht="14.5" x14ac:dyDescent="0.35">
      <c r="A4315" s="2">
        <v>2558490</v>
      </c>
      <c r="B4315" s="2" t="str">
        <f>"3328144110060006"</f>
        <v>3328144110060006</v>
      </c>
      <c r="C4315" s="2" t="s">
        <v>4876</v>
      </c>
      <c r="D4315" s="2" t="s">
        <v>17</v>
      </c>
      <c r="E4315" s="2" t="s">
        <v>11</v>
      </c>
      <c r="F4315" s="2" t="s">
        <v>18</v>
      </c>
      <c r="G4315" s="2" t="s">
        <v>19</v>
      </c>
      <c r="H4315" s="2" t="s">
        <v>3565</v>
      </c>
      <c r="I4315" s="2" t="s">
        <v>4775</v>
      </c>
    </row>
    <row r="4316" spans="1:9" ht="14.5" x14ac:dyDescent="0.35">
      <c r="A4316" s="2">
        <v>1919934</v>
      </c>
      <c r="B4316" s="2" t="str">
        <f>"3328144112780001"</f>
        <v>3328144112780001</v>
      </c>
      <c r="C4316" s="2" t="s">
        <v>4878</v>
      </c>
      <c r="D4316" s="2" t="s">
        <v>10</v>
      </c>
      <c r="E4316" s="2" t="s">
        <v>11</v>
      </c>
      <c r="F4316" s="2" t="s">
        <v>18</v>
      </c>
      <c r="G4316" s="2" t="s">
        <v>19</v>
      </c>
      <c r="H4316" s="2" t="s">
        <v>3565</v>
      </c>
      <c r="I4316" s="2" t="s">
        <v>4765</v>
      </c>
    </row>
    <row r="4317" spans="1:9" ht="14.5" x14ac:dyDescent="0.35">
      <c r="A4317" s="2">
        <v>881512</v>
      </c>
      <c r="B4317" s="2" t="str">
        <f>"3328144112780001"</f>
        <v>3328144112780001</v>
      </c>
      <c r="C4317" s="2" t="s">
        <v>4878</v>
      </c>
      <c r="D4317" s="2" t="s">
        <v>17</v>
      </c>
      <c r="E4317" s="2" t="s">
        <v>11</v>
      </c>
      <c r="F4317" s="2" t="s">
        <v>18</v>
      </c>
      <c r="G4317" s="2" t="s">
        <v>1522</v>
      </c>
      <c r="H4317" s="2" t="s">
        <v>4842</v>
      </c>
      <c r="I4317" s="2" t="s">
        <v>2066</v>
      </c>
    </row>
    <row r="4318" spans="1:9" ht="14.5" x14ac:dyDescent="0.35">
      <c r="A4318" s="2">
        <v>1946845</v>
      </c>
      <c r="B4318" s="2" t="str">
        <f>"3328144212640003"</f>
        <v>3328144212640003</v>
      </c>
      <c r="C4318" s="2" t="s">
        <v>4879</v>
      </c>
      <c r="D4318" s="2" t="s">
        <v>10</v>
      </c>
      <c r="E4318" s="2" t="s">
        <v>11</v>
      </c>
      <c r="F4318" s="2" t="s">
        <v>18</v>
      </c>
      <c r="G4318" s="2" t="s">
        <v>19</v>
      </c>
      <c r="H4318" s="2" t="s">
        <v>3565</v>
      </c>
      <c r="I4318" s="2" t="s">
        <v>4748</v>
      </c>
    </row>
    <row r="4319" spans="1:9" ht="14.5" x14ac:dyDescent="0.35">
      <c r="A4319" s="2">
        <v>1639781</v>
      </c>
      <c r="B4319" s="2" t="str">
        <f>"3328144212640003"</f>
        <v>3328144212640003</v>
      </c>
      <c r="C4319" s="2" t="s">
        <v>4880</v>
      </c>
      <c r="D4319" s="2" t="s">
        <v>17</v>
      </c>
      <c r="E4319" s="2" t="s">
        <v>11</v>
      </c>
      <c r="F4319" s="2" t="s">
        <v>18</v>
      </c>
      <c r="G4319" s="2" t="s">
        <v>264</v>
      </c>
      <c r="H4319" s="2" t="s">
        <v>477</v>
      </c>
      <c r="I4319" s="2" t="s">
        <v>478</v>
      </c>
    </row>
    <row r="4320" spans="1:9" ht="14.5" x14ac:dyDescent="0.35">
      <c r="A4320" s="2">
        <v>1169431</v>
      </c>
      <c r="B4320" s="2" t="str">
        <f>"3328144401880002"</f>
        <v>3328144401880002</v>
      </c>
      <c r="C4320" s="2" t="s">
        <v>4881</v>
      </c>
      <c r="D4320" s="2" t="s">
        <v>10</v>
      </c>
      <c r="E4320" s="2" t="s">
        <v>11</v>
      </c>
      <c r="F4320" s="2" t="s">
        <v>303</v>
      </c>
      <c r="G4320" s="2" t="s">
        <v>304</v>
      </c>
      <c r="H4320" s="2" t="s">
        <v>505</v>
      </c>
      <c r="I4320" s="2" t="s">
        <v>506</v>
      </c>
    </row>
    <row r="4321" spans="1:9" ht="14.5" x14ac:dyDescent="0.35">
      <c r="A4321" s="2">
        <v>2571989</v>
      </c>
      <c r="B4321" s="2" t="str">
        <f>"3328144401880002"</f>
        <v>3328144401880002</v>
      </c>
      <c r="C4321" s="2" t="s">
        <v>4881</v>
      </c>
      <c r="D4321" s="2" t="s">
        <v>17</v>
      </c>
      <c r="E4321" s="2" t="s">
        <v>11</v>
      </c>
      <c r="F4321" s="2" t="s">
        <v>18</v>
      </c>
      <c r="G4321" s="2" t="s">
        <v>19</v>
      </c>
      <c r="H4321" s="2" t="s">
        <v>3565</v>
      </c>
      <c r="I4321" s="2" t="s">
        <v>4156</v>
      </c>
    </row>
    <row r="4322" spans="1:9" ht="14.5" x14ac:dyDescent="0.35">
      <c r="A4322" s="2">
        <v>250255</v>
      </c>
      <c r="B4322" s="2" t="str">
        <f>"3328144403050004"</f>
        <v>3328144403050004</v>
      </c>
      <c r="C4322" s="2" t="s">
        <v>4882</v>
      </c>
      <c r="D4322" s="2" t="s">
        <v>10</v>
      </c>
      <c r="E4322" s="2" t="s">
        <v>11</v>
      </c>
      <c r="F4322" s="2" t="s">
        <v>18</v>
      </c>
      <c r="G4322" s="2" t="s">
        <v>268</v>
      </c>
      <c r="H4322" s="2" t="s">
        <v>371</v>
      </c>
      <c r="I4322" s="2" t="s">
        <v>497</v>
      </c>
    </row>
    <row r="4323" spans="1:9" ht="14.5" x14ac:dyDescent="0.35">
      <c r="A4323" s="2">
        <v>2571658</v>
      </c>
      <c r="B4323" s="2" t="str">
        <f>"3328144403050004"</f>
        <v>3328144403050004</v>
      </c>
      <c r="C4323" s="2" t="s">
        <v>4883</v>
      </c>
      <c r="D4323" s="2" t="s">
        <v>17</v>
      </c>
      <c r="E4323" s="2" t="s">
        <v>11</v>
      </c>
      <c r="F4323" s="2" t="s">
        <v>18</v>
      </c>
      <c r="G4323" s="2" t="s">
        <v>19</v>
      </c>
      <c r="H4323" s="2" t="s">
        <v>3565</v>
      </c>
      <c r="I4323" s="2" t="s">
        <v>678</v>
      </c>
    </row>
    <row r="4324" spans="1:9" ht="14.5" x14ac:dyDescent="0.35">
      <c r="A4324" s="2">
        <v>1750051</v>
      </c>
      <c r="B4324" s="2" t="str">
        <f>"3328144411950003"</f>
        <v>3328144411950003</v>
      </c>
      <c r="C4324" s="2" t="s">
        <v>4884</v>
      </c>
      <c r="D4324" s="2" t="s">
        <v>10</v>
      </c>
      <c r="E4324" s="2" t="s">
        <v>11</v>
      </c>
      <c r="F4324" s="2" t="s">
        <v>50</v>
      </c>
      <c r="G4324" s="2" t="s">
        <v>86</v>
      </c>
      <c r="H4324" s="2" t="s">
        <v>445</v>
      </c>
      <c r="I4324" s="2" t="s">
        <v>446</v>
      </c>
    </row>
    <row r="4325" spans="1:9" ht="14.5" x14ac:dyDescent="0.35">
      <c r="A4325" s="2">
        <v>2558796</v>
      </c>
      <c r="B4325" s="2" t="str">
        <f>"3328144411950003"</f>
        <v>3328144411950003</v>
      </c>
      <c r="C4325" s="2" t="s">
        <v>4884</v>
      </c>
      <c r="D4325" s="2" t="s">
        <v>17</v>
      </c>
      <c r="E4325" s="2" t="s">
        <v>11</v>
      </c>
      <c r="F4325" s="2" t="s">
        <v>18</v>
      </c>
      <c r="G4325" s="2" t="s">
        <v>19</v>
      </c>
      <c r="H4325" s="2" t="s">
        <v>3565</v>
      </c>
      <c r="I4325" s="2" t="s">
        <v>3565</v>
      </c>
    </row>
    <row r="4326" spans="1:9" ht="14.5" x14ac:dyDescent="0.35">
      <c r="A4326" s="2">
        <v>1664709</v>
      </c>
      <c r="B4326" s="2" t="str">
        <f>"3328144606920004"</f>
        <v>3328144606920004</v>
      </c>
      <c r="C4326" s="2" t="s">
        <v>4885</v>
      </c>
      <c r="D4326" s="2" t="s">
        <v>10</v>
      </c>
      <c r="E4326" s="2" t="s">
        <v>11</v>
      </c>
      <c r="F4326" s="2" t="s">
        <v>18</v>
      </c>
      <c r="G4326" s="2" t="s">
        <v>19</v>
      </c>
      <c r="H4326" s="2" t="s">
        <v>3565</v>
      </c>
      <c r="I4326" s="2" t="s">
        <v>4708</v>
      </c>
    </row>
    <row r="4327" spans="1:9" ht="14.5" x14ac:dyDescent="0.35">
      <c r="A4327" s="2">
        <v>2425699</v>
      </c>
      <c r="B4327" s="2" t="str">
        <f>"3328144606920004"</f>
        <v>3328144606920004</v>
      </c>
      <c r="C4327" s="2" t="s">
        <v>4885</v>
      </c>
      <c r="D4327" s="2" t="s">
        <v>17</v>
      </c>
      <c r="E4327" s="2" t="s">
        <v>11</v>
      </c>
      <c r="F4327" s="2" t="s">
        <v>50</v>
      </c>
      <c r="G4327" s="2" t="s">
        <v>58</v>
      </c>
      <c r="H4327" s="2" t="s">
        <v>406</v>
      </c>
      <c r="I4327" s="2" t="s">
        <v>545</v>
      </c>
    </row>
    <row r="4328" spans="1:9" ht="14.5" x14ac:dyDescent="0.35">
      <c r="A4328" s="2">
        <v>1116585</v>
      </c>
      <c r="B4328" s="2" t="str">
        <f>"3328144709990003"</f>
        <v>3328144709990003</v>
      </c>
      <c r="C4328" s="2" t="s">
        <v>4886</v>
      </c>
      <c r="D4328" s="2" t="s">
        <v>10</v>
      </c>
      <c r="E4328" s="2" t="s">
        <v>11</v>
      </c>
      <c r="F4328" s="2" t="s">
        <v>67</v>
      </c>
      <c r="G4328" s="2" t="s">
        <v>68</v>
      </c>
      <c r="H4328" s="2" t="s">
        <v>4887</v>
      </c>
      <c r="I4328" s="2" t="s">
        <v>4888</v>
      </c>
    </row>
    <row r="4329" spans="1:9" ht="14.5" x14ac:dyDescent="0.35">
      <c r="A4329" s="2">
        <v>2559009</v>
      </c>
      <c r="B4329" s="2" t="str">
        <f>"3328144709990003"</f>
        <v>3328144709990003</v>
      </c>
      <c r="C4329" s="2" t="s">
        <v>4886</v>
      </c>
      <c r="D4329" s="2" t="s">
        <v>17</v>
      </c>
      <c r="E4329" s="2" t="s">
        <v>11</v>
      </c>
      <c r="F4329" s="2" t="s">
        <v>18</v>
      </c>
      <c r="G4329" s="2" t="s">
        <v>19</v>
      </c>
      <c r="H4329" s="2" t="s">
        <v>3565</v>
      </c>
      <c r="I4329" s="2" t="s">
        <v>4719</v>
      </c>
    </row>
    <row r="4330" spans="1:9" ht="14.5" x14ac:dyDescent="0.35">
      <c r="A4330" s="2">
        <v>1728887</v>
      </c>
      <c r="B4330" s="2" t="str">
        <f>"3328144803890010"</f>
        <v>3328144803890010</v>
      </c>
      <c r="C4330" s="2" t="s">
        <v>4889</v>
      </c>
      <c r="D4330" s="2" t="s">
        <v>10</v>
      </c>
      <c r="E4330" s="2" t="s">
        <v>11</v>
      </c>
      <c r="F4330" s="2" t="s">
        <v>18</v>
      </c>
      <c r="G4330" s="2" t="s">
        <v>19</v>
      </c>
      <c r="H4330" s="2" t="s">
        <v>3565</v>
      </c>
      <c r="I4330" s="2" t="s">
        <v>4771</v>
      </c>
    </row>
    <row r="4331" spans="1:9" ht="14.5" x14ac:dyDescent="0.35">
      <c r="A4331" s="2">
        <v>1925825</v>
      </c>
      <c r="B4331" s="2" t="str">
        <f>"3328144803890010"</f>
        <v>3328144803890010</v>
      </c>
      <c r="C4331" s="2" t="s">
        <v>4889</v>
      </c>
      <c r="D4331" s="2" t="s">
        <v>17</v>
      </c>
      <c r="E4331" s="2" t="s">
        <v>11</v>
      </c>
      <c r="F4331" s="2" t="s">
        <v>91</v>
      </c>
      <c r="G4331" s="2" t="s">
        <v>320</v>
      </c>
      <c r="H4331" s="2" t="s">
        <v>2523</v>
      </c>
      <c r="I4331" s="2" t="s">
        <v>4890</v>
      </c>
    </row>
    <row r="4332" spans="1:9" ht="14.5" x14ac:dyDescent="0.35">
      <c r="A4332" s="2">
        <v>1505831</v>
      </c>
      <c r="B4332" s="2" t="str">
        <f>"3328144810000002"</f>
        <v>3328144810000002</v>
      </c>
      <c r="C4332" s="2" t="s">
        <v>4891</v>
      </c>
      <c r="D4332" s="2" t="s">
        <v>10</v>
      </c>
      <c r="E4332" s="2" t="s">
        <v>11</v>
      </c>
      <c r="F4332" s="2" t="s">
        <v>91</v>
      </c>
      <c r="G4332" s="2" t="s">
        <v>159</v>
      </c>
      <c r="H4332" s="2" t="s">
        <v>160</v>
      </c>
      <c r="I4332" s="2" t="s">
        <v>980</v>
      </c>
    </row>
    <row r="4333" spans="1:9" ht="14.5" x14ac:dyDescent="0.35">
      <c r="A4333" s="2">
        <v>2571723</v>
      </c>
      <c r="B4333" s="2" t="str">
        <f>"3328144810000002"</f>
        <v>3328144810000002</v>
      </c>
      <c r="C4333" s="2" t="s">
        <v>4891</v>
      </c>
      <c r="D4333" s="2" t="s">
        <v>17</v>
      </c>
      <c r="E4333" s="2" t="s">
        <v>11</v>
      </c>
      <c r="F4333" s="2" t="s">
        <v>18</v>
      </c>
      <c r="G4333" s="2" t="s">
        <v>19</v>
      </c>
      <c r="H4333" s="2" t="s">
        <v>3565</v>
      </c>
      <c r="I4333" s="2" t="s">
        <v>4731</v>
      </c>
    </row>
    <row r="4334" spans="1:9" ht="14.5" x14ac:dyDescent="0.35">
      <c r="A4334" s="2">
        <v>1727683</v>
      </c>
      <c r="B4334" s="2" t="str">
        <f>"3328145101650001"</f>
        <v>3328145101650001</v>
      </c>
      <c r="C4334" s="2" t="s">
        <v>4892</v>
      </c>
      <c r="D4334" s="2" t="s">
        <v>10</v>
      </c>
      <c r="E4334" s="2" t="s">
        <v>11</v>
      </c>
      <c r="F4334" s="2" t="s">
        <v>18</v>
      </c>
      <c r="G4334" s="2" t="s">
        <v>19</v>
      </c>
      <c r="H4334" s="2" t="s">
        <v>3565</v>
      </c>
      <c r="I4334" s="2" t="s">
        <v>4771</v>
      </c>
    </row>
    <row r="4335" spans="1:9" ht="14.5" x14ac:dyDescent="0.35">
      <c r="A4335" s="2">
        <v>2574134</v>
      </c>
      <c r="B4335" s="2" t="str">
        <f>"3328145101650001"</f>
        <v>3328145101650001</v>
      </c>
      <c r="C4335" s="2" t="s">
        <v>4893</v>
      </c>
      <c r="D4335" s="2" t="s">
        <v>17</v>
      </c>
      <c r="E4335" s="2" t="s">
        <v>11</v>
      </c>
      <c r="F4335" s="2" t="s">
        <v>18</v>
      </c>
      <c r="G4335" s="2" t="s">
        <v>19</v>
      </c>
      <c r="H4335" s="2" t="s">
        <v>3565</v>
      </c>
      <c r="I4335" s="2" t="s">
        <v>4769</v>
      </c>
    </row>
    <row r="4336" spans="1:9" ht="14.5" x14ac:dyDescent="0.35">
      <c r="A4336" s="2">
        <v>1792784</v>
      </c>
      <c r="B4336" s="2" t="str">
        <f>"3328145504030005"</f>
        <v>3328145504030005</v>
      </c>
      <c r="C4336" s="2" t="s">
        <v>4894</v>
      </c>
      <c r="D4336" s="2" t="s">
        <v>189</v>
      </c>
      <c r="E4336" s="2" t="s">
        <v>11</v>
      </c>
      <c r="F4336" s="2" t="s">
        <v>18</v>
      </c>
      <c r="G4336" s="2" t="s">
        <v>19</v>
      </c>
      <c r="H4336" s="2" t="s">
        <v>3565</v>
      </c>
      <c r="I4336" s="2" t="s">
        <v>4769</v>
      </c>
    </row>
    <row r="4337" spans="1:9" ht="14.5" x14ac:dyDescent="0.35">
      <c r="A4337" s="2">
        <v>1352917</v>
      </c>
      <c r="B4337" s="2" t="str">
        <f>"3328145504030005"</f>
        <v>3328145504030005</v>
      </c>
      <c r="C4337" s="2" t="s">
        <v>4895</v>
      </c>
      <c r="D4337" s="2" t="s">
        <v>10</v>
      </c>
      <c r="E4337" s="2" t="s">
        <v>57</v>
      </c>
      <c r="F4337" s="2" t="s">
        <v>303</v>
      </c>
      <c r="G4337" s="2" t="s">
        <v>608</v>
      </c>
      <c r="H4337" s="2" t="s">
        <v>609</v>
      </c>
      <c r="I4337" s="2" t="s">
        <v>610</v>
      </c>
    </row>
    <row r="4338" spans="1:9" ht="14.5" x14ac:dyDescent="0.35">
      <c r="A4338" s="2">
        <v>321302</v>
      </c>
      <c r="B4338" s="2" t="str">
        <f>"3328145504930011"</f>
        <v>3328145504930011</v>
      </c>
      <c r="C4338" s="2" t="s">
        <v>4896</v>
      </c>
      <c r="D4338" s="2" t="s">
        <v>10</v>
      </c>
      <c r="E4338" s="2" t="s">
        <v>11</v>
      </c>
      <c r="F4338" s="2" t="s">
        <v>18</v>
      </c>
      <c r="G4338" s="2" t="s">
        <v>268</v>
      </c>
      <c r="H4338" s="2" t="s">
        <v>277</v>
      </c>
      <c r="I4338" s="2" t="s">
        <v>278</v>
      </c>
    </row>
    <row r="4339" spans="1:9" ht="14.5" x14ac:dyDescent="0.35">
      <c r="A4339" s="2">
        <v>2559486</v>
      </c>
      <c r="B4339" s="2" t="str">
        <f>"3328145504930011"</f>
        <v>3328145504930011</v>
      </c>
      <c r="C4339" s="2" t="s">
        <v>4896</v>
      </c>
      <c r="D4339" s="2" t="s">
        <v>17</v>
      </c>
      <c r="E4339" s="2" t="s">
        <v>11</v>
      </c>
      <c r="F4339" s="2" t="s">
        <v>18</v>
      </c>
      <c r="G4339" s="2" t="s">
        <v>19</v>
      </c>
      <c r="H4339" s="2" t="s">
        <v>3565</v>
      </c>
      <c r="I4339" s="2" t="s">
        <v>4814</v>
      </c>
    </row>
    <row r="4340" spans="1:9" ht="14.5" x14ac:dyDescent="0.35">
      <c r="A4340" s="2">
        <v>757703</v>
      </c>
      <c r="B4340" s="2" t="str">
        <f>"3328145709840005"</f>
        <v>3328145709840005</v>
      </c>
      <c r="C4340" s="2" t="s">
        <v>3965</v>
      </c>
      <c r="D4340" s="2" t="s">
        <v>10</v>
      </c>
      <c r="E4340" s="2" t="s">
        <v>11</v>
      </c>
      <c r="F4340" s="2" t="s">
        <v>50</v>
      </c>
      <c r="G4340" s="2" t="s">
        <v>280</v>
      </c>
      <c r="H4340" s="2" t="s">
        <v>402</v>
      </c>
      <c r="I4340" s="2" t="s">
        <v>4730</v>
      </c>
    </row>
    <row r="4341" spans="1:9" ht="14.5" x14ac:dyDescent="0.35">
      <c r="A4341" s="2">
        <v>2571710</v>
      </c>
      <c r="B4341" s="2" t="str">
        <f>"3328145709840005"</f>
        <v>3328145709840005</v>
      </c>
      <c r="C4341" s="2" t="s">
        <v>3965</v>
      </c>
      <c r="D4341" s="2" t="s">
        <v>17</v>
      </c>
      <c r="E4341" s="2" t="s">
        <v>11</v>
      </c>
      <c r="F4341" s="2" t="s">
        <v>18</v>
      </c>
      <c r="G4341" s="2" t="s">
        <v>19</v>
      </c>
      <c r="H4341" s="2" t="s">
        <v>3565</v>
      </c>
      <c r="I4341" s="2" t="s">
        <v>4731</v>
      </c>
    </row>
    <row r="4342" spans="1:9" ht="14.5" x14ac:dyDescent="0.35">
      <c r="A4342" s="2">
        <v>400109</v>
      </c>
      <c r="B4342" s="2" t="str">
        <f>"3328145910990006"</f>
        <v>3328145910990006</v>
      </c>
      <c r="C4342" s="2" t="s">
        <v>4897</v>
      </c>
      <c r="D4342" s="2" t="s">
        <v>10</v>
      </c>
      <c r="E4342" s="2" t="s">
        <v>11</v>
      </c>
      <c r="F4342" s="2" t="s">
        <v>18</v>
      </c>
      <c r="G4342" s="2" t="s">
        <v>268</v>
      </c>
      <c r="H4342" s="2" t="s">
        <v>448</v>
      </c>
      <c r="I4342" s="2" t="s">
        <v>448</v>
      </c>
    </row>
    <row r="4343" spans="1:9" ht="14.5" x14ac:dyDescent="0.35">
      <c r="A4343" s="2">
        <v>2559279</v>
      </c>
      <c r="B4343" s="2" t="str">
        <f>"3328145910990006"</f>
        <v>3328145910990006</v>
      </c>
      <c r="C4343" s="2" t="s">
        <v>4898</v>
      </c>
      <c r="D4343" s="2" t="s">
        <v>17</v>
      </c>
      <c r="E4343" s="2" t="s">
        <v>11</v>
      </c>
      <c r="F4343" s="2" t="s">
        <v>18</v>
      </c>
      <c r="G4343" s="2" t="s">
        <v>19</v>
      </c>
      <c r="H4343" s="2" t="s">
        <v>3565</v>
      </c>
      <c r="I4343" s="2" t="s">
        <v>4771</v>
      </c>
    </row>
    <row r="4344" spans="1:9" ht="14.5" x14ac:dyDescent="0.35">
      <c r="A4344" s="2">
        <v>982652</v>
      </c>
      <c r="B4344" s="2" t="str">
        <f>"3328146201050004"</f>
        <v>3328146201050004</v>
      </c>
      <c r="C4344" s="2" t="s">
        <v>4899</v>
      </c>
      <c r="D4344" s="2" t="s">
        <v>10</v>
      </c>
      <c r="E4344" s="2" t="s">
        <v>11</v>
      </c>
      <c r="F4344" s="2" t="s">
        <v>91</v>
      </c>
      <c r="G4344" s="2" t="s">
        <v>2364</v>
      </c>
      <c r="H4344" s="2" t="s">
        <v>4900</v>
      </c>
      <c r="I4344" s="2" t="s">
        <v>4901</v>
      </c>
    </row>
    <row r="4345" spans="1:9" ht="14.5" x14ac:dyDescent="0.35">
      <c r="A4345" s="2">
        <v>2571680</v>
      </c>
      <c r="B4345" s="2" t="str">
        <f>"3328146201050004"</f>
        <v>3328146201050004</v>
      </c>
      <c r="C4345" s="2" t="s">
        <v>4899</v>
      </c>
      <c r="D4345" s="2" t="s">
        <v>17</v>
      </c>
      <c r="E4345" s="2" t="s">
        <v>11</v>
      </c>
      <c r="F4345" s="2" t="s">
        <v>18</v>
      </c>
      <c r="G4345" s="2" t="s">
        <v>19</v>
      </c>
      <c r="H4345" s="2" t="s">
        <v>3565</v>
      </c>
      <c r="I4345" s="2" t="s">
        <v>678</v>
      </c>
    </row>
    <row r="4346" spans="1:9" ht="14.5" x14ac:dyDescent="0.35">
      <c r="A4346" s="2">
        <v>1045360</v>
      </c>
      <c r="B4346" s="2" t="str">
        <f>"3328146207910003"</f>
        <v>3328146207910003</v>
      </c>
      <c r="C4346" s="2" t="s">
        <v>4902</v>
      </c>
      <c r="D4346" s="2" t="s">
        <v>10</v>
      </c>
      <c r="E4346" s="2" t="s">
        <v>11</v>
      </c>
      <c r="F4346" s="2" t="s">
        <v>91</v>
      </c>
      <c r="G4346" s="2" t="s">
        <v>320</v>
      </c>
      <c r="H4346" s="2" t="s">
        <v>1319</v>
      </c>
      <c r="I4346" s="2" t="s">
        <v>3999</v>
      </c>
    </row>
    <row r="4347" spans="1:9" ht="14.5" x14ac:dyDescent="0.35">
      <c r="A4347" s="2">
        <v>2559108</v>
      </c>
      <c r="B4347" s="2" t="str">
        <f>"3328146207910003"</f>
        <v>3328146207910003</v>
      </c>
      <c r="C4347" s="2" t="s">
        <v>4902</v>
      </c>
      <c r="D4347" s="2" t="s">
        <v>17</v>
      </c>
      <c r="E4347" s="2" t="s">
        <v>11</v>
      </c>
      <c r="F4347" s="2" t="s">
        <v>18</v>
      </c>
      <c r="G4347" s="2" t="s">
        <v>19</v>
      </c>
      <c r="H4347" s="2" t="s">
        <v>3565</v>
      </c>
      <c r="I4347" s="2" t="s">
        <v>4771</v>
      </c>
    </row>
    <row r="4348" spans="1:9" ht="14.5" x14ac:dyDescent="0.35">
      <c r="A4348" s="2">
        <v>1661764</v>
      </c>
      <c r="B4348" s="2" t="str">
        <f>"3328146304880007"</f>
        <v>3328146304880007</v>
      </c>
      <c r="C4348" s="2" t="s">
        <v>4903</v>
      </c>
      <c r="D4348" s="2" t="s">
        <v>10</v>
      </c>
      <c r="E4348" s="2" t="s">
        <v>11</v>
      </c>
      <c r="F4348" s="2" t="s">
        <v>18</v>
      </c>
      <c r="G4348" s="2" t="s">
        <v>19</v>
      </c>
      <c r="H4348" s="2" t="s">
        <v>3565</v>
      </c>
      <c r="I4348" s="2" t="s">
        <v>4708</v>
      </c>
    </row>
    <row r="4349" spans="1:9" ht="14.5" x14ac:dyDescent="0.35">
      <c r="A4349" s="2">
        <v>1471555</v>
      </c>
      <c r="B4349" s="2" t="str">
        <f>"3328146304880007"</f>
        <v>3328146304880007</v>
      </c>
      <c r="C4349" s="2" t="s">
        <v>4903</v>
      </c>
      <c r="D4349" s="2" t="s">
        <v>17</v>
      </c>
      <c r="E4349" s="2" t="s">
        <v>11</v>
      </c>
      <c r="F4349" s="2" t="s">
        <v>303</v>
      </c>
      <c r="G4349" s="2" t="s">
        <v>3472</v>
      </c>
      <c r="H4349" s="2" t="s">
        <v>4904</v>
      </c>
      <c r="I4349" s="2" t="s">
        <v>4905</v>
      </c>
    </row>
    <row r="4350" spans="1:9" ht="14.5" x14ac:dyDescent="0.35">
      <c r="A4350" s="2">
        <v>2141330</v>
      </c>
      <c r="B4350" s="2" t="str">
        <f>"3328146411950003"</f>
        <v>3328146411950003</v>
      </c>
      <c r="C4350" s="2" t="s">
        <v>3338</v>
      </c>
      <c r="D4350" s="2" t="s">
        <v>10</v>
      </c>
      <c r="E4350" s="2" t="s">
        <v>11</v>
      </c>
      <c r="F4350" s="2" t="s">
        <v>91</v>
      </c>
      <c r="G4350" s="2" t="s">
        <v>101</v>
      </c>
      <c r="H4350" s="2" t="s">
        <v>287</v>
      </c>
      <c r="I4350" s="2" t="s">
        <v>4906</v>
      </c>
    </row>
    <row r="4351" spans="1:9" ht="14.5" x14ac:dyDescent="0.35">
      <c r="A4351" s="2">
        <v>2558293</v>
      </c>
      <c r="B4351" s="2" t="str">
        <f>"3328146411950003"</f>
        <v>3328146411950003</v>
      </c>
      <c r="C4351" s="2" t="s">
        <v>3338</v>
      </c>
      <c r="D4351" s="2" t="s">
        <v>17</v>
      </c>
      <c r="E4351" s="2" t="s">
        <v>11</v>
      </c>
      <c r="F4351" s="2" t="s">
        <v>18</v>
      </c>
      <c r="G4351" s="2" t="s">
        <v>19</v>
      </c>
      <c r="H4351" s="2" t="s">
        <v>3565</v>
      </c>
      <c r="I4351" s="2" t="s">
        <v>4714</v>
      </c>
    </row>
    <row r="4352" spans="1:9" ht="14.5" x14ac:dyDescent="0.35">
      <c r="A4352" s="2">
        <v>1915210</v>
      </c>
      <c r="B4352" s="2" t="str">
        <f>"3328146512050001"</f>
        <v>3328146512050001</v>
      </c>
      <c r="C4352" s="2" t="s">
        <v>4907</v>
      </c>
      <c r="D4352" s="2" t="s">
        <v>10</v>
      </c>
      <c r="E4352" s="2" t="s">
        <v>11</v>
      </c>
      <c r="F4352" s="2" t="s">
        <v>18</v>
      </c>
      <c r="G4352" s="2" t="s">
        <v>19</v>
      </c>
      <c r="H4352" s="2" t="s">
        <v>3565</v>
      </c>
      <c r="I4352" s="2" t="s">
        <v>4719</v>
      </c>
    </row>
    <row r="4353" spans="1:9" ht="14.5" x14ac:dyDescent="0.35">
      <c r="A4353" s="2">
        <v>636234</v>
      </c>
      <c r="B4353" s="2" t="str">
        <f>"3328146512050001"</f>
        <v>3328146512050001</v>
      </c>
      <c r="C4353" s="2" t="s">
        <v>4908</v>
      </c>
      <c r="D4353" s="2" t="s">
        <v>17</v>
      </c>
      <c r="E4353" s="2" t="s">
        <v>57</v>
      </c>
      <c r="F4353" s="2" t="s">
        <v>18</v>
      </c>
      <c r="G4353" s="2" t="s">
        <v>190</v>
      </c>
      <c r="H4353" s="2" t="s">
        <v>1497</v>
      </c>
      <c r="I4353" s="2" t="s">
        <v>1498</v>
      </c>
    </row>
    <row r="4354" spans="1:9" ht="14.5" x14ac:dyDescent="0.35">
      <c r="A4354" s="2">
        <v>793506</v>
      </c>
      <c r="B4354" s="2" t="str">
        <f>"3328146707890002"</f>
        <v>3328146707890002</v>
      </c>
      <c r="C4354" s="2" t="s">
        <v>4909</v>
      </c>
      <c r="D4354" s="2" t="s">
        <v>10</v>
      </c>
      <c r="E4354" s="2" t="s">
        <v>11</v>
      </c>
      <c r="F4354" s="2" t="s">
        <v>50</v>
      </c>
      <c r="G4354" s="2" t="s">
        <v>72</v>
      </c>
      <c r="H4354" s="2" t="s">
        <v>73</v>
      </c>
      <c r="I4354" s="2" t="s">
        <v>74</v>
      </c>
    </row>
    <row r="4355" spans="1:9" ht="14.5" x14ac:dyDescent="0.35">
      <c r="A4355" s="2">
        <v>2557946</v>
      </c>
      <c r="B4355" s="2" t="str">
        <f>"3328146707890002"</f>
        <v>3328146707890002</v>
      </c>
      <c r="C4355" s="2" t="s">
        <v>4909</v>
      </c>
      <c r="D4355" s="2" t="s">
        <v>17</v>
      </c>
      <c r="E4355" s="2" t="s">
        <v>11</v>
      </c>
      <c r="F4355" s="2" t="s">
        <v>18</v>
      </c>
      <c r="G4355" s="2" t="s">
        <v>19</v>
      </c>
      <c r="H4355" s="2" t="s">
        <v>3565</v>
      </c>
      <c r="I4355" s="2" t="s">
        <v>4748</v>
      </c>
    </row>
    <row r="4356" spans="1:9" ht="14.5" x14ac:dyDescent="0.35">
      <c r="A4356" s="2">
        <v>1512361</v>
      </c>
      <c r="B4356" s="2" t="str">
        <f>"3328147112060003"</f>
        <v>3328147112060003</v>
      </c>
      <c r="C4356" s="2" t="s">
        <v>4910</v>
      </c>
      <c r="D4356" s="2" t="s">
        <v>10</v>
      </c>
      <c r="E4356" s="2" t="s">
        <v>11</v>
      </c>
      <c r="F4356" s="2" t="s">
        <v>18</v>
      </c>
      <c r="G4356" s="2" t="s">
        <v>19</v>
      </c>
      <c r="H4356" s="2" t="s">
        <v>4754</v>
      </c>
      <c r="I4356" s="2" t="s">
        <v>882</v>
      </c>
    </row>
    <row r="4357" spans="1:9" ht="14.5" x14ac:dyDescent="0.35">
      <c r="A4357" s="2">
        <v>2571814</v>
      </c>
      <c r="B4357" s="2" t="str">
        <f>"3328147112060003"</f>
        <v>3328147112060003</v>
      </c>
      <c r="C4357" s="2" t="s">
        <v>4910</v>
      </c>
      <c r="D4357" s="2" t="s">
        <v>17</v>
      </c>
      <c r="E4357" s="2" t="s">
        <v>11</v>
      </c>
      <c r="F4357" s="2" t="s">
        <v>18</v>
      </c>
      <c r="G4357" s="2" t="s">
        <v>19</v>
      </c>
      <c r="H4357" s="2" t="s">
        <v>3565</v>
      </c>
      <c r="I4357" s="2" t="s">
        <v>4156</v>
      </c>
    </row>
    <row r="4358" spans="1:9" ht="14.5" x14ac:dyDescent="0.35">
      <c r="A4358" s="2">
        <v>70033</v>
      </c>
      <c r="B4358" s="2" t="str">
        <f>"3328150102900006"</f>
        <v>3328150102900006</v>
      </c>
      <c r="C4358" s="2" t="s">
        <v>2317</v>
      </c>
      <c r="D4358" s="2" t="s">
        <v>10</v>
      </c>
      <c r="E4358" s="2" t="s">
        <v>11</v>
      </c>
      <c r="F4358" s="2" t="s">
        <v>228</v>
      </c>
      <c r="G4358" s="2" t="s">
        <v>4911</v>
      </c>
      <c r="H4358" s="2" t="s">
        <v>4912</v>
      </c>
      <c r="I4358" s="2" t="s">
        <v>4912</v>
      </c>
    </row>
    <row r="4359" spans="1:9" ht="14.5" x14ac:dyDescent="0.35">
      <c r="A4359" s="2">
        <v>2558101</v>
      </c>
      <c r="B4359" s="2" t="str">
        <f>"3328150102900006"</f>
        <v>3328150102900006</v>
      </c>
      <c r="C4359" s="2" t="s">
        <v>4913</v>
      </c>
      <c r="D4359" s="2" t="s">
        <v>17</v>
      </c>
      <c r="E4359" s="2" t="s">
        <v>11</v>
      </c>
      <c r="F4359" s="2" t="s">
        <v>18</v>
      </c>
      <c r="G4359" s="2" t="s">
        <v>19</v>
      </c>
      <c r="H4359" s="2" t="s">
        <v>3565</v>
      </c>
      <c r="I4359" s="2" t="s">
        <v>4711</v>
      </c>
    </row>
    <row r="4360" spans="1:9" ht="14.5" x14ac:dyDescent="0.35">
      <c r="A4360" s="2">
        <v>1914791</v>
      </c>
      <c r="B4360" s="2" t="str">
        <f>"3328150107910076"</f>
        <v>3328150107910076</v>
      </c>
      <c r="C4360" s="2" t="s">
        <v>4914</v>
      </c>
      <c r="D4360" s="2" t="s">
        <v>10</v>
      </c>
      <c r="E4360" s="2" t="s">
        <v>11</v>
      </c>
      <c r="F4360" s="2" t="s">
        <v>18</v>
      </c>
      <c r="G4360" s="2" t="s">
        <v>19</v>
      </c>
      <c r="H4360" s="2" t="s">
        <v>3565</v>
      </c>
      <c r="I4360" s="2" t="s">
        <v>4719</v>
      </c>
    </row>
    <row r="4361" spans="1:9" ht="14.5" x14ac:dyDescent="0.35">
      <c r="A4361" s="2">
        <v>2647989</v>
      </c>
      <c r="B4361" s="2" t="str">
        <f>"3328150107910076"</f>
        <v>3328150107910076</v>
      </c>
      <c r="C4361" s="2" t="s">
        <v>4915</v>
      </c>
      <c r="D4361" s="2" t="s">
        <v>17</v>
      </c>
      <c r="E4361" s="2" t="s">
        <v>11</v>
      </c>
      <c r="F4361" s="2" t="s">
        <v>18</v>
      </c>
      <c r="G4361" s="2" t="s">
        <v>199</v>
      </c>
      <c r="H4361" s="2" t="s">
        <v>4476</v>
      </c>
      <c r="I4361" s="2" t="s">
        <v>4916</v>
      </c>
    </row>
    <row r="4362" spans="1:9" ht="14.5" x14ac:dyDescent="0.35">
      <c r="A4362" s="2">
        <v>1872631</v>
      </c>
      <c r="B4362" s="2" t="str">
        <f>"3328157112990010"</f>
        <v>3328157112990010</v>
      </c>
      <c r="C4362" s="2" t="s">
        <v>4917</v>
      </c>
      <c r="D4362" s="2" t="s">
        <v>10</v>
      </c>
      <c r="E4362" s="2" t="s">
        <v>11</v>
      </c>
      <c r="F4362" s="2" t="s">
        <v>18</v>
      </c>
      <c r="G4362" s="2" t="s">
        <v>19</v>
      </c>
      <c r="H4362" s="2" t="s">
        <v>3565</v>
      </c>
      <c r="I4362" s="2" t="s">
        <v>4752</v>
      </c>
    </row>
    <row r="4363" spans="1:9" ht="14.5" x14ac:dyDescent="0.35">
      <c r="A4363" s="2">
        <v>1837440</v>
      </c>
      <c r="B4363" s="2" t="str">
        <f>"3328157112990010"</f>
        <v>3328157112990010</v>
      </c>
      <c r="C4363" s="2" t="s">
        <v>4918</v>
      </c>
      <c r="D4363" s="2" t="s">
        <v>17</v>
      </c>
      <c r="E4363" s="2" t="s">
        <v>11</v>
      </c>
      <c r="F4363" s="2" t="s">
        <v>303</v>
      </c>
      <c r="G4363" s="2" t="s">
        <v>1669</v>
      </c>
      <c r="H4363" s="2" t="s">
        <v>4487</v>
      </c>
      <c r="I4363" s="2" t="s">
        <v>4919</v>
      </c>
    </row>
    <row r="4364" spans="1:9" ht="14.5" x14ac:dyDescent="0.35">
      <c r="A4364" s="2">
        <v>1517896</v>
      </c>
      <c r="B4364" s="2" t="str">
        <f>"3328170710850004"</f>
        <v>3328170710850004</v>
      </c>
      <c r="C4364" s="2" t="s">
        <v>4920</v>
      </c>
      <c r="D4364" s="2" t="s">
        <v>10</v>
      </c>
      <c r="E4364" s="2" t="s">
        <v>11</v>
      </c>
      <c r="F4364" s="2" t="s">
        <v>18</v>
      </c>
      <c r="G4364" s="2" t="s">
        <v>19</v>
      </c>
      <c r="H4364" s="2" t="s">
        <v>4754</v>
      </c>
      <c r="I4364" s="2" t="s">
        <v>4755</v>
      </c>
    </row>
    <row r="4365" spans="1:9" ht="14.5" x14ac:dyDescent="0.35">
      <c r="A4365" s="2">
        <v>2571843</v>
      </c>
      <c r="B4365" s="2" t="str">
        <f>"3328170710850004"</f>
        <v>3328170710850004</v>
      </c>
      <c r="C4365" s="2" t="s">
        <v>4921</v>
      </c>
      <c r="D4365" s="2" t="s">
        <v>17</v>
      </c>
      <c r="E4365" s="2" t="s">
        <v>11</v>
      </c>
      <c r="F4365" s="2" t="s">
        <v>18</v>
      </c>
      <c r="G4365" s="2" t="s">
        <v>19</v>
      </c>
      <c r="H4365" s="2" t="s">
        <v>3565</v>
      </c>
      <c r="I4365" s="2" t="s">
        <v>4156</v>
      </c>
    </row>
    <row r="4366" spans="1:9" ht="14.5" x14ac:dyDescent="0.35">
      <c r="A4366" s="2">
        <v>1330166</v>
      </c>
      <c r="B4366" s="2" t="str">
        <f>"3329053007900001"</f>
        <v>3329053007900001</v>
      </c>
      <c r="C4366" s="2" t="s">
        <v>4922</v>
      </c>
      <c r="D4366" s="2" t="s">
        <v>10</v>
      </c>
      <c r="E4366" s="2" t="s">
        <v>11</v>
      </c>
      <c r="F4366" s="2" t="s">
        <v>18</v>
      </c>
      <c r="G4366" s="2" t="s">
        <v>264</v>
      </c>
      <c r="H4366" s="2" t="s">
        <v>289</v>
      </c>
      <c r="I4366" s="2" t="s">
        <v>929</v>
      </c>
    </row>
    <row r="4367" spans="1:9" ht="14.5" x14ac:dyDescent="0.35">
      <c r="A4367" s="2">
        <v>2571862</v>
      </c>
      <c r="B4367" s="2" t="str">
        <f>"3329053007900001"</f>
        <v>3329053007900001</v>
      </c>
      <c r="C4367" s="2" t="s">
        <v>4922</v>
      </c>
      <c r="D4367" s="2" t="s">
        <v>17</v>
      </c>
      <c r="E4367" s="2" t="s">
        <v>11</v>
      </c>
      <c r="F4367" s="2" t="s">
        <v>18</v>
      </c>
      <c r="G4367" s="2" t="s">
        <v>19</v>
      </c>
      <c r="H4367" s="2" t="s">
        <v>3565</v>
      </c>
      <c r="I4367" s="2" t="s">
        <v>4156</v>
      </c>
    </row>
    <row r="4368" spans="1:9" ht="14.5" x14ac:dyDescent="0.35">
      <c r="A4368" s="2">
        <v>1325533</v>
      </c>
      <c r="B4368" s="2" t="str">
        <f>"3329054103880001"</f>
        <v>3329054103880001</v>
      </c>
      <c r="C4368" s="2" t="s">
        <v>4923</v>
      </c>
      <c r="D4368" s="2" t="s">
        <v>10</v>
      </c>
      <c r="E4368" s="2" t="s">
        <v>11</v>
      </c>
      <c r="F4368" s="2" t="s">
        <v>18</v>
      </c>
      <c r="G4368" s="2" t="s">
        <v>264</v>
      </c>
      <c r="H4368" s="2" t="s">
        <v>289</v>
      </c>
      <c r="I4368" s="2" t="s">
        <v>929</v>
      </c>
    </row>
    <row r="4369" spans="1:9" ht="14.5" x14ac:dyDescent="0.35">
      <c r="A4369" s="2">
        <v>2559402</v>
      </c>
      <c r="B4369" s="2" t="str">
        <f>"3329054103880001"</f>
        <v>3329054103880001</v>
      </c>
      <c r="C4369" s="2" t="s">
        <v>4923</v>
      </c>
      <c r="D4369" s="2" t="s">
        <v>17</v>
      </c>
      <c r="E4369" s="2" t="s">
        <v>11</v>
      </c>
      <c r="F4369" s="2" t="s">
        <v>18</v>
      </c>
      <c r="G4369" s="2" t="s">
        <v>19</v>
      </c>
      <c r="H4369" s="2" t="s">
        <v>3565</v>
      </c>
      <c r="I4369" s="2" t="s">
        <v>4814</v>
      </c>
    </row>
    <row r="4370" spans="1:9" ht="14.5" x14ac:dyDescent="0.35">
      <c r="A4370" s="2">
        <v>1439039</v>
      </c>
      <c r="B4370" s="2" t="str">
        <f>"3329054510840001"</f>
        <v>3329054510840001</v>
      </c>
      <c r="C4370" s="2" t="s">
        <v>4924</v>
      </c>
      <c r="D4370" s="2" t="s">
        <v>10</v>
      </c>
      <c r="E4370" s="2" t="s">
        <v>11</v>
      </c>
      <c r="F4370" s="2" t="s">
        <v>18</v>
      </c>
      <c r="G4370" s="2" t="s">
        <v>264</v>
      </c>
      <c r="H4370" s="2" t="s">
        <v>289</v>
      </c>
      <c r="I4370" s="2" t="s">
        <v>3928</v>
      </c>
    </row>
    <row r="4371" spans="1:9" ht="14.5" x14ac:dyDescent="0.35">
      <c r="A4371" s="2">
        <v>2558449</v>
      </c>
      <c r="B4371" s="2" t="str">
        <f>"3329054510840001"</f>
        <v>3329054510840001</v>
      </c>
      <c r="C4371" s="2" t="s">
        <v>4924</v>
      </c>
      <c r="D4371" s="2" t="s">
        <v>17</v>
      </c>
      <c r="E4371" s="2" t="s">
        <v>11</v>
      </c>
      <c r="F4371" s="2" t="s">
        <v>18</v>
      </c>
      <c r="G4371" s="2" t="s">
        <v>19</v>
      </c>
      <c r="H4371" s="2" t="s">
        <v>3565</v>
      </c>
      <c r="I4371" s="2" t="s">
        <v>4775</v>
      </c>
    </row>
    <row r="4372" spans="1:9" ht="14.5" x14ac:dyDescent="0.35">
      <c r="A4372" s="2">
        <v>1300309</v>
      </c>
      <c r="B4372" s="2" t="str">
        <f>"3329070402850005"</f>
        <v>3329070402850005</v>
      </c>
      <c r="C4372" s="2" t="s">
        <v>4925</v>
      </c>
      <c r="D4372" s="2" t="s">
        <v>10</v>
      </c>
      <c r="E4372" s="2" t="s">
        <v>11</v>
      </c>
      <c r="F4372" s="2" t="s">
        <v>18</v>
      </c>
      <c r="G4372" s="2" t="s">
        <v>264</v>
      </c>
      <c r="H4372" s="2" t="s">
        <v>265</v>
      </c>
      <c r="I4372" s="2" t="s">
        <v>459</v>
      </c>
    </row>
    <row r="4373" spans="1:9" ht="14.5" x14ac:dyDescent="0.35">
      <c r="A4373" s="2">
        <v>1795645</v>
      </c>
      <c r="B4373" s="2" t="str">
        <f>"3329070402850005"</f>
        <v>3329070402850005</v>
      </c>
      <c r="C4373" s="2" t="s">
        <v>4926</v>
      </c>
      <c r="D4373" s="2" t="s">
        <v>189</v>
      </c>
      <c r="E4373" s="2" t="s">
        <v>11</v>
      </c>
      <c r="F4373" s="2" t="s">
        <v>18</v>
      </c>
      <c r="G4373" s="2" t="s">
        <v>19</v>
      </c>
      <c r="H4373" s="2" t="s">
        <v>3565</v>
      </c>
      <c r="I4373" s="2" t="s">
        <v>4769</v>
      </c>
    </row>
    <row r="4374" spans="1:9" ht="14.5" x14ac:dyDescent="0.35">
      <c r="A4374" s="2">
        <v>1889450</v>
      </c>
      <c r="B4374" s="2" t="str">
        <f>"3329071506950004"</f>
        <v>3329071506950004</v>
      </c>
      <c r="C4374" s="2" t="s">
        <v>4927</v>
      </c>
      <c r="D4374" s="2" t="s">
        <v>10</v>
      </c>
      <c r="E4374" s="2" t="s">
        <v>11</v>
      </c>
      <c r="F4374" s="2" t="s">
        <v>18</v>
      </c>
      <c r="G4374" s="2" t="s">
        <v>19</v>
      </c>
      <c r="H4374" s="2" t="s">
        <v>3565</v>
      </c>
      <c r="I4374" s="2" t="s">
        <v>4775</v>
      </c>
    </row>
    <row r="4375" spans="1:9" ht="14.5" x14ac:dyDescent="0.35">
      <c r="A4375" s="2">
        <v>1682821</v>
      </c>
      <c r="B4375" s="2" t="str">
        <f>"3329071506950004"</f>
        <v>3329071506950004</v>
      </c>
      <c r="C4375" s="2" t="s">
        <v>4928</v>
      </c>
      <c r="D4375" s="2" t="s">
        <v>17</v>
      </c>
      <c r="E4375" s="2" t="s">
        <v>11</v>
      </c>
      <c r="F4375" s="2" t="s">
        <v>18</v>
      </c>
      <c r="G4375" s="2" t="s">
        <v>264</v>
      </c>
      <c r="H4375" s="2" t="s">
        <v>265</v>
      </c>
      <c r="I4375" s="2" t="s">
        <v>1878</v>
      </c>
    </row>
    <row r="4376" spans="1:9" ht="14.5" x14ac:dyDescent="0.35">
      <c r="A4376" s="2">
        <v>1243970</v>
      </c>
      <c r="B4376" s="2" t="str">
        <f>"3329071912770002"</f>
        <v>3329071912770002</v>
      </c>
      <c r="C4376" s="2" t="s">
        <v>4929</v>
      </c>
      <c r="D4376" s="2" t="s">
        <v>10</v>
      </c>
      <c r="E4376" s="2" t="s">
        <v>11</v>
      </c>
      <c r="F4376" s="2" t="s">
        <v>18</v>
      </c>
      <c r="G4376" s="2" t="s">
        <v>264</v>
      </c>
      <c r="H4376" s="2" t="s">
        <v>265</v>
      </c>
      <c r="I4376" s="2" t="s">
        <v>1940</v>
      </c>
    </row>
    <row r="4377" spans="1:9" ht="14.5" x14ac:dyDescent="0.35">
      <c r="A4377" s="2">
        <v>2559021</v>
      </c>
      <c r="B4377" s="2" t="str">
        <f>"3329071912770002"</f>
        <v>3329071912770002</v>
      </c>
      <c r="C4377" s="2" t="s">
        <v>4929</v>
      </c>
      <c r="D4377" s="2" t="s">
        <v>17</v>
      </c>
      <c r="E4377" s="2" t="s">
        <v>11</v>
      </c>
      <c r="F4377" s="2" t="s">
        <v>18</v>
      </c>
      <c r="G4377" s="2" t="s">
        <v>19</v>
      </c>
      <c r="H4377" s="2" t="s">
        <v>3565</v>
      </c>
      <c r="I4377" s="2" t="s">
        <v>4719</v>
      </c>
    </row>
    <row r="4378" spans="1:9" ht="14.5" x14ac:dyDescent="0.35">
      <c r="A4378" s="2">
        <v>2558784</v>
      </c>
      <c r="B4378" s="2" t="str">
        <f>"3329072011980006"</f>
        <v>3329072011980006</v>
      </c>
      <c r="C4378" s="2" t="s">
        <v>4930</v>
      </c>
      <c r="D4378" s="2" t="s">
        <v>17</v>
      </c>
      <c r="E4378" s="2" t="s">
        <v>11</v>
      </c>
      <c r="F4378" s="2" t="s">
        <v>18</v>
      </c>
      <c r="G4378" s="2" t="s">
        <v>19</v>
      </c>
      <c r="H4378" s="2" t="s">
        <v>3565</v>
      </c>
      <c r="I4378" s="2" t="s">
        <v>3565</v>
      </c>
    </row>
    <row r="4379" spans="1:9" ht="14.5" x14ac:dyDescent="0.35">
      <c r="A4379" s="2">
        <v>1682378</v>
      </c>
      <c r="B4379" s="2" t="str">
        <f>"3329072011980006"</f>
        <v>3329072011980006</v>
      </c>
      <c r="C4379" s="2" t="s">
        <v>4930</v>
      </c>
      <c r="D4379" s="2" t="s">
        <v>17</v>
      </c>
      <c r="E4379" s="2" t="s">
        <v>11</v>
      </c>
      <c r="F4379" s="2" t="s">
        <v>18</v>
      </c>
      <c r="G4379" s="2" t="s">
        <v>264</v>
      </c>
      <c r="H4379" s="2" t="s">
        <v>265</v>
      </c>
      <c r="I4379" s="2" t="s">
        <v>3935</v>
      </c>
    </row>
    <row r="4380" spans="1:9" ht="14.5" x14ac:dyDescent="0.35">
      <c r="A4380" s="2">
        <v>1919014</v>
      </c>
      <c r="B4380" s="2" t="str">
        <f>"3329082205860003"</f>
        <v>3329082205860003</v>
      </c>
      <c r="C4380" s="2" t="s">
        <v>2260</v>
      </c>
      <c r="D4380" s="2" t="s">
        <v>10</v>
      </c>
      <c r="E4380" s="2" t="s">
        <v>11</v>
      </c>
      <c r="F4380" s="2" t="s">
        <v>18</v>
      </c>
      <c r="G4380" s="2" t="s">
        <v>19</v>
      </c>
      <c r="H4380" s="2" t="s">
        <v>3565</v>
      </c>
      <c r="I4380" s="2" t="s">
        <v>4765</v>
      </c>
    </row>
    <row r="4381" spans="1:9" ht="14.5" x14ac:dyDescent="0.35">
      <c r="A4381" s="2">
        <v>1631515</v>
      </c>
      <c r="B4381" s="2" t="str">
        <f>"3329082205860003"</f>
        <v>3329082205860003</v>
      </c>
      <c r="C4381" s="2" t="s">
        <v>2260</v>
      </c>
      <c r="D4381" s="2" t="s">
        <v>17</v>
      </c>
      <c r="E4381" s="2" t="s">
        <v>11</v>
      </c>
      <c r="F4381" s="2" t="s">
        <v>18</v>
      </c>
      <c r="G4381" s="2" t="s">
        <v>264</v>
      </c>
      <c r="H4381" s="2" t="s">
        <v>248</v>
      </c>
      <c r="I4381" s="2" t="s">
        <v>2513</v>
      </c>
    </row>
    <row r="4382" spans="1:9" ht="14.5" x14ac:dyDescent="0.35">
      <c r="A4382" s="2">
        <v>1233671</v>
      </c>
      <c r="B4382" s="2" t="str">
        <f>"3329086406810001"</f>
        <v>3329086406810001</v>
      </c>
      <c r="C4382" s="2" t="s">
        <v>4931</v>
      </c>
      <c r="D4382" s="2" t="s">
        <v>10</v>
      </c>
      <c r="E4382" s="2" t="s">
        <v>11</v>
      </c>
      <c r="F4382" s="2" t="s">
        <v>18</v>
      </c>
      <c r="G4382" s="2" t="s">
        <v>264</v>
      </c>
      <c r="H4382" s="2" t="s">
        <v>248</v>
      </c>
      <c r="I4382" s="2" t="s">
        <v>868</v>
      </c>
    </row>
    <row r="4383" spans="1:9" ht="14.5" x14ac:dyDescent="0.35">
      <c r="A4383" s="2">
        <v>2571656</v>
      </c>
      <c r="B4383" s="2" t="str">
        <f>"3329086406810001"</f>
        <v>3329086406810001</v>
      </c>
      <c r="C4383" s="2" t="s">
        <v>4931</v>
      </c>
      <c r="D4383" s="2" t="s">
        <v>17</v>
      </c>
      <c r="E4383" s="2" t="s">
        <v>11</v>
      </c>
      <c r="F4383" s="2" t="s">
        <v>18</v>
      </c>
      <c r="G4383" s="2" t="s">
        <v>19</v>
      </c>
      <c r="H4383" s="2" t="s">
        <v>3565</v>
      </c>
      <c r="I4383" s="2" t="s">
        <v>678</v>
      </c>
    </row>
    <row r="4384" spans="1:9" ht="14.5" x14ac:dyDescent="0.35">
      <c r="A4384" s="2">
        <v>642866</v>
      </c>
      <c r="B4384" s="2" t="str">
        <f>"3329096609940002"</f>
        <v>3329096609940002</v>
      </c>
      <c r="C4384" s="2" t="s">
        <v>4932</v>
      </c>
      <c r="D4384" s="2" t="s">
        <v>10</v>
      </c>
      <c r="E4384" s="2" t="s">
        <v>11</v>
      </c>
      <c r="F4384" s="2" t="s">
        <v>18</v>
      </c>
      <c r="G4384" s="2" t="s">
        <v>264</v>
      </c>
      <c r="H4384" s="2" t="s">
        <v>264</v>
      </c>
      <c r="I4384" s="2" t="s">
        <v>2982</v>
      </c>
    </row>
    <row r="4385" spans="1:9" ht="14.5" x14ac:dyDescent="0.35">
      <c r="A4385" s="2">
        <v>2558924</v>
      </c>
      <c r="B4385" s="2" t="str">
        <f>"3329096609940002"</f>
        <v>3329096609940002</v>
      </c>
      <c r="C4385" s="2" t="s">
        <v>4933</v>
      </c>
      <c r="D4385" s="2" t="s">
        <v>17</v>
      </c>
      <c r="E4385" s="2" t="s">
        <v>11</v>
      </c>
      <c r="F4385" s="2" t="s">
        <v>18</v>
      </c>
      <c r="G4385" s="2" t="s">
        <v>19</v>
      </c>
      <c r="H4385" s="2" t="s">
        <v>3565</v>
      </c>
      <c r="I4385" s="2" t="s">
        <v>4735</v>
      </c>
    </row>
    <row r="4386" spans="1:9" ht="14.5" x14ac:dyDescent="0.35">
      <c r="A4386" s="2">
        <v>1350628</v>
      </c>
      <c r="B4386" s="2" t="str">
        <f>"3329104101950003"</f>
        <v>3329104101950003</v>
      </c>
      <c r="C4386" s="2" t="s">
        <v>4934</v>
      </c>
      <c r="D4386" s="2" t="s">
        <v>10</v>
      </c>
      <c r="E4386" s="2" t="s">
        <v>11</v>
      </c>
      <c r="F4386" s="2" t="s">
        <v>18</v>
      </c>
      <c r="G4386" s="2" t="s">
        <v>264</v>
      </c>
      <c r="H4386" s="2" t="s">
        <v>273</v>
      </c>
      <c r="I4386" s="2" t="s">
        <v>4935</v>
      </c>
    </row>
    <row r="4387" spans="1:9" ht="14.5" x14ac:dyDescent="0.35">
      <c r="A4387" s="2">
        <v>2559419</v>
      </c>
      <c r="B4387" s="2" t="str">
        <f>"3329104101950003"</f>
        <v>3329104101950003</v>
      </c>
      <c r="C4387" s="2" t="s">
        <v>4934</v>
      </c>
      <c r="D4387" s="2" t="s">
        <v>17</v>
      </c>
      <c r="E4387" s="2" t="s">
        <v>11</v>
      </c>
      <c r="F4387" s="2" t="s">
        <v>18</v>
      </c>
      <c r="G4387" s="2" t="s">
        <v>19</v>
      </c>
      <c r="H4387" s="2" t="s">
        <v>3565</v>
      </c>
      <c r="I4387" s="2" t="s">
        <v>4814</v>
      </c>
    </row>
    <row r="4388" spans="1:9" ht="14.5" x14ac:dyDescent="0.35">
      <c r="A4388" s="2">
        <v>368819</v>
      </c>
      <c r="B4388" s="2" t="str">
        <f>"3329141010850018"</f>
        <v>3329141010850018</v>
      </c>
      <c r="C4388" s="2" t="s">
        <v>4936</v>
      </c>
      <c r="D4388" s="2" t="s">
        <v>10</v>
      </c>
      <c r="E4388" s="2" t="s">
        <v>11</v>
      </c>
      <c r="F4388" s="2" t="s">
        <v>18</v>
      </c>
      <c r="G4388" s="2" t="s">
        <v>264</v>
      </c>
      <c r="H4388" s="2" t="s">
        <v>477</v>
      </c>
      <c r="I4388" s="2" t="s">
        <v>1483</v>
      </c>
    </row>
    <row r="4389" spans="1:9" ht="14.5" x14ac:dyDescent="0.35">
      <c r="A4389" s="2">
        <v>2571683</v>
      </c>
      <c r="B4389" s="2" t="str">
        <f>"3329141010850018"</f>
        <v>3329141010850018</v>
      </c>
      <c r="C4389" s="2" t="s">
        <v>4937</v>
      </c>
      <c r="D4389" s="2" t="s">
        <v>17</v>
      </c>
      <c r="E4389" s="2" t="s">
        <v>11</v>
      </c>
      <c r="F4389" s="2" t="s">
        <v>18</v>
      </c>
      <c r="G4389" s="2" t="s">
        <v>19</v>
      </c>
      <c r="H4389" s="2" t="s">
        <v>3565</v>
      </c>
      <c r="I4389" s="2" t="s">
        <v>678</v>
      </c>
    </row>
    <row r="4390" spans="1:9" ht="14.5" x14ac:dyDescent="0.35">
      <c r="A4390" s="2">
        <v>444837</v>
      </c>
      <c r="B4390" s="2" t="str">
        <f>"3329144610920009"</f>
        <v>3329144610920009</v>
      </c>
      <c r="C4390" s="2" t="s">
        <v>4938</v>
      </c>
      <c r="D4390" s="2" t="s">
        <v>10</v>
      </c>
      <c r="E4390" s="2" t="s">
        <v>11</v>
      </c>
      <c r="F4390" s="2" t="s">
        <v>18</v>
      </c>
      <c r="G4390" s="2" t="s">
        <v>264</v>
      </c>
      <c r="H4390" s="2" t="s">
        <v>477</v>
      </c>
      <c r="I4390" s="2" t="s">
        <v>3855</v>
      </c>
    </row>
    <row r="4391" spans="1:9" ht="14.5" x14ac:dyDescent="0.35">
      <c r="A4391" s="2">
        <v>2558060</v>
      </c>
      <c r="B4391" s="2" t="str">
        <f>"3329144610920009"</f>
        <v>3329144610920009</v>
      </c>
      <c r="C4391" s="2" t="s">
        <v>4938</v>
      </c>
      <c r="D4391" s="2" t="s">
        <v>17</v>
      </c>
      <c r="E4391" s="2" t="s">
        <v>11</v>
      </c>
      <c r="F4391" s="2" t="s">
        <v>18</v>
      </c>
      <c r="G4391" s="2" t="s">
        <v>19</v>
      </c>
      <c r="H4391" s="2" t="s">
        <v>3565</v>
      </c>
      <c r="I4391" s="2" t="s">
        <v>4711</v>
      </c>
    </row>
    <row r="4392" spans="1:9" ht="14.5" x14ac:dyDescent="0.35">
      <c r="A4392" s="2">
        <v>819884</v>
      </c>
      <c r="B4392" s="2" t="str">
        <f>"3329161709010009"</f>
        <v>3329161709010009</v>
      </c>
      <c r="C4392" s="2" t="s">
        <v>4939</v>
      </c>
      <c r="D4392" s="2" t="s">
        <v>10</v>
      </c>
      <c r="E4392" s="2" t="s">
        <v>11</v>
      </c>
      <c r="F4392" s="2" t="s">
        <v>18</v>
      </c>
      <c r="G4392" s="2" t="s">
        <v>264</v>
      </c>
      <c r="H4392" s="2" t="s">
        <v>344</v>
      </c>
      <c r="I4392" s="2" t="s">
        <v>345</v>
      </c>
    </row>
    <row r="4393" spans="1:9" ht="14.5" x14ac:dyDescent="0.35">
      <c r="A4393" s="2">
        <v>2558270</v>
      </c>
      <c r="B4393" s="2" t="str">
        <f>"3329161709010009"</f>
        <v>3329161709010009</v>
      </c>
      <c r="C4393" s="2" t="s">
        <v>4939</v>
      </c>
      <c r="D4393" s="2" t="s">
        <v>17</v>
      </c>
      <c r="E4393" s="2" t="s">
        <v>11</v>
      </c>
      <c r="F4393" s="2" t="s">
        <v>18</v>
      </c>
      <c r="G4393" s="2" t="s">
        <v>19</v>
      </c>
      <c r="H4393" s="2" t="s">
        <v>3565</v>
      </c>
      <c r="I4393" s="2" t="s">
        <v>4714</v>
      </c>
    </row>
    <row r="4394" spans="1:9" ht="14.5" x14ac:dyDescent="0.35">
      <c r="A4394" s="2">
        <v>1727759</v>
      </c>
      <c r="B4394" s="2" t="str">
        <f>"3374080903960003"</f>
        <v>3374080903960003</v>
      </c>
      <c r="C4394" s="2" t="s">
        <v>4940</v>
      </c>
      <c r="D4394" s="2" t="s">
        <v>189</v>
      </c>
      <c r="E4394" s="2" t="s">
        <v>11</v>
      </c>
      <c r="F4394" s="2" t="s">
        <v>18</v>
      </c>
      <c r="G4394" s="2" t="s">
        <v>1438</v>
      </c>
      <c r="H4394" s="2" t="s">
        <v>4941</v>
      </c>
      <c r="I4394" s="2" t="s">
        <v>4942</v>
      </c>
    </row>
    <row r="4395" spans="1:9" ht="14.5" x14ac:dyDescent="0.35">
      <c r="A4395" s="2">
        <v>2557969</v>
      </c>
      <c r="B4395" s="2" t="str">
        <f>"3374080903960003"</f>
        <v>3374080903960003</v>
      </c>
      <c r="C4395" s="2" t="s">
        <v>4940</v>
      </c>
      <c r="D4395" s="2" t="s">
        <v>17</v>
      </c>
      <c r="E4395" s="2" t="s">
        <v>11</v>
      </c>
      <c r="F4395" s="2" t="s">
        <v>18</v>
      </c>
      <c r="G4395" s="2" t="s">
        <v>19</v>
      </c>
      <c r="H4395" s="2" t="s">
        <v>3565</v>
      </c>
      <c r="I4395" s="2" t="s">
        <v>4748</v>
      </c>
    </row>
    <row r="4396" spans="1:9" ht="14.5" x14ac:dyDescent="0.35">
      <c r="A4396" s="2">
        <v>321540</v>
      </c>
      <c r="B4396" s="2" t="str">
        <f>"3376010901980001"</f>
        <v>3376010901980001</v>
      </c>
      <c r="C4396" s="2" t="s">
        <v>4943</v>
      </c>
      <c r="D4396" s="2" t="s">
        <v>10</v>
      </c>
      <c r="E4396" s="2" t="s">
        <v>11</v>
      </c>
      <c r="F4396" s="2" t="s">
        <v>18</v>
      </c>
      <c r="G4396" s="2" t="s">
        <v>268</v>
      </c>
      <c r="H4396" s="2" t="s">
        <v>277</v>
      </c>
      <c r="I4396" s="2" t="s">
        <v>278</v>
      </c>
    </row>
    <row r="4397" spans="1:9" ht="14.5" x14ac:dyDescent="0.35">
      <c r="A4397" s="2">
        <v>2558091</v>
      </c>
      <c r="B4397" s="2" t="str">
        <f>"3376010901980001"</f>
        <v>3376010901980001</v>
      </c>
      <c r="C4397" s="2" t="s">
        <v>4943</v>
      </c>
      <c r="D4397" s="2" t="s">
        <v>17</v>
      </c>
      <c r="E4397" s="2" t="s">
        <v>11</v>
      </c>
      <c r="F4397" s="2" t="s">
        <v>18</v>
      </c>
      <c r="G4397" s="2" t="s">
        <v>19</v>
      </c>
      <c r="H4397" s="2" t="s">
        <v>3565</v>
      </c>
      <c r="I4397" s="2" t="s">
        <v>4711</v>
      </c>
    </row>
    <row r="4398" spans="1:9" ht="14.5" x14ac:dyDescent="0.35">
      <c r="A4398" s="2">
        <v>1794108</v>
      </c>
      <c r="B4398" s="2" t="str">
        <f>"3376013007920002"</f>
        <v>3376013007920002</v>
      </c>
      <c r="C4398" s="2" t="s">
        <v>4944</v>
      </c>
      <c r="D4398" s="2" t="s">
        <v>189</v>
      </c>
      <c r="E4398" s="2" t="s">
        <v>11</v>
      </c>
      <c r="F4398" s="2" t="s">
        <v>18</v>
      </c>
      <c r="G4398" s="2" t="s">
        <v>19</v>
      </c>
      <c r="H4398" s="2" t="s">
        <v>3565</v>
      </c>
      <c r="I4398" s="2" t="s">
        <v>4769</v>
      </c>
    </row>
    <row r="4399" spans="1:9" ht="14.5" x14ac:dyDescent="0.35">
      <c r="A4399" s="2">
        <v>1862300</v>
      </c>
      <c r="B4399" s="2" t="str">
        <f>"3376013007920002"</f>
        <v>3376013007920002</v>
      </c>
      <c r="C4399" s="2" t="s">
        <v>4944</v>
      </c>
      <c r="D4399" s="2" t="s">
        <v>17</v>
      </c>
      <c r="E4399" s="2" t="s">
        <v>11</v>
      </c>
      <c r="F4399" s="2" t="s">
        <v>91</v>
      </c>
      <c r="G4399" s="2" t="s">
        <v>320</v>
      </c>
      <c r="H4399" s="2" t="s">
        <v>368</v>
      </c>
      <c r="I4399" s="2" t="s">
        <v>368</v>
      </c>
    </row>
    <row r="4400" spans="1:9" ht="14.5" x14ac:dyDescent="0.35">
      <c r="A4400" s="2">
        <v>301580</v>
      </c>
      <c r="B4400" s="2" t="str">
        <f>"3376015707870002"</f>
        <v>3376015707870002</v>
      </c>
      <c r="C4400" s="2" t="s">
        <v>4945</v>
      </c>
      <c r="D4400" s="2" t="s">
        <v>10</v>
      </c>
      <c r="E4400" s="2" t="s">
        <v>11</v>
      </c>
      <c r="F4400" s="2" t="s">
        <v>18</v>
      </c>
      <c r="G4400" s="2" t="s">
        <v>268</v>
      </c>
      <c r="H4400" s="2" t="s">
        <v>277</v>
      </c>
      <c r="I4400" s="2" t="s">
        <v>2762</v>
      </c>
    </row>
    <row r="4401" spans="1:9" ht="14.5" x14ac:dyDescent="0.35">
      <c r="A4401" s="2">
        <v>2558061</v>
      </c>
      <c r="B4401" s="2" t="str">
        <f>"3376015707870002"</f>
        <v>3376015707870002</v>
      </c>
      <c r="C4401" s="2" t="s">
        <v>4946</v>
      </c>
      <c r="D4401" s="2" t="s">
        <v>17</v>
      </c>
      <c r="E4401" s="2" t="s">
        <v>11</v>
      </c>
      <c r="F4401" s="2" t="s">
        <v>18</v>
      </c>
      <c r="G4401" s="2" t="s">
        <v>19</v>
      </c>
      <c r="H4401" s="2" t="s">
        <v>3565</v>
      </c>
      <c r="I4401" s="2" t="s">
        <v>4711</v>
      </c>
    </row>
    <row r="4402" spans="1:9" ht="14.5" x14ac:dyDescent="0.35">
      <c r="A4402" s="2">
        <v>1800218</v>
      </c>
      <c r="B4402" s="2" t="str">
        <f>"3376022707970004"</f>
        <v>3376022707970004</v>
      </c>
      <c r="C4402" s="2" t="s">
        <v>4947</v>
      </c>
      <c r="D4402" s="2" t="s">
        <v>10</v>
      </c>
      <c r="E4402" s="2" t="s">
        <v>11</v>
      </c>
      <c r="F4402" s="2" t="s">
        <v>18</v>
      </c>
      <c r="G4402" s="2" t="s">
        <v>19</v>
      </c>
      <c r="H4402" s="2" t="s">
        <v>3565</v>
      </c>
      <c r="I4402" s="2" t="s">
        <v>4703</v>
      </c>
    </row>
    <row r="4403" spans="1:9" ht="14.5" x14ac:dyDescent="0.35">
      <c r="A4403" s="2">
        <v>423711</v>
      </c>
      <c r="B4403" s="2" t="str">
        <f>"3376022707970004"</f>
        <v>3376022707970004</v>
      </c>
      <c r="C4403" s="2" t="s">
        <v>4948</v>
      </c>
      <c r="D4403" s="2" t="s">
        <v>10</v>
      </c>
      <c r="E4403" s="2" t="s">
        <v>57</v>
      </c>
      <c r="F4403" s="2" t="s">
        <v>18</v>
      </c>
      <c r="G4403" s="2" t="s">
        <v>268</v>
      </c>
      <c r="H4403" s="2" t="s">
        <v>277</v>
      </c>
      <c r="I4403" s="2" t="s">
        <v>278</v>
      </c>
    </row>
    <row r="4404" spans="1:9" ht="14.5" x14ac:dyDescent="0.35">
      <c r="A4404" s="2">
        <v>750011</v>
      </c>
      <c r="B4404" s="2" t="str">
        <f>"3376025608880001"</f>
        <v>3376025608880001</v>
      </c>
      <c r="C4404" s="2" t="s">
        <v>4949</v>
      </c>
      <c r="D4404" s="2" t="s">
        <v>10</v>
      </c>
      <c r="E4404" s="2" t="s">
        <v>11</v>
      </c>
      <c r="F4404" s="2" t="s">
        <v>18</v>
      </c>
      <c r="G4404" s="2" t="s">
        <v>385</v>
      </c>
      <c r="H4404" s="2" t="s">
        <v>4950</v>
      </c>
      <c r="I4404" s="2" t="s">
        <v>4950</v>
      </c>
    </row>
    <row r="4405" spans="1:9" ht="14.5" x14ac:dyDescent="0.35">
      <c r="A4405" s="2">
        <v>2558951</v>
      </c>
      <c r="B4405" s="2" t="str">
        <f>"3376025608880001"</f>
        <v>3376025608880001</v>
      </c>
      <c r="C4405" s="2" t="s">
        <v>4949</v>
      </c>
      <c r="D4405" s="2" t="s">
        <v>17</v>
      </c>
      <c r="E4405" s="2" t="s">
        <v>11</v>
      </c>
      <c r="F4405" s="2" t="s">
        <v>18</v>
      </c>
      <c r="G4405" s="2" t="s">
        <v>19</v>
      </c>
      <c r="H4405" s="2" t="s">
        <v>3565</v>
      </c>
      <c r="I4405" s="2" t="s">
        <v>4719</v>
      </c>
    </row>
    <row r="4406" spans="1:9" ht="14.5" x14ac:dyDescent="0.35">
      <c r="A4406" s="2">
        <v>210645</v>
      </c>
      <c r="B4406" s="2" t="str">
        <f>"3376025706970002"</f>
        <v>3376025706970002</v>
      </c>
      <c r="C4406" s="2" t="s">
        <v>4951</v>
      </c>
      <c r="D4406" s="2" t="s">
        <v>10</v>
      </c>
      <c r="E4406" s="2" t="s">
        <v>11</v>
      </c>
      <c r="F4406" s="2" t="s">
        <v>18</v>
      </c>
      <c r="G4406" s="2" t="s">
        <v>268</v>
      </c>
      <c r="H4406" s="2" t="s">
        <v>371</v>
      </c>
      <c r="I4406" s="2" t="s">
        <v>2772</v>
      </c>
    </row>
    <row r="4407" spans="1:9" ht="14.5" x14ac:dyDescent="0.35">
      <c r="A4407" s="2">
        <v>2571751</v>
      </c>
      <c r="B4407" s="2" t="str">
        <f>"3376025706970002"</f>
        <v>3376025706970002</v>
      </c>
      <c r="C4407" s="2" t="s">
        <v>4952</v>
      </c>
      <c r="D4407" s="2" t="s">
        <v>17</v>
      </c>
      <c r="E4407" s="2" t="s">
        <v>11</v>
      </c>
      <c r="F4407" s="2" t="s">
        <v>18</v>
      </c>
      <c r="G4407" s="2" t="s">
        <v>19</v>
      </c>
      <c r="H4407" s="2" t="s">
        <v>3565</v>
      </c>
      <c r="I4407" s="2" t="s">
        <v>4731</v>
      </c>
    </row>
    <row r="4408" spans="1:9" ht="14.5" x14ac:dyDescent="0.35">
      <c r="A4408" s="2">
        <v>308894</v>
      </c>
      <c r="B4408" s="2" t="str">
        <f>"3376030706970001"</f>
        <v>3376030706970001</v>
      </c>
      <c r="C4408" s="2" t="s">
        <v>4953</v>
      </c>
      <c r="D4408" s="2" t="s">
        <v>189</v>
      </c>
      <c r="E4408" s="2" t="s">
        <v>11</v>
      </c>
      <c r="F4408" s="2" t="s">
        <v>18</v>
      </c>
      <c r="G4408" s="2" t="s">
        <v>268</v>
      </c>
      <c r="H4408" s="2" t="s">
        <v>269</v>
      </c>
      <c r="I4408" s="2" t="s">
        <v>1398</v>
      </c>
    </row>
    <row r="4409" spans="1:9" ht="14.5" x14ac:dyDescent="0.35">
      <c r="A4409" s="2">
        <v>2557691</v>
      </c>
      <c r="B4409" s="2" t="str">
        <f>"3376030706970001"</f>
        <v>3376030706970001</v>
      </c>
      <c r="C4409" s="2" t="s">
        <v>4953</v>
      </c>
      <c r="D4409" s="2" t="s">
        <v>17</v>
      </c>
      <c r="E4409" s="2" t="s">
        <v>11</v>
      </c>
      <c r="F4409" s="2" t="s">
        <v>18</v>
      </c>
      <c r="G4409" s="2" t="s">
        <v>19</v>
      </c>
      <c r="H4409" s="2" t="s">
        <v>3565</v>
      </c>
      <c r="I4409" s="2" t="s">
        <v>4769</v>
      </c>
    </row>
    <row r="4410" spans="1:9" ht="14.5" x14ac:dyDescent="0.35">
      <c r="A4410" s="2">
        <v>351567</v>
      </c>
      <c r="B4410" s="2" t="str">
        <f>"3376031312040001"</f>
        <v>3376031312040001</v>
      </c>
      <c r="C4410" s="2" t="s">
        <v>4954</v>
      </c>
      <c r="D4410" s="2" t="s">
        <v>10</v>
      </c>
      <c r="E4410" s="2" t="s">
        <v>11</v>
      </c>
      <c r="F4410" s="2" t="s">
        <v>18</v>
      </c>
      <c r="G4410" s="2" t="s">
        <v>268</v>
      </c>
      <c r="H4410" s="2" t="s">
        <v>269</v>
      </c>
      <c r="I4410" s="2" t="s">
        <v>270</v>
      </c>
    </row>
    <row r="4411" spans="1:9" ht="14.5" x14ac:dyDescent="0.35">
      <c r="A4411" s="2">
        <v>2558201</v>
      </c>
      <c r="B4411" s="2" t="str">
        <f>"3376031312040001"</f>
        <v>3376031312040001</v>
      </c>
      <c r="C4411" s="2" t="s">
        <v>4954</v>
      </c>
      <c r="D4411" s="2" t="s">
        <v>17</v>
      </c>
      <c r="E4411" s="2" t="s">
        <v>11</v>
      </c>
      <c r="F4411" s="2" t="s">
        <v>18</v>
      </c>
      <c r="G4411" s="2" t="s">
        <v>19</v>
      </c>
      <c r="H4411" s="2" t="s">
        <v>3565</v>
      </c>
      <c r="I4411" s="2" t="s">
        <v>4765</v>
      </c>
    </row>
    <row r="4412" spans="1:9" ht="14.5" x14ac:dyDescent="0.35">
      <c r="A4412" s="2">
        <v>1918369</v>
      </c>
      <c r="B4412" s="2" t="str">
        <f>"3510034804920010"</f>
        <v>3510034804920010</v>
      </c>
      <c r="C4412" s="2" t="s">
        <v>4955</v>
      </c>
      <c r="D4412" s="2" t="s">
        <v>10</v>
      </c>
      <c r="E4412" s="2" t="s">
        <v>11</v>
      </c>
      <c r="F4412" s="2" t="s">
        <v>18</v>
      </c>
      <c r="G4412" s="2" t="s">
        <v>19</v>
      </c>
      <c r="H4412" s="2" t="s">
        <v>3565</v>
      </c>
      <c r="I4412" s="2" t="s">
        <v>4719</v>
      </c>
    </row>
    <row r="4413" spans="1:9" ht="14.5" x14ac:dyDescent="0.35">
      <c r="A4413" s="2">
        <v>1411345</v>
      </c>
      <c r="B4413" s="2" t="str">
        <f>"3510034804920010"</f>
        <v>3510034804920010</v>
      </c>
      <c r="C4413" s="2" t="s">
        <v>4955</v>
      </c>
      <c r="D4413" s="2" t="s">
        <v>17</v>
      </c>
      <c r="E4413" s="2" t="s">
        <v>11</v>
      </c>
      <c r="F4413" s="2" t="s">
        <v>303</v>
      </c>
      <c r="G4413" s="2" t="s">
        <v>3472</v>
      </c>
      <c r="H4413" s="2" t="s">
        <v>4956</v>
      </c>
      <c r="I4413" s="2" t="s">
        <v>4957</v>
      </c>
    </row>
    <row r="4414" spans="1:9" ht="14.5" x14ac:dyDescent="0.35">
      <c r="A4414" s="2">
        <v>227018</v>
      </c>
      <c r="B4414" s="2" t="str">
        <f>"3521111506770006"</f>
        <v>3521111506770006</v>
      </c>
      <c r="C4414" s="2" t="s">
        <v>4958</v>
      </c>
      <c r="D4414" s="2" t="s">
        <v>10</v>
      </c>
      <c r="E4414" s="2" t="s">
        <v>11</v>
      </c>
      <c r="F4414" s="2" t="s">
        <v>240</v>
      </c>
      <c r="G4414" s="2" t="s">
        <v>4959</v>
      </c>
      <c r="H4414" s="2" t="s">
        <v>4960</v>
      </c>
      <c r="I4414" s="2" t="s">
        <v>4961</v>
      </c>
    </row>
    <row r="4415" spans="1:9" ht="14.5" x14ac:dyDescent="0.35">
      <c r="A4415" s="2">
        <v>2558607</v>
      </c>
      <c r="B4415" s="2" t="str">
        <f>"3521111506770006"</f>
        <v>3521111506770006</v>
      </c>
      <c r="C4415" s="2" t="s">
        <v>3710</v>
      </c>
      <c r="D4415" s="2" t="s">
        <v>17</v>
      </c>
      <c r="E4415" s="2" t="s">
        <v>11</v>
      </c>
      <c r="F4415" s="2" t="s">
        <v>18</v>
      </c>
      <c r="G4415" s="2" t="s">
        <v>19</v>
      </c>
      <c r="H4415" s="2" t="s">
        <v>3565</v>
      </c>
      <c r="I4415" s="2" t="s">
        <v>4697</v>
      </c>
    </row>
    <row r="4416" spans="1:9" ht="14.5" x14ac:dyDescent="0.35">
      <c r="A4416" s="2">
        <v>1919796</v>
      </c>
      <c r="B4416" s="2" t="str">
        <f>"3577022211920002"</f>
        <v>3577022211920002</v>
      </c>
      <c r="C4416" s="2" t="s">
        <v>4962</v>
      </c>
      <c r="D4416" s="2" t="s">
        <v>10</v>
      </c>
      <c r="E4416" s="2" t="s">
        <v>11</v>
      </c>
      <c r="F4416" s="2" t="s">
        <v>18</v>
      </c>
      <c r="G4416" s="2" t="s">
        <v>19</v>
      </c>
      <c r="H4416" s="2" t="s">
        <v>3565</v>
      </c>
      <c r="I4416" s="2" t="s">
        <v>4765</v>
      </c>
    </row>
    <row r="4417" spans="1:9" ht="14.5" x14ac:dyDescent="0.35">
      <c r="A4417" s="2">
        <v>329449</v>
      </c>
      <c r="B4417" s="2" t="str">
        <f>"3577022211920002"</f>
        <v>3577022211920002</v>
      </c>
      <c r="C4417" s="2" t="s">
        <v>4962</v>
      </c>
      <c r="D4417" s="2" t="s">
        <v>17</v>
      </c>
      <c r="E4417" s="2" t="s">
        <v>11</v>
      </c>
      <c r="F4417" s="2" t="s">
        <v>303</v>
      </c>
      <c r="G4417" s="2" t="s">
        <v>4963</v>
      </c>
      <c r="H4417" s="2" t="s">
        <v>4964</v>
      </c>
      <c r="I4417" s="2" t="s">
        <v>4965</v>
      </c>
    </row>
    <row r="4418" spans="1:9" ht="14.5" x14ac:dyDescent="0.35">
      <c r="A4418" s="2">
        <v>1436119</v>
      </c>
      <c r="B4418" s="2" t="str">
        <f>"3674062404850019"</f>
        <v>3674062404850019</v>
      </c>
      <c r="C4418" s="2" t="s">
        <v>4966</v>
      </c>
      <c r="D4418" s="2" t="s">
        <v>10</v>
      </c>
      <c r="E4418" s="2" t="s">
        <v>11</v>
      </c>
      <c r="F4418" s="2" t="s">
        <v>67</v>
      </c>
      <c r="G4418" s="2" t="s">
        <v>68</v>
      </c>
      <c r="H4418" s="2" t="s">
        <v>2817</v>
      </c>
      <c r="I4418" s="2" t="s">
        <v>317</v>
      </c>
    </row>
    <row r="4419" spans="1:9" ht="14.5" x14ac:dyDescent="0.35">
      <c r="A4419" s="2">
        <v>2558198</v>
      </c>
      <c r="B4419" s="2" t="str">
        <f>"3674062404850019"</f>
        <v>3674062404850019</v>
      </c>
      <c r="C4419" s="2" t="s">
        <v>4966</v>
      </c>
      <c r="D4419" s="2" t="s">
        <v>17</v>
      </c>
      <c r="E4419" s="2" t="s">
        <v>11</v>
      </c>
      <c r="F4419" s="2" t="s">
        <v>18</v>
      </c>
      <c r="G4419" s="2" t="s">
        <v>19</v>
      </c>
      <c r="H4419" s="2" t="s">
        <v>3565</v>
      </c>
      <c r="I4419" s="2" t="s">
        <v>4765</v>
      </c>
    </row>
    <row r="4420" spans="1:9" ht="14.5" x14ac:dyDescent="0.35">
      <c r="A4420" s="2">
        <v>196175</v>
      </c>
      <c r="B4420" s="2" t="str">
        <f>"5310121504890003"</f>
        <v>5310121504890003</v>
      </c>
      <c r="C4420" s="2" t="s">
        <v>4967</v>
      </c>
      <c r="D4420" s="2" t="s">
        <v>10</v>
      </c>
      <c r="E4420" s="2" t="s">
        <v>11</v>
      </c>
      <c r="F4420" s="2" t="s">
        <v>2122</v>
      </c>
      <c r="G4420" s="2" t="s">
        <v>1841</v>
      </c>
      <c r="H4420" s="2" t="s">
        <v>4968</v>
      </c>
      <c r="I4420" s="2" t="s">
        <v>4969</v>
      </c>
    </row>
    <row r="4421" spans="1:9" ht="14.5" x14ac:dyDescent="0.35">
      <c r="A4421" s="2">
        <v>2571664</v>
      </c>
      <c r="B4421" s="2" t="str">
        <f>"5310121504890003"</f>
        <v>5310121504890003</v>
      </c>
      <c r="C4421" s="2" t="s">
        <v>4970</v>
      </c>
      <c r="D4421" s="2" t="s">
        <v>17</v>
      </c>
      <c r="E4421" s="2" t="s">
        <v>11</v>
      </c>
      <c r="F4421" s="2" t="s">
        <v>18</v>
      </c>
      <c r="G4421" s="2" t="s">
        <v>19</v>
      </c>
      <c r="H4421" s="2" t="s">
        <v>3565</v>
      </c>
      <c r="I4421" s="2" t="s">
        <v>678</v>
      </c>
    </row>
    <row r="4422" spans="1:9" ht="14.5" x14ac:dyDescent="0.35">
      <c r="A4422" s="2">
        <v>738906</v>
      </c>
      <c r="B4422" s="2" t="str">
        <f>"1208115610000003"</f>
        <v>1208115610000003</v>
      </c>
      <c r="C4422" s="2" t="s">
        <v>4971</v>
      </c>
      <c r="D4422" s="2" t="s">
        <v>10</v>
      </c>
      <c r="E4422" s="2" t="s">
        <v>11</v>
      </c>
      <c r="F4422" s="2" t="s">
        <v>667</v>
      </c>
      <c r="G4422" s="2" t="s">
        <v>4972</v>
      </c>
      <c r="H4422" s="2" t="s">
        <v>4973</v>
      </c>
      <c r="I4422" s="2" t="s">
        <v>4974</v>
      </c>
    </row>
    <row r="4423" spans="1:9" ht="14.5" x14ac:dyDescent="0.35">
      <c r="A4423" s="2">
        <v>2559680</v>
      </c>
      <c r="B4423" s="2" t="str">
        <f>"1208115610000003"</f>
        <v>1208115610000003</v>
      </c>
      <c r="C4423" s="2" t="s">
        <v>4975</v>
      </c>
      <c r="D4423" s="2" t="s">
        <v>17</v>
      </c>
      <c r="E4423" s="2" t="s">
        <v>11</v>
      </c>
      <c r="F4423" s="2" t="s">
        <v>18</v>
      </c>
      <c r="G4423" s="2" t="s">
        <v>19</v>
      </c>
      <c r="H4423" s="2" t="s">
        <v>266</v>
      </c>
      <c r="I4423" s="2" t="s">
        <v>4976</v>
      </c>
    </row>
    <row r="4424" spans="1:9" ht="14.5" x14ac:dyDescent="0.35">
      <c r="A4424" s="2">
        <v>1314739</v>
      </c>
      <c r="B4424" s="2" t="str">
        <f>"1671047112600089"</f>
        <v>1671047112600089</v>
      </c>
      <c r="C4424" s="2" t="s">
        <v>4977</v>
      </c>
      <c r="D4424" s="2" t="s">
        <v>10</v>
      </c>
      <c r="E4424" s="2" t="s">
        <v>11</v>
      </c>
      <c r="F4424" s="2" t="s">
        <v>18</v>
      </c>
      <c r="G4424" s="2" t="s">
        <v>19</v>
      </c>
      <c r="H4424" s="2" t="s">
        <v>266</v>
      </c>
      <c r="I4424" s="2" t="s">
        <v>1737</v>
      </c>
    </row>
    <row r="4425" spans="1:9" ht="14.5" x14ac:dyDescent="0.35">
      <c r="A4425" s="2">
        <v>1284892</v>
      </c>
      <c r="B4425" s="2" t="str">
        <f>"1671047112600089"</f>
        <v>1671047112600089</v>
      </c>
      <c r="C4425" s="2" t="s">
        <v>4978</v>
      </c>
      <c r="D4425" s="2" t="s">
        <v>17</v>
      </c>
      <c r="E4425" s="2" t="s">
        <v>11</v>
      </c>
      <c r="F4425" s="2" t="s">
        <v>33</v>
      </c>
      <c r="G4425" s="2" t="s">
        <v>2157</v>
      </c>
      <c r="H4425" s="2" t="s">
        <v>4979</v>
      </c>
      <c r="I4425" s="2" t="s">
        <v>4980</v>
      </c>
    </row>
    <row r="4426" spans="1:9" ht="14.5" x14ac:dyDescent="0.35">
      <c r="A4426" s="2">
        <v>392297</v>
      </c>
      <c r="B4426" s="2" t="str">
        <f>"1802094909890003"</f>
        <v>1802094909890003</v>
      </c>
      <c r="C4426" s="2" t="s">
        <v>4981</v>
      </c>
      <c r="D4426" s="2" t="s">
        <v>10</v>
      </c>
      <c r="E4426" s="2" t="s">
        <v>11</v>
      </c>
      <c r="F4426" s="2" t="s">
        <v>44</v>
      </c>
      <c r="G4426" s="2" t="s">
        <v>1040</v>
      </c>
      <c r="H4426" s="2" t="s">
        <v>4982</v>
      </c>
      <c r="I4426" s="2" t="s">
        <v>4983</v>
      </c>
    </row>
    <row r="4427" spans="1:9" ht="14.5" x14ac:dyDescent="0.35">
      <c r="A4427" s="2">
        <v>2560129</v>
      </c>
      <c r="B4427" s="2" t="str">
        <f>"1802094909890003"</f>
        <v>1802094909890003</v>
      </c>
      <c r="C4427" s="2" t="s">
        <v>4984</v>
      </c>
      <c r="D4427" s="2" t="s">
        <v>17</v>
      </c>
      <c r="E4427" s="2" t="s">
        <v>11</v>
      </c>
      <c r="F4427" s="2" t="s">
        <v>18</v>
      </c>
      <c r="G4427" s="2" t="s">
        <v>19</v>
      </c>
      <c r="H4427" s="2" t="s">
        <v>266</v>
      </c>
      <c r="I4427" s="2" t="s">
        <v>4985</v>
      </c>
    </row>
    <row r="4428" spans="1:9" ht="14.5" x14ac:dyDescent="0.35">
      <c r="A4428" s="2">
        <v>45989</v>
      </c>
      <c r="B4428" s="2" t="str">
        <f>"1901054610950001"</f>
        <v>1901054610950001</v>
      </c>
      <c r="C4428" s="2" t="s">
        <v>4986</v>
      </c>
      <c r="D4428" s="2" t="s">
        <v>10</v>
      </c>
      <c r="E4428" s="2" t="s">
        <v>11</v>
      </c>
      <c r="F4428" s="2" t="s">
        <v>225</v>
      </c>
      <c r="G4428" s="2" t="s">
        <v>226</v>
      </c>
      <c r="H4428" s="2" t="s">
        <v>4987</v>
      </c>
      <c r="I4428" s="2" t="s">
        <v>4988</v>
      </c>
    </row>
    <row r="4429" spans="1:9" ht="14.5" x14ac:dyDescent="0.35">
      <c r="A4429" s="2">
        <v>2559752</v>
      </c>
      <c r="B4429" s="2" t="str">
        <f>"1901054610950001"</f>
        <v>1901054610950001</v>
      </c>
      <c r="C4429" s="2" t="s">
        <v>4986</v>
      </c>
      <c r="D4429" s="2" t="s">
        <v>17</v>
      </c>
      <c r="E4429" s="2" t="s">
        <v>11</v>
      </c>
      <c r="F4429" s="2" t="s">
        <v>18</v>
      </c>
      <c r="G4429" s="2" t="s">
        <v>19</v>
      </c>
      <c r="H4429" s="2" t="s">
        <v>266</v>
      </c>
      <c r="I4429" s="2" t="s">
        <v>4976</v>
      </c>
    </row>
    <row r="4430" spans="1:9" ht="14.5" x14ac:dyDescent="0.35">
      <c r="A4430" s="2">
        <v>506531</v>
      </c>
      <c r="B4430" s="2" t="str">
        <f>"3172021712970001"</f>
        <v>3172021712970001</v>
      </c>
      <c r="C4430" s="2" t="s">
        <v>4989</v>
      </c>
      <c r="D4430" s="2" t="s">
        <v>10</v>
      </c>
      <c r="E4430" s="2" t="s">
        <v>11</v>
      </c>
      <c r="F4430" s="2" t="s">
        <v>50</v>
      </c>
      <c r="G4430" s="2" t="s">
        <v>51</v>
      </c>
      <c r="H4430" s="2" t="s">
        <v>62</v>
      </c>
      <c r="I4430" s="2" t="s">
        <v>2193</v>
      </c>
    </row>
    <row r="4431" spans="1:9" ht="14.5" x14ac:dyDescent="0.35">
      <c r="A4431" s="2">
        <v>2560216</v>
      </c>
      <c r="B4431" s="2" t="str">
        <f>"3172021712970001"</f>
        <v>3172021712970001</v>
      </c>
      <c r="C4431" s="2" t="s">
        <v>4989</v>
      </c>
      <c r="D4431" s="2" t="s">
        <v>17</v>
      </c>
      <c r="E4431" s="2" t="s">
        <v>11</v>
      </c>
      <c r="F4431" s="2" t="s">
        <v>18</v>
      </c>
      <c r="G4431" s="2" t="s">
        <v>19</v>
      </c>
      <c r="H4431" s="2" t="s">
        <v>266</v>
      </c>
      <c r="I4431" s="2" t="s">
        <v>4990</v>
      </c>
    </row>
    <row r="4432" spans="1:9" ht="14.5" x14ac:dyDescent="0.35">
      <c r="A4432" s="2">
        <v>1046589</v>
      </c>
      <c r="B4432" s="2" t="str">
        <f>"3172030707480006"</f>
        <v>3172030707480006</v>
      </c>
      <c r="C4432" s="2" t="s">
        <v>4991</v>
      </c>
      <c r="D4432" s="2" t="s">
        <v>10</v>
      </c>
      <c r="E4432" s="2" t="s">
        <v>11</v>
      </c>
      <c r="F4432" s="2" t="s">
        <v>50</v>
      </c>
      <c r="G4432" s="2" t="s">
        <v>51</v>
      </c>
      <c r="H4432" s="2" t="s">
        <v>284</v>
      </c>
      <c r="I4432" s="2" t="s">
        <v>4992</v>
      </c>
    </row>
    <row r="4433" spans="1:9" ht="14.5" x14ac:dyDescent="0.35">
      <c r="A4433" s="2">
        <v>2560459</v>
      </c>
      <c r="B4433" s="2" t="str">
        <f>"3172030707480006"</f>
        <v>3172030707480006</v>
      </c>
      <c r="C4433" s="2" t="s">
        <v>4993</v>
      </c>
      <c r="D4433" s="2" t="s">
        <v>17</v>
      </c>
      <c r="E4433" s="2" t="s">
        <v>11</v>
      </c>
      <c r="F4433" s="2" t="s">
        <v>18</v>
      </c>
      <c r="G4433" s="2" t="s">
        <v>19</v>
      </c>
      <c r="H4433" s="2" t="s">
        <v>266</v>
      </c>
      <c r="I4433" s="2" t="s">
        <v>4994</v>
      </c>
    </row>
    <row r="4434" spans="1:9" ht="14.5" x14ac:dyDescent="0.35">
      <c r="A4434" s="2">
        <v>1014202</v>
      </c>
      <c r="B4434" s="2" t="str">
        <f>"3173061909810010"</f>
        <v>3173061909810010</v>
      </c>
      <c r="C4434" s="2" t="s">
        <v>4995</v>
      </c>
      <c r="D4434" s="2" t="s">
        <v>10</v>
      </c>
      <c r="E4434" s="2" t="s">
        <v>11</v>
      </c>
      <c r="F4434" s="2" t="s">
        <v>50</v>
      </c>
      <c r="G4434" s="2" t="s">
        <v>86</v>
      </c>
      <c r="H4434" s="2" t="s">
        <v>87</v>
      </c>
      <c r="I4434" s="2" t="s">
        <v>88</v>
      </c>
    </row>
    <row r="4435" spans="1:9" ht="14.5" x14ac:dyDescent="0.35">
      <c r="A4435" s="2">
        <v>2560278</v>
      </c>
      <c r="B4435" s="2" t="str">
        <f>"3173061909810010"</f>
        <v>3173061909810010</v>
      </c>
      <c r="C4435" s="2" t="s">
        <v>4995</v>
      </c>
      <c r="D4435" s="2" t="s">
        <v>17</v>
      </c>
      <c r="E4435" s="2" t="s">
        <v>11</v>
      </c>
      <c r="F4435" s="2" t="s">
        <v>18</v>
      </c>
      <c r="G4435" s="2" t="s">
        <v>19</v>
      </c>
      <c r="H4435" s="2" t="s">
        <v>266</v>
      </c>
      <c r="I4435" s="2" t="s">
        <v>4990</v>
      </c>
    </row>
    <row r="4436" spans="1:9" ht="14.5" x14ac:dyDescent="0.35">
      <c r="A4436" s="2">
        <v>1361518</v>
      </c>
      <c r="B4436" s="2" t="str">
        <f>"3174071208800006"</f>
        <v>3174071208800006</v>
      </c>
      <c r="C4436" s="2" t="s">
        <v>4996</v>
      </c>
      <c r="D4436" s="2" t="s">
        <v>10</v>
      </c>
      <c r="E4436" s="2" t="s">
        <v>11</v>
      </c>
      <c r="F4436" s="2" t="s">
        <v>50</v>
      </c>
      <c r="G4436" s="2" t="s">
        <v>72</v>
      </c>
      <c r="H4436" s="2" t="s">
        <v>628</v>
      </c>
      <c r="I4436" s="2" t="s">
        <v>2252</v>
      </c>
    </row>
    <row r="4437" spans="1:9" ht="14.5" x14ac:dyDescent="0.35">
      <c r="A4437" s="2">
        <v>2559883</v>
      </c>
      <c r="B4437" s="2" t="str">
        <f>"3174071208800006"</f>
        <v>3174071208800006</v>
      </c>
      <c r="C4437" s="2" t="s">
        <v>4997</v>
      </c>
      <c r="D4437" s="2" t="s">
        <v>17</v>
      </c>
      <c r="E4437" s="2" t="s">
        <v>11</v>
      </c>
      <c r="F4437" s="2" t="s">
        <v>18</v>
      </c>
      <c r="G4437" s="2" t="s">
        <v>19</v>
      </c>
      <c r="H4437" s="2" t="s">
        <v>266</v>
      </c>
      <c r="I4437" s="2" t="s">
        <v>1573</v>
      </c>
    </row>
    <row r="4438" spans="1:9" ht="14.5" x14ac:dyDescent="0.35">
      <c r="A4438" s="2">
        <v>188935</v>
      </c>
      <c r="B4438" s="2" t="str">
        <f>"3175030904750009"</f>
        <v>3175030904750009</v>
      </c>
      <c r="C4438" s="2" t="s">
        <v>4998</v>
      </c>
      <c r="D4438" s="2" t="s">
        <v>10</v>
      </c>
      <c r="E4438" s="2" t="s">
        <v>11</v>
      </c>
      <c r="F4438" s="2" t="s">
        <v>50</v>
      </c>
      <c r="G4438" s="2" t="s">
        <v>58</v>
      </c>
      <c r="H4438" s="2" t="s">
        <v>59</v>
      </c>
      <c r="I4438" s="2" t="s">
        <v>1368</v>
      </c>
    </row>
    <row r="4439" spans="1:9" ht="14.5" x14ac:dyDescent="0.35">
      <c r="A4439" s="2">
        <v>2559710</v>
      </c>
      <c r="B4439" s="2" t="str">
        <f>"3175030904750009"</f>
        <v>3175030904750009</v>
      </c>
      <c r="C4439" s="2" t="s">
        <v>4999</v>
      </c>
      <c r="D4439" s="2" t="s">
        <v>17</v>
      </c>
      <c r="E4439" s="2" t="s">
        <v>11</v>
      </c>
      <c r="F4439" s="2" t="s">
        <v>18</v>
      </c>
      <c r="G4439" s="2" t="s">
        <v>19</v>
      </c>
      <c r="H4439" s="2" t="s">
        <v>266</v>
      </c>
      <c r="I4439" s="2" t="s">
        <v>4976</v>
      </c>
    </row>
    <row r="4440" spans="1:9" ht="14.5" x14ac:dyDescent="0.35">
      <c r="A4440" s="2">
        <v>188936</v>
      </c>
      <c r="B4440" s="2" t="str">
        <f>"3175035410740008"</f>
        <v>3175035410740008</v>
      </c>
      <c r="C4440" s="2" t="s">
        <v>5000</v>
      </c>
      <c r="D4440" s="2" t="s">
        <v>10</v>
      </c>
      <c r="E4440" s="2" t="s">
        <v>11</v>
      </c>
      <c r="F4440" s="2" t="s">
        <v>50</v>
      </c>
      <c r="G4440" s="2" t="s">
        <v>58</v>
      </c>
      <c r="H4440" s="2" t="s">
        <v>59</v>
      </c>
      <c r="I4440" s="2" t="s">
        <v>1368</v>
      </c>
    </row>
    <row r="4441" spans="1:9" ht="14.5" x14ac:dyDescent="0.35">
      <c r="A4441" s="2">
        <v>2559707</v>
      </c>
      <c r="B4441" s="2" t="str">
        <f>"3175035410740008"</f>
        <v>3175035410740008</v>
      </c>
      <c r="C4441" s="2" t="s">
        <v>5001</v>
      </c>
      <c r="D4441" s="2" t="s">
        <v>17</v>
      </c>
      <c r="E4441" s="2" t="s">
        <v>11</v>
      </c>
      <c r="F4441" s="2" t="s">
        <v>18</v>
      </c>
      <c r="G4441" s="2" t="s">
        <v>19</v>
      </c>
      <c r="H4441" s="2" t="s">
        <v>266</v>
      </c>
      <c r="I4441" s="2" t="s">
        <v>4976</v>
      </c>
    </row>
    <row r="4442" spans="1:9" ht="14.5" x14ac:dyDescent="0.35">
      <c r="A4442" s="2">
        <v>1829131</v>
      </c>
      <c r="B4442" s="2" t="str">
        <f>"3202290907920009"</f>
        <v>3202290907920009</v>
      </c>
      <c r="C4442" s="2" t="s">
        <v>5002</v>
      </c>
      <c r="D4442" s="2" t="s">
        <v>10</v>
      </c>
      <c r="E4442" s="2" t="s">
        <v>11</v>
      </c>
      <c r="F4442" s="2" t="s">
        <v>91</v>
      </c>
      <c r="G4442" s="2" t="s">
        <v>101</v>
      </c>
      <c r="H4442" s="2" t="s">
        <v>5003</v>
      </c>
      <c r="I4442" s="2" t="s">
        <v>5004</v>
      </c>
    </row>
    <row r="4443" spans="1:9" ht="14.5" x14ac:dyDescent="0.35">
      <c r="A4443" s="2">
        <v>2559509</v>
      </c>
      <c r="B4443" s="2" t="str">
        <f>"3202290907920009"</f>
        <v>3202290907920009</v>
      </c>
      <c r="C4443" s="2" t="s">
        <v>5002</v>
      </c>
      <c r="D4443" s="2" t="s">
        <v>17</v>
      </c>
      <c r="E4443" s="2" t="s">
        <v>11</v>
      </c>
      <c r="F4443" s="2" t="s">
        <v>18</v>
      </c>
      <c r="G4443" s="2" t="s">
        <v>19</v>
      </c>
      <c r="H4443" s="2" t="s">
        <v>266</v>
      </c>
      <c r="I4443" s="2" t="s">
        <v>5005</v>
      </c>
    </row>
    <row r="4444" spans="1:9" ht="14.5" x14ac:dyDescent="0.35">
      <c r="A4444" s="2">
        <v>457921</v>
      </c>
      <c r="B4444" s="2" t="str">
        <f>"3209032603900011"</f>
        <v>3209032603900011</v>
      </c>
      <c r="C4444" s="2" t="s">
        <v>5006</v>
      </c>
      <c r="D4444" s="2" t="s">
        <v>10</v>
      </c>
      <c r="E4444" s="2" t="s">
        <v>11</v>
      </c>
      <c r="F4444" s="2" t="s">
        <v>91</v>
      </c>
      <c r="G4444" s="2" t="s">
        <v>985</v>
      </c>
      <c r="H4444" s="2" t="s">
        <v>877</v>
      </c>
      <c r="I4444" s="2" t="s">
        <v>5007</v>
      </c>
    </row>
    <row r="4445" spans="1:9" ht="14.5" x14ac:dyDescent="0.35">
      <c r="A4445" s="2">
        <v>2560439</v>
      </c>
      <c r="B4445" s="2" t="str">
        <f>"3209032603900011"</f>
        <v>3209032603900011</v>
      </c>
      <c r="C4445" s="2" t="s">
        <v>5006</v>
      </c>
      <c r="D4445" s="2" t="s">
        <v>17</v>
      </c>
      <c r="E4445" s="2" t="s">
        <v>11</v>
      </c>
      <c r="F4445" s="2" t="s">
        <v>18</v>
      </c>
      <c r="G4445" s="2" t="s">
        <v>19</v>
      </c>
      <c r="H4445" s="2" t="s">
        <v>266</v>
      </c>
      <c r="I4445" s="2" t="s">
        <v>4994</v>
      </c>
    </row>
    <row r="4446" spans="1:9" ht="14.5" x14ac:dyDescent="0.35">
      <c r="A4446" s="2">
        <v>1143225</v>
      </c>
      <c r="B4446" s="2" t="str">
        <f>"3273255408800003"</f>
        <v>3273255408800003</v>
      </c>
      <c r="C4446" s="2" t="s">
        <v>5008</v>
      </c>
      <c r="D4446" s="2" t="s">
        <v>10</v>
      </c>
      <c r="E4446" s="2" t="s">
        <v>11</v>
      </c>
      <c r="F4446" s="2" t="s">
        <v>91</v>
      </c>
      <c r="G4446" s="2" t="s">
        <v>149</v>
      </c>
      <c r="H4446" s="2" t="s">
        <v>5009</v>
      </c>
      <c r="I4446" s="2" t="s">
        <v>5010</v>
      </c>
    </row>
    <row r="4447" spans="1:9" ht="14.5" x14ac:dyDescent="0.35">
      <c r="A4447" s="2">
        <v>2561006</v>
      </c>
      <c r="B4447" s="2" t="str">
        <f>"3273255408800003"</f>
        <v>3273255408800003</v>
      </c>
      <c r="C4447" s="2" t="s">
        <v>5008</v>
      </c>
      <c r="D4447" s="2" t="s">
        <v>17</v>
      </c>
      <c r="E4447" s="2" t="s">
        <v>11</v>
      </c>
      <c r="F4447" s="2" t="s">
        <v>18</v>
      </c>
      <c r="G4447" s="2" t="s">
        <v>19</v>
      </c>
      <c r="H4447" s="2" t="s">
        <v>266</v>
      </c>
      <c r="I4447" s="2" t="s">
        <v>5011</v>
      </c>
    </row>
    <row r="4448" spans="1:9" ht="14.5" x14ac:dyDescent="0.35">
      <c r="A4448" s="2">
        <v>393159</v>
      </c>
      <c r="B4448" s="2" t="str">
        <f>"3275070701070001"</f>
        <v>3275070701070001</v>
      </c>
      <c r="C4448" s="2" t="s">
        <v>5012</v>
      </c>
      <c r="D4448" s="2" t="s">
        <v>10</v>
      </c>
      <c r="E4448" s="2" t="s">
        <v>11</v>
      </c>
      <c r="F4448" s="2" t="s">
        <v>91</v>
      </c>
      <c r="G4448" s="2" t="s">
        <v>159</v>
      </c>
      <c r="H4448" s="2" t="s">
        <v>5013</v>
      </c>
      <c r="I4448" s="2" t="s">
        <v>5014</v>
      </c>
    </row>
    <row r="4449" spans="1:9" ht="14.5" x14ac:dyDescent="0.35">
      <c r="A4449" s="2">
        <v>2560271</v>
      </c>
      <c r="B4449" s="2" t="str">
        <f>"3275070701070001"</f>
        <v>3275070701070001</v>
      </c>
      <c r="C4449" s="2" t="s">
        <v>5012</v>
      </c>
      <c r="D4449" s="2" t="s">
        <v>17</v>
      </c>
      <c r="E4449" s="2" t="s">
        <v>11</v>
      </c>
      <c r="F4449" s="2" t="s">
        <v>18</v>
      </c>
      <c r="G4449" s="2" t="s">
        <v>19</v>
      </c>
      <c r="H4449" s="2" t="s">
        <v>266</v>
      </c>
      <c r="I4449" s="2" t="s">
        <v>4990</v>
      </c>
    </row>
    <row r="4450" spans="1:9" ht="14.5" x14ac:dyDescent="0.35">
      <c r="A4450" s="2">
        <v>872412</v>
      </c>
      <c r="B4450" s="2" t="str">
        <f>"3303095409780003"</f>
        <v>3303095409780003</v>
      </c>
      <c r="C4450" s="2" t="s">
        <v>5015</v>
      </c>
      <c r="D4450" s="2" t="s">
        <v>10</v>
      </c>
      <c r="E4450" s="2" t="s">
        <v>11</v>
      </c>
      <c r="F4450" s="2" t="s">
        <v>18</v>
      </c>
      <c r="G4450" s="2" t="s">
        <v>1349</v>
      </c>
      <c r="H4450" s="2" t="s">
        <v>5016</v>
      </c>
      <c r="I4450" s="2" t="s">
        <v>5017</v>
      </c>
    </row>
    <row r="4451" spans="1:9" ht="14.5" x14ac:dyDescent="0.35">
      <c r="A4451" s="2">
        <v>2559637</v>
      </c>
      <c r="B4451" s="2" t="str">
        <f>"3303095409780003"</f>
        <v>3303095409780003</v>
      </c>
      <c r="C4451" s="2" t="s">
        <v>5015</v>
      </c>
      <c r="D4451" s="2" t="s">
        <v>17</v>
      </c>
      <c r="E4451" s="2" t="s">
        <v>11</v>
      </c>
      <c r="F4451" s="2" t="s">
        <v>18</v>
      </c>
      <c r="G4451" s="2" t="s">
        <v>19</v>
      </c>
      <c r="H4451" s="2" t="s">
        <v>266</v>
      </c>
      <c r="I4451" s="2" t="s">
        <v>4976</v>
      </c>
    </row>
    <row r="4452" spans="1:9" ht="14.5" x14ac:dyDescent="0.35">
      <c r="A4452" s="2">
        <v>677334</v>
      </c>
      <c r="B4452" s="2" t="str">
        <f>"3310172608000002"</f>
        <v>3310172608000002</v>
      </c>
      <c r="C4452" s="2" t="s">
        <v>5018</v>
      </c>
      <c r="D4452" s="2" t="s">
        <v>10</v>
      </c>
      <c r="E4452" s="2" t="s">
        <v>11</v>
      </c>
      <c r="F4452" s="2" t="s">
        <v>18</v>
      </c>
      <c r="G4452" s="2" t="s">
        <v>385</v>
      </c>
      <c r="H4452" s="2" t="s">
        <v>5019</v>
      </c>
      <c r="I4452" s="2" t="s">
        <v>4207</v>
      </c>
    </row>
    <row r="4453" spans="1:9" ht="14.5" x14ac:dyDescent="0.35">
      <c r="A4453" s="2">
        <v>2559597</v>
      </c>
      <c r="B4453" s="2" t="str">
        <f>"3310172608000002"</f>
        <v>3310172608000002</v>
      </c>
      <c r="C4453" s="2" t="s">
        <v>5020</v>
      </c>
      <c r="D4453" s="2" t="s">
        <v>17</v>
      </c>
      <c r="E4453" s="2" t="s">
        <v>11</v>
      </c>
      <c r="F4453" s="2" t="s">
        <v>18</v>
      </c>
      <c r="G4453" s="2" t="s">
        <v>19</v>
      </c>
      <c r="H4453" s="2" t="s">
        <v>266</v>
      </c>
      <c r="I4453" s="2" t="s">
        <v>5005</v>
      </c>
    </row>
    <row r="4454" spans="1:9" ht="14.5" x14ac:dyDescent="0.35">
      <c r="A4454" s="2">
        <v>617249</v>
      </c>
      <c r="B4454" s="2" t="str">
        <f>"3323025501920003"</f>
        <v>3323025501920003</v>
      </c>
      <c r="C4454" s="2" t="s">
        <v>5021</v>
      </c>
      <c r="D4454" s="2" t="s">
        <v>10</v>
      </c>
      <c r="E4454" s="2" t="s">
        <v>11</v>
      </c>
      <c r="F4454" s="2" t="s">
        <v>379</v>
      </c>
      <c r="G4454" s="2" t="s">
        <v>1206</v>
      </c>
      <c r="H4454" s="2" t="s">
        <v>4136</v>
      </c>
      <c r="I4454" s="2" t="s">
        <v>5022</v>
      </c>
    </row>
    <row r="4455" spans="1:9" ht="14.5" x14ac:dyDescent="0.35">
      <c r="A4455" s="2">
        <v>2560823</v>
      </c>
      <c r="B4455" s="2" t="str">
        <f>"3323025501920003"</f>
        <v>3323025501920003</v>
      </c>
      <c r="C4455" s="2" t="s">
        <v>5021</v>
      </c>
      <c r="D4455" s="2" t="s">
        <v>17</v>
      </c>
      <c r="E4455" s="2" t="s">
        <v>11</v>
      </c>
      <c r="F4455" s="2" t="s">
        <v>18</v>
      </c>
      <c r="G4455" s="2" t="s">
        <v>19</v>
      </c>
      <c r="H4455" s="2" t="s">
        <v>266</v>
      </c>
      <c r="I4455" s="2" t="s">
        <v>5023</v>
      </c>
    </row>
    <row r="4456" spans="1:9" ht="14.5" x14ac:dyDescent="0.35">
      <c r="A4456" s="2">
        <v>2639804</v>
      </c>
      <c r="B4456" s="2" t="str">
        <f>"3327075410940001"</f>
        <v>3327075410940001</v>
      </c>
      <c r="C4456" s="2" t="s">
        <v>5024</v>
      </c>
      <c r="D4456" s="2" t="s">
        <v>17</v>
      </c>
      <c r="E4456" s="2" t="s">
        <v>11</v>
      </c>
      <c r="F4456" s="2" t="s">
        <v>18</v>
      </c>
      <c r="G4456" s="2" t="s">
        <v>199</v>
      </c>
      <c r="H4456" s="2" t="s">
        <v>1860</v>
      </c>
      <c r="I4456" s="2" t="s">
        <v>1011</v>
      </c>
    </row>
    <row r="4457" spans="1:9" ht="14.5" x14ac:dyDescent="0.35">
      <c r="A4457" s="2">
        <v>1289751</v>
      </c>
      <c r="B4457" s="2" t="str">
        <f>"3327075410940001"</f>
        <v>3327075410940001</v>
      </c>
      <c r="C4457" s="2" t="s">
        <v>5024</v>
      </c>
      <c r="D4457" s="2" t="s">
        <v>189</v>
      </c>
      <c r="E4457" s="2" t="s">
        <v>11</v>
      </c>
      <c r="F4457" s="2" t="s">
        <v>18</v>
      </c>
      <c r="G4457" s="2" t="s">
        <v>19</v>
      </c>
      <c r="H4457" s="2" t="s">
        <v>266</v>
      </c>
      <c r="I4457" s="2" t="s">
        <v>4994</v>
      </c>
    </row>
    <row r="4458" spans="1:9" ht="14.5" x14ac:dyDescent="0.35">
      <c r="A4458" s="2">
        <v>2115345</v>
      </c>
      <c r="B4458" s="2" t="str">
        <f>"3327100101690178"</f>
        <v>3327100101690178</v>
      </c>
      <c r="C4458" s="2" t="s">
        <v>5025</v>
      </c>
      <c r="D4458" s="2" t="s">
        <v>10</v>
      </c>
      <c r="E4458" s="2" t="s">
        <v>11</v>
      </c>
      <c r="F4458" s="2" t="s">
        <v>18</v>
      </c>
      <c r="G4458" s="2" t="s">
        <v>199</v>
      </c>
      <c r="H4458" s="2" t="s">
        <v>200</v>
      </c>
      <c r="I4458" s="2" t="s">
        <v>5026</v>
      </c>
    </row>
    <row r="4459" spans="1:9" ht="14.5" x14ac:dyDescent="0.35">
      <c r="A4459" s="2">
        <v>2560753</v>
      </c>
      <c r="B4459" s="2" t="str">
        <f>"3327100101690178"</f>
        <v>3327100101690178</v>
      </c>
      <c r="C4459" s="2" t="s">
        <v>5025</v>
      </c>
      <c r="D4459" s="2" t="s">
        <v>17</v>
      </c>
      <c r="E4459" s="2" t="s">
        <v>11</v>
      </c>
      <c r="F4459" s="2" t="s">
        <v>18</v>
      </c>
      <c r="G4459" s="2" t="s">
        <v>19</v>
      </c>
      <c r="H4459" s="2" t="s">
        <v>266</v>
      </c>
      <c r="I4459" s="2" t="s">
        <v>5023</v>
      </c>
    </row>
    <row r="4460" spans="1:9" ht="14.5" x14ac:dyDescent="0.35">
      <c r="A4460" s="2">
        <v>26513</v>
      </c>
      <c r="B4460" s="2" t="str">
        <f>"3328060606870013"</f>
        <v>3328060606870013</v>
      </c>
      <c r="C4460" s="2" t="s">
        <v>5027</v>
      </c>
      <c r="D4460" s="2" t="s">
        <v>10</v>
      </c>
      <c r="E4460" s="2" t="s">
        <v>11</v>
      </c>
      <c r="F4460" s="2" t="s">
        <v>2889</v>
      </c>
      <c r="G4460" s="2" t="s">
        <v>2890</v>
      </c>
      <c r="H4460" s="2" t="s">
        <v>5028</v>
      </c>
      <c r="I4460" s="2" t="s">
        <v>5029</v>
      </c>
    </row>
    <row r="4461" spans="1:9" ht="14.5" x14ac:dyDescent="0.35">
      <c r="A4461" s="2">
        <v>2560102</v>
      </c>
      <c r="B4461" s="2" t="str">
        <f>"3328060606870013"</f>
        <v>3328060606870013</v>
      </c>
      <c r="C4461" s="2" t="s">
        <v>5030</v>
      </c>
      <c r="D4461" s="2" t="s">
        <v>17</v>
      </c>
      <c r="E4461" s="2" t="s">
        <v>11</v>
      </c>
      <c r="F4461" s="2" t="s">
        <v>18</v>
      </c>
      <c r="G4461" s="2" t="s">
        <v>19</v>
      </c>
      <c r="H4461" s="2" t="s">
        <v>266</v>
      </c>
      <c r="I4461" s="2" t="s">
        <v>1737</v>
      </c>
    </row>
    <row r="4462" spans="1:9" ht="14.5" x14ac:dyDescent="0.35">
      <c r="A4462" s="2">
        <v>53340</v>
      </c>
      <c r="B4462" s="2" t="str">
        <f>"3328111004790010"</f>
        <v>3328111004790010</v>
      </c>
      <c r="C4462" s="2" t="s">
        <v>5031</v>
      </c>
      <c r="D4462" s="2" t="s">
        <v>10</v>
      </c>
      <c r="E4462" s="2" t="s">
        <v>11</v>
      </c>
      <c r="F4462" s="2" t="s">
        <v>1374</v>
      </c>
      <c r="G4462" s="2" t="s">
        <v>1375</v>
      </c>
      <c r="H4462" s="2" t="s">
        <v>1376</v>
      </c>
      <c r="I4462" s="2" t="s">
        <v>1377</v>
      </c>
    </row>
    <row r="4463" spans="1:9" ht="14.5" x14ac:dyDescent="0.35">
      <c r="A4463" s="2">
        <v>2560648</v>
      </c>
      <c r="B4463" s="2" t="str">
        <f>"3328111004790010"</f>
        <v>3328111004790010</v>
      </c>
      <c r="C4463" s="2" t="s">
        <v>5031</v>
      </c>
      <c r="D4463" s="2" t="s">
        <v>17</v>
      </c>
      <c r="E4463" s="2" t="s">
        <v>11</v>
      </c>
      <c r="F4463" s="2" t="s">
        <v>18</v>
      </c>
      <c r="G4463" s="2" t="s">
        <v>19</v>
      </c>
      <c r="H4463" s="2" t="s">
        <v>266</v>
      </c>
      <c r="I4463" s="2" t="s">
        <v>266</v>
      </c>
    </row>
    <row r="4464" spans="1:9" ht="14.5" x14ac:dyDescent="0.35">
      <c r="A4464" s="2">
        <v>1648800</v>
      </c>
      <c r="B4464" s="2" t="str">
        <f>"3328131205870003"</f>
        <v>3328131205870003</v>
      </c>
      <c r="C4464" s="2" t="s">
        <v>5032</v>
      </c>
      <c r="D4464" s="2" t="s">
        <v>10</v>
      </c>
      <c r="E4464" s="2" t="s">
        <v>11</v>
      </c>
      <c r="F4464" s="2" t="s">
        <v>18</v>
      </c>
      <c r="G4464" s="2" t="s">
        <v>19</v>
      </c>
      <c r="H4464" s="2" t="s">
        <v>266</v>
      </c>
      <c r="I4464" s="2" t="s">
        <v>4976</v>
      </c>
    </row>
    <row r="4465" spans="1:9" ht="14.5" x14ac:dyDescent="0.35">
      <c r="A4465" s="2">
        <v>269121</v>
      </c>
      <c r="B4465" s="2" t="str">
        <f>"3328131205870003"</f>
        <v>3328131205870003</v>
      </c>
      <c r="C4465" s="2" t="s">
        <v>5033</v>
      </c>
      <c r="D4465" s="2" t="s">
        <v>10</v>
      </c>
      <c r="E4465" s="2" t="s">
        <v>57</v>
      </c>
      <c r="F4465" s="2" t="s">
        <v>91</v>
      </c>
      <c r="G4465" s="2" t="s">
        <v>155</v>
      </c>
      <c r="H4465" s="2" t="s">
        <v>5034</v>
      </c>
      <c r="I4465" s="2" t="s">
        <v>5035</v>
      </c>
    </row>
    <row r="4466" spans="1:9" ht="14.5" x14ac:dyDescent="0.35">
      <c r="A4466" s="2">
        <v>606111</v>
      </c>
      <c r="B4466" s="2" t="str">
        <f>"3328132803940014"</f>
        <v>3328132803940014</v>
      </c>
      <c r="C4466" s="2" t="s">
        <v>5036</v>
      </c>
      <c r="D4466" s="2" t="s">
        <v>10</v>
      </c>
      <c r="E4466" s="2" t="s">
        <v>11</v>
      </c>
      <c r="F4466" s="2" t="s">
        <v>91</v>
      </c>
      <c r="G4466" s="2" t="s">
        <v>3442</v>
      </c>
      <c r="H4466" s="2" t="s">
        <v>5037</v>
      </c>
      <c r="I4466" s="2" t="s">
        <v>5037</v>
      </c>
    </row>
    <row r="4467" spans="1:9" ht="14.5" x14ac:dyDescent="0.35">
      <c r="A4467" s="2">
        <v>2559615</v>
      </c>
      <c r="B4467" s="2" t="str">
        <f>"3328132803940014"</f>
        <v>3328132803940014</v>
      </c>
      <c r="C4467" s="2" t="s">
        <v>5038</v>
      </c>
      <c r="D4467" s="2" t="s">
        <v>17</v>
      </c>
      <c r="E4467" s="2" t="s">
        <v>11</v>
      </c>
      <c r="F4467" s="2" t="s">
        <v>18</v>
      </c>
      <c r="G4467" s="2" t="s">
        <v>19</v>
      </c>
      <c r="H4467" s="2" t="s">
        <v>266</v>
      </c>
      <c r="I4467" s="2" t="s">
        <v>4976</v>
      </c>
    </row>
    <row r="4468" spans="1:9" ht="14.5" x14ac:dyDescent="0.35">
      <c r="A4468" s="2">
        <v>1279269</v>
      </c>
      <c r="B4468" s="2" t="str">
        <f>"3328141901980004"</f>
        <v>3328141901980004</v>
      </c>
      <c r="C4468" s="2" t="s">
        <v>5039</v>
      </c>
      <c r="D4468" s="2" t="s">
        <v>10</v>
      </c>
      <c r="E4468" s="2" t="s">
        <v>11</v>
      </c>
      <c r="F4468" s="2" t="s">
        <v>18</v>
      </c>
      <c r="G4468" s="2" t="s">
        <v>19</v>
      </c>
      <c r="H4468" s="2" t="s">
        <v>266</v>
      </c>
      <c r="I4468" s="2" t="s">
        <v>266</v>
      </c>
    </row>
    <row r="4469" spans="1:9" ht="14.5" x14ac:dyDescent="0.35">
      <c r="A4469" s="2">
        <v>2662283</v>
      </c>
      <c r="B4469" s="2" t="str">
        <f>"3328141901980004"</f>
        <v>3328141901980004</v>
      </c>
      <c r="C4469" s="2" t="s">
        <v>5040</v>
      </c>
      <c r="D4469" s="2" t="s">
        <v>10</v>
      </c>
      <c r="E4469" s="2" t="s">
        <v>57</v>
      </c>
      <c r="F4469" s="2" t="s">
        <v>18</v>
      </c>
      <c r="G4469" s="2" t="s">
        <v>199</v>
      </c>
      <c r="H4469" s="2" t="s">
        <v>199</v>
      </c>
      <c r="I4469" s="2" t="s">
        <v>839</v>
      </c>
    </row>
    <row r="4470" spans="1:9" ht="14.5" x14ac:dyDescent="0.35">
      <c r="A4470" s="2">
        <v>366483</v>
      </c>
      <c r="B4470" s="2" t="str">
        <f>"3328150111020007"</f>
        <v>3328150111020007</v>
      </c>
      <c r="C4470" s="2" t="s">
        <v>5041</v>
      </c>
      <c r="D4470" s="2" t="s">
        <v>10</v>
      </c>
      <c r="E4470" s="2" t="s">
        <v>11</v>
      </c>
      <c r="F4470" s="2" t="s">
        <v>18</v>
      </c>
      <c r="G4470" s="2" t="s">
        <v>268</v>
      </c>
      <c r="H4470" s="2" t="s">
        <v>269</v>
      </c>
      <c r="I4470" s="2" t="s">
        <v>996</v>
      </c>
    </row>
    <row r="4471" spans="1:9" ht="14.5" x14ac:dyDescent="0.35">
      <c r="A4471" s="2">
        <v>2559698</v>
      </c>
      <c r="B4471" s="2" t="str">
        <f>"3328150111020007"</f>
        <v>3328150111020007</v>
      </c>
      <c r="C4471" s="2" t="s">
        <v>5042</v>
      </c>
      <c r="D4471" s="2" t="s">
        <v>17</v>
      </c>
      <c r="E4471" s="2" t="s">
        <v>11</v>
      </c>
      <c r="F4471" s="2" t="s">
        <v>18</v>
      </c>
      <c r="G4471" s="2" t="s">
        <v>19</v>
      </c>
      <c r="H4471" s="2" t="s">
        <v>266</v>
      </c>
      <c r="I4471" s="2" t="s">
        <v>4976</v>
      </c>
    </row>
    <row r="4472" spans="1:9" ht="14.5" x14ac:dyDescent="0.35">
      <c r="A4472" s="2">
        <v>1335091</v>
      </c>
      <c r="B4472" s="2" t="str">
        <f>"3328150205850006"</f>
        <v>3328150205850006</v>
      </c>
      <c r="C4472" s="2" t="s">
        <v>5043</v>
      </c>
      <c r="D4472" s="2" t="s">
        <v>10</v>
      </c>
      <c r="E4472" s="2" t="s">
        <v>11</v>
      </c>
      <c r="F4472" s="2" t="s">
        <v>18</v>
      </c>
      <c r="G4472" s="2" t="s">
        <v>19</v>
      </c>
      <c r="H4472" s="2" t="s">
        <v>266</v>
      </c>
      <c r="I4472" s="2" t="s">
        <v>5044</v>
      </c>
    </row>
    <row r="4473" spans="1:9" ht="14.5" x14ac:dyDescent="0.35">
      <c r="A4473" s="2">
        <v>423871</v>
      </c>
      <c r="B4473" s="2" t="str">
        <f>"3328150205850006"</f>
        <v>3328150205850006</v>
      </c>
      <c r="C4473" s="2" t="s">
        <v>5045</v>
      </c>
      <c r="D4473" s="2" t="s">
        <v>10</v>
      </c>
      <c r="E4473" s="2" t="s">
        <v>57</v>
      </c>
      <c r="F4473" s="2" t="s">
        <v>18</v>
      </c>
      <c r="G4473" s="2" t="s">
        <v>268</v>
      </c>
      <c r="H4473" s="2" t="s">
        <v>277</v>
      </c>
      <c r="I4473" s="2" t="s">
        <v>278</v>
      </c>
    </row>
    <row r="4474" spans="1:9" ht="14.5" x14ac:dyDescent="0.35">
      <c r="A4474" s="2">
        <v>1036648</v>
      </c>
      <c r="B4474" s="2" t="str">
        <f>"3328150212850005"</f>
        <v>3328150212850005</v>
      </c>
      <c r="C4474" s="2" t="s">
        <v>5046</v>
      </c>
      <c r="D4474" s="2" t="s">
        <v>10</v>
      </c>
      <c r="E4474" s="2" t="s">
        <v>11</v>
      </c>
      <c r="F4474" s="2" t="s">
        <v>91</v>
      </c>
      <c r="G4474" s="2" t="s">
        <v>159</v>
      </c>
      <c r="H4474" s="2" t="s">
        <v>1337</v>
      </c>
      <c r="I4474" s="2" t="s">
        <v>1338</v>
      </c>
    </row>
    <row r="4475" spans="1:9" ht="14.5" x14ac:dyDescent="0.35">
      <c r="A4475" s="2">
        <v>2559715</v>
      </c>
      <c r="B4475" s="2" t="str">
        <f>"3328150212850005"</f>
        <v>3328150212850005</v>
      </c>
      <c r="C4475" s="2" t="s">
        <v>5046</v>
      </c>
      <c r="D4475" s="2" t="s">
        <v>17</v>
      </c>
      <c r="E4475" s="2" t="s">
        <v>11</v>
      </c>
      <c r="F4475" s="2" t="s">
        <v>18</v>
      </c>
      <c r="G4475" s="2" t="s">
        <v>19</v>
      </c>
      <c r="H4475" s="2" t="s">
        <v>266</v>
      </c>
      <c r="I4475" s="2" t="s">
        <v>4976</v>
      </c>
    </row>
    <row r="4476" spans="1:9" ht="14.5" x14ac:dyDescent="0.35">
      <c r="A4476" s="2">
        <v>1286210</v>
      </c>
      <c r="B4476" s="2" t="str">
        <f>"3328150305020004"</f>
        <v>3328150305020004</v>
      </c>
      <c r="C4476" s="2" t="s">
        <v>5047</v>
      </c>
      <c r="D4476" s="2" t="s">
        <v>10</v>
      </c>
      <c r="E4476" s="2" t="s">
        <v>11</v>
      </c>
      <c r="F4476" s="2" t="s">
        <v>18</v>
      </c>
      <c r="G4476" s="2" t="s">
        <v>19</v>
      </c>
      <c r="H4476" s="2" t="s">
        <v>266</v>
      </c>
      <c r="I4476" s="2" t="s">
        <v>5048</v>
      </c>
    </row>
    <row r="4477" spans="1:9" ht="14.5" x14ac:dyDescent="0.35">
      <c r="A4477" s="2">
        <v>1350381</v>
      </c>
      <c r="B4477" s="2" t="str">
        <f>"3328150305020004"</f>
        <v>3328150305020004</v>
      </c>
      <c r="C4477" s="2" t="s">
        <v>5047</v>
      </c>
      <c r="D4477" s="2" t="s">
        <v>10</v>
      </c>
      <c r="E4477" s="2" t="s">
        <v>57</v>
      </c>
      <c r="F4477" s="2" t="s">
        <v>303</v>
      </c>
      <c r="G4477" s="2" t="s">
        <v>608</v>
      </c>
      <c r="H4477" s="2" t="s">
        <v>609</v>
      </c>
      <c r="I4477" s="2" t="s">
        <v>610</v>
      </c>
    </row>
    <row r="4478" spans="1:9" ht="14.5" x14ac:dyDescent="0.35">
      <c r="A4478" s="2">
        <v>1329522</v>
      </c>
      <c r="B4478" s="2" t="str">
        <f>"3328150308830009"</f>
        <v>3328150308830009</v>
      </c>
      <c r="C4478" s="2" t="s">
        <v>5049</v>
      </c>
      <c r="D4478" s="2" t="s">
        <v>189</v>
      </c>
      <c r="E4478" s="2" t="s">
        <v>11</v>
      </c>
      <c r="F4478" s="2" t="s">
        <v>18</v>
      </c>
      <c r="G4478" s="2" t="s">
        <v>19</v>
      </c>
      <c r="H4478" s="2" t="s">
        <v>266</v>
      </c>
      <c r="I4478" s="2" t="s">
        <v>5050</v>
      </c>
    </row>
    <row r="4479" spans="1:9" ht="14.5" x14ac:dyDescent="0.35">
      <c r="A4479" s="2">
        <v>2662148</v>
      </c>
      <c r="B4479" s="2" t="str">
        <f>"3328150308830009"</f>
        <v>3328150308830009</v>
      </c>
      <c r="C4479" s="2" t="s">
        <v>5049</v>
      </c>
      <c r="D4479" s="2" t="s">
        <v>10</v>
      </c>
      <c r="E4479" s="2" t="s">
        <v>57</v>
      </c>
      <c r="F4479" s="2" t="s">
        <v>18</v>
      </c>
      <c r="G4479" s="2" t="s">
        <v>199</v>
      </c>
      <c r="H4479" s="2" t="s">
        <v>208</v>
      </c>
      <c r="I4479" s="2" t="s">
        <v>209</v>
      </c>
    </row>
    <row r="4480" spans="1:9" ht="14.5" x14ac:dyDescent="0.35">
      <c r="A4480" s="2">
        <v>205755</v>
      </c>
      <c r="B4480" s="2" t="str">
        <f>"3328150406050008"</f>
        <v>3328150406050008</v>
      </c>
      <c r="C4480" s="2" t="s">
        <v>5051</v>
      </c>
      <c r="D4480" s="2" t="s">
        <v>10</v>
      </c>
      <c r="E4480" s="2" t="s">
        <v>11</v>
      </c>
      <c r="F4480" s="2" t="s">
        <v>18</v>
      </c>
      <c r="G4480" s="2" t="s">
        <v>268</v>
      </c>
      <c r="H4480" s="2" t="s">
        <v>371</v>
      </c>
      <c r="I4480" s="2" t="s">
        <v>2769</v>
      </c>
    </row>
    <row r="4481" spans="1:9" ht="14.5" x14ac:dyDescent="0.35">
      <c r="A4481" s="2">
        <v>2559770</v>
      </c>
      <c r="B4481" s="2" t="str">
        <f>"3328150406050008"</f>
        <v>3328150406050008</v>
      </c>
      <c r="C4481" s="2" t="s">
        <v>5051</v>
      </c>
      <c r="D4481" s="2" t="s">
        <v>17</v>
      </c>
      <c r="E4481" s="2" t="s">
        <v>11</v>
      </c>
      <c r="F4481" s="2" t="s">
        <v>18</v>
      </c>
      <c r="G4481" s="2" t="s">
        <v>19</v>
      </c>
      <c r="H4481" s="2" t="s">
        <v>266</v>
      </c>
      <c r="I4481" s="2" t="s">
        <v>4976</v>
      </c>
    </row>
    <row r="4482" spans="1:9" ht="14.5" x14ac:dyDescent="0.35">
      <c r="A4482" s="2">
        <v>268353</v>
      </c>
      <c r="B4482" s="2" t="str">
        <f>"3328150704040002"</f>
        <v>3328150704040002</v>
      </c>
      <c r="C4482" s="2" t="s">
        <v>5052</v>
      </c>
      <c r="D4482" s="2" t="s">
        <v>10</v>
      </c>
      <c r="E4482" s="2" t="s">
        <v>11</v>
      </c>
      <c r="F4482" s="2" t="s">
        <v>211</v>
      </c>
      <c r="G4482" s="2" t="s">
        <v>5053</v>
      </c>
      <c r="H4482" s="2" t="s">
        <v>5054</v>
      </c>
      <c r="I4482" s="2" t="s">
        <v>5055</v>
      </c>
    </row>
    <row r="4483" spans="1:9" ht="14.5" x14ac:dyDescent="0.35">
      <c r="A4483" s="2">
        <v>2559980</v>
      </c>
      <c r="B4483" s="2" t="str">
        <f>"3328150704040002"</f>
        <v>3328150704040002</v>
      </c>
      <c r="C4483" s="2" t="s">
        <v>5056</v>
      </c>
      <c r="D4483" s="2" t="s">
        <v>17</v>
      </c>
      <c r="E4483" s="2" t="s">
        <v>11</v>
      </c>
      <c r="F4483" s="2" t="s">
        <v>18</v>
      </c>
      <c r="G4483" s="2" t="s">
        <v>19</v>
      </c>
      <c r="H4483" s="2" t="s">
        <v>266</v>
      </c>
      <c r="I4483" s="2" t="s">
        <v>5050</v>
      </c>
    </row>
    <row r="4484" spans="1:9" ht="14.5" x14ac:dyDescent="0.35">
      <c r="A4484" s="2">
        <v>1650776</v>
      </c>
      <c r="B4484" s="2" t="str">
        <f>"3328150708920002"</f>
        <v>3328150708920002</v>
      </c>
      <c r="C4484" s="2" t="s">
        <v>5057</v>
      </c>
      <c r="D4484" s="2" t="s">
        <v>10</v>
      </c>
      <c r="E4484" s="2" t="s">
        <v>11</v>
      </c>
      <c r="F4484" s="2" t="s">
        <v>18</v>
      </c>
      <c r="G4484" s="2" t="s">
        <v>19</v>
      </c>
      <c r="H4484" s="2" t="s">
        <v>266</v>
      </c>
      <c r="I4484" s="2" t="s">
        <v>4976</v>
      </c>
    </row>
    <row r="4485" spans="1:9" ht="14.5" x14ac:dyDescent="0.35">
      <c r="A4485" s="2">
        <v>2662484</v>
      </c>
      <c r="B4485" s="2" t="str">
        <f>"3328150708920002"</f>
        <v>3328150708920002</v>
      </c>
      <c r="C4485" s="2" t="s">
        <v>5058</v>
      </c>
      <c r="D4485" s="2" t="s">
        <v>10</v>
      </c>
      <c r="E4485" s="2" t="s">
        <v>57</v>
      </c>
      <c r="F4485" s="2" t="s">
        <v>18</v>
      </c>
      <c r="G4485" s="2" t="s">
        <v>199</v>
      </c>
      <c r="H4485" s="2" t="s">
        <v>208</v>
      </c>
      <c r="I4485" s="2" t="s">
        <v>209</v>
      </c>
    </row>
    <row r="4486" spans="1:9" ht="14.5" x14ac:dyDescent="0.35">
      <c r="A4486" s="2">
        <v>2063778</v>
      </c>
      <c r="B4486" s="2" t="str">
        <f>"3328150804880011"</f>
        <v>3328150804880011</v>
      </c>
      <c r="C4486" s="2" t="s">
        <v>5059</v>
      </c>
      <c r="D4486" s="2" t="s">
        <v>10</v>
      </c>
      <c r="E4486" s="2" t="s">
        <v>11</v>
      </c>
      <c r="F4486" s="2" t="s">
        <v>67</v>
      </c>
      <c r="G4486" s="2" t="s">
        <v>375</v>
      </c>
      <c r="H4486" s="2" t="s">
        <v>5060</v>
      </c>
      <c r="I4486" s="2" t="s">
        <v>5061</v>
      </c>
    </row>
    <row r="4487" spans="1:9" ht="14.5" x14ac:dyDescent="0.35">
      <c r="A4487" s="2">
        <v>2560455</v>
      </c>
      <c r="B4487" s="2" t="str">
        <f>"3328150804880011"</f>
        <v>3328150804880011</v>
      </c>
      <c r="C4487" s="2" t="s">
        <v>5059</v>
      </c>
      <c r="D4487" s="2" t="s">
        <v>17</v>
      </c>
      <c r="E4487" s="2" t="s">
        <v>11</v>
      </c>
      <c r="F4487" s="2" t="s">
        <v>18</v>
      </c>
      <c r="G4487" s="2" t="s">
        <v>19</v>
      </c>
      <c r="H4487" s="2" t="s">
        <v>266</v>
      </c>
      <c r="I4487" s="2" t="s">
        <v>4994</v>
      </c>
    </row>
    <row r="4488" spans="1:9" ht="14.5" x14ac:dyDescent="0.35">
      <c r="A4488" s="2">
        <v>1519110</v>
      </c>
      <c r="B4488" s="2" t="str">
        <f>"3328150808880007"</f>
        <v>3328150808880007</v>
      </c>
      <c r="C4488" s="2" t="s">
        <v>4958</v>
      </c>
      <c r="D4488" s="2" t="s">
        <v>10</v>
      </c>
      <c r="E4488" s="2" t="s">
        <v>11</v>
      </c>
      <c r="F4488" s="2" t="s">
        <v>67</v>
      </c>
      <c r="G4488" s="2" t="s">
        <v>68</v>
      </c>
      <c r="H4488" s="2" t="s">
        <v>2955</v>
      </c>
      <c r="I4488" s="2" t="s">
        <v>776</v>
      </c>
    </row>
    <row r="4489" spans="1:9" ht="14.5" x14ac:dyDescent="0.35">
      <c r="A4489" s="2">
        <v>2561011</v>
      </c>
      <c r="B4489" s="2" t="str">
        <f>"3328150808880007"</f>
        <v>3328150808880007</v>
      </c>
      <c r="C4489" s="2" t="s">
        <v>4958</v>
      </c>
      <c r="D4489" s="2" t="s">
        <v>17</v>
      </c>
      <c r="E4489" s="2" t="s">
        <v>11</v>
      </c>
      <c r="F4489" s="2" t="s">
        <v>18</v>
      </c>
      <c r="G4489" s="2" t="s">
        <v>19</v>
      </c>
      <c r="H4489" s="2" t="s">
        <v>266</v>
      </c>
      <c r="I4489" s="2" t="s">
        <v>5011</v>
      </c>
    </row>
    <row r="4490" spans="1:9" ht="14.5" x14ac:dyDescent="0.35">
      <c r="A4490" s="2">
        <v>1289295</v>
      </c>
      <c r="B4490" s="2" t="str">
        <f>"3328150907790005"</f>
        <v>3328150907790005</v>
      </c>
      <c r="C4490" s="2" t="s">
        <v>5062</v>
      </c>
      <c r="D4490" s="2" t="s">
        <v>10</v>
      </c>
      <c r="E4490" s="2" t="s">
        <v>11</v>
      </c>
      <c r="F4490" s="2" t="s">
        <v>18</v>
      </c>
      <c r="G4490" s="2" t="s">
        <v>19</v>
      </c>
      <c r="H4490" s="2" t="s">
        <v>266</v>
      </c>
      <c r="I4490" s="2" t="s">
        <v>4994</v>
      </c>
    </row>
    <row r="4491" spans="1:9" ht="14.5" x14ac:dyDescent="0.35">
      <c r="A4491" s="2">
        <v>1208906</v>
      </c>
      <c r="B4491" s="2" t="str">
        <f>"3328150907790005"</f>
        <v>3328150907790005</v>
      </c>
      <c r="C4491" s="2" t="s">
        <v>5063</v>
      </c>
      <c r="D4491" s="2" t="s">
        <v>17</v>
      </c>
      <c r="E4491" s="2" t="s">
        <v>11</v>
      </c>
      <c r="F4491" s="2" t="s">
        <v>303</v>
      </c>
      <c r="G4491" s="2" t="s">
        <v>4486</v>
      </c>
      <c r="H4491" s="2" t="s">
        <v>5064</v>
      </c>
      <c r="I4491" s="2" t="s">
        <v>5065</v>
      </c>
    </row>
    <row r="4492" spans="1:9" ht="14.5" x14ac:dyDescent="0.35">
      <c r="A4492" s="2">
        <v>1297368</v>
      </c>
      <c r="B4492" s="2" t="str">
        <f>"3328151509880004"</f>
        <v>3328151509880004</v>
      </c>
      <c r="C4492" s="2" t="s">
        <v>5066</v>
      </c>
      <c r="D4492" s="2" t="s">
        <v>10</v>
      </c>
      <c r="E4492" s="2" t="s">
        <v>11</v>
      </c>
      <c r="F4492" s="2" t="s">
        <v>18</v>
      </c>
      <c r="G4492" s="2" t="s">
        <v>19</v>
      </c>
      <c r="H4492" s="2" t="s">
        <v>266</v>
      </c>
      <c r="I4492" s="2" t="s">
        <v>5067</v>
      </c>
    </row>
    <row r="4493" spans="1:9" ht="14.5" x14ac:dyDescent="0.35">
      <c r="A4493" s="2">
        <v>105866</v>
      </c>
      <c r="B4493" s="2" t="str">
        <f>"3328151509880004"</f>
        <v>3328151509880004</v>
      </c>
      <c r="C4493" s="2" t="s">
        <v>5066</v>
      </c>
      <c r="D4493" s="2" t="s">
        <v>17</v>
      </c>
      <c r="E4493" s="2" t="s">
        <v>57</v>
      </c>
      <c r="F4493" s="2" t="s">
        <v>2907</v>
      </c>
      <c r="G4493" s="2" t="s">
        <v>5068</v>
      </c>
      <c r="H4493" s="2" t="s">
        <v>5068</v>
      </c>
      <c r="I4493" s="2" t="s">
        <v>5069</v>
      </c>
    </row>
    <row r="4494" spans="1:9" ht="14.5" x14ac:dyDescent="0.35">
      <c r="A4494" s="2">
        <v>1466898</v>
      </c>
      <c r="B4494" s="2" t="str">
        <f>"3328151512860009"</f>
        <v>3328151512860009</v>
      </c>
      <c r="C4494" s="2" t="s">
        <v>5070</v>
      </c>
      <c r="D4494" s="2" t="s">
        <v>10</v>
      </c>
      <c r="E4494" s="2" t="s">
        <v>11</v>
      </c>
      <c r="F4494" s="2" t="s">
        <v>50</v>
      </c>
      <c r="G4494" s="2" t="s">
        <v>58</v>
      </c>
      <c r="H4494" s="2" t="s">
        <v>417</v>
      </c>
      <c r="I4494" s="2" t="s">
        <v>1936</v>
      </c>
    </row>
    <row r="4495" spans="1:9" ht="14.5" x14ac:dyDescent="0.35">
      <c r="A4495" s="2">
        <v>1419975</v>
      </c>
      <c r="B4495" s="2" t="str">
        <f>"3328151512860009"</f>
        <v>3328151512860009</v>
      </c>
      <c r="C4495" s="2" t="s">
        <v>5071</v>
      </c>
      <c r="D4495" s="2" t="s">
        <v>189</v>
      </c>
      <c r="E4495" s="2" t="s">
        <v>11</v>
      </c>
      <c r="F4495" s="2" t="s">
        <v>18</v>
      </c>
      <c r="G4495" s="2" t="s">
        <v>19</v>
      </c>
      <c r="H4495" s="2" t="s">
        <v>266</v>
      </c>
      <c r="I4495" s="2" t="s">
        <v>5072</v>
      </c>
    </row>
    <row r="4496" spans="1:9" ht="14.5" x14ac:dyDescent="0.35">
      <c r="A4496" s="2">
        <v>1289519</v>
      </c>
      <c r="B4496" s="2" t="str">
        <f>"3328151602950004"</f>
        <v>3328151602950004</v>
      </c>
      <c r="C4496" s="2" t="s">
        <v>5073</v>
      </c>
      <c r="D4496" s="2" t="s">
        <v>10</v>
      </c>
      <c r="E4496" s="2" t="s">
        <v>11</v>
      </c>
      <c r="F4496" s="2" t="s">
        <v>18</v>
      </c>
      <c r="G4496" s="2" t="s">
        <v>19</v>
      </c>
      <c r="H4496" s="2" t="s">
        <v>266</v>
      </c>
      <c r="I4496" s="2" t="s">
        <v>4994</v>
      </c>
    </row>
    <row r="4497" spans="1:9" ht="14.5" x14ac:dyDescent="0.35">
      <c r="A4497" s="2">
        <v>877990</v>
      </c>
      <c r="B4497" s="2" t="str">
        <f>"3328151602950004"</f>
        <v>3328151602950004</v>
      </c>
      <c r="C4497" s="2" t="s">
        <v>5074</v>
      </c>
      <c r="D4497" s="2" t="s">
        <v>17</v>
      </c>
      <c r="E4497" s="2" t="s">
        <v>11</v>
      </c>
      <c r="F4497" s="2" t="s">
        <v>18</v>
      </c>
      <c r="G4497" s="2" t="s">
        <v>1522</v>
      </c>
      <c r="H4497" s="2" t="s">
        <v>1522</v>
      </c>
      <c r="I4497" s="2" t="s">
        <v>5075</v>
      </c>
    </row>
    <row r="4498" spans="1:9" ht="14.5" x14ac:dyDescent="0.35">
      <c r="A4498" s="2">
        <v>2639756</v>
      </c>
      <c r="B4498" s="2" t="str">
        <f>"3328151707880006"</f>
        <v>3328151707880006</v>
      </c>
      <c r="C4498" s="2" t="s">
        <v>5076</v>
      </c>
      <c r="D4498" s="2" t="s">
        <v>17</v>
      </c>
      <c r="E4498" s="2" t="s">
        <v>11</v>
      </c>
      <c r="F4498" s="2" t="s">
        <v>18</v>
      </c>
      <c r="G4498" s="2" t="s">
        <v>199</v>
      </c>
      <c r="H4498" s="2" t="s">
        <v>1860</v>
      </c>
      <c r="I4498" s="2" t="s">
        <v>1011</v>
      </c>
    </row>
    <row r="4499" spans="1:9" ht="14.5" x14ac:dyDescent="0.35">
      <c r="A4499" s="2">
        <v>1289750</v>
      </c>
      <c r="B4499" s="2" t="str">
        <f>"3328151707880006"</f>
        <v>3328151707880006</v>
      </c>
      <c r="C4499" s="2" t="s">
        <v>5076</v>
      </c>
      <c r="D4499" s="2" t="s">
        <v>189</v>
      </c>
      <c r="E4499" s="2" t="s">
        <v>11</v>
      </c>
      <c r="F4499" s="2" t="s">
        <v>18</v>
      </c>
      <c r="G4499" s="2" t="s">
        <v>19</v>
      </c>
      <c r="H4499" s="2" t="s">
        <v>266</v>
      </c>
      <c r="I4499" s="2" t="s">
        <v>4994</v>
      </c>
    </row>
    <row r="4500" spans="1:9" ht="14.5" x14ac:dyDescent="0.35">
      <c r="A4500" s="2">
        <v>223367</v>
      </c>
      <c r="B4500" s="2" t="str">
        <f>"3328151709790005"</f>
        <v>3328151709790005</v>
      </c>
      <c r="C4500" s="2" t="s">
        <v>5077</v>
      </c>
      <c r="D4500" s="2" t="s">
        <v>10</v>
      </c>
      <c r="E4500" s="2" t="s">
        <v>11</v>
      </c>
      <c r="F4500" s="2" t="s">
        <v>667</v>
      </c>
      <c r="G4500" s="2" t="s">
        <v>5078</v>
      </c>
      <c r="H4500" s="2" t="s">
        <v>5079</v>
      </c>
      <c r="I4500" s="2" t="s">
        <v>5080</v>
      </c>
    </row>
    <row r="4501" spans="1:9" ht="14.5" x14ac:dyDescent="0.35">
      <c r="A4501" s="2">
        <v>2559748</v>
      </c>
      <c r="B4501" s="2" t="str">
        <f>"3328151709790005"</f>
        <v>3328151709790005</v>
      </c>
      <c r="C4501" s="2" t="s">
        <v>5077</v>
      </c>
      <c r="D4501" s="2" t="s">
        <v>17</v>
      </c>
      <c r="E4501" s="2" t="s">
        <v>11</v>
      </c>
      <c r="F4501" s="2" t="s">
        <v>18</v>
      </c>
      <c r="G4501" s="2" t="s">
        <v>19</v>
      </c>
      <c r="H4501" s="2" t="s">
        <v>266</v>
      </c>
      <c r="I4501" s="2" t="s">
        <v>4976</v>
      </c>
    </row>
    <row r="4502" spans="1:9" ht="14.5" x14ac:dyDescent="0.35">
      <c r="A4502" s="2">
        <v>294738</v>
      </c>
      <c r="B4502" s="2" t="str">
        <f>"3328151803890009"</f>
        <v>3328151803890009</v>
      </c>
      <c r="C4502" s="2" t="s">
        <v>5081</v>
      </c>
      <c r="D4502" s="2" t="s">
        <v>10</v>
      </c>
      <c r="E4502" s="2" t="s">
        <v>11</v>
      </c>
      <c r="F4502" s="2" t="s">
        <v>303</v>
      </c>
      <c r="G4502" s="2" t="s">
        <v>3472</v>
      </c>
      <c r="H4502" s="2" t="s">
        <v>4566</v>
      </c>
      <c r="I4502" s="2" t="s">
        <v>5082</v>
      </c>
    </row>
    <row r="4503" spans="1:9" ht="14.5" x14ac:dyDescent="0.35">
      <c r="A4503" s="2">
        <v>2559560</v>
      </c>
      <c r="B4503" s="2" t="str">
        <f>"3328151803890009"</f>
        <v>3328151803890009</v>
      </c>
      <c r="C4503" s="2" t="s">
        <v>5083</v>
      </c>
      <c r="D4503" s="2" t="s">
        <v>17</v>
      </c>
      <c r="E4503" s="2" t="s">
        <v>11</v>
      </c>
      <c r="F4503" s="2" t="s">
        <v>18</v>
      </c>
      <c r="G4503" s="2" t="s">
        <v>19</v>
      </c>
      <c r="H4503" s="2" t="s">
        <v>266</v>
      </c>
      <c r="I4503" s="2" t="s">
        <v>5005</v>
      </c>
    </row>
    <row r="4504" spans="1:9" ht="14.5" x14ac:dyDescent="0.35">
      <c r="A4504" s="2">
        <v>1335089</v>
      </c>
      <c r="B4504" s="2" t="str">
        <f>"3328151909000009"</f>
        <v>3328151909000009</v>
      </c>
      <c r="C4504" s="2" t="s">
        <v>5084</v>
      </c>
      <c r="D4504" s="2" t="s">
        <v>10</v>
      </c>
      <c r="E4504" s="2" t="s">
        <v>11</v>
      </c>
      <c r="F4504" s="2" t="s">
        <v>18</v>
      </c>
      <c r="G4504" s="2" t="s">
        <v>19</v>
      </c>
      <c r="H4504" s="2" t="s">
        <v>266</v>
      </c>
      <c r="I4504" s="2" t="s">
        <v>5044</v>
      </c>
    </row>
    <row r="4505" spans="1:9" ht="14.5" x14ac:dyDescent="0.35">
      <c r="A4505" s="2">
        <v>423846</v>
      </c>
      <c r="B4505" s="2" t="str">
        <f>"3328151909000009"</f>
        <v>3328151909000009</v>
      </c>
      <c r="C4505" s="2" t="s">
        <v>5085</v>
      </c>
      <c r="D4505" s="2" t="s">
        <v>10</v>
      </c>
      <c r="E4505" s="2" t="s">
        <v>57</v>
      </c>
      <c r="F4505" s="2" t="s">
        <v>18</v>
      </c>
      <c r="G4505" s="2" t="s">
        <v>268</v>
      </c>
      <c r="H4505" s="2" t="s">
        <v>277</v>
      </c>
      <c r="I4505" s="2" t="s">
        <v>278</v>
      </c>
    </row>
    <row r="4506" spans="1:9" ht="14.5" x14ac:dyDescent="0.35">
      <c r="A4506" s="2">
        <v>1335088</v>
      </c>
      <c r="B4506" s="2" t="str">
        <f>"3328152110600003"</f>
        <v>3328152110600003</v>
      </c>
      <c r="C4506" s="2" t="s">
        <v>5086</v>
      </c>
      <c r="D4506" s="2" t="s">
        <v>10</v>
      </c>
      <c r="E4506" s="2" t="s">
        <v>11</v>
      </c>
      <c r="F4506" s="2" t="s">
        <v>18</v>
      </c>
      <c r="G4506" s="2" t="s">
        <v>19</v>
      </c>
      <c r="H4506" s="2" t="s">
        <v>266</v>
      </c>
      <c r="I4506" s="2" t="s">
        <v>5044</v>
      </c>
    </row>
    <row r="4507" spans="1:9" ht="14.5" x14ac:dyDescent="0.35">
      <c r="A4507" s="2">
        <v>423832</v>
      </c>
      <c r="B4507" s="2" t="str">
        <f>"3328152110600003"</f>
        <v>3328152110600003</v>
      </c>
      <c r="C4507" s="2" t="s">
        <v>5087</v>
      </c>
      <c r="D4507" s="2" t="s">
        <v>10</v>
      </c>
      <c r="E4507" s="2" t="s">
        <v>57</v>
      </c>
      <c r="F4507" s="2" t="s">
        <v>18</v>
      </c>
      <c r="G4507" s="2" t="s">
        <v>268</v>
      </c>
      <c r="H4507" s="2" t="s">
        <v>277</v>
      </c>
      <c r="I4507" s="2" t="s">
        <v>278</v>
      </c>
    </row>
    <row r="4508" spans="1:9" ht="14.5" x14ac:dyDescent="0.35">
      <c r="A4508" s="2">
        <v>421137</v>
      </c>
      <c r="B4508" s="2" t="str">
        <f>"3328152201950009"</f>
        <v>3328152201950009</v>
      </c>
      <c r="C4508" s="2" t="s">
        <v>5088</v>
      </c>
      <c r="D4508" s="2" t="s">
        <v>17</v>
      </c>
      <c r="E4508" s="2" t="s">
        <v>11</v>
      </c>
      <c r="F4508" s="2" t="s">
        <v>18</v>
      </c>
      <c r="G4508" s="2" t="s">
        <v>268</v>
      </c>
      <c r="H4508" s="2" t="s">
        <v>448</v>
      </c>
      <c r="I4508" s="2" t="s">
        <v>448</v>
      </c>
    </row>
    <row r="4509" spans="1:9" ht="14.5" x14ac:dyDescent="0.35">
      <c r="A4509" s="2">
        <v>1334676</v>
      </c>
      <c r="B4509" s="2" t="str">
        <f>"3328152201950009"</f>
        <v>3328152201950009</v>
      </c>
      <c r="C4509" s="2" t="s">
        <v>5089</v>
      </c>
      <c r="D4509" s="2" t="s">
        <v>189</v>
      </c>
      <c r="E4509" s="2" t="s">
        <v>11</v>
      </c>
      <c r="F4509" s="2" t="s">
        <v>18</v>
      </c>
      <c r="G4509" s="2" t="s">
        <v>19</v>
      </c>
      <c r="H4509" s="2" t="s">
        <v>266</v>
      </c>
      <c r="I4509" s="2" t="s">
        <v>5044</v>
      </c>
    </row>
    <row r="4510" spans="1:9" ht="14.5" x14ac:dyDescent="0.35">
      <c r="A4510" s="2">
        <v>291772</v>
      </c>
      <c r="B4510" s="2" t="str">
        <f>"3328152302060008"</f>
        <v>3328152302060008</v>
      </c>
      <c r="C4510" s="2" t="s">
        <v>5090</v>
      </c>
      <c r="D4510" s="2" t="s">
        <v>10</v>
      </c>
      <c r="E4510" s="2" t="s">
        <v>11</v>
      </c>
      <c r="F4510" s="2" t="s">
        <v>18</v>
      </c>
      <c r="G4510" s="2" t="s">
        <v>268</v>
      </c>
      <c r="H4510" s="2" t="s">
        <v>277</v>
      </c>
      <c r="I4510" s="2" t="s">
        <v>2762</v>
      </c>
    </row>
    <row r="4511" spans="1:9" ht="14.5" x14ac:dyDescent="0.35">
      <c r="A4511" s="2">
        <v>2559973</v>
      </c>
      <c r="B4511" s="2" t="str">
        <f>"3328152302060008"</f>
        <v>3328152302060008</v>
      </c>
      <c r="C4511" s="2" t="s">
        <v>5090</v>
      </c>
      <c r="D4511" s="2" t="s">
        <v>17</v>
      </c>
      <c r="E4511" s="2" t="s">
        <v>11</v>
      </c>
      <c r="F4511" s="2" t="s">
        <v>18</v>
      </c>
      <c r="G4511" s="2" t="s">
        <v>19</v>
      </c>
      <c r="H4511" s="2" t="s">
        <v>266</v>
      </c>
      <c r="I4511" s="2" t="s">
        <v>5050</v>
      </c>
    </row>
    <row r="4512" spans="1:9" ht="14.5" x14ac:dyDescent="0.35">
      <c r="A4512" s="2">
        <v>254679</v>
      </c>
      <c r="B4512" s="2" t="str">
        <f>"3328152310030005"</f>
        <v>3328152310030005</v>
      </c>
      <c r="C4512" s="2" t="s">
        <v>5091</v>
      </c>
      <c r="D4512" s="2" t="s">
        <v>10</v>
      </c>
      <c r="E4512" s="2" t="s">
        <v>11</v>
      </c>
      <c r="F4512" s="2" t="s">
        <v>18</v>
      </c>
      <c r="G4512" s="2" t="s">
        <v>268</v>
      </c>
      <c r="H4512" s="2" t="s">
        <v>371</v>
      </c>
      <c r="I4512" s="2" t="s">
        <v>497</v>
      </c>
    </row>
    <row r="4513" spans="1:9" ht="14.5" x14ac:dyDescent="0.35">
      <c r="A4513" s="2">
        <v>2559505</v>
      </c>
      <c r="B4513" s="2" t="str">
        <f>"3328152310030005"</f>
        <v>3328152310030005</v>
      </c>
      <c r="C4513" s="2" t="s">
        <v>5092</v>
      </c>
      <c r="D4513" s="2" t="s">
        <v>17</v>
      </c>
      <c r="E4513" s="2" t="s">
        <v>11</v>
      </c>
      <c r="F4513" s="2" t="s">
        <v>18</v>
      </c>
      <c r="G4513" s="2" t="s">
        <v>19</v>
      </c>
      <c r="H4513" s="2" t="s">
        <v>266</v>
      </c>
      <c r="I4513" s="2" t="s">
        <v>5005</v>
      </c>
    </row>
    <row r="4514" spans="1:9" ht="14.5" x14ac:dyDescent="0.35">
      <c r="A4514" s="2">
        <v>277951</v>
      </c>
      <c r="B4514" s="2" t="str">
        <f>"3328152407890006"</f>
        <v>3328152407890006</v>
      </c>
      <c r="C4514" s="2" t="s">
        <v>5093</v>
      </c>
      <c r="D4514" s="2" t="s">
        <v>10</v>
      </c>
      <c r="E4514" s="2" t="s">
        <v>11</v>
      </c>
      <c r="F4514" s="2" t="s">
        <v>18</v>
      </c>
      <c r="G4514" s="2" t="s">
        <v>268</v>
      </c>
      <c r="H4514" s="2" t="s">
        <v>277</v>
      </c>
      <c r="I4514" s="2" t="s">
        <v>3243</v>
      </c>
    </row>
    <row r="4515" spans="1:9" ht="14.5" x14ac:dyDescent="0.35">
      <c r="A4515" s="2">
        <v>1291782</v>
      </c>
      <c r="B4515" s="2" t="str">
        <f>"3328152407890006"</f>
        <v>3328152407890006</v>
      </c>
      <c r="C4515" s="2" t="s">
        <v>1416</v>
      </c>
      <c r="D4515" s="2" t="s">
        <v>189</v>
      </c>
      <c r="E4515" s="2" t="s">
        <v>11</v>
      </c>
      <c r="F4515" s="2" t="s">
        <v>18</v>
      </c>
      <c r="G4515" s="2" t="s">
        <v>19</v>
      </c>
      <c r="H4515" s="2" t="s">
        <v>266</v>
      </c>
      <c r="I4515" s="2" t="s">
        <v>4990</v>
      </c>
    </row>
    <row r="4516" spans="1:9" ht="14.5" x14ac:dyDescent="0.35">
      <c r="A4516" s="2">
        <v>366758</v>
      </c>
      <c r="B4516" s="2" t="str">
        <f>"3328152408000001"</f>
        <v>3328152408000001</v>
      </c>
      <c r="C4516" s="2" t="s">
        <v>5094</v>
      </c>
      <c r="D4516" s="2" t="s">
        <v>10</v>
      </c>
      <c r="E4516" s="2" t="s">
        <v>11</v>
      </c>
      <c r="F4516" s="2" t="s">
        <v>18</v>
      </c>
      <c r="G4516" s="2" t="s">
        <v>268</v>
      </c>
      <c r="H4516" s="2" t="s">
        <v>269</v>
      </c>
      <c r="I4516" s="2" t="s">
        <v>996</v>
      </c>
    </row>
    <row r="4517" spans="1:9" ht="14.5" x14ac:dyDescent="0.35">
      <c r="A4517" s="2">
        <v>2561093</v>
      </c>
      <c r="B4517" s="2" t="str">
        <f>"3328152408000001"</f>
        <v>3328152408000001</v>
      </c>
      <c r="C4517" s="2" t="s">
        <v>5094</v>
      </c>
      <c r="D4517" s="2" t="s">
        <v>17</v>
      </c>
      <c r="E4517" s="2" t="s">
        <v>11</v>
      </c>
      <c r="F4517" s="2" t="s">
        <v>18</v>
      </c>
      <c r="G4517" s="2" t="s">
        <v>19</v>
      </c>
      <c r="H4517" s="2" t="s">
        <v>266</v>
      </c>
      <c r="I4517" s="2" t="s">
        <v>5095</v>
      </c>
    </row>
    <row r="4518" spans="1:9" ht="14.5" x14ac:dyDescent="0.35">
      <c r="A4518" s="2">
        <v>303681</v>
      </c>
      <c r="B4518" s="2" t="str">
        <f>"3328152411040008"</f>
        <v>3328152411040008</v>
      </c>
      <c r="C4518" s="2" t="s">
        <v>5096</v>
      </c>
      <c r="D4518" s="2" t="s">
        <v>10</v>
      </c>
      <c r="E4518" s="2" t="s">
        <v>11</v>
      </c>
      <c r="F4518" s="2" t="s">
        <v>18</v>
      </c>
      <c r="G4518" s="2" t="s">
        <v>268</v>
      </c>
      <c r="H4518" s="2" t="s">
        <v>277</v>
      </c>
      <c r="I4518" s="2" t="s">
        <v>2762</v>
      </c>
    </row>
    <row r="4519" spans="1:9" ht="14.5" x14ac:dyDescent="0.35">
      <c r="A4519" s="2">
        <v>2560828</v>
      </c>
      <c r="B4519" s="2" t="str">
        <f>"3328152411040008"</f>
        <v>3328152411040008</v>
      </c>
      <c r="C4519" s="2" t="s">
        <v>5097</v>
      </c>
      <c r="D4519" s="2" t="s">
        <v>17</v>
      </c>
      <c r="E4519" s="2" t="s">
        <v>11</v>
      </c>
      <c r="F4519" s="2" t="s">
        <v>18</v>
      </c>
      <c r="G4519" s="2" t="s">
        <v>19</v>
      </c>
      <c r="H4519" s="2" t="s">
        <v>266</v>
      </c>
      <c r="I4519" s="2" t="s">
        <v>5023</v>
      </c>
    </row>
    <row r="4520" spans="1:9" ht="14.5" x14ac:dyDescent="0.35">
      <c r="A4520" s="2">
        <v>636285</v>
      </c>
      <c r="B4520" s="2" t="str">
        <f>"3328152704060009"</f>
        <v>3328152704060009</v>
      </c>
      <c r="C4520" s="2" t="s">
        <v>5098</v>
      </c>
      <c r="D4520" s="2" t="s">
        <v>17</v>
      </c>
      <c r="E4520" s="2" t="s">
        <v>57</v>
      </c>
      <c r="F4520" s="2" t="s">
        <v>18</v>
      </c>
      <c r="G4520" s="2" t="s">
        <v>190</v>
      </c>
      <c r="H4520" s="2" t="s">
        <v>1497</v>
      </c>
      <c r="I4520" s="2" t="s">
        <v>1498</v>
      </c>
    </row>
    <row r="4521" spans="1:9" ht="14.5" x14ac:dyDescent="0.35">
      <c r="A4521" s="2">
        <v>2559771</v>
      </c>
      <c r="B4521" s="2" t="str">
        <f>"3328152704060009"</f>
        <v>3328152704060009</v>
      </c>
      <c r="C4521" s="2" t="s">
        <v>5098</v>
      </c>
      <c r="D4521" s="2" t="s">
        <v>17</v>
      </c>
      <c r="E4521" s="2" t="s">
        <v>11</v>
      </c>
      <c r="F4521" s="2" t="s">
        <v>18</v>
      </c>
      <c r="G4521" s="2" t="s">
        <v>19</v>
      </c>
      <c r="H4521" s="2" t="s">
        <v>266</v>
      </c>
      <c r="I4521" s="2" t="s">
        <v>4976</v>
      </c>
    </row>
    <row r="4522" spans="1:9" ht="14.5" x14ac:dyDescent="0.35">
      <c r="A4522" s="2">
        <v>248642</v>
      </c>
      <c r="B4522" s="2" t="str">
        <f>"3328152811050005"</f>
        <v>3328152811050005</v>
      </c>
      <c r="C4522" s="2" t="s">
        <v>5099</v>
      </c>
      <c r="D4522" s="2" t="s">
        <v>10</v>
      </c>
      <c r="E4522" s="2" t="s">
        <v>11</v>
      </c>
      <c r="F4522" s="2" t="s">
        <v>18</v>
      </c>
      <c r="G4522" s="2" t="s">
        <v>268</v>
      </c>
      <c r="H4522" s="2" t="s">
        <v>371</v>
      </c>
      <c r="I4522" s="2" t="s">
        <v>497</v>
      </c>
    </row>
    <row r="4523" spans="1:9" ht="14.5" x14ac:dyDescent="0.35">
      <c r="A4523" s="2">
        <v>2559734</v>
      </c>
      <c r="B4523" s="2" t="str">
        <f>"3328152811050005"</f>
        <v>3328152811050005</v>
      </c>
      <c r="C4523" s="2" t="s">
        <v>5099</v>
      </c>
      <c r="D4523" s="2" t="s">
        <v>17</v>
      </c>
      <c r="E4523" s="2" t="s">
        <v>11</v>
      </c>
      <c r="F4523" s="2" t="s">
        <v>18</v>
      </c>
      <c r="G4523" s="2" t="s">
        <v>19</v>
      </c>
      <c r="H4523" s="2" t="s">
        <v>266</v>
      </c>
      <c r="I4523" s="2" t="s">
        <v>4976</v>
      </c>
    </row>
    <row r="4524" spans="1:9" ht="14.5" x14ac:dyDescent="0.35">
      <c r="A4524" s="2">
        <v>283100</v>
      </c>
      <c r="B4524" s="2" t="str">
        <f>"3328152901030009"</f>
        <v>3328152901030009</v>
      </c>
      <c r="C4524" s="2" t="s">
        <v>5100</v>
      </c>
      <c r="D4524" s="2" t="s">
        <v>10</v>
      </c>
      <c r="E4524" s="2" t="s">
        <v>11</v>
      </c>
      <c r="F4524" s="2" t="s">
        <v>18</v>
      </c>
      <c r="G4524" s="2" t="s">
        <v>268</v>
      </c>
      <c r="H4524" s="2" t="s">
        <v>277</v>
      </c>
      <c r="I4524" s="2" t="s">
        <v>884</v>
      </c>
    </row>
    <row r="4525" spans="1:9" ht="14.5" x14ac:dyDescent="0.35">
      <c r="A4525" s="2">
        <v>2560656</v>
      </c>
      <c r="B4525" s="2" t="str">
        <f>"3328152901030009"</f>
        <v>3328152901030009</v>
      </c>
      <c r="C4525" s="2" t="s">
        <v>5100</v>
      </c>
      <c r="D4525" s="2" t="s">
        <v>17</v>
      </c>
      <c r="E4525" s="2" t="s">
        <v>11</v>
      </c>
      <c r="F4525" s="2" t="s">
        <v>18</v>
      </c>
      <c r="G4525" s="2" t="s">
        <v>19</v>
      </c>
      <c r="H4525" s="2" t="s">
        <v>266</v>
      </c>
      <c r="I4525" s="2" t="s">
        <v>266</v>
      </c>
    </row>
    <row r="4526" spans="1:9" ht="14.5" x14ac:dyDescent="0.35">
      <c r="A4526" s="2">
        <v>265629</v>
      </c>
      <c r="B4526" s="2" t="str">
        <f>"3328153004930002"</f>
        <v>3328153004930002</v>
      </c>
      <c r="C4526" s="2" t="s">
        <v>5101</v>
      </c>
      <c r="D4526" s="2" t="s">
        <v>10</v>
      </c>
      <c r="E4526" s="2" t="s">
        <v>11</v>
      </c>
      <c r="F4526" s="2" t="s">
        <v>18</v>
      </c>
      <c r="G4526" s="2" t="s">
        <v>268</v>
      </c>
      <c r="H4526" s="2" t="s">
        <v>371</v>
      </c>
      <c r="I4526" s="2" t="s">
        <v>497</v>
      </c>
    </row>
    <row r="4527" spans="1:9" ht="14.5" x14ac:dyDescent="0.35">
      <c r="A4527" s="2">
        <v>2560552</v>
      </c>
      <c r="B4527" s="2" t="str">
        <f>"3328153004930002"</f>
        <v>3328153004930002</v>
      </c>
      <c r="C4527" s="2" t="s">
        <v>5101</v>
      </c>
      <c r="D4527" s="2" t="s">
        <v>17</v>
      </c>
      <c r="E4527" s="2" t="s">
        <v>11</v>
      </c>
      <c r="F4527" s="2" t="s">
        <v>18</v>
      </c>
      <c r="G4527" s="2" t="s">
        <v>19</v>
      </c>
      <c r="H4527" s="2" t="s">
        <v>266</v>
      </c>
      <c r="I4527" s="2" t="s">
        <v>5044</v>
      </c>
    </row>
    <row r="4528" spans="1:9" ht="14.5" x14ac:dyDescent="0.35">
      <c r="A4528" s="2">
        <v>1282949</v>
      </c>
      <c r="B4528" s="2" t="str">
        <f>"3328153101030003"</f>
        <v>3328153101030003</v>
      </c>
      <c r="C4528" s="2" t="s">
        <v>5102</v>
      </c>
      <c r="D4528" s="2" t="s">
        <v>10</v>
      </c>
      <c r="E4528" s="2" t="s">
        <v>11</v>
      </c>
      <c r="F4528" s="2" t="s">
        <v>91</v>
      </c>
      <c r="G4528" s="2" t="s">
        <v>159</v>
      </c>
      <c r="H4528" s="2" t="s">
        <v>3107</v>
      </c>
      <c r="I4528" s="2" t="s">
        <v>3107</v>
      </c>
    </row>
    <row r="4529" spans="1:9" ht="14.5" x14ac:dyDescent="0.35">
      <c r="A4529" s="2">
        <v>2560451</v>
      </c>
      <c r="B4529" s="2" t="str">
        <f>"3328153101030003"</f>
        <v>3328153101030003</v>
      </c>
      <c r="C4529" s="2" t="s">
        <v>5102</v>
      </c>
      <c r="D4529" s="2" t="s">
        <v>17</v>
      </c>
      <c r="E4529" s="2" t="s">
        <v>11</v>
      </c>
      <c r="F4529" s="2" t="s">
        <v>18</v>
      </c>
      <c r="G4529" s="2" t="s">
        <v>19</v>
      </c>
      <c r="H4529" s="2" t="s">
        <v>266</v>
      </c>
      <c r="I4529" s="2" t="s">
        <v>4994</v>
      </c>
    </row>
    <row r="4530" spans="1:9" ht="14.5" x14ac:dyDescent="0.35">
      <c r="A4530" s="2">
        <v>1564624</v>
      </c>
      <c r="B4530" s="2" t="str">
        <f>"3328154107570206"</f>
        <v>3328154107570206</v>
      </c>
      <c r="C4530" s="2" t="s">
        <v>5103</v>
      </c>
      <c r="D4530" s="2" t="s">
        <v>10</v>
      </c>
      <c r="E4530" s="2" t="s">
        <v>11</v>
      </c>
      <c r="F4530" s="2" t="s">
        <v>91</v>
      </c>
      <c r="G4530" s="2" t="s">
        <v>92</v>
      </c>
      <c r="H4530" s="2" t="s">
        <v>128</v>
      </c>
      <c r="I4530" s="2" t="s">
        <v>5104</v>
      </c>
    </row>
    <row r="4531" spans="1:9" ht="14.5" x14ac:dyDescent="0.35">
      <c r="A4531" s="2">
        <v>2561500</v>
      </c>
      <c r="B4531" s="2" t="str">
        <f>"3328154107570206"</f>
        <v>3328154107570206</v>
      </c>
      <c r="C4531" s="2" t="s">
        <v>5105</v>
      </c>
      <c r="D4531" s="2" t="s">
        <v>17</v>
      </c>
      <c r="E4531" s="2" t="s">
        <v>11</v>
      </c>
      <c r="F4531" s="2" t="s">
        <v>18</v>
      </c>
      <c r="G4531" s="2" t="s">
        <v>19</v>
      </c>
      <c r="H4531" s="2" t="s">
        <v>266</v>
      </c>
      <c r="I4531" s="2" t="s">
        <v>5106</v>
      </c>
    </row>
    <row r="4532" spans="1:9" ht="14.5" x14ac:dyDescent="0.35">
      <c r="A4532" s="2">
        <v>346035</v>
      </c>
      <c r="B4532" s="2" t="str">
        <f>"3328154107810058"</f>
        <v>3328154107810058</v>
      </c>
      <c r="C4532" s="2" t="s">
        <v>5107</v>
      </c>
      <c r="D4532" s="2" t="s">
        <v>10</v>
      </c>
      <c r="E4532" s="2" t="s">
        <v>11</v>
      </c>
      <c r="F4532" s="2" t="s">
        <v>18</v>
      </c>
      <c r="G4532" s="2" t="s">
        <v>268</v>
      </c>
      <c r="H4532" s="2" t="s">
        <v>269</v>
      </c>
      <c r="I4532" s="2" t="s">
        <v>3140</v>
      </c>
    </row>
    <row r="4533" spans="1:9" ht="14.5" x14ac:dyDescent="0.35">
      <c r="A4533" s="2">
        <v>2560526</v>
      </c>
      <c r="B4533" s="2" t="str">
        <f>"3328154107810058"</f>
        <v>3328154107810058</v>
      </c>
      <c r="C4533" s="2" t="s">
        <v>5107</v>
      </c>
      <c r="D4533" s="2" t="s">
        <v>17</v>
      </c>
      <c r="E4533" s="2" t="s">
        <v>11</v>
      </c>
      <c r="F4533" s="2" t="s">
        <v>18</v>
      </c>
      <c r="G4533" s="2" t="s">
        <v>19</v>
      </c>
      <c r="H4533" s="2" t="s">
        <v>266</v>
      </c>
      <c r="I4533" s="2" t="s">
        <v>5044</v>
      </c>
    </row>
    <row r="4534" spans="1:9" ht="14.5" x14ac:dyDescent="0.35">
      <c r="A4534" s="2">
        <v>77839</v>
      </c>
      <c r="B4534" s="2" t="str">
        <f>"3328154109010004"</f>
        <v>3328154109010004</v>
      </c>
      <c r="C4534" s="2" t="s">
        <v>5108</v>
      </c>
      <c r="D4534" s="2" t="s">
        <v>10</v>
      </c>
      <c r="E4534" s="2" t="s">
        <v>11</v>
      </c>
      <c r="F4534" s="2" t="s">
        <v>2545</v>
      </c>
      <c r="G4534" s="2" t="s">
        <v>2546</v>
      </c>
      <c r="H4534" s="2" t="s">
        <v>5109</v>
      </c>
      <c r="I4534" s="2" t="s">
        <v>5110</v>
      </c>
    </row>
    <row r="4535" spans="1:9" ht="14.5" x14ac:dyDescent="0.35">
      <c r="A4535" s="2">
        <v>2560521</v>
      </c>
      <c r="B4535" s="2" t="str">
        <f>"3328154109010004"</f>
        <v>3328154109010004</v>
      </c>
      <c r="C4535" s="2" t="s">
        <v>5108</v>
      </c>
      <c r="D4535" s="2" t="s">
        <v>17</v>
      </c>
      <c r="E4535" s="2" t="s">
        <v>11</v>
      </c>
      <c r="F4535" s="2" t="s">
        <v>18</v>
      </c>
      <c r="G4535" s="2" t="s">
        <v>19</v>
      </c>
      <c r="H4535" s="2" t="s">
        <v>266</v>
      </c>
      <c r="I4535" s="2" t="s">
        <v>5067</v>
      </c>
    </row>
    <row r="4536" spans="1:9" ht="14.5" x14ac:dyDescent="0.35">
      <c r="A4536" s="2">
        <v>2063779</v>
      </c>
      <c r="B4536" s="2" t="str">
        <f>"3328154205920007"</f>
        <v>3328154205920007</v>
      </c>
      <c r="C4536" s="2" t="s">
        <v>5111</v>
      </c>
      <c r="D4536" s="2" t="s">
        <v>10</v>
      </c>
      <c r="E4536" s="2" t="s">
        <v>11</v>
      </c>
      <c r="F4536" s="2" t="s">
        <v>67</v>
      </c>
      <c r="G4536" s="2" t="s">
        <v>375</v>
      </c>
      <c r="H4536" s="2" t="s">
        <v>5060</v>
      </c>
      <c r="I4536" s="2" t="s">
        <v>5061</v>
      </c>
    </row>
    <row r="4537" spans="1:9" ht="14.5" x14ac:dyDescent="0.35">
      <c r="A4537" s="2">
        <v>2560456</v>
      </c>
      <c r="B4537" s="2" t="str">
        <f>"3328154205920007"</f>
        <v>3328154205920007</v>
      </c>
      <c r="C4537" s="2" t="s">
        <v>5111</v>
      </c>
      <c r="D4537" s="2" t="s">
        <v>17</v>
      </c>
      <c r="E4537" s="2" t="s">
        <v>11</v>
      </c>
      <c r="F4537" s="2" t="s">
        <v>18</v>
      </c>
      <c r="G4537" s="2" t="s">
        <v>19</v>
      </c>
      <c r="H4537" s="2" t="s">
        <v>266</v>
      </c>
      <c r="I4537" s="2" t="s">
        <v>4994</v>
      </c>
    </row>
    <row r="4538" spans="1:9" ht="14.5" x14ac:dyDescent="0.35">
      <c r="A4538" s="2">
        <v>26514</v>
      </c>
      <c r="B4538" s="2" t="str">
        <f>"3328154406900008"</f>
        <v>3328154406900008</v>
      </c>
      <c r="C4538" s="2" t="s">
        <v>5112</v>
      </c>
      <c r="D4538" s="2" t="s">
        <v>10</v>
      </c>
      <c r="E4538" s="2" t="s">
        <v>11</v>
      </c>
      <c r="F4538" s="2" t="s">
        <v>2889</v>
      </c>
      <c r="G4538" s="2" t="s">
        <v>2890</v>
      </c>
      <c r="H4538" s="2" t="s">
        <v>5028</v>
      </c>
      <c r="I4538" s="2" t="s">
        <v>5029</v>
      </c>
    </row>
    <row r="4539" spans="1:9" ht="14.5" x14ac:dyDescent="0.35">
      <c r="A4539" s="2">
        <v>2560098</v>
      </c>
      <c r="B4539" s="2" t="str">
        <f>"3328154406900008"</f>
        <v>3328154406900008</v>
      </c>
      <c r="C4539" s="2" t="s">
        <v>5113</v>
      </c>
      <c r="D4539" s="2" t="s">
        <v>17</v>
      </c>
      <c r="E4539" s="2" t="s">
        <v>11</v>
      </c>
      <c r="F4539" s="2" t="s">
        <v>18</v>
      </c>
      <c r="G4539" s="2" t="s">
        <v>19</v>
      </c>
      <c r="H4539" s="2" t="s">
        <v>266</v>
      </c>
      <c r="I4539" s="2" t="s">
        <v>1737</v>
      </c>
    </row>
    <row r="4540" spans="1:9" ht="14.5" x14ac:dyDescent="0.35">
      <c r="A4540" s="2">
        <v>1415773</v>
      </c>
      <c r="B4540" s="2" t="str">
        <f>"3328154705000002"</f>
        <v>3328154705000002</v>
      </c>
      <c r="C4540" s="2" t="s">
        <v>5114</v>
      </c>
      <c r="D4540" s="2" t="s">
        <v>10</v>
      </c>
      <c r="E4540" s="2" t="s">
        <v>11</v>
      </c>
      <c r="F4540" s="2" t="s">
        <v>18</v>
      </c>
      <c r="G4540" s="2" t="s">
        <v>19</v>
      </c>
      <c r="H4540" s="2" t="s">
        <v>266</v>
      </c>
      <c r="I4540" s="2" t="s">
        <v>5072</v>
      </c>
    </row>
    <row r="4541" spans="1:9" ht="14.5" x14ac:dyDescent="0.35">
      <c r="A4541" s="2">
        <v>1862383</v>
      </c>
      <c r="B4541" s="2" t="str">
        <f>"3328154705000002"</f>
        <v>3328154705000002</v>
      </c>
      <c r="C4541" s="2" t="s">
        <v>5114</v>
      </c>
      <c r="D4541" s="2" t="s">
        <v>10</v>
      </c>
      <c r="E4541" s="2" t="s">
        <v>57</v>
      </c>
      <c r="F4541" s="2" t="s">
        <v>18</v>
      </c>
      <c r="G4541" s="2" t="s">
        <v>733</v>
      </c>
      <c r="H4541" s="2" t="s">
        <v>733</v>
      </c>
      <c r="I4541" s="2" t="s">
        <v>734</v>
      </c>
    </row>
    <row r="4542" spans="1:9" ht="14.5" x14ac:dyDescent="0.35">
      <c r="A4542" s="2">
        <v>1415775</v>
      </c>
      <c r="B4542" s="2" t="str">
        <f>"3328154705000003"</f>
        <v>3328154705000003</v>
      </c>
      <c r="C4542" s="2" t="s">
        <v>5115</v>
      </c>
      <c r="D4542" s="2" t="s">
        <v>10</v>
      </c>
      <c r="E4542" s="2" t="s">
        <v>11</v>
      </c>
      <c r="F4542" s="2" t="s">
        <v>18</v>
      </c>
      <c r="G4542" s="2" t="s">
        <v>19</v>
      </c>
      <c r="H4542" s="2" t="s">
        <v>266</v>
      </c>
      <c r="I4542" s="2" t="s">
        <v>5072</v>
      </c>
    </row>
    <row r="4543" spans="1:9" ht="14.5" x14ac:dyDescent="0.35">
      <c r="A4543" s="2">
        <v>1862384</v>
      </c>
      <c r="B4543" s="2" t="str">
        <f>"3328154705000003"</f>
        <v>3328154705000003</v>
      </c>
      <c r="C4543" s="2" t="s">
        <v>5115</v>
      </c>
      <c r="D4543" s="2" t="s">
        <v>10</v>
      </c>
      <c r="E4543" s="2" t="s">
        <v>57</v>
      </c>
      <c r="F4543" s="2" t="s">
        <v>18</v>
      </c>
      <c r="G4543" s="2" t="s">
        <v>733</v>
      </c>
      <c r="H4543" s="2" t="s">
        <v>733</v>
      </c>
      <c r="I4543" s="2" t="s">
        <v>734</v>
      </c>
    </row>
    <row r="4544" spans="1:9" ht="14.5" x14ac:dyDescent="0.35">
      <c r="A4544" s="2">
        <v>254464</v>
      </c>
      <c r="B4544" s="2" t="str">
        <f>"3328155005060012"</f>
        <v>3328155005060012</v>
      </c>
      <c r="C4544" s="2" t="s">
        <v>5116</v>
      </c>
      <c r="D4544" s="2" t="s">
        <v>10</v>
      </c>
      <c r="E4544" s="2" t="s">
        <v>11</v>
      </c>
      <c r="F4544" s="2" t="s">
        <v>18</v>
      </c>
      <c r="G4544" s="2" t="s">
        <v>268</v>
      </c>
      <c r="H4544" s="2" t="s">
        <v>371</v>
      </c>
      <c r="I4544" s="2" t="s">
        <v>497</v>
      </c>
    </row>
    <row r="4545" spans="1:9" ht="14.5" x14ac:dyDescent="0.35">
      <c r="A4545" s="2">
        <v>2559676</v>
      </c>
      <c r="B4545" s="2" t="str">
        <f>"3328155005060012"</f>
        <v>3328155005060012</v>
      </c>
      <c r="C4545" s="2" t="s">
        <v>5116</v>
      </c>
      <c r="D4545" s="2" t="s">
        <v>17</v>
      </c>
      <c r="E4545" s="2" t="s">
        <v>11</v>
      </c>
      <c r="F4545" s="2" t="s">
        <v>18</v>
      </c>
      <c r="G4545" s="2" t="s">
        <v>19</v>
      </c>
      <c r="H4545" s="2" t="s">
        <v>266</v>
      </c>
      <c r="I4545" s="2" t="s">
        <v>4976</v>
      </c>
    </row>
    <row r="4546" spans="1:9" ht="14.5" x14ac:dyDescent="0.35">
      <c r="A4546" s="2">
        <v>1167480</v>
      </c>
      <c r="B4546" s="2" t="str">
        <f>"3328155005870009"</f>
        <v>3328155005870009</v>
      </c>
      <c r="C4546" s="2" t="s">
        <v>5117</v>
      </c>
      <c r="D4546" s="2" t="s">
        <v>17</v>
      </c>
      <c r="E4546" s="2" t="s">
        <v>11</v>
      </c>
      <c r="F4546" s="2" t="s">
        <v>18</v>
      </c>
      <c r="G4546" s="2" t="s">
        <v>1787</v>
      </c>
      <c r="H4546" s="2" t="s">
        <v>5118</v>
      </c>
      <c r="I4546" s="2" t="s">
        <v>5118</v>
      </c>
    </row>
    <row r="4547" spans="1:9" ht="14.5" x14ac:dyDescent="0.35">
      <c r="A4547" s="2">
        <v>1297605</v>
      </c>
      <c r="B4547" s="2" t="str">
        <f>"3328155005870009"</f>
        <v>3328155005870009</v>
      </c>
      <c r="C4547" s="2" t="s">
        <v>5119</v>
      </c>
      <c r="D4547" s="2" t="s">
        <v>189</v>
      </c>
      <c r="E4547" s="2" t="s">
        <v>11</v>
      </c>
      <c r="F4547" s="2" t="s">
        <v>18</v>
      </c>
      <c r="G4547" s="2" t="s">
        <v>19</v>
      </c>
      <c r="H4547" s="2" t="s">
        <v>266</v>
      </c>
      <c r="I4547" s="2" t="s">
        <v>5067</v>
      </c>
    </row>
    <row r="4548" spans="1:9" ht="14.5" x14ac:dyDescent="0.35">
      <c r="A4548" s="2">
        <v>585510</v>
      </c>
      <c r="B4548" s="2" t="str">
        <f>"3328155202820005"</f>
        <v>3328155202820005</v>
      </c>
      <c r="C4548" s="2" t="s">
        <v>5120</v>
      </c>
      <c r="D4548" s="2" t="s">
        <v>10</v>
      </c>
      <c r="E4548" s="2" t="s">
        <v>11</v>
      </c>
      <c r="F4548" s="2" t="s">
        <v>379</v>
      </c>
      <c r="G4548" s="2" t="s">
        <v>1206</v>
      </c>
      <c r="H4548" s="2" t="s">
        <v>5121</v>
      </c>
      <c r="I4548" s="2" t="s">
        <v>5122</v>
      </c>
    </row>
    <row r="4549" spans="1:9" ht="14.5" x14ac:dyDescent="0.35">
      <c r="A4549" s="2">
        <v>2560509</v>
      </c>
      <c r="B4549" s="2" t="str">
        <f>"3328155202820005"</f>
        <v>3328155202820005</v>
      </c>
      <c r="C4549" s="2" t="s">
        <v>5123</v>
      </c>
      <c r="D4549" s="2" t="s">
        <v>17</v>
      </c>
      <c r="E4549" s="2" t="s">
        <v>11</v>
      </c>
      <c r="F4549" s="2" t="s">
        <v>18</v>
      </c>
      <c r="G4549" s="2" t="s">
        <v>19</v>
      </c>
      <c r="H4549" s="2" t="s">
        <v>266</v>
      </c>
      <c r="I4549" s="2" t="s">
        <v>5067</v>
      </c>
    </row>
    <row r="4550" spans="1:9" ht="14.5" x14ac:dyDescent="0.35">
      <c r="A4550" s="2">
        <v>410338</v>
      </c>
      <c r="B4550" s="2" t="str">
        <f>"3328155406930002"</f>
        <v>3328155406930002</v>
      </c>
      <c r="C4550" s="2" t="s">
        <v>5124</v>
      </c>
      <c r="D4550" s="2" t="s">
        <v>10</v>
      </c>
      <c r="E4550" s="2" t="s">
        <v>11</v>
      </c>
      <c r="F4550" s="2" t="s">
        <v>18</v>
      </c>
      <c r="G4550" s="2" t="s">
        <v>268</v>
      </c>
      <c r="H4550" s="2" t="s">
        <v>448</v>
      </c>
      <c r="I4550" s="2" t="s">
        <v>448</v>
      </c>
    </row>
    <row r="4551" spans="1:9" ht="14.5" x14ac:dyDescent="0.35">
      <c r="A4551" s="2">
        <v>2561400</v>
      </c>
      <c r="B4551" s="2" t="str">
        <f>"3328155406930002"</f>
        <v>3328155406930002</v>
      </c>
      <c r="C4551" s="2" t="s">
        <v>5124</v>
      </c>
      <c r="D4551" s="2" t="s">
        <v>17</v>
      </c>
      <c r="E4551" s="2" t="s">
        <v>11</v>
      </c>
      <c r="F4551" s="2" t="s">
        <v>18</v>
      </c>
      <c r="G4551" s="2" t="s">
        <v>19</v>
      </c>
      <c r="H4551" s="2" t="s">
        <v>266</v>
      </c>
      <c r="I4551" s="2" t="s">
        <v>5106</v>
      </c>
    </row>
    <row r="4552" spans="1:9" ht="14.5" x14ac:dyDescent="0.35">
      <c r="A4552" s="2">
        <v>978714</v>
      </c>
      <c r="B4552" s="2" t="str">
        <f>"3328155504940004"</f>
        <v>3328155504940004</v>
      </c>
      <c r="C4552" s="2" t="s">
        <v>5125</v>
      </c>
      <c r="D4552" s="2" t="s">
        <v>10</v>
      </c>
      <c r="E4552" s="2" t="s">
        <v>11</v>
      </c>
      <c r="F4552" s="2" t="s">
        <v>18</v>
      </c>
      <c r="G4552" s="2" t="s">
        <v>264</v>
      </c>
      <c r="H4552" s="2" t="s">
        <v>773</v>
      </c>
      <c r="I4552" s="2" t="s">
        <v>4079</v>
      </c>
    </row>
    <row r="4553" spans="1:9" ht="14.5" x14ac:dyDescent="0.35">
      <c r="A4553" s="2">
        <v>2561369</v>
      </c>
      <c r="B4553" s="2" t="str">
        <f>"3328155504940004"</f>
        <v>3328155504940004</v>
      </c>
      <c r="C4553" s="2" t="s">
        <v>5125</v>
      </c>
      <c r="D4553" s="2" t="s">
        <v>17</v>
      </c>
      <c r="E4553" s="2" t="s">
        <v>11</v>
      </c>
      <c r="F4553" s="2" t="s">
        <v>18</v>
      </c>
      <c r="G4553" s="2" t="s">
        <v>19</v>
      </c>
      <c r="H4553" s="2" t="s">
        <v>266</v>
      </c>
      <c r="I4553" s="2" t="s">
        <v>5106</v>
      </c>
    </row>
    <row r="4554" spans="1:9" ht="14.5" x14ac:dyDescent="0.35">
      <c r="A4554" s="2">
        <v>246775</v>
      </c>
      <c r="B4554" s="2" t="str">
        <f>"3328155701060002"</f>
        <v>3328155701060002</v>
      </c>
      <c r="C4554" s="2" t="s">
        <v>5126</v>
      </c>
      <c r="D4554" s="2" t="s">
        <v>10</v>
      </c>
      <c r="E4554" s="2" t="s">
        <v>11</v>
      </c>
      <c r="F4554" s="2" t="s">
        <v>18</v>
      </c>
      <c r="G4554" s="2" t="s">
        <v>268</v>
      </c>
      <c r="H4554" s="2" t="s">
        <v>371</v>
      </c>
      <c r="I4554" s="2" t="s">
        <v>497</v>
      </c>
    </row>
    <row r="4555" spans="1:9" ht="14.5" x14ac:dyDescent="0.35">
      <c r="A4555" s="2">
        <v>2559745</v>
      </c>
      <c r="B4555" s="2" t="str">
        <f>"3328155701060002"</f>
        <v>3328155701060002</v>
      </c>
      <c r="C4555" s="2" t="s">
        <v>5126</v>
      </c>
      <c r="D4555" s="2" t="s">
        <v>17</v>
      </c>
      <c r="E4555" s="2" t="s">
        <v>11</v>
      </c>
      <c r="F4555" s="2" t="s">
        <v>18</v>
      </c>
      <c r="G4555" s="2" t="s">
        <v>19</v>
      </c>
      <c r="H4555" s="2" t="s">
        <v>266</v>
      </c>
      <c r="I4555" s="2" t="s">
        <v>4976</v>
      </c>
    </row>
    <row r="4556" spans="1:9" ht="14.5" x14ac:dyDescent="0.35">
      <c r="A4556" s="2">
        <v>106160</v>
      </c>
      <c r="B4556" s="2" t="str">
        <f>"3328155807940004"</f>
        <v>3328155807940004</v>
      </c>
      <c r="C4556" s="2" t="s">
        <v>5127</v>
      </c>
      <c r="D4556" s="2" t="s">
        <v>10</v>
      </c>
      <c r="E4556" s="2" t="s">
        <v>11</v>
      </c>
      <c r="F4556" s="2" t="s">
        <v>5128</v>
      </c>
      <c r="G4556" s="2" t="s">
        <v>5129</v>
      </c>
      <c r="H4556" s="2" t="s">
        <v>5129</v>
      </c>
      <c r="I4556" s="2" t="s">
        <v>5130</v>
      </c>
    </row>
    <row r="4557" spans="1:9" ht="14.5" x14ac:dyDescent="0.35">
      <c r="A4557" s="2">
        <v>2560017</v>
      </c>
      <c r="B4557" s="2" t="str">
        <f>"3328155807940004"</f>
        <v>3328155807940004</v>
      </c>
      <c r="C4557" s="2" t="s">
        <v>5127</v>
      </c>
      <c r="D4557" s="2" t="s">
        <v>17</v>
      </c>
      <c r="E4557" s="2" t="s">
        <v>11</v>
      </c>
      <c r="F4557" s="2" t="s">
        <v>18</v>
      </c>
      <c r="G4557" s="2" t="s">
        <v>19</v>
      </c>
      <c r="H4557" s="2" t="s">
        <v>266</v>
      </c>
      <c r="I4557" s="2" t="s">
        <v>5050</v>
      </c>
    </row>
    <row r="4558" spans="1:9" ht="14.5" x14ac:dyDescent="0.35">
      <c r="A4558" s="2">
        <v>555889</v>
      </c>
      <c r="B4558" s="2" t="str">
        <f>"3328155907850003"</f>
        <v>3328155907850003</v>
      </c>
      <c r="C4558" s="2" t="s">
        <v>5131</v>
      </c>
      <c r="D4558" s="2" t="s">
        <v>10</v>
      </c>
      <c r="E4558" s="2" t="s">
        <v>11</v>
      </c>
      <c r="F4558" s="2" t="s">
        <v>516</v>
      </c>
      <c r="G4558" s="2" t="s">
        <v>4321</v>
      </c>
      <c r="H4558" s="2" t="s">
        <v>4322</v>
      </c>
      <c r="I4558" s="2" t="s">
        <v>5132</v>
      </c>
    </row>
    <row r="4559" spans="1:9" ht="14.5" x14ac:dyDescent="0.35">
      <c r="A4559" s="2">
        <v>2560338</v>
      </c>
      <c r="B4559" s="2" t="str">
        <f>"3328155907850003"</f>
        <v>3328155907850003</v>
      </c>
      <c r="C4559" s="2" t="s">
        <v>5131</v>
      </c>
      <c r="D4559" s="2" t="s">
        <v>17</v>
      </c>
      <c r="E4559" s="2" t="s">
        <v>11</v>
      </c>
      <c r="F4559" s="2" t="s">
        <v>18</v>
      </c>
      <c r="G4559" s="2" t="s">
        <v>19</v>
      </c>
      <c r="H4559" s="2" t="s">
        <v>266</v>
      </c>
      <c r="I4559" s="2" t="s">
        <v>5133</v>
      </c>
    </row>
    <row r="4560" spans="1:9" ht="14.5" x14ac:dyDescent="0.35">
      <c r="A4560" s="2">
        <v>399935</v>
      </c>
      <c r="B4560" s="2" t="str">
        <f>"3328156112900003"</f>
        <v>3328156112900003</v>
      </c>
      <c r="C4560" s="2" t="s">
        <v>5134</v>
      </c>
      <c r="D4560" s="2" t="s">
        <v>10</v>
      </c>
      <c r="E4560" s="2" t="s">
        <v>11</v>
      </c>
      <c r="F4560" s="2" t="s">
        <v>18</v>
      </c>
      <c r="G4560" s="2" t="s">
        <v>268</v>
      </c>
      <c r="H4560" s="2" t="s">
        <v>448</v>
      </c>
      <c r="I4560" s="2" t="s">
        <v>448</v>
      </c>
    </row>
    <row r="4561" spans="1:9" ht="14.5" x14ac:dyDescent="0.35">
      <c r="A4561" s="2">
        <v>2559547</v>
      </c>
      <c r="B4561" s="2" t="str">
        <f>"3328156112900003"</f>
        <v>3328156112900003</v>
      </c>
      <c r="C4561" s="2" t="s">
        <v>5134</v>
      </c>
      <c r="D4561" s="2" t="s">
        <v>17</v>
      </c>
      <c r="E4561" s="2" t="s">
        <v>11</v>
      </c>
      <c r="F4561" s="2" t="s">
        <v>18</v>
      </c>
      <c r="G4561" s="2" t="s">
        <v>19</v>
      </c>
      <c r="H4561" s="2" t="s">
        <v>266</v>
      </c>
      <c r="I4561" s="2" t="s">
        <v>5005</v>
      </c>
    </row>
    <row r="4562" spans="1:9" ht="14.5" x14ac:dyDescent="0.35">
      <c r="A4562" s="2">
        <v>303234</v>
      </c>
      <c r="B4562" s="2" t="str">
        <f>"3328156602680003"</f>
        <v>3328156602680003</v>
      </c>
      <c r="C4562" s="2" t="s">
        <v>5135</v>
      </c>
      <c r="D4562" s="2" t="s">
        <v>10</v>
      </c>
      <c r="E4562" s="2" t="s">
        <v>11</v>
      </c>
      <c r="F4562" s="2" t="s">
        <v>18</v>
      </c>
      <c r="G4562" s="2" t="s">
        <v>268</v>
      </c>
      <c r="H4562" s="2" t="s">
        <v>277</v>
      </c>
      <c r="I4562" s="2" t="s">
        <v>2762</v>
      </c>
    </row>
    <row r="4563" spans="1:9" ht="14.5" x14ac:dyDescent="0.35">
      <c r="A4563" s="2">
        <v>2559678</v>
      </c>
      <c r="B4563" s="2" t="str">
        <f>"3328156602680003"</f>
        <v>3328156602680003</v>
      </c>
      <c r="C4563" s="2" t="s">
        <v>5136</v>
      </c>
      <c r="D4563" s="2" t="s">
        <v>17</v>
      </c>
      <c r="E4563" s="2" t="s">
        <v>11</v>
      </c>
      <c r="F4563" s="2" t="s">
        <v>18</v>
      </c>
      <c r="G4563" s="2" t="s">
        <v>19</v>
      </c>
      <c r="H4563" s="2" t="s">
        <v>266</v>
      </c>
      <c r="I4563" s="2" t="s">
        <v>4976</v>
      </c>
    </row>
    <row r="4564" spans="1:9" ht="14.5" x14ac:dyDescent="0.35">
      <c r="A4564" s="2">
        <v>1642239</v>
      </c>
      <c r="B4564" s="2" t="str">
        <f>"3328156610830003"</f>
        <v>3328156610830003</v>
      </c>
      <c r="C4564" s="2" t="s">
        <v>5137</v>
      </c>
      <c r="D4564" s="2" t="s">
        <v>10</v>
      </c>
      <c r="E4564" s="2" t="s">
        <v>11</v>
      </c>
      <c r="F4564" s="2" t="s">
        <v>18</v>
      </c>
      <c r="G4564" s="2" t="s">
        <v>19</v>
      </c>
      <c r="H4564" s="2" t="s">
        <v>266</v>
      </c>
      <c r="I4564" s="2" t="s">
        <v>4976</v>
      </c>
    </row>
    <row r="4565" spans="1:9" ht="14.5" x14ac:dyDescent="0.35">
      <c r="A4565" s="2">
        <v>777654</v>
      </c>
      <c r="B4565" s="2" t="str">
        <f>"3328156610830003"</f>
        <v>3328156610830003</v>
      </c>
      <c r="C4565" s="2" t="s">
        <v>5138</v>
      </c>
      <c r="D4565" s="2" t="s">
        <v>17</v>
      </c>
      <c r="E4565" s="2" t="s">
        <v>11</v>
      </c>
      <c r="F4565" s="2" t="s">
        <v>379</v>
      </c>
      <c r="G4565" s="2" t="s">
        <v>711</v>
      </c>
      <c r="H4565" s="2" t="s">
        <v>5139</v>
      </c>
      <c r="I4565" s="2" t="s">
        <v>5140</v>
      </c>
    </row>
    <row r="4566" spans="1:9" ht="14.5" x14ac:dyDescent="0.35">
      <c r="A4566" s="2">
        <v>2821093</v>
      </c>
      <c r="B4566" s="2" t="str">
        <f>"3328157009930002"</f>
        <v>3328157009930002</v>
      </c>
      <c r="C4566" s="2" t="s">
        <v>5141</v>
      </c>
      <c r="D4566" s="2" t="s">
        <v>10</v>
      </c>
      <c r="E4566" s="2" t="s">
        <v>11</v>
      </c>
      <c r="F4566" s="2" t="s">
        <v>67</v>
      </c>
      <c r="G4566" s="2" t="s">
        <v>512</v>
      </c>
      <c r="H4566" s="2" t="s">
        <v>5142</v>
      </c>
      <c r="I4566" s="2" t="s">
        <v>5143</v>
      </c>
    </row>
    <row r="4567" spans="1:9" ht="14.5" x14ac:dyDescent="0.35">
      <c r="A4567" s="2">
        <v>2560967</v>
      </c>
      <c r="B4567" s="2" t="str">
        <f>"3328157009930002"</f>
        <v>3328157009930002</v>
      </c>
      <c r="C4567" s="2" t="s">
        <v>5141</v>
      </c>
      <c r="D4567" s="2" t="s">
        <v>17</v>
      </c>
      <c r="E4567" s="2" t="s">
        <v>11</v>
      </c>
      <c r="F4567" s="2" t="s">
        <v>18</v>
      </c>
      <c r="G4567" s="2" t="s">
        <v>19</v>
      </c>
      <c r="H4567" s="2" t="s">
        <v>266</v>
      </c>
      <c r="I4567" s="2" t="s">
        <v>5011</v>
      </c>
    </row>
    <row r="4568" spans="1:9" ht="14.5" x14ac:dyDescent="0.35">
      <c r="A4568" s="2">
        <v>265630</v>
      </c>
      <c r="B4568" s="2" t="str">
        <f>"3328157010630004"</f>
        <v>3328157010630004</v>
      </c>
      <c r="C4568" s="2" t="s">
        <v>5144</v>
      </c>
      <c r="D4568" s="2" t="s">
        <v>10</v>
      </c>
      <c r="E4568" s="2" t="s">
        <v>11</v>
      </c>
      <c r="F4568" s="2" t="s">
        <v>18</v>
      </c>
      <c r="G4568" s="2" t="s">
        <v>268</v>
      </c>
      <c r="H4568" s="2" t="s">
        <v>371</v>
      </c>
      <c r="I4568" s="2" t="s">
        <v>497</v>
      </c>
    </row>
    <row r="4569" spans="1:9" ht="14.5" x14ac:dyDescent="0.35">
      <c r="A4569" s="2">
        <v>2560553</v>
      </c>
      <c r="B4569" s="2" t="str">
        <f>"3328157010630004"</f>
        <v>3328157010630004</v>
      </c>
      <c r="C4569" s="2" t="s">
        <v>5144</v>
      </c>
      <c r="D4569" s="2" t="s">
        <v>17</v>
      </c>
      <c r="E4569" s="2" t="s">
        <v>11</v>
      </c>
      <c r="F4569" s="2" t="s">
        <v>18</v>
      </c>
      <c r="G4569" s="2" t="s">
        <v>19</v>
      </c>
      <c r="H4569" s="2" t="s">
        <v>266</v>
      </c>
      <c r="I4569" s="2" t="s">
        <v>5044</v>
      </c>
    </row>
    <row r="4570" spans="1:9" ht="14.5" x14ac:dyDescent="0.35">
      <c r="A4570" s="2">
        <v>1216001</v>
      </c>
      <c r="B4570" s="2" t="str">
        <f>"3329070609970003"</f>
        <v>3329070609970003</v>
      </c>
      <c r="C4570" s="2" t="s">
        <v>5145</v>
      </c>
      <c r="D4570" s="2" t="s">
        <v>10</v>
      </c>
      <c r="E4570" s="2" t="s">
        <v>11</v>
      </c>
      <c r="F4570" s="2" t="s">
        <v>18</v>
      </c>
      <c r="G4570" s="2" t="s">
        <v>264</v>
      </c>
      <c r="H4570" s="2" t="s">
        <v>265</v>
      </c>
      <c r="I4570" s="2" t="s">
        <v>863</v>
      </c>
    </row>
    <row r="4571" spans="1:9" ht="14.5" x14ac:dyDescent="0.35">
      <c r="A4571" s="2">
        <v>2560083</v>
      </c>
      <c r="B4571" s="2" t="str">
        <f>"3329070609970003"</f>
        <v>3329070609970003</v>
      </c>
      <c r="C4571" s="2" t="s">
        <v>5145</v>
      </c>
      <c r="D4571" s="2" t="s">
        <v>17</v>
      </c>
      <c r="E4571" s="2" t="s">
        <v>11</v>
      </c>
      <c r="F4571" s="2" t="s">
        <v>18</v>
      </c>
      <c r="G4571" s="2" t="s">
        <v>19</v>
      </c>
      <c r="H4571" s="2" t="s">
        <v>266</v>
      </c>
      <c r="I4571" s="2" t="s">
        <v>1737</v>
      </c>
    </row>
    <row r="4572" spans="1:9" ht="14.5" x14ac:dyDescent="0.35">
      <c r="A4572" s="2">
        <v>2559674</v>
      </c>
      <c r="B4572" s="2" t="str">
        <f>"3329071109930002"</f>
        <v>3329071109930002</v>
      </c>
      <c r="C4572" s="2" t="s">
        <v>5146</v>
      </c>
      <c r="D4572" s="2" t="s">
        <v>17</v>
      </c>
      <c r="E4572" s="2" t="s">
        <v>11</v>
      </c>
      <c r="F4572" s="2" t="s">
        <v>18</v>
      </c>
      <c r="G4572" s="2" t="s">
        <v>19</v>
      </c>
      <c r="H4572" s="2" t="s">
        <v>266</v>
      </c>
      <c r="I4572" s="2" t="s">
        <v>4976</v>
      </c>
    </row>
    <row r="4573" spans="1:9" ht="14.5" x14ac:dyDescent="0.35">
      <c r="A4573" s="2">
        <v>1227917</v>
      </c>
      <c r="B4573" s="2" t="str">
        <f>"3329071109930002"</f>
        <v>3329071109930002</v>
      </c>
      <c r="C4573" s="2" t="s">
        <v>5147</v>
      </c>
      <c r="D4573" s="2" t="s">
        <v>189</v>
      </c>
      <c r="E4573" s="2" t="s">
        <v>11</v>
      </c>
      <c r="F4573" s="2" t="s">
        <v>18</v>
      </c>
      <c r="G4573" s="2" t="s">
        <v>264</v>
      </c>
      <c r="H4573" s="2" t="s">
        <v>265</v>
      </c>
      <c r="I4573" s="2" t="s">
        <v>3935</v>
      </c>
    </row>
    <row r="4574" spans="1:9" ht="14.5" x14ac:dyDescent="0.35">
      <c r="A4574" s="2">
        <v>622342</v>
      </c>
      <c r="B4574" s="2" t="str">
        <f>"3329090202880004"</f>
        <v>3329090202880004</v>
      </c>
      <c r="C4574" s="2" t="s">
        <v>5148</v>
      </c>
      <c r="D4574" s="2" t="s">
        <v>10</v>
      </c>
      <c r="E4574" s="2" t="s">
        <v>11</v>
      </c>
      <c r="F4574" s="2" t="s">
        <v>18</v>
      </c>
      <c r="G4574" s="2" t="s">
        <v>264</v>
      </c>
      <c r="H4574" s="2" t="s">
        <v>264</v>
      </c>
      <c r="I4574" s="2" t="s">
        <v>5149</v>
      </c>
    </row>
    <row r="4575" spans="1:9" ht="14.5" x14ac:dyDescent="0.35">
      <c r="A4575" s="2">
        <v>2560587</v>
      </c>
      <c r="B4575" s="2" t="str">
        <f>"3329090202880004"</f>
        <v>3329090202880004</v>
      </c>
      <c r="C4575" s="2" t="s">
        <v>5148</v>
      </c>
      <c r="D4575" s="2" t="s">
        <v>17</v>
      </c>
      <c r="E4575" s="2" t="s">
        <v>11</v>
      </c>
      <c r="F4575" s="2" t="s">
        <v>18</v>
      </c>
      <c r="G4575" s="2" t="s">
        <v>19</v>
      </c>
      <c r="H4575" s="2" t="s">
        <v>266</v>
      </c>
      <c r="I4575" s="2" t="s">
        <v>5044</v>
      </c>
    </row>
    <row r="4576" spans="1:9" ht="14.5" x14ac:dyDescent="0.35">
      <c r="A4576" s="2">
        <v>958756</v>
      </c>
      <c r="B4576" s="2" t="str">
        <f>"3329091305660006"</f>
        <v>3329091305660006</v>
      </c>
      <c r="C4576" s="2" t="s">
        <v>5150</v>
      </c>
      <c r="D4576" s="2" t="s">
        <v>10</v>
      </c>
      <c r="E4576" s="2" t="s">
        <v>11</v>
      </c>
      <c r="F4576" s="2" t="s">
        <v>18</v>
      </c>
      <c r="G4576" s="2" t="s">
        <v>264</v>
      </c>
      <c r="H4576" s="2" t="s">
        <v>264</v>
      </c>
      <c r="I4576" s="2" t="s">
        <v>2074</v>
      </c>
    </row>
    <row r="4577" spans="1:9" ht="14.5" x14ac:dyDescent="0.35">
      <c r="A4577" s="2">
        <v>2560493</v>
      </c>
      <c r="B4577" s="2" t="str">
        <f>"3329091305660006"</f>
        <v>3329091305660006</v>
      </c>
      <c r="C4577" s="2" t="s">
        <v>5150</v>
      </c>
      <c r="D4577" s="2" t="s">
        <v>17</v>
      </c>
      <c r="E4577" s="2" t="s">
        <v>11</v>
      </c>
      <c r="F4577" s="2" t="s">
        <v>18</v>
      </c>
      <c r="G4577" s="2" t="s">
        <v>19</v>
      </c>
      <c r="H4577" s="2" t="s">
        <v>266</v>
      </c>
      <c r="I4577" s="2" t="s">
        <v>5067</v>
      </c>
    </row>
    <row r="4578" spans="1:9" ht="14.5" x14ac:dyDescent="0.35">
      <c r="A4578" s="2">
        <v>1166951</v>
      </c>
      <c r="B4578" s="2" t="str">
        <f>"3329092304990003"</f>
        <v>3329092304990003</v>
      </c>
      <c r="C4578" s="2" t="s">
        <v>5151</v>
      </c>
      <c r="D4578" s="2" t="s">
        <v>10</v>
      </c>
      <c r="E4578" s="2" t="s">
        <v>11</v>
      </c>
      <c r="F4578" s="2" t="s">
        <v>18</v>
      </c>
      <c r="G4578" s="2" t="s">
        <v>264</v>
      </c>
      <c r="H4578" s="2" t="s">
        <v>264</v>
      </c>
      <c r="I4578" s="2" t="s">
        <v>2591</v>
      </c>
    </row>
    <row r="4579" spans="1:9" ht="14.5" x14ac:dyDescent="0.35">
      <c r="A4579" s="2">
        <v>2560440</v>
      </c>
      <c r="B4579" s="2" t="str">
        <f>"3329092304990003"</f>
        <v>3329092304990003</v>
      </c>
      <c r="C4579" s="2" t="s">
        <v>5151</v>
      </c>
      <c r="D4579" s="2" t="s">
        <v>17</v>
      </c>
      <c r="E4579" s="2" t="s">
        <v>11</v>
      </c>
      <c r="F4579" s="2" t="s">
        <v>18</v>
      </c>
      <c r="G4579" s="2" t="s">
        <v>19</v>
      </c>
      <c r="H4579" s="2" t="s">
        <v>266</v>
      </c>
      <c r="I4579" s="2" t="s">
        <v>4994</v>
      </c>
    </row>
    <row r="4580" spans="1:9" ht="14.5" x14ac:dyDescent="0.35">
      <c r="A4580" s="2">
        <v>978713</v>
      </c>
      <c r="B4580" s="2" t="str">
        <f>"3329130302830001"</f>
        <v>3329130302830001</v>
      </c>
      <c r="C4580" s="2" t="s">
        <v>5152</v>
      </c>
      <c r="D4580" s="2" t="s">
        <v>10</v>
      </c>
      <c r="E4580" s="2" t="s">
        <v>11</v>
      </c>
      <c r="F4580" s="2" t="s">
        <v>18</v>
      </c>
      <c r="G4580" s="2" t="s">
        <v>264</v>
      </c>
      <c r="H4580" s="2" t="s">
        <v>773</v>
      </c>
      <c r="I4580" s="2" t="s">
        <v>4079</v>
      </c>
    </row>
    <row r="4581" spans="1:9" ht="14.5" x14ac:dyDescent="0.35">
      <c r="A4581" s="2">
        <v>2561367</v>
      </c>
      <c r="B4581" s="2" t="str">
        <f>"3329130302830001"</f>
        <v>3329130302830001</v>
      </c>
      <c r="C4581" s="2" t="s">
        <v>5152</v>
      </c>
      <c r="D4581" s="2" t="s">
        <v>17</v>
      </c>
      <c r="E4581" s="2" t="s">
        <v>11</v>
      </c>
      <c r="F4581" s="2" t="s">
        <v>18</v>
      </c>
      <c r="G4581" s="2" t="s">
        <v>19</v>
      </c>
      <c r="H4581" s="2" t="s">
        <v>266</v>
      </c>
      <c r="I4581" s="2" t="s">
        <v>5106</v>
      </c>
    </row>
    <row r="4582" spans="1:9" ht="14.5" x14ac:dyDescent="0.35">
      <c r="A4582" s="2">
        <v>88173</v>
      </c>
      <c r="B4582" s="2" t="str">
        <f>"3329145402910005"</f>
        <v>3329145402910005</v>
      </c>
      <c r="C4582" s="2" t="s">
        <v>1963</v>
      </c>
      <c r="D4582" s="2" t="s">
        <v>10</v>
      </c>
      <c r="E4582" s="2" t="s">
        <v>11</v>
      </c>
      <c r="F4582" s="2" t="s">
        <v>18</v>
      </c>
      <c r="G4582" s="2" t="s">
        <v>264</v>
      </c>
      <c r="H4582" s="2" t="s">
        <v>477</v>
      </c>
      <c r="I4582" s="2" t="s">
        <v>1639</v>
      </c>
    </row>
    <row r="4583" spans="1:9" ht="14.5" x14ac:dyDescent="0.35">
      <c r="A4583" s="2">
        <v>2561464</v>
      </c>
      <c r="B4583" s="2" t="str">
        <f>"3329145402910005"</f>
        <v>3329145402910005</v>
      </c>
      <c r="C4583" s="2" t="s">
        <v>3027</v>
      </c>
      <c r="D4583" s="2" t="s">
        <v>17</v>
      </c>
      <c r="E4583" s="2" t="s">
        <v>11</v>
      </c>
      <c r="F4583" s="2" t="s">
        <v>18</v>
      </c>
      <c r="G4583" s="2" t="s">
        <v>19</v>
      </c>
      <c r="H4583" s="2" t="s">
        <v>266</v>
      </c>
      <c r="I4583" s="2" t="s">
        <v>5106</v>
      </c>
    </row>
    <row r="4584" spans="1:9" ht="14.5" x14ac:dyDescent="0.35">
      <c r="A4584" s="2">
        <v>662844</v>
      </c>
      <c r="B4584" s="2" t="str">
        <f>"3329162612810005"</f>
        <v>3329162612810005</v>
      </c>
      <c r="C4584" s="2" t="s">
        <v>5153</v>
      </c>
      <c r="D4584" s="2" t="s">
        <v>10</v>
      </c>
      <c r="E4584" s="2" t="s">
        <v>11</v>
      </c>
      <c r="F4584" s="2" t="s">
        <v>18</v>
      </c>
      <c r="G4584" s="2" t="s">
        <v>264</v>
      </c>
      <c r="H4584" s="2" t="s">
        <v>344</v>
      </c>
      <c r="I4584" s="2" t="s">
        <v>1944</v>
      </c>
    </row>
    <row r="4585" spans="1:9" ht="14.5" x14ac:dyDescent="0.35">
      <c r="A4585" s="2">
        <v>2560445</v>
      </c>
      <c r="B4585" s="2" t="str">
        <f>"3329162612810005"</f>
        <v>3329162612810005</v>
      </c>
      <c r="C4585" s="2" t="s">
        <v>5153</v>
      </c>
      <c r="D4585" s="2" t="s">
        <v>17</v>
      </c>
      <c r="E4585" s="2" t="s">
        <v>11</v>
      </c>
      <c r="F4585" s="2" t="s">
        <v>18</v>
      </c>
      <c r="G4585" s="2" t="s">
        <v>19</v>
      </c>
      <c r="H4585" s="2" t="s">
        <v>266</v>
      </c>
      <c r="I4585" s="2" t="s">
        <v>4994</v>
      </c>
    </row>
    <row r="4586" spans="1:9" ht="14.5" x14ac:dyDescent="0.35">
      <c r="A4586" s="2">
        <v>2520641</v>
      </c>
      <c r="B4586" s="2" t="str">
        <f>"3374061906660003"</f>
        <v>3374061906660003</v>
      </c>
      <c r="C4586" s="2" t="s">
        <v>5154</v>
      </c>
      <c r="D4586" s="2" t="s">
        <v>10</v>
      </c>
      <c r="E4586" s="2" t="s">
        <v>11</v>
      </c>
      <c r="F4586" s="2" t="s">
        <v>18</v>
      </c>
      <c r="G4586" s="2" t="s">
        <v>1438</v>
      </c>
      <c r="H4586" s="2" t="s">
        <v>2738</v>
      </c>
      <c r="I4586" s="2" t="s">
        <v>2745</v>
      </c>
    </row>
    <row r="4587" spans="1:9" ht="14.5" x14ac:dyDescent="0.35">
      <c r="A4587" s="2">
        <v>2559732</v>
      </c>
      <c r="B4587" s="2" t="str">
        <f>"3374061906660003"</f>
        <v>3374061906660003</v>
      </c>
      <c r="C4587" s="2" t="s">
        <v>5154</v>
      </c>
      <c r="D4587" s="2" t="s">
        <v>17</v>
      </c>
      <c r="E4587" s="2" t="s">
        <v>11</v>
      </c>
      <c r="F4587" s="2" t="s">
        <v>18</v>
      </c>
      <c r="G4587" s="2" t="s">
        <v>19</v>
      </c>
      <c r="H4587" s="2" t="s">
        <v>266</v>
      </c>
      <c r="I4587" s="2" t="s">
        <v>4976</v>
      </c>
    </row>
    <row r="4588" spans="1:9" ht="14.5" x14ac:dyDescent="0.35">
      <c r="A4588" s="2">
        <v>287183</v>
      </c>
      <c r="B4588" s="2" t="str">
        <f>"3376011008950001"</f>
        <v>3376011008950001</v>
      </c>
      <c r="C4588" s="2" t="s">
        <v>5155</v>
      </c>
      <c r="D4588" s="2" t="s">
        <v>10</v>
      </c>
      <c r="E4588" s="2" t="s">
        <v>11</v>
      </c>
      <c r="F4588" s="2" t="s">
        <v>18</v>
      </c>
      <c r="G4588" s="2" t="s">
        <v>268</v>
      </c>
      <c r="H4588" s="2" t="s">
        <v>277</v>
      </c>
      <c r="I4588" s="2" t="s">
        <v>2665</v>
      </c>
    </row>
    <row r="4589" spans="1:9" ht="14.5" x14ac:dyDescent="0.35">
      <c r="A4589" s="2">
        <v>2561256</v>
      </c>
      <c r="B4589" s="2" t="str">
        <f>"3376011008950001"</f>
        <v>3376011008950001</v>
      </c>
      <c r="C4589" s="2" t="s">
        <v>5155</v>
      </c>
      <c r="D4589" s="2" t="s">
        <v>17</v>
      </c>
      <c r="E4589" s="2" t="s">
        <v>11</v>
      </c>
      <c r="F4589" s="2" t="s">
        <v>18</v>
      </c>
      <c r="G4589" s="2" t="s">
        <v>19</v>
      </c>
      <c r="H4589" s="2" t="s">
        <v>266</v>
      </c>
      <c r="I4589" s="2" t="s">
        <v>5048</v>
      </c>
    </row>
    <row r="4590" spans="1:9" ht="14.5" x14ac:dyDescent="0.35">
      <c r="A4590" s="2">
        <v>284020</v>
      </c>
      <c r="B4590" s="2" t="str">
        <f>"3376011511710001"</f>
        <v>3376011511710001</v>
      </c>
      <c r="C4590" s="2" t="s">
        <v>5156</v>
      </c>
      <c r="D4590" s="2" t="s">
        <v>10</v>
      </c>
      <c r="E4590" s="2" t="s">
        <v>11</v>
      </c>
      <c r="F4590" s="2" t="s">
        <v>18</v>
      </c>
      <c r="G4590" s="2" t="s">
        <v>268</v>
      </c>
      <c r="H4590" s="2" t="s">
        <v>277</v>
      </c>
      <c r="I4590" s="2" t="s">
        <v>884</v>
      </c>
    </row>
    <row r="4591" spans="1:9" ht="14.5" x14ac:dyDescent="0.35">
      <c r="A4591" s="2">
        <v>2559739</v>
      </c>
      <c r="B4591" s="2" t="str">
        <f>"3376011511710001"</f>
        <v>3376011511710001</v>
      </c>
      <c r="C4591" s="2" t="s">
        <v>5157</v>
      </c>
      <c r="D4591" s="2" t="s">
        <v>17</v>
      </c>
      <c r="E4591" s="2" t="s">
        <v>11</v>
      </c>
      <c r="F4591" s="2" t="s">
        <v>18</v>
      </c>
      <c r="G4591" s="2" t="s">
        <v>19</v>
      </c>
      <c r="H4591" s="2" t="s">
        <v>266</v>
      </c>
      <c r="I4591" s="2" t="s">
        <v>4976</v>
      </c>
    </row>
    <row r="4592" spans="1:9" ht="14.5" x14ac:dyDescent="0.35">
      <c r="A4592" s="2">
        <v>341329</v>
      </c>
      <c r="B4592" s="2" t="str">
        <f>"3376012512710003"</f>
        <v>3376012512710003</v>
      </c>
      <c r="C4592" s="2" t="s">
        <v>5158</v>
      </c>
      <c r="D4592" s="2" t="s">
        <v>10</v>
      </c>
      <c r="E4592" s="2" t="s">
        <v>11</v>
      </c>
      <c r="F4592" s="2" t="s">
        <v>18</v>
      </c>
      <c r="G4592" s="2" t="s">
        <v>268</v>
      </c>
      <c r="H4592" s="2" t="s">
        <v>277</v>
      </c>
      <c r="I4592" s="2" t="s">
        <v>278</v>
      </c>
    </row>
    <row r="4593" spans="1:9" ht="14.5" x14ac:dyDescent="0.35">
      <c r="A4593" s="2">
        <v>2559742</v>
      </c>
      <c r="B4593" s="2" t="str">
        <f>"3376012512710003"</f>
        <v>3376012512710003</v>
      </c>
      <c r="C4593" s="2" t="s">
        <v>5159</v>
      </c>
      <c r="D4593" s="2" t="s">
        <v>17</v>
      </c>
      <c r="E4593" s="2" t="s">
        <v>11</v>
      </c>
      <c r="F4593" s="2" t="s">
        <v>18</v>
      </c>
      <c r="G4593" s="2" t="s">
        <v>19</v>
      </c>
      <c r="H4593" s="2" t="s">
        <v>266</v>
      </c>
      <c r="I4593" s="2" t="s">
        <v>4976</v>
      </c>
    </row>
    <row r="4594" spans="1:9" ht="14.5" x14ac:dyDescent="0.35">
      <c r="A4594" s="2">
        <v>341331</v>
      </c>
      <c r="B4594" s="2" t="str">
        <f>"3376012803040004"</f>
        <v>3376012803040004</v>
      </c>
      <c r="C4594" s="2" t="s">
        <v>5160</v>
      </c>
      <c r="D4594" s="2" t="s">
        <v>10</v>
      </c>
      <c r="E4594" s="2" t="s">
        <v>11</v>
      </c>
      <c r="F4594" s="2" t="s">
        <v>18</v>
      </c>
      <c r="G4594" s="2" t="s">
        <v>268</v>
      </c>
      <c r="H4594" s="2" t="s">
        <v>277</v>
      </c>
      <c r="I4594" s="2" t="s">
        <v>278</v>
      </c>
    </row>
    <row r="4595" spans="1:9" ht="14.5" x14ac:dyDescent="0.35">
      <c r="A4595" s="2">
        <v>2559746</v>
      </c>
      <c r="B4595" s="2" t="str">
        <f>"3376012803040004"</f>
        <v>3376012803040004</v>
      </c>
      <c r="C4595" s="2" t="s">
        <v>5161</v>
      </c>
      <c r="D4595" s="2" t="s">
        <v>17</v>
      </c>
      <c r="E4595" s="2" t="s">
        <v>11</v>
      </c>
      <c r="F4595" s="2" t="s">
        <v>18</v>
      </c>
      <c r="G4595" s="2" t="s">
        <v>19</v>
      </c>
      <c r="H4595" s="2" t="s">
        <v>266</v>
      </c>
      <c r="I4595" s="2" t="s">
        <v>4976</v>
      </c>
    </row>
    <row r="4596" spans="1:9" ht="14.5" x14ac:dyDescent="0.35">
      <c r="A4596" s="2">
        <v>295649</v>
      </c>
      <c r="B4596" s="2" t="str">
        <f>"3376016102570001"</f>
        <v>3376016102570001</v>
      </c>
      <c r="C4596" s="2" t="s">
        <v>5162</v>
      </c>
      <c r="D4596" s="2" t="s">
        <v>10</v>
      </c>
      <c r="E4596" s="2" t="s">
        <v>11</v>
      </c>
      <c r="F4596" s="2" t="s">
        <v>18</v>
      </c>
      <c r="G4596" s="2" t="s">
        <v>268</v>
      </c>
      <c r="H4596" s="2" t="s">
        <v>277</v>
      </c>
      <c r="I4596" s="2" t="s">
        <v>2762</v>
      </c>
    </row>
    <row r="4597" spans="1:9" ht="14.5" x14ac:dyDescent="0.35">
      <c r="A4597" s="2">
        <v>2559628</v>
      </c>
      <c r="B4597" s="2" t="str">
        <f>"3376016102570001"</f>
        <v>3376016102570001</v>
      </c>
      <c r="C4597" s="2" t="s">
        <v>5162</v>
      </c>
      <c r="D4597" s="2" t="s">
        <v>17</v>
      </c>
      <c r="E4597" s="2" t="s">
        <v>11</v>
      </c>
      <c r="F4597" s="2" t="s">
        <v>18</v>
      </c>
      <c r="G4597" s="2" t="s">
        <v>19</v>
      </c>
      <c r="H4597" s="2" t="s">
        <v>266</v>
      </c>
      <c r="I4597" s="2" t="s">
        <v>4976</v>
      </c>
    </row>
    <row r="4598" spans="1:9" ht="14.5" x14ac:dyDescent="0.35">
      <c r="A4598" s="2">
        <v>1646368</v>
      </c>
      <c r="B4598" s="2" t="str">
        <f>"3376020105990001"</f>
        <v>3376020105990001</v>
      </c>
      <c r="C4598" s="2" t="s">
        <v>5163</v>
      </c>
      <c r="D4598" s="2" t="s">
        <v>10</v>
      </c>
      <c r="E4598" s="2" t="s">
        <v>11</v>
      </c>
      <c r="F4598" s="2" t="s">
        <v>18</v>
      </c>
      <c r="G4598" s="2" t="s">
        <v>19</v>
      </c>
      <c r="H4598" s="2" t="s">
        <v>266</v>
      </c>
      <c r="I4598" s="2" t="s">
        <v>4976</v>
      </c>
    </row>
    <row r="4599" spans="1:9" ht="14.5" x14ac:dyDescent="0.35">
      <c r="A4599" s="2">
        <v>423784</v>
      </c>
      <c r="B4599" s="2" t="str">
        <f>"3376020105990001"</f>
        <v>3376020105990001</v>
      </c>
      <c r="C4599" s="2" t="s">
        <v>5164</v>
      </c>
      <c r="D4599" s="2" t="s">
        <v>10</v>
      </c>
      <c r="E4599" s="2" t="s">
        <v>57</v>
      </c>
      <c r="F4599" s="2" t="s">
        <v>18</v>
      </c>
      <c r="G4599" s="2" t="s">
        <v>268</v>
      </c>
      <c r="H4599" s="2" t="s">
        <v>277</v>
      </c>
      <c r="I4599" s="2" t="s">
        <v>278</v>
      </c>
    </row>
    <row r="4600" spans="1:9" ht="14.5" x14ac:dyDescent="0.35">
      <c r="A4600" s="2">
        <v>255396</v>
      </c>
      <c r="B4600" s="2" t="str">
        <f>"3376020211590003"</f>
        <v>3376020211590003</v>
      </c>
      <c r="C4600" s="2" t="s">
        <v>5165</v>
      </c>
      <c r="D4600" s="2" t="s">
        <v>10</v>
      </c>
      <c r="E4600" s="2" t="s">
        <v>11</v>
      </c>
      <c r="F4600" s="2" t="s">
        <v>18</v>
      </c>
      <c r="G4600" s="2" t="s">
        <v>268</v>
      </c>
      <c r="H4600" s="2" t="s">
        <v>371</v>
      </c>
      <c r="I4600" s="2" t="s">
        <v>497</v>
      </c>
    </row>
    <row r="4601" spans="1:9" ht="14.5" x14ac:dyDescent="0.35">
      <c r="A4601" s="2">
        <v>2559672</v>
      </c>
      <c r="B4601" s="2" t="str">
        <f>"3376020211590003"</f>
        <v>3376020211590003</v>
      </c>
      <c r="C4601" s="2" t="s">
        <v>5165</v>
      </c>
      <c r="D4601" s="2" t="s">
        <v>17</v>
      </c>
      <c r="E4601" s="2" t="s">
        <v>11</v>
      </c>
      <c r="F4601" s="2" t="s">
        <v>18</v>
      </c>
      <c r="G4601" s="2" t="s">
        <v>19</v>
      </c>
      <c r="H4601" s="2" t="s">
        <v>266</v>
      </c>
      <c r="I4601" s="2" t="s">
        <v>4976</v>
      </c>
    </row>
    <row r="4602" spans="1:9" ht="14.5" x14ac:dyDescent="0.35">
      <c r="A4602" s="2">
        <v>253773</v>
      </c>
      <c r="B4602" s="2" t="str">
        <f>"3376020611960004"</f>
        <v>3376020611960004</v>
      </c>
      <c r="C4602" s="2" t="s">
        <v>5166</v>
      </c>
      <c r="D4602" s="2" t="s">
        <v>10</v>
      </c>
      <c r="E4602" s="2" t="s">
        <v>11</v>
      </c>
      <c r="F4602" s="2" t="s">
        <v>18</v>
      </c>
      <c r="G4602" s="2" t="s">
        <v>268</v>
      </c>
      <c r="H4602" s="2" t="s">
        <v>371</v>
      </c>
      <c r="I4602" s="2" t="s">
        <v>497</v>
      </c>
    </row>
    <row r="4603" spans="1:9" ht="14.5" x14ac:dyDescent="0.35">
      <c r="A4603" s="2">
        <v>2559700</v>
      </c>
      <c r="B4603" s="2" t="str">
        <f>"3376020611960004"</f>
        <v>3376020611960004</v>
      </c>
      <c r="C4603" s="2" t="s">
        <v>5166</v>
      </c>
      <c r="D4603" s="2" t="s">
        <v>17</v>
      </c>
      <c r="E4603" s="2" t="s">
        <v>11</v>
      </c>
      <c r="F4603" s="2" t="s">
        <v>18</v>
      </c>
      <c r="G4603" s="2" t="s">
        <v>19</v>
      </c>
      <c r="H4603" s="2" t="s">
        <v>266</v>
      </c>
      <c r="I4603" s="2" t="s">
        <v>4976</v>
      </c>
    </row>
    <row r="4604" spans="1:9" ht="14.5" x14ac:dyDescent="0.35">
      <c r="A4604" s="2">
        <v>248228</v>
      </c>
      <c r="B4604" s="2" t="str">
        <f>"3376021606810004"</f>
        <v>3376021606810004</v>
      </c>
      <c r="C4604" s="2" t="s">
        <v>5167</v>
      </c>
      <c r="D4604" s="2" t="s">
        <v>10</v>
      </c>
      <c r="E4604" s="2" t="s">
        <v>11</v>
      </c>
      <c r="F4604" s="2" t="s">
        <v>18</v>
      </c>
      <c r="G4604" s="2" t="s">
        <v>268</v>
      </c>
      <c r="H4604" s="2" t="s">
        <v>371</v>
      </c>
      <c r="I4604" s="2" t="s">
        <v>497</v>
      </c>
    </row>
    <row r="4605" spans="1:9" ht="14.5" x14ac:dyDescent="0.35">
      <c r="A4605" s="2">
        <v>2559524</v>
      </c>
      <c r="B4605" s="2" t="str">
        <f>"3376021606810004"</f>
        <v>3376021606810004</v>
      </c>
      <c r="C4605" s="2" t="s">
        <v>5168</v>
      </c>
      <c r="D4605" s="2" t="s">
        <v>17</v>
      </c>
      <c r="E4605" s="2" t="s">
        <v>11</v>
      </c>
      <c r="F4605" s="2" t="s">
        <v>18</v>
      </c>
      <c r="G4605" s="2" t="s">
        <v>19</v>
      </c>
      <c r="H4605" s="2" t="s">
        <v>266</v>
      </c>
      <c r="I4605" s="2" t="s">
        <v>5005</v>
      </c>
    </row>
    <row r="4606" spans="1:9" ht="14.5" x14ac:dyDescent="0.35">
      <c r="A4606" s="2">
        <v>267195</v>
      </c>
      <c r="B4606" s="2" t="str">
        <f>"3376021705850001"</f>
        <v>3376021705850001</v>
      </c>
      <c r="C4606" s="2" t="s">
        <v>5169</v>
      </c>
      <c r="D4606" s="2" t="s">
        <v>10</v>
      </c>
      <c r="E4606" s="2" t="s">
        <v>11</v>
      </c>
      <c r="F4606" s="2" t="s">
        <v>18</v>
      </c>
      <c r="G4606" s="2" t="s">
        <v>268</v>
      </c>
      <c r="H4606" s="2" t="s">
        <v>371</v>
      </c>
      <c r="I4606" s="2" t="s">
        <v>497</v>
      </c>
    </row>
    <row r="4607" spans="1:9" ht="14.5" x14ac:dyDescent="0.35">
      <c r="A4607" s="2">
        <v>2559508</v>
      </c>
      <c r="B4607" s="2" t="str">
        <f>"3376021705850001"</f>
        <v>3376021705850001</v>
      </c>
      <c r="C4607" s="2" t="s">
        <v>5169</v>
      </c>
      <c r="D4607" s="2" t="s">
        <v>17</v>
      </c>
      <c r="E4607" s="2" t="s">
        <v>11</v>
      </c>
      <c r="F4607" s="2" t="s">
        <v>18</v>
      </c>
      <c r="G4607" s="2" t="s">
        <v>19</v>
      </c>
      <c r="H4607" s="2" t="s">
        <v>266</v>
      </c>
      <c r="I4607" s="2" t="s">
        <v>5005</v>
      </c>
    </row>
    <row r="4608" spans="1:9" ht="14.5" x14ac:dyDescent="0.35">
      <c r="A4608" s="2">
        <v>217240</v>
      </c>
      <c r="B4608" s="2" t="str">
        <f>"3376022104990002"</f>
        <v>3376022104990002</v>
      </c>
      <c r="C4608" s="2" t="s">
        <v>5170</v>
      </c>
      <c r="D4608" s="2" t="s">
        <v>10</v>
      </c>
      <c r="E4608" s="2" t="s">
        <v>11</v>
      </c>
      <c r="F4608" s="2" t="s">
        <v>18</v>
      </c>
      <c r="G4608" s="2" t="s">
        <v>268</v>
      </c>
      <c r="H4608" s="2" t="s">
        <v>371</v>
      </c>
      <c r="I4608" s="2" t="s">
        <v>2772</v>
      </c>
    </row>
    <row r="4609" spans="1:9" ht="14.5" x14ac:dyDescent="0.35">
      <c r="A4609" s="2">
        <v>2559639</v>
      </c>
      <c r="B4609" s="2" t="str">
        <f>"3376022104990002"</f>
        <v>3376022104990002</v>
      </c>
      <c r="C4609" s="2" t="s">
        <v>5170</v>
      </c>
      <c r="D4609" s="2" t="s">
        <v>17</v>
      </c>
      <c r="E4609" s="2" t="s">
        <v>11</v>
      </c>
      <c r="F4609" s="2" t="s">
        <v>18</v>
      </c>
      <c r="G4609" s="2" t="s">
        <v>19</v>
      </c>
      <c r="H4609" s="2" t="s">
        <v>266</v>
      </c>
      <c r="I4609" s="2" t="s">
        <v>4976</v>
      </c>
    </row>
    <row r="4610" spans="1:9" ht="14.5" x14ac:dyDescent="0.35">
      <c r="A4610" s="2">
        <v>368016</v>
      </c>
      <c r="B4610" s="2" t="str">
        <f>"3376022801050001"</f>
        <v>3376022801050001</v>
      </c>
      <c r="C4610" s="2" t="s">
        <v>5171</v>
      </c>
      <c r="D4610" s="2" t="s">
        <v>10</v>
      </c>
      <c r="E4610" s="2" t="s">
        <v>11</v>
      </c>
      <c r="F4610" s="2" t="s">
        <v>18</v>
      </c>
      <c r="G4610" s="2" t="s">
        <v>268</v>
      </c>
      <c r="H4610" s="2" t="s">
        <v>269</v>
      </c>
      <c r="I4610" s="2" t="s">
        <v>996</v>
      </c>
    </row>
    <row r="4611" spans="1:9" ht="14.5" x14ac:dyDescent="0.35">
      <c r="A4611" s="2">
        <v>2561394</v>
      </c>
      <c r="B4611" s="2" t="str">
        <f>"3376022801050001"</f>
        <v>3376022801050001</v>
      </c>
      <c r="C4611" s="2" t="s">
        <v>5171</v>
      </c>
      <c r="D4611" s="2" t="s">
        <v>17</v>
      </c>
      <c r="E4611" s="2" t="s">
        <v>11</v>
      </c>
      <c r="F4611" s="2" t="s">
        <v>18</v>
      </c>
      <c r="G4611" s="2" t="s">
        <v>19</v>
      </c>
      <c r="H4611" s="2" t="s">
        <v>266</v>
      </c>
      <c r="I4611" s="2" t="s">
        <v>5106</v>
      </c>
    </row>
    <row r="4612" spans="1:9" ht="14.5" x14ac:dyDescent="0.35">
      <c r="A4612" s="2">
        <v>1118969</v>
      </c>
      <c r="B4612" s="2" t="str">
        <f>"3376024303580001"</f>
        <v>3376024303580001</v>
      </c>
      <c r="C4612" s="2" t="s">
        <v>5172</v>
      </c>
      <c r="D4612" s="2" t="s">
        <v>10</v>
      </c>
      <c r="E4612" s="2" t="s">
        <v>11</v>
      </c>
      <c r="F4612" s="2" t="s">
        <v>667</v>
      </c>
      <c r="G4612" s="2" t="s">
        <v>2153</v>
      </c>
      <c r="H4612" s="2" t="s">
        <v>5173</v>
      </c>
      <c r="I4612" s="2" t="s">
        <v>5174</v>
      </c>
    </row>
    <row r="4613" spans="1:9" ht="14.5" x14ac:dyDescent="0.35">
      <c r="A4613" s="2">
        <v>2559519</v>
      </c>
      <c r="B4613" s="2" t="str">
        <f>"3376024303580001"</f>
        <v>3376024303580001</v>
      </c>
      <c r="C4613" s="2" t="s">
        <v>5172</v>
      </c>
      <c r="D4613" s="2" t="s">
        <v>17</v>
      </c>
      <c r="E4613" s="2" t="s">
        <v>11</v>
      </c>
      <c r="F4613" s="2" t="s">
        <v>18</v>
      </c>
      <c r="G4613" s="2" t="s">
        <v>19</v>
      </c>
      <c r="H4613" s="2" t="s">
        <v>266</v>
      </c>
      <c r="I4613" s="2" t="s">
        <v>5005</v>
      </c>
    </row>
    <row r="4614" spans="1:9" ht="14.5" x14ac:dyDescent="0.35">
      <c r="A4614" s="2">
        <v>248227</v>
      </c>
      <c r="B4614" s="2" t="str">
        <f>"3376026408040001"</f>
        <v>3376026408040001</v>
      </c>
      <c r="C4614" s="2" t="s">
        <v>5175</v>
      </c>
      <c r="D4614" s="2" t="s">
        <v>10</v>
      </c>
      <c r="E4614" s="2" t="s">
        <v>11</v>
      </c>
      <c r="F4614" s="2" t="s">
        <v>18</v>
      </c>
      <c r="G4614" s="2" t="s">
        <v>268</v>
      </c>
      <c r="H4614" s="2" t="s">
        <v>371</v>
      </c>
      <c r="I4614" s="2" t="s">
        <v>497</v>
      </c>
    </row>
    <row r="4615" spans="1:9" ht="14.5" x14ac:dyDescent="0.35">
      <c r="A4615" s="2">
        <v>2559522</v>
      </c>
      <c r="B4615" s="2" t="str">
        <f>"3376026408040001"</f>
        <v>3376026408040001</v>
      </c>
      <c r="C4615" s="2" t="s">
        <v>5176</v>
      </c>
      <c r="D4615" s="2" t="s">
        <v>17</v>
      </c>
      <c r="E4615" s="2" t="s">
        <v>11</v>
      </c>
      <c r="F4615" s="2" t="s">
        <v>18</v>
      </c>
      <c r="G4615" s="2" t="s">
        <v>19</v>
      </c>
      <c r="H4615" s="2" t="s">
        <v>266</v>
      </c>
      <c r="I4615" s="2" t="s">
        <v>5005</v>
      </c>
    </row>
    <row r="4616" spans="1:9" ht="14.5" x14ac:dyDescent="0.35">
      <c r="A4616" s="2">
        <v>205761</v>
      </c>
      <c r="B4616" s="2" t="str">
        <f>"3376026410810002"</f>
        <v>3376026410810002</v>
      </c>
      <c r="C4616" s="2" t="s">
        <v>5177</v>
      </c>
      <c r="D4616" s="2" t="s">
        <v>10</v>
      </c>
      <c r="E4616" s="2" t="s">
        <v>11</v>
      </c>
      <c r="F4616" s="2" t="s">
        <v>18</v>
      </c>
      <c r="G4616" s="2" t="s">
        <v>268</v>
      </c>
      <c r="H4616" s="2" t="s">
        <v>371</v>
      </c>
      <c r="I4616" s="2" t="s">
        <v>2769</v>
      </c>
    </row>
    <row r="4617" spans="1:9" ht="14.5" x14ac:dyDescent="0.35">
      <c r="A4617" s="2">
        <v>2559630</v>
      </c>
      <c r="B4617" s="2" t="str">
        <f>"3376026410810002"</f>
        <v>3376026410810002</v>
      </c>
      <c r="C4617" s="2" t="s">
        <v>5177</v>
      </c>
      <c r="D4617" s="2" t="s">
        <v>17</v>
      </c>
      <c r="E4617" s="2" t="s">
        <v>11</v>
      </c>
      <c r="F4617" s="2" t="s">
        <v>18</v>
      </c>
      <c r="G4617" s="2" t="s">
        <v>19</v>
      </c>
      <c r="H4617" s="2" t="s">
        <v>266</v>
      </c>
      <c r="I4617" s="2" t="s">
        <v>4976</v>
      </c>
    </row>
    <row r="4618" spans="1:9" ht="14.5" x14ac:dyDescent="0.35">
      <c r="A4618" s="2">
        <v>261373</v>
      </c>
      <c r="B4618" s="2" t="str">
        <f>"3376026509940003"</f>
        <v>3376026509940003</v>
      </c>
      <c r="C4618" s="2" t="s">
        <v>5178</v>
      </c>
      <c r="D4618" s="2" t="s">
        <v>10</v>
      </c>
      <c r="E4618" s="2" t="s">
        <v>11</v>
      </c>
      <c r="F4618" s="2" t="s">
        <v>18</v>
      </c>
      <c r="G4618" s="2" t="s">
        <v>268</v>
      </c>
      <c r="H4618" s="2" t="s">
        <v>371</v>
      </c>
      <c r="I4618" s="2" t="s">
        <v>497</v>
      </c>
    </row>
    <row r="4619" spans="1:9" ht="14.5" x14ac:dyDescent="0.35">
      <c r="A4619" s="2">
        <v>2560924</v>
      </c>
      <c r="B4619" s="2" t="str">
        <f>"3376026509940003"</f>
        <v>3376026509940003</v>
      </c>
      <c r="C4619" s="2" t="s">
        <v>5178</v>
      </c>
      <c r="D4619" s="2" t="s">
        <v>17</v>
      </c>
      <c r="E4619" s="2" t="s">
        <v>11</v>
      </c>
      <c r="F4619" s="2" t="s">
        <v>18</v>
      </c>
      <c r="G4619" s="2" t="s">
        <v>19</v>
      </c>
      <c r="H4619" s="2" t="s">
        <v>266</v>
      </c>
      <c r="I4619" s="2" t="s">
        <v>5011</v>
      </c>
    </row>
    <row r="4620" spans="1:9" ht="14.5" x14ac:dyDescent="0.35">
      <c r="A4620" s="2">
        <v>255397</v>
      </c>
      <c r="B4620" s="2" t="str">
        <f>"3376026706660002"</f>
        <v>3376026706660002</v>
      </c>
      <c r="C4620" s="2" t="s">
        <v>391</v>
      </c>
      <c r="D4620" s="2" t="s">
        <v>10</v>
      </c>
      <c r="E4620" s="2" t="s">
        <v>11</v>
      </c>
      <c r="F4620" s="2" t="s">
        <v>18</v>
      </c>
      <c r="G4620" s="2" t="s">
        <v>268</v>
      </c>
      <c r="H4620" s="2" t="s">
        <v>371</v>
      </c>
      <c r="I4620" s="2" t="s">
        <v>497</v>
      </c>
    </row>
    <row r="4621" spans="1:9" ht="14.5" x14ac:dyDescent="0.35">
      <c r="A4621" s="2">
        <v>2559670</v>
      </c>
      <c r="B4621" s="2" t="str">
        <f>"3376026706660002"</f>
        <v>3376026706660002</v>
      </c>
      <c r="C4621" s="2" t="s">
        <v>391</v>
      </c>
      <c r="D4621" s="2" t="s">
        <v>17</v>
      </c>
      <c r="E4621" s="2" t="s">
        <v>11</v>
      </c>
      <c r="F4621" s="2" t="s">
        <v>18</v>
      </c>
      <c r="G4621" s="2" t="s">
        <v>19</v>
      </c>
      <c r="H4621" s="2" t="s">
        <v>266</v>
      </c>
      <c r="I4621" s="2" t="s">
        <v>4976</v>
      </c>
    </row>
    <row r="4622" spans="1:9" ht="14.5" x14ac:dyDescent="0.35">
      <c r="A4622" s="2">
        <v>368017</v>
      </c>
      <c r="B4622" s="2" t="str">
        <f>"3376026801050003"</f>
        <v>3376026801050003</v>
      </c>
      <c r="C4622" s="2" t="s">
        <v>5179</v>
      </c>
      <c r="D4622" s="2" t="s">
        <v>10</v>
      </c>
      <c r="E4622" s="2" t="s">
        <v>11</v>
      </c>
      <c r="F4622" s="2" t="s">
        <v>18</v>
      </c>
      <c r="G4622" s="2" t="s">
        <v>268</v>
      </c>
      <c r="H4622" s="2" t="s">
        <v>269</v>
      </c>
      <c r="I4622" s="2" t="s">
        <v>996</v>
      </c>
    </row>
    <row r="4623" spans="1:9" ht="14.5" x14ac:dyDescent="0.35">
      <c r="A4623" s="2">
        <v>2561395</v>
      </c>
      <c r="B4623" s="2" t="str">
        <f>"3376026801050003"</f>
        <v>3376026801050003</v>
      </c>
      <c r="C4623" s="2" t="s">
        <v>5179</v>
      </c>
      <c r="D4623" s="2" t="s">
        <v>17</v>
      </c>
      <c r="E4623" s="2" t="s">
        <v>11</v>
      </c>
      <c r="F4623" s="2" t="s">
        <v>18</v>
      </c>
      <c r="G4623" s="2" t="s">
        <v>19</v>
      </c>
      <c r="H4623" s="2" t="s">
        <v>266</v>
      </c>
      <c r="I4623" s="2" t="s">
        <v>5106</v>
      </c>
    </row>
    <row r="4624" spans="1:9" ht="14.5" x14ac:dyDescent="0.35">
      <c r="A4624" s="2">
        <v>207705</v>
      </c>
      <c r="B4624" s="2" t="str">
        <f>"3376027006630002"</f>
        <v>3376027006630002</v>
      </c>
      <c r="C4624" s="2" t="s">
        <v>5180</v>
      </c>
      <c r="D4624" s="2" t="s">
        <v>10</v>
      </c>
      <c r="E4624" s="2" t="s">
        <v>11</v>
      </c>
      <c r="F4624" s="2" t="s">
        <v>18</v>
      </c>
      <c r="G4624" s="2" t="s">
        <v>268</v>
      </c>
      <c r="H4624" s="2" t="s">
        <v>371</v>
      </c>
      <c r="I4624" s="2" t="s">
        <v>2769</v>
      </c>
    </row>
    <row r="4625" spans="1:9" ht="14.5" x14ac:dyDescent="0.35">
      <c r="A4625" s="2">
        <v>2559714</v>
      </c>
      <c r="B4625" s="2" t="str">
        <f>"3376027006630002"</f>
        <v>3376027006630002</v>
      </c>
      <c r="C4625" s="2" t="s">
        <v>5181</v>
      </c>
      <c r="D4625" s="2" t="s">
        <v>17</v>
      </c>
      <c r="E4625" s="2" t="s">
        <v>11</v>
      </c>
      <c r="F4625" s="2" t="s">
        <v>18</v>
      </c>
      <c r="G4625" s="2" t="s">
        <v>19</v>
      </c>
      <c r="H4625" s="2" t="s">
        <v>266</v>
      </c>
      <c r="I4625" s="2" t="s">
        <v>4976</v>
      </c>
    </row>
    <row r="4626" spans="1:9" ht="14.5" x14ac:dyDescent="0.35">
      <c r="A4626" s="2">
        <v>362164</v>
      </c>
      <c r="B4626" s="2" t="str">
        <f>"3376030704060002"</f>
        <v>3376030704060002</v>
      </c>
      <c r="C4626" s="2" t="s">
        <v>5182</v>
      </c>
      <c r="D4626" s="2" t="s">
        <v>10</v>
      </c>
      <c r="E4626" s="2" t="s">
        <v>11</v>
      </c>
      <c r="F4626" s="2" t="s">
        <v>18</v>
      </c>
      <c r="G4626" s="2" t="s">
        <v>268</v>
      </c>
      <c r="H4626" s="2" t="s">
        <v>269</v>
      </c>
      <c r="I4626" s="2" t="s">
        <v>996</v>
      </c>
    </row>
    <row r="4627" spans="1:9" ht="14.5" x14ac:dyDescent="0.35">
      <c r="A4627" s="2">
        <v>2559736</v>
      </c>
      <c r="B4627" s="2" t="str">
        <f>"3376030704060002"</f>
        <v>3376030704060002</v>
      </c>
      <c r="C4627" s="2" t="s">
        <v>5182</v>
      </c>
      <c r="D4627" s="2" t="s">
        <v>17</v>
      </c>
      <c r="E4627" s="2" t="s">
        <v>11</v>
      </c>
      <c r="F4627" s="2" t="s">
        <v>18</v>
      </c>
      <c r="G4627" s="2" t="s">
        <v>19</v>
      </c>
      <c r="H4627" s="2" t="s">
        <v>266</v>
      </c>
      <c r="I4627" s="2" t="s">
        <v>4976</v>
      </c>
    </row>
    <row r="4628" spans="1:9" ht="14.5" x14ac:dyDescent="0.35">
      <c r="A4628" s="2">
        <v>348927</v>
      </c>
      <c r="B4628" s="2" t="str">
        <f>"3376031412500001"</f>
        <v>3376031412500001</v>
      </c>
      <c r="C4628" s="2" t="s">
        <v>2906</v>
      </c>
      <c r="D4628" s="2" t="s">
        <v>10</v>
      </c>
      <c r="E4628" s="2" t="s">
        <v>11</v>
      </c>
      <c r="F4628" s="2" t="s">
        <v>18</v>
      </c>
      <c r="G4628" s="2" t="s">
        <v>268</v>
      </c>
      <c r="H4628" s="2" t="s">
        <v>269</v>
      </c>
      <c r="I4628" s="2" t="s">
        <v>270</v>
      </c>
    </row>
    <row r="4629" spans="1:9" ht="14.5" x14ac:dyDescent="0.35">
      <c r="A4629" s="2">
        <v>2560535</v>
      </c>
      <c r="B4629" s="2" t="str">
        <f>"3376031412500001"</f>
        <v>3376031412500001</v>
      </c>
      <c r="C4629" s="2" t="s">
        <v>2906</v>
      </c>
      <c r="D4629" s="2" t="s">
        <v>17</v>
      </c>
      <c r="E4629" s="2" t="s">
        <v>11</v>
      </c>
      <c r="F4629" s="2" t="s">
        <v>18</v>
      </c>
      <c r="G4629" s="2" t="s">
        <v>19</v>
      </c>
      <c r="H4629" s="2" t="s">
        <v>266</v>
      </c>
      <c r="I4629" s="2" t="s">
        <v>5044</v>
      </c>
    </row>
    <row r="4630" spans="1:9" ht="14.5" x14ac:dyDescent="0.35">
      <c r="A4630" s="2">
        <v>363724</v>
      </c>
      <c r="B4630" s="2" t="str">
        <f>"3376031603920001"</f>
        <v>3376031603920001</v>
      </c>
      <c r="C4630" s="2" t="s">
        <v>5183</v>
      </c>
      <c r="D4630" s="2" t="s">
        <v>10</v>
      </c>
      <c r="E4630" s="2" t="s">
        <v>11</v>
      </c>
      <c r="F4630" s="2" t="s">
        <v>18</v>
      </c>
      <c r="G4630" s="2" t="s">
        <v>268</v>
      </c>
      <c r="H4630" s="2" t="s">
        <v>269</v>
      </c>
      <c r="I4630" s="2" t="s">
        <v>996</v>
      </c>
    </row>
    <row r="4631" spans="1:9" ht="14.5" x14ac:dyDescent="0.35">
      <c r="A4631" s="2">
        <v>2560595</v>
      </c>
      <c r="B4631" s="2" t="str">
        <f>"3376031603920001"</f>
        <v>3376031603920001</v>
      </c>
      <c r="C4631" s="2" t="s">
        <v>5183</v>
      </c>
      <c r="D4631" s="2" t="s">
        <v>17</v>
      </c>
      <c r="E4631" s="2" t="s">
        <v>11</v>
      </c>
      <c r="F4631" s="2" t="s">
        <v>18</v>
      </c>
      <c r="G4631" s="2" t="s">
        <v>19</v>
      </c>
      <c r="H4631" s="2" t="s">
        <v>266</v>
      </c>
      <c r="I4631" s="2" t="s">
        <v>5044</v>
      </c>
    </row>
    <row r="4632" spans="1:9" ht="14.5" x14ac:dyDescent="0.35">
      <c r="A4632" s="2">
        <v>1049474</v>
      </c>
      <c r="B4632" s="2" t="str">
        <f>"3514201805930001"</f>
        <v>3514201805930001</v>
      </c>
      <c r="C4632" s="2" t="s">
        <v>5184</v>
      </c>
      <c r="D4632" s="2" t="s">
        <v>10</v>
      </c>
      <c r="E4632" s="2" t="s">
        <v>11</v>
      </c>
      <c r="F4632" s="2" t="s">
        <v>303</v>
      </c>
      <c r="G4632" s="2" t="s">
        <v>3381</v>
      </c>
      <c r="H4632" s="2" t="s">
        <v>5185</v>
      </c>
      <c r="I4632" s="2" t="s">
        <v>5186</v>
      </c>
    </row>
    <row r="4633" spans="1:9" ht="14.5" x14ac:dyDescent="0.35">
      <c r="A4633" s="2">
        <v>2559757</v>
      </c>
      <c r="B4633" s="2" t="str">
        <f>"3514201805930001"</f>
        <v>3514201805930001</v>
      </c>
      <c r="C4633" s="2" t="s">
        <v>5184</v>
      </c>
      <c r="D4633" s="2" t="s">
        <v>17</v>
      </c>
      <c r="E4633" s="2" t="s">
        <v>11</v>
      </c>
      <c r="F4633" s="2" t="s">
        <v>18</v>
      </c>
      <c r="G4633" s="2" t="s">
        <v>19</v>
      </c>
      <c r="H4633" s="2" t="s">
        <v>266</v>
      </c>
      <c r="I4633" s="2" t="s">
        <v>4976</v>
      </c>
    </row>
    <row r="4634" spans="1:9" ht="14.5" x14ac:dyDescent="0.35">
      <c r="A4634" s="2">
        <v>1049489</v>
      </c>
      <c r="B4634" s="2" t="str">
        <f>"3514216406950002"</f>
        <v>3514216406950002</v>
      </c>
      <c r="C4634" s="2" t="s">
        <v>3981</v>
      </c>
      <c r="D4634" s="2" t="s">
        <v>10</v>
      </c>
      <c r="E4634" s="2" t="s">
        <v>11</v>
      </c>
      <c r="F4634" s="2" t="s">
        <v>303</v>
      </c>
      <c r="G4634" s="2" t="s">
        <v>3381</v>
      </c>
      <c r="H4634" s="2" t="s">
        <v>5185</v>
      </c>
      <c r="I4634" s="2" t="s">
        <v>5186</v>
      </c>
    </row>
    <row r="4635" spans="1:9" ht="14.5" x14ac:dyDescent="0.35">
      <c r="A4635" s="2">
        <v>2559756</v>
      </c>
      <c r="B4635" s="2" t="str">
        <f>"3514216406950002"</f>
        <v>3514216406950002</v>
      </c>
      <c r="C4635" s="2" t="s">
        <v>3981</v>
      </c>
      <c r="D4635" s="2" t="s">
        <v>17</v>
      </c>
      <c r="E4635" s="2" t="s">
        <v>11</v>
      </c>
      <c r="F4635" s="2" t="s">
        <v>18</v>
      </c>
      <c r="G4635" s="2" t="s">
        <v>19</v>
      </c>
      <c r="H4635" s="2" t="s">
        <v>266</v>
      </c>
      <c r="I4635" s="2" t="s">
        <v>4976</v>
      </c>
    </row>
    <row r="4636" spans="1:9" ht="14.5" x14ac:dyDescent="0.35">
      <c r="A4636" s="2">
        <v>410133</v>
      </c>
      <c r="B4636" s="2" t="str">
        <f>"5201130910010002"</f>
        <v>5201130910010002</v>
      </c>
      <c r="C4636" s="2" t="s">
        <v>5187</v>
      </c>
      <c r="D4636" s="2" t="s">
        <v>10</v>
      </c>
      <c r="E4636" s="2" t="s">
        <v>11</v>
      </c>
      <c r="F4636" s="2" t="s">
        <v>2820</v>
      </c>
      <c r="G4636" s="2" t="s">
        <v>2821</v>
      </c>
      <c r="H4636" s="2" t="s">
        <v>5188</v>
      </c>
      <c r="I4636" s="2" t="s">
        <v>5189</v>
      </c>
    </row>
    <row r="4637" spans="1:9" ht="14.5" x14ac:dyDescent="0.35">
      <c r="A4637" s="2">
        <v>2560741</v>
      </c>
      <c r="B4637" s="2" t="str">
        <f>"5201130910010002"</f>
        <v>5201130910010002</v>
      </c>
      <c r="C4637" s="2" t="s">
        <v>5187</v>
      </c>
      <c r="D4637" s="2" t="s">
        <v>17</v>
      </c>
      <c r="E4637" s="2" t="s">
        <v>11</v>
      </c>
      <c r="F4637" s="2" t="s">
        <v>18</v>
      </c>
      <c r="G4637" s="2" t="s">
        <v>19</v>
      </c>
      <c r="H4637" s="2" t="s">
        <v>266</v>
      </c>
      <c r="I4637" s="2" t="s">
        <v>5023</v>
      </c>
    </row>
    <row r="4638" spans="1:9" ht="14.5" x14ac:dyDescent="0.35">
      <c r="A4638" s="2">
        <v>160083</v>
      </c>
      <c r="B4638" s="2" t="str">
        <f>"6471050612760005"</f>
        <v>6471050612760005</v>
      </c>
      <c r="C4638" s="2" t="s">
        <v>5190</v>
      </c>
      <c r="D4638" s="2" t="s">
        <v>10</v>
      </c>
      <c r="E4638" s="2" t="s">
        <v>11</v>
      </c>
      <c r="F4638" s="2" t="s">
        <v>232</v>
      </c>
      <c r="G4638" s="2" t="s">
        <v>233</v>
      </c>
      <c r="H4638" s="2" t="s">
        <v>2897</v>
      </c>
      <c r="I4638" s="2" t="s">
        <v>5191</v>
      </c>
    </row>
    <row r="4639" spans="1:9" ht="14.5" x14ac:dyDescent="0.35">
      <c r="A4639" s="2">
        <v>2559760</v>
      </c>
      <c r="B4639" s="2" t="str">
        <f>"6471050612760005"</f>
        <v>6471050612760005</v>
      </c>
      <c r="C4639" s="2" t="s">
        <v>5192</v>
      </c>
      <c r="D4639" s="2" t="s">
        <v>17</v>
      </c>
      <c r="E4639" s="2" t="s">
        <v>11</v>
      </c>
      <c r="F4639" s="2" t="s">
        <v>18</v>
      </c>
      <c r="G4639" s="2" t="s">
        <v>19</v>
      </c>
      <c r="H4639" s="2" t="s">
        <v>266</v>
      </c>
      <c r="I4639" s="2" t="s">
        <v>4976</v>
      </c>
    </row>
    <row r="4640" spans="1:9" ht="14.5" x14ac:dyDescent="0.35">
      <c r="A4640" s="2">
        <v>160084</v>
      </c>
      <c r="B4640" s="2" t="str">
        <f>"6471055103030003"</f>
        <v>6471055103030003</v>
      </c>
      <c r="C4640" s="2" t="s">
        <v>5193</v>
      </c>
      <c r="D4640" s="2" t="s">
        <v>10</v>
      </c>
      <c r="E4640" s="2" t="s">
        <v>11</v>
      </c>
      <c r="F4640" s="2" t="s">
        <v>232</v>
      </c>
      <c r="G4640" s="2" t="s">
        <v>233</v>
      </c>
      <c r="H4640" s="2" t="s">
        <v>2897</v>
      </c>
      <c r="I4640" s="2" t="s">
        <v>5191</v>
      </c>
    </row>
    <row r="4641" spans="1:9" ht="14.5" x14ac:dyDescent="0.35">
      <c r="A4641" s="2">
        <v>2559761</v>
      </c>
      <c r="B4641" s="2" t="str">
        <f>"6471055103030003"</f>
        <v>6471055103030003</v>
      </c>
      <c r="C4641" s="2" t="s">
        <v>5194</v>
      </c>
      <c r="D4641" s="2" t="s">
        <v>17</v>
      </c>
      <c r="E4641" s="2" t="s">
        <v>11</v>
      </c>
      <c r="F4641" s="2" t="s">
        <v>18</v>
      </c>
      <c r="G4641" s="2" t="s">
        <v>19</v>
      </c>
      <c r="H4641" s="2" t="s">
        <v>266</v>
      </c>
      <c r="I4641" s="2" t="s">
        <v>4976</v>
      </c>
    </row>
    <row r="4642" spans="1:9" ht="14.5" x14ac:dyDescent="0.35">
      <c r="A4642" s="2">
        <v>77840</v>
      </c>
      <c r="B4642" s="2" t="str">
        <f>"7313130603960001"</f>
        <v>7313130603960001</v>
      </c>
      <c r="C4642" s="2" t="s">
        <v>5195</v>
      </c>
      <c r="D4642" s="2" t="s">
        <v>10</v>
      </c>
      <c r="E4642" s="2" t="s">
        <v>11</v>
      </c>
      <c r="F4642" s="2" t="s">
        <v>2545</v>
      </c>
      <c r="G4642" s="2" t="s">
        <v>2546</v>
      </c>
      <c r="H4642" s="2" t="s">
        <v>5109</v>
      </c>
      <c r="I4642" s="2" t="s">
        <v>5110</v>
      </c>
    </row>
    <row r="4643" spans="1:9" ht="14.5" x14ac:dyDescent="0.35">
      <c r="A4643" s="2">
        <v>2560520</v>
      </c>
      <c r="B4643" s="2" t="str">
        <f>"7313130603960001"</f>
        <v>7313130603960001</v>
      </c>
      <c r="C4643" s="2" t="s">
        <v>5195</v>
      </c>
      <c r="D4643" s="2" t="s">
        <v>17</v>
      </c>
      <c r="E4643" s="2" t="s">
        <v>11</v>
      </c>
      <c r="F4643" s="2" t="s">
        <v>18</v>
      </c>
      <c r="G4643" s="2" t="s">
        <v>19</v>
      </c>
      <c r="H4643" s="2" t="s">
        <v>266</v>
      </c>
      <c r="I4643" s="2" t="s">
        <v>5067</v>
      </c>
    </row>
    <row r="4644" spans="1:9" ht="14.5" x14ac:dyDescent="0.35">
      <c r="A4644" s="2">
        <v>427757</v>
      </c>
      <c r="B4644" s="2" t="str">
        <f>"9171022207940003"</f>
        <v>9171022207940003</v>
      </c>
      <c r="C4644" s="2" t="s">
        <v>5196</v>
      </c>
      <c r="D4644" s="2" t="s">
        <v>10</v>
      </c>
      <c r="E4644" s="2" t="s">
        <v>11</v>
      </c>
      <c r="F4644" s="2" t="s">
        <v>783</v>
      </c>
      <c r="G4644" s="2" t="s">
        <v>1112</v>
      </c>
      <c r="H4644" s="2" t="s">
        <v>3651</v>
      </c>
      <c r="I4644" s="2" t="s">
        <v>4693</v>
      </c>
    </row>
    <row r="4645" spans="1:9" ht="14.5" x14ac:dyDescent="0.35">
      <c r="A4645" s="2">
        <v>2559543</v>
      </c>
      <c r="B4645" s="2" t="str">
        <f>"9171022207940003"</f>
        <v>9171022207940003</v>
      </c>
      <c r="C4645" s="2" t="s">
        <v>5197</v>
      </c>
      <c r="D4645" s="2" t="s">
        <v>17</v>
      </c>
      <c r="E4645" s="2" t="s">
        <v>11</v>
      </c>
      <c r="F4645" s="2" t="s">
        <v>18</v>
      </c>
      <c r="G4645" s="2" t="s">
        <v>19</v>
      </c>
      <c r="H4645" s="2" t="s">
        <v>266</v>
      </c>
      <c r="I4645" s="2" t="s">
        <v>5005</v>
      </c>
    </row>
    <row r="4646" spans="1:9" ht="14.5" x14ac:dyDescent="0.35">
      <c r="A4646" s="2">
        <v>427758</v>
      </c>
      <c r="B4646" s="2" t="str">
        <f>"9171022912630004"</f>
        <v>9171022912630004</v>
      </c>
      <c r="C4646" s="2" t="s">
        <v>2697</v>
      </c>
      <c r="D4646" s="2" t="s">
        <v>10</v>
      </c>
      <c r="E4646" s="2" t="s">
        <v>11</v>
      </c>
      <c r="F4646" s="2" t="s">
        <v>783</v>
      </c>
      <c r="G4646" s="2" t="s">
        <v>1112</v>
      </c>
      <c r="H4646" s="2" t="s">
        <v>3651</v>
      </c>
      <c r="I4646" s="2" t="s">
        <v>4693</v>
      </c>
    </row>
    <row r="4647" spans="1:9" ht="14.5" x14ac:dyDescent="0.35">
      <c r="A4647" s="2">
        <v>2559546</v>
      </c>
      <c r="B4647" s="2" t="str">
        <f>"9171022912630004"</f>
        <v>9171022912630004</v>
      </c>
      <c r="C4647" s="2" t="s">
        <v>2697</v>
      </c>
      <c r="D4647" s="2" t="s">
        <v>17</v>
      </c>
      <c r="E4647" s="2" t="s">
        <v>11</v>
      </c>
      <c r="F4647" s="2" t="s">
        <v>18</v>
      </c>
      <c r="G4647" s="2" t="s">
        <v>19</v>
      </c>
      <c r="H4647" s="2" t="s">
        <v>266</v>
      </c>
      <c r="I4647" s="2" t="s">
        <v>5005</v>
      </c>
    </row>
    <row r="4648" spans="1:9" ht="14.5" x14ac:dyDescent="0.35">
      <c r="A4648" s="2">
        <v>427759</v>
      </c>
      <c r="B4648" s="2" t="str">
        <f>"9171026502660001"</f>
        <v>9171026502660001</v>
      </c>
      <c r="C4648" s="2" t="s">
        <v>5198</v>
      </c>
      <c r="D4648" s="2" t="s">
        <v>10</v>
      </c>
      <c r="E4648" s="2" t="s">
        <v>11</v>
      </c>
      <c r="F4648" s="2" t="s">
        <v>783</v>
      </c>
      <c r="G4648" s="2" t="s">
        <v>1112</v>
      </c>
      <c r="H4648" s="2" t="s">
        <v>3651</v>
      </c>
      <c r="I4648" s="2" t="s">
        <v>4693</v>
      </c>
    </row>
    <row r="4649" spans="1:9" ht="14.5" x14ac:dyDescent="0.35">
      <c r="A4649" s="2">
        <v>2559545</v>
      </c>
      <c r="B4649" s="2" t="str">
        <f>"9171026502660001"</f>
        <v>9171026502660001</v>
      </c>
      <c r="C4649" s="2" t="s">
        <v>5199</v>
      </c>
      <c r="D4649" s="2" t="s">
        <v>17</v>
      </c>
      <c r="E4649" s="2" t="s">
        <v>11</v>
      </c>
      <c r="F4649" s="2" t="s">
        <v>18</v>
      </c>
      <c r="G4649" s="2" t="s">
        <v>19</v>
      </c>
      <c r="H4649" s="2" t="s">
        <v>266</v>
      </c>
      <c r="I4649" s="2" t="s">
        <v>5005</v>
      </c>
    </row>
    <row r="4650" spans="1:9" ht="14.5" x14ac:dyDescent="0.35">
      <c r="A4650" s="2">
        <v>324867</v>
      </c>
      <c r="B4650" s="2" t="str">
        <f>"9171030104520005"</f>
        <v>9171030104520005</v>
      </c>
      <c r="C4650" s="2" t="s">
        <v>5200</v>
      </c>
      <c r="D4650" s="2" t="s">
        <v>10</v>
      </c>
      <c r="E4650" s="2" t="s">
        <v>11</v>
      </c>
      <c r="F4650" s="2" t="s">
        <v>783</v>
      </c>
      <c r="G4650" s="2" t="s">
        <v>1112</v>
      </c>
      <c r="H4650" s="2" t="s">
        <v>5201</v>
      </c>
      <c r="I4650" s="2" t="s">
        <v>5202</v>
      </c>
    </row>
    <row r="4651" spans="1:9" ht="14.5" x14ac:dyDescent="0.35">
      <c r="A4651" s="2">
        <v>2559702</v>
      </c>
      <c r="B4651" s="2" t="str">
        <f>"9171030104520005"</f>
        <v>9171030104520005</v>
      </c>
      <c r="C4651" s="2" t="s">
        <v>5203</v>
      </c>
      <c r="D4651" s="2" t="s">
        <v>17</v>
      </c>
      <c r="E4651" s="2" t="s">
        <v>11</v>
      </c>
      <c r="F4651" s="2" t="s">
        <v>18</v>
      </c>
      <c r="G4651" s="2" t="s">
        <v>19</v>
      </c>
      <c r="H4651" s="2" t="s">
        <v>266</v>
      </c>
      <c r="I4651" s="2" t="s">
        <v>4976</v>
      </c>
    </row>
    <row r="4652" spans="1:9" ht="14.5" x14ac:dyDescent="0.35">
      <c r="A4652" s="2">
        <v>238464</v>
      </c>
      <c r="B4652" s="2" t="str">
        <f>"1302102808960007"</f>
        <v>1302102808960007</v>
      </c>
      <c r="C4652" s="2" t="s">
        <v>5204</v>
      </c>
      <c r="D4652" s="2" t="s">
        <v>10</v>
      </c>
      <c r="E4652" s="2" t="s">
        <v>11</v>
      </c>
      <c r="F4652" s="2" t="s">
        <v>12</v>
      </c>
      <c r="G4652" s="2" t="s">
        <v>13</v>
      </c>
      <c r="H4652" s="2" t="s">
        <v>5205</v>
      </c>
      <c r="I4652" s="2" t="s">
        <v>5206</v>
      </c>
    </row>
    <row r="4653" spans="1:9" ht="14.5" x14ac:dyDescent="0.35">
      <c r="A4653" s="2">
        <v>2561882</v>
      </c>
      <c r="B4653" s="2" t="str">
        <f>"1302102808960007"</f>
        <v>1302102808960007</v>
      </c>
      <c r="C4653" s="2" t="s">
        <v>5204</v>
      </c>
      <c r="D4653" s="2" t="s">
        <v>17</v>
      </c>
      <c r="E4653" s="2" t="s">
        <v>11</v>
      </c>
      <c r="F4653" s="2" t="s">
        <v>18</v>
      </c>
      <c r="G4653" s="2" t="s">
        <v>19</v>
      </c>
      <c r="H4653" s="2" t="s">
        <v>5207</v>
      </c>
      <c r="I4653" s="2" t="s">
        <v>933</v>
      </c>
    </row>
    <row r="4654" spans="1:9" ht="14.5" x14ac:dyDescent="0.35">
      <c r="A4654" s="2">
        <v>1811761</v>
      </c>
      <c r="B4654" s="2" t="str">
        <f>"1702070407920002"</f>
        <v>1702070407920002</v>
      </c>
      <c r="C4654" s="2" t="s">
        <v>5208</v>
      </c>
      <c r="D4654" s="2" t="s">
        <v>10</v>
      </c>
      <c r="E4654" s="2" t="s">
        <v>11</v>
      </c>
      <c r="F4654" s="2" t="s">
        <v>18</v>
      </c>
      <c r="G4654" s="2" t="s">
        <v>19</v>
      </c>
      <c r="H4654" s="2" t="s">
        <v>5207</v>
      </c>
      <c r="I4654" s="2" t="s">
        <v>933</v>
      </c>
    </row>
    <row r="4655" spans="1:9" ht="14.5" x14ac:dyDescent="0.35">
      <c r="A4655" s="2">
        <v>254838</v>
      </c>
      <c r="B4655" s="2" t="str">
        <f>"1702070407920002"</f>
        <v>1702070407920002</v>
      </c>
      <c r="C4655" s="2" t="s">
        <v>5208</v>
      </c>
      <c r="D4655" s="2" t="s">
        <v>17</v>
      </c>
      <c r="E4655" s="2" t="s">
        <v>11</v>
      </c>
      <c r="F4655" s="2" t="s">
        <v>5209</v>
      </c>
      <c r="G4655" s="2" t="s">
        <v>5210</v>
      </c>
      <c r="H4655" s="2" t="s">
        <v>5211</v>
      </c>
      <c r="I4655" s="2" t="s">
        <v>5212</v>
      </c>
    </row>
    <row r="4656" spans="1:9" ht="14.5" x14ac:dyDescent="0.35">
      <c r="A4656" s="2">
        <v>1121659</v>
      </c>
      <c r="B4656" s="2" t="str">
        <f>"1807036010990005"</f>
        <v>1807036010990005</v>
      </c>
      <c r="C4656" s="2" t="s">
        <v>5213</v>
      </c>
      <c r="D4656" s="2" t="s">
        <v>10</v>
      </c>
      <c r="E4656" s="2" t="s">
        <v>11</v>
      </c>
      <c r="F4656" s="2" t="s">
        <v>44</v>
      </c>
      <c r="G4656" s="2" t="s">
        <v>5214</v>
      </c>
      <c r="H4656" s="2" t="s">
        <v>5215</v>
      </c>
      <c r="I4656" s="2" t="s">
        <v>668</v>
      </c>
    </row>
    <row r="4657" spans="1:9" ht="14.5" x14ac:dyDescent="0.35">
      <c r="A4657" s="2">
        <v>2562934</v>
      </c>
      <c r="B4657" s="2" t="str">
        <f>"1807036010990005"</f>
        <v>1807036010990005</v>
      </c>
      <c r="C4657" s="2" t="s">
        <v>5216</v>
      </c>
      <c r="D4657" s="2" t="s">
        <v>17</v>
      </c>
      <c r="E4657" s="2" t="s">
        <v>11</v>
      </c>
      <c r="F4657" s="2" t="s">
        <v>18</v>
      </c>
      <c r="G4657" s="2" t="s">
        <v>19</v>
      </c>
      <c r="H4657" s="2" t="s">
        <v>5207</v>
      </c>
      <c r="I4657" s="2" t="s">
        <v>5217</v>
      </c>
    </row>
    <row r="4658" spans="1:9" ht="14.5" x14ac:dyDescent="0.35">
      <c r="A4658" s="2">
        <v>251369</v>
      </c>
      <c r="B4658" s="2" t="str">
        <f>"1807215912960002"</f>
        <v>1807215912960002</v>
      </c>
      <c r="C4658" s="2" t="s">
        <v>5218</v>
      </c>
      <c r="D4658" s="2" t="s">
        <v>10</v>
      </c>
      <c r="E4658" s="2" t="s">
        <v>11</v>
      </c>
      <c r="F4658" s="2" t="s">
        <v>18</v>
      </c>
      <c r="G4658" s="2" t="s">
        <v>268</v>
      </c>
      <c r="H4658" s="2" t="s">
        <v>371</v>
      </c>
      <c r="I4658" s="2" t="s">
        <v>497</v>
      </c>
    </row>
    <row r="4659" spans="1:9" ht="14.5" x14ac:dyDescent="0.35">
      <c r="A4659" s="2">
        <v>2561940</v>
      </c>
      <c r="B4659" s="2" t="str">
        <f>"1807215912960002"</f>
        <v>1807215912960002</v>
      </c>
      <c r="C4659" s="2" t="s">
        <v>5218</v>
      </c>
      <c r="D4659" s="2" t="s">
        <v>17</v>
      </c>
      <c r="E4659" s="2" t="s">
        <v>11</v>
      </c>
      <c r="F4659" s="2" t="s">
        <v>18</v>
      </c>
      <c r="G4659" s="2" t="s">
        <v>19</v>
      </c>
      <c r="H4659" s="2" t="s">
        <v>5207</v>
      </c>
      <c r="I4659" s="2" t="s">
        <v>933</v>
      </c>
    </row>
    <row r="4660" spans="1:9" ht="14.5" x14ac:dyDescent="0.35">
      <c r="A4660" s="2">
        <v>70374</v>
      </c>
      <c r="B4660" s="2" t="str">
        <f>"1809054301980001"</f>
        <v>1809054301980001</v>
      </c>
      <c r="C4660" s="2" t="s">
        <v>5219</v>
      </c>
      <c r="D4660" s="2" t="s">
        <v>10</v>
      </c>
      <c r="E4660" s="2" t="s">
        <v>11</v>
      </c>
      <c r="F4660" s="2" t="s">
        <v>44</v>
      </c>
      <c r="G4660" s="2" t="s">
        <v>254</v>
      </c>
      <c r="H4660" s="2" t="s">
        <v>5220</v>
      </c>
      <c r="I4660" s="2" t="s">
        <v>5221</v>
      </c>
    </row>
    <row r="4661" spans="1:9" ht="14.5" x14ac:dyDescent="0.35">
      <c r="A4661" s="2">
        <v>2561879</v>
      </c>
      <c r="B4661" s="2" t="str">
        <f>"1809054301980001"</f>
        <v>1809054301980001</v>
      </c>
      <c r="C4661" s="2" t="s">
        <v>5222</v>
      </c>
      <c r="D4661" s="2" t="s">
        <v>17</v>
      </c>
      <c r="E4661" s="2" t="s">
        <v>11</v>
      </c>
      <c r="F4661" s="2" t="s">
        <v>18</v>
      </c>
      <c r="G4661" s="2" t="s">
        <v>19</v>
      </c>
      <c r="H4661" s="2" t="s">
        <v>5207</v>
      </c>
      <c r="I4661" s="2" t="s">
        <v>5223</v>
      </c>
    </row>
    <row r="4662" spans="1:9" ht="14.5" x14ac:dyDescent="0.35">
      <c r="A4662" s="2">
        <v>555764</v>
      </c>
      <c r="B4662" s="2" t="str">
        <f>"2171061006909006"</f>
        <v>2171061006909006</v>
      </c>
      <c r="C4662" s="2" t="s">
        <v>5224</v>
      </c>
      <c r="D4662" s="2" t="s">
        <v>10</v>
      </c>
      <c r="E4662" s="2" t="s">
        <v>11</v>
      </c>
      <c r="F4662" s="2" t="s">
        <v>18</v>
      </c>
      <c r="G4662" s="2" t="s">
        <v>264</v>
      </c>
      <c r="H4662" s="2" t="s">
        <v>877</v>
      </c>
      <c r="I4662" s="2" t="s">
        <v>3950</v>
      </c>
    </row>
    <row r="4663" spans="1:9" ht="14.5" x14ac:dyDescent="0.35">
      <c r="A4663" s="2">
        <v>2562388</v>
      </c>
      <c r="B4663" s="2" t="str">
        <f>"2171061006909006"</f>
        <v>2171061006909006</v>
      </c>
      <c r="C4663" s="2" t="s">
        <v>5224</v>
      </c>
      <c r="D4663" s="2" t="s">
        <v>17</v>
      </c>
      <c r="E4663" s="2" t="s">
        <v>11</v>
      </c>
      <c r="F4663" s="2" t="s">
        <v>18</v>
      </c>
      <c r="G4663" s="2" t="s">
        <v>19</v>
      </c>
      <c r="H4663" s="2" t="s">
        <v>5207</v>
      </c>
      <c r="I4663" s="2" t="s">
        <v>1964</v>
      </c>
    </row>
    <row r="4664" spans="1:9" ht="14.5" x14ac:dyDescent="0.35">
      <c r="A4664" s="2">
        <v>80441</v>
      </c>
      <c r="B4664" s="2" t="str">
        <f>"3171023112730012"</f>
        <v>3171023112730012</v>
      </c>
      <c r="C4664" s="2" t="s">
        <v>4728</v>
      </c>
      <c r="D4664" s="2" t="s">
        <v>10</v>
      </c>
      <c r="E4664" s="2" t="s">
        <v>11</v>
      </c>
      <c r="F4664" s="2" t="s">
        <v>50</v>
      </c>
      <c r="G4664" s="2" t="s">
        <v>280</v>
      </c>
      <c r="H4664" s="2" t="s">
        <v>455</v>
      </c>
      <c r="I4664" s="2" t="s">
        <v>456</v>
      </c>
    </row>
    <row r="4665" spans="1:9" ht="14.5" x14ac:dyDescent="0.35">
      <c r="A4665" s="2">
        <v>2562559</v>
      </c>
      <c r="B4665" s="2" t="str">
        <f>"3171023112730012"</f>
        <v>3171023112730012</v>
      </c>
      <c r="C4665" s="2" t="s">
        <v>5225</v>
      </c>
      <c r="D4665" s="2" t="s">
        <v>17</v>
      </c>
      <c r="E4665" s="2" t="s">
        <v>11</v>
      </c>
      <c r="F4665" s="2" t="s">
        <v>18</v>
      </c>
      <c r="G4665" s="2" t="s">
        <v>19</v>
      </c>
      <c r="H4665" s="2" t="s">
        <v>5207</v>
      </c>
      <c r="I4665" s="2" t="s">
        <v>674</v>
      </c>
    </row>
    <row r="4666" spans="1:9" ht="14.5" x14ac:dyDescent="0.35">
      <c r="A4666" s="2">
        <v>586127</v>
      </c>
      <c r="B4666" s="2" t="str">
        <f>"3171081207750002"</f>
        <v>3171081207750002</v>
      </c>
      <c r="C4666" s="2" t="s">
        <v>5226</v>
      </c>
      <c r="D4666" s="2" t="s">
        <v>10</v>
      </c>
      <c r="E4666" s="2" t="s">
        <v>11</v>
      </c>
      <c r="F4666" s="2" t="s">
        <v>50</v>
      </c>
      <c r="G4666" s="2" t="s">
        <v>280</v>
      </c>
      <c r="H4666" s="2" t="s">
        <v>2507</v>
      </c>
      <c r="I4666" s="2" t="s">
        <v>3162</v>
      </c>
    </row>
    <row r="4667" spans="1:9" ht="14.5" x14ac:dyDescent="0.35">
      <c r="A4667" s="2">
        <v>2561740</v>
      </c>
      <c r="B4667" s="2" t="str">
        <f>"3171081207750002"</f>
        <v>3171081207750002</v>
      </c>
      <c r="C4667" s="2" t="s">
        <v>5226</v>
      </c>
      <c r="D4667" s="2" t="s">
        <v>17</v>
      </c>
      <c r="E4667" s="2" t="s">
        <v>11</v>
      </c>
      <c r="F4667" s="2" t="s">
        <v>18</v>
      </c>
      <c r="G4667" s="2" t="s">
        <v>19</v>
      </c>
      <c r="H4667" s="2" t="s">
        <v>5207</v>
      </c>
      <c r="I4667" s="2" t="s">
        <v>5223</v>
      </c>
    </row>
    <row r="4668" spans="1:9" ht="14.5" x14ac:dyDescent="0.35">
      <c r="A4668" s="2">
        <v>1105164</v>
      </c>
      <c r="B4668" s="2" t="str">
        <f>"3172015112980006"</f>
        <v>3172015112980006</v>
      </c>
      <c r="C4668" s="2" t="s">
        <v>5227</v>
      </c>
      <c r="D4668" s="2" t="s">
        <v>10</v>
      </c>
      <c r="E4668" s="2" t="s">
        <v>11</v>
      </c>
      <c r="F4668" s="2" t="s">
        <v>50</v>
      </c>
      <c r="G4668" s="2" t="s">
        <v>51</v>
      </c>
      <c r="H4668" s="2" t="s">
        <v>52</v>
      </c>
      <c r="I4668" s="2" t="s">
        <v>52</v>
      </c>
    </row>
    <row r="4669" spans="1:9" ht="14.5" x14ac:dyDescent="0.35">
      <c r="A4669" s="2">
        <v>2561971</v>
      </c>
      <c r="B4669" s="2" t="str">
        <f>"3172015112980006"</f>
        <v>3172015112980006</v>
      </c>
      <c r="C4669" s="2" t="s">
        <v>5227</v>
      </c>
      <c r="D4669" s="2" t="s">
        <v>17</v>
      </c>
      <c r="E4669" s="2" t="s">
        <v>11</v>
      </c>
      <c r="F4669" s="2" t="s">
        <v>18</v>
      </c>
      <c r="G4669" s="2" t="s">
        <v>19</v>
      </c>
      <c r="H4669" s="2" t="s">
        <v>5207</v>
      </c>
      <c r="I4669" s="2" t="s">
        <v>933</v>
      </c>
    </row>
    <row r="4670" spans="1:9" ht="14.5" x14ac:dyDescent="0.35">
      <c r="A4670" s="2">
        <v>1816967</v>
      </c>
      <c r="B4670" s="2" t="str">
        <f>"3172040605830016"</f>
        <v>3172040605830016</v>
      </c>
      <c r="C4670" s="2" t="s">
        <v>5228</v>
      </c>
      <c r="D4670" s="2" t="s">
        <v>10</v>
      </c>
      <c r="E4670" s="2" t="s">
        <v>11</v>
      </c>
      <c r="F4670" s="2" t="s">
        <v>18</v>
      </c>
      <c r="G4670" s="2" t="s">
        <v>19</v>
      </c>
      <c r="H4670" s="2" t="s">
        <v>5207</v>
      </c>
      <c r="I4670" s="2" t="s">
        <v>933</v>
      </c>
    </row>
    <row r="4671" spans="1:9" ht="14.5" x14ac:dyDescent="0.35">
      <c r="A4671" s="2">
        <v>714984</v>
      </c>
      <c r="B4671" s="2" t="str">
        <f>"3172040605830016"</f>
        <v>3172040605830016</v>
      </c>
      <c r="C4671" s="2" t="s">
        <v>5228</v>
      </c>
      <c r="D4671" s="2" t="s">
        <v>17</v>
      </c>
      <c r="E4671" s="2" t="s">
        <v>11</v>
      </c>
      <c r="F4671" s="2" t="s">
        <v>18</v>
      </c>
      <c r="G4671" s="2" t="s">
        <v>190</v>
      </c>
      <c r="H4671" s="2" t="s">
        <v>5229</v>
      </c>
      <c r="I4671" s="2" t="s">
        <v>5230</v>
      </c>
    </row>
    <row r="4672" spans="1:9" ht="14.5" x14ac:dyDescent="0.35">
      <c r="A4672" s="2">
        <v>134419</v>
      </c>
      <c r="B4672" s="2" t="str">
        <f>"3173021307690007"</f>
        <v>3173021307690007</v>
      </c>
      <c r="C4672" s="2" t="s">
        <v>5231</v>
      </c>
      <c r="D4672" s="2" t="s">
        <v>10</v>
      </c>
      <c r="E4672" s="2" t="s">
        <v>11</v>
      </c>
      <c r="F4672" s="2" t="s">
        <v>50</v>
      </c>
      <c r="G4672" s="2" t="s">
        <v>86</v>
      </c>
      <c r="H4672" s="2" t="s">
        <v>205</v>
      </c>
      <c r="I4672" s="2" t="s">
        <v>5232</v>
      </c>
    </row>
    <row r="4673" spans="1:9" ht="14.5" x14ac:dyDescent="0.35">
      <c r="A4673" s="2">
        <v>2562602</v>
      </c>
      <c r="B4673" s="2" t="str">
        <f>"3173021307690007"</f>
        <v>3173021307690007</v>
      </c>
      <c r="C4673" s="2" t="s">
        <v>5231</v>
      </c>
      <c r="D4673" s="2" t="s">
        <v>17</v>
      </c>
      <c r="E4673" s="2" t="s">
        <v>11</v>
      </c>
      <c r="F4673" s="2" t="s">
        <v>18</v>
      </c>
      <c r="G4673" s="2" t="s">
        <v>19</v>
      </c>
      <c r="H4673" s="2" t="s">
        <v>5207</v>
      </c>
      <c r="I4673" s="2" t="s">
        <v>674</v>
      </c>
    </row>
    <row r="4674" spans="1:9" ht="14.5" x14ac:dyDescent="0.35">
      <c r="A4674" s="2">
        <v>610983</v>
      </c>
      <c r="B4674" s="2" t="str">
        <f>"3173031006720016"</f>
        <v>3173031006720016</v>
      </c>
      <c r="C4674" s="2" t="s">
        <v>5233</v>
      </c>
      <c r="D4674" s="2" t="s">
        <v>10</v>
      </c>
      <c r="E4674" s="2" t="s">
        <v>11</v>
      </c>
      <c r="F4674" s="2" t="s">
        <v>50</v>
      </c>
      <c r="G4674" s="2" t="s">
        <v>86</v>
      </c>
      <c r="H4674" s="2" t="s">
        <v>1463</v>
      </c>
      <c r="I4674" s="2" t="s">
        <v>3175</v>
      </c>
    </row>
    <row r="4675" spans="1:9" ht="14.5" x14ac:dyDescent="0.35">
      <c r="A4675" s="2">
        <v>2563105</v>
      </c>
      <c r="B4675" s="2" t="str">
        <f>"3173031006720016"</f>
        <v>3173031006720016</v>
      </c>
      <c r="C4675" s="2" t="s">
        <v>5234</v>
      </c>
      <c r="D4675" s="2" t="s">
        <v>17</v>
      </c>
      <c r="E4675" s="2" t="s">
        <v>11</v>
      </c>
      <c r="F4675" s="2" t="s">
        <v>18</v>
      </c>
      <c r="G4675" s="2" t="s">
        <v>19</v>
      </c>
      <c r="H4675" s="2" t="s">
        <v>5207</v>
      </c>
      <c r="I4675" s="2" t="s">
        <v>5235</v>
      </c>
    </row>
    <row r="4676" spans="1:9" ht="14.5" x14ac:dyDescent="0.35">
      <c r="A4676" s="2">
        <v>631459</v>
      </c>
      <c r="B4676" s="2" t="str">
        <f>"3174100108060003"</f>
        <v>3174100108060003</v>
      </c>
      <c r="C4676" s="2" t="s">
        <v>5236</v>
      </c>
      <c r="D4676" s="2" t="s">
        <v>10</v>
      </c>
      <c r="E4676" s="2" t="s">
        <v>11</v>
      </c>
      <c r="F4676" s="2" t="s">
        <v>50</v>
      </c>
      <c r="G4676" s="2" t="s">
        <v>72</v>
      </c>
      <c r="H4676" s="2" t="s">
        <v>541</v>
      </c>
      <c r="I4676" s="2" t="s">
        <v>2869</v>
      </c>
    </row>
    <row r="4677" spans="1:9" ht="14.5" x14ac:dyDescent="0.35">
      <c r="A4677" s="2">
        <v>2561823</v>
      </c>
      <c r="B4677" s="2" t="str">
        <f>"3174100108060003"</f>
        <v>3174100108060003</v>
      </c>
      <c r="C4677" s="2" t="s">
        <v>5237</v>
      </c>
      <c r="D4677" s="2" t="s">
        <v>17</v>
      </c>
      <c r="E4677" s="2" t="s">
        <v>11</v>
      </c>
      <c r="F4677" s="2" t="s">
        <v>18</v>
      </c>
      <c r="G4677" s="2" t="s">
        <v>19</v>
      </c>
      <c r="H4677" s="2" t="s">
        <v>5207</v>
      </c>
      <c r="I4677" s="2" t="s">
        <v>5223</v>
      </c>
    </row>
    <row r="4678" spans="1:9" ht="14.5" x14ac:dyDescent="0.35">
      <c r="A4678" s="2">
        <v>2563368</v>
      </c>
      <c r="B4678" s="2" t="str">
        <f>"3175041409890008"</f>
        <v>3175041409890008</v>
      </c>
      <c r="C4678" s="2" t="s">
        <v>5238</v>
      </c>
      <c r="D4678" s="2" t="s">
        <v>17</v>
      </c>
      <c r="E4678" s="2" t="s">
        <v>11</v>
      </c>
      <c r="F4678" s="2" t="s">
        <v>18</v>
      </c>
      <c r="G4678" s="2" t="s">
        <v>19</v>
      </c>
      <c r="H4678" s="2" t="s">
        <v>5207</v>
      </c>
      <c r="I4678" s="2" t="s">
        <v>5239</v>
      </c>
    </row>
    <row r="4679" spans="1:9" ht="14.5" x14ac:dyDescent="0.35">
      <c r="A4679" s="2">
        <v>1796844</v>
      </c>
      <c r="B4679" s="2" t="str">
        <f>"3175041409890008"</f>
        <v>3175041409890008</v>
      </c>
      <c r="C4679" s="2" t="s">
        <v>5240</v>
      </c>
      <c r="D4679" s="2" t="s">
        <v>10</v>
      </c>
      <c r="E4679" s="2" t="s">
        <v>11</v>
      </c>
      <c r="F4679" s="2" t="s">
        <v>50</v>
      </c>
      <c r="G4679" s="2" t="s">
        <v>58</v>
      </c>
      <c r="H4679" s="2" t="s">
        <v>97</v>
      </c>
      <c r="I4679" s="2" t="s">
        <v>97</v>
      </c>
    </row>
    <row r="4680" spans="1:9" ht="14.5" x14ac:dyDescent="0.35">
      <c r="A4680" s="2">
        <v>271477</v>
      </c>
      <c r="B4680" s="2" t="str">
        <f>"3201252512740007"</f>
        <v>3201252512740007</v>
      </c>
      <c r="C4680" s="2" t="s">
        <v>1893</v>
      </c>
      <c r="D4680" s="2" t="s">
        <v>10</v>
      </c>
      <c r="E4680" s="2" t="s">
        <v>11</v>
      </c>
      <c r="F4680" s="2" t="s">
        <v>91</v>
      </c>
      <c r="G4680" s="2" t="s">
        <v>650</v>
      </c>
      <c r="H4680" s="2" t="s">
        <v>138</v>
      </c>
      <c r="I4680" s="2" t="s">
        <v>5241</v>
      </c>
    </row>
    <row r="4681" spans="1:9" ht="14.5" x14ac:dyDescent="0.35">
      <c r="A4681" s="2">
        <v>2561705</v>
      </c>
      <c r="B4681" s="2" t="str">
        <f>"3201252512740007"</f>
        <v>3201252512740007</v>
      </c>
      <c r="C4681" s="2" t="s">
        <v>1893</v>
      </c>
      <c r="D4681" s="2" t="s">
        <v>17</v>
      </c>
      <c r="E4681" s="2" t="s">
        <v>11</v>
      </c>
      <c r="F4681" s="2" t="s">
        <v>18</v>
      </c>
      <c r="G4681" s="2" t="s">
        <v>19</v>
      </c>
      <c r="H4681" s="2" t="s">
        <v>5207</v>
      </c>
      <c r="I4681" s="2" t="s">
        <v>5242</v>
      </c>
    </row>
    <row r="4682" spans="1:9" ht="14.5" x14ac:dyDescent="0.35">
      <c r="A4682" s="2">
        <v>269018</v>
      </c>
      <c r="B4682" s="2" t="str">
        <f>"3202136310050002"</f>
        <v>3202136310050002</v>
      </c>
      <c r="C4682" s="2" t="s">
        <v>5243</v>
      </c>
      <c r="D4682" s="2" t="s">
        <v>10</v>
      </c>
      <c r="E4682" s="2" t="s">
        <v>11</v>
      </c>
      <c r="F4682" s="2" t="s">
        <v>91</v>
      </c>
      <c r="G4682" s="2" t="s">
        <v>101</v>
      </c>
      <c r="H4682" s="2" t="s">
        <v>4555</v>
      </c>
      <c r="I4682" s="2" t="s">
        <v>5244</v>
      </c>
    </row>
    <row r="4683" spans="1:9" ht="14.5" x14ac:dyDescent="0.35">
      <c r="A4683" s="2">
        <v>2561775</v>
      </c>
      <c r="B4683" s="2" t="str">
        <f>"3202136310050002"</f>
        <v>3202136310050002</v>
      </c>
      <c r="C4683" s="2" t="s">
        <v>5245</v>
      </c>
      <c r="D4683" s="2" t="s">
        <v>17</v>
      </c>
      <c r="E4683" s="2" t="s">
        <v>11</v>
      </c>
      <c r="F4683" s="2" t="s">
        <v>18</v>
      </c>
      <c r="G4683" s="2" t="s">
        <v>19</v>
      </c>
      <c r="H4683" s="2" t="s">
        <v>5207</v>
      </c>
      <c r="I4683" s="2" t="s">
        <v>5223</v>
      </c>
    </row>
    <row r="4684" spans="1:9" ht="14.5" x14ac:dyDescent="0.35">
      <c r="A4684" s="2">
        <v>720953</v>
      </c>
      <c r="B4684" s="2" t="str">
        <f>"3204392808830007"</f>
        <v>3204392808830007</v>
      </c>
      <c r="C4684" s="2" t="s">
        <v>5246</v>
      </c>
      <c r="D4684" s="2" t="s">
        <v>10</v>
      </c>
      <c r="E4684" s="2" t="s">
        <v>11</v>
      </c>
      <c r="F4684" s="2" t="s">
        <v>91</v>
      </c>
      <c r="G4684" s="2" t="s">
        <v>1398</v>
      </c>
      <c r="H4684" s="2" t="s">
        <v>5247</v>
      </c>
      <c r="I4684" s="2" t="s">
        <v>5248</v>
      </c>
    </row>
    <row r="4685" spans="1:9" ht="14.5" x14ac:dyDescent="0.35">
      <c r="A4685" s="2">
        <v>2561667</v>
      </c>
      <c r="B4685" s="2" t="str">
        <f>"3204392808830007"</f>
        <v>3204392808830007</v>
      </c>
      <c r="C4685" s="2" t="s">
        <v>5249</v>
      </c>
      <c r="D4685" s="2" t="s">
        <v>17</v>
      </c>
      <c r="E4685" s="2" t="s">
        <v>11</v>
      </c>
      <c r="F4685" s="2" t="s">
        <v>18</v>
      </c>
      <c r="G4685" s="2" t="s">
        <v>19</v>
      </c>
      <c r="H4685" s="2" t="s">
        <v>5207</v>
      </c>
      <c r="I4685" s="2" t="s">
        <v>5242</v>
      </c>
    </row>
    <row r="4686" spans="1:9" ht="14.5" x14ac:dyDescent="0.35">
      <c r="A4686" s="2">
        <v>966699</v>
      </c>
      <c r="B4686" s="2" t="str">
        <f>"3209060501830005"</f>
        <v>3209060501830005</v>
      </c>
      <c r="C4686" s="2" t="s">
        <v>5250</v>
      </c>
      <c r="D4686" s="2" t="s">
        <v>10</v>
      </c>
      <c r="E4686" s="2" t="s">
        <v>11</v>
      </c>
      <c r="F4686" s="2" t="s">
        <v>91</v>
      </c>
      <c r="G4686" s="2" t="s">
        <v>985</v>
      </c>
      <c r="H4686" s="2" t="s">
        <v>1156</v>
      </c>
      <c r="I4686" s="2" t="s">
        <v>492</v>
      </c>
    </row>
    <row r="4687" spans="1:9" ht="14.5" x14ac:dyDescent="0.35">
      <c r="A4687" s="2">
        <v>2561844</v>
      </c>
      <c r="B4687" s="2" t="str">
        <f>"3209060501830005"</f>
        <v>3209060501830005</v>
      </c>
      <c r="C4687" s="2" t="s">
        <v>5251</v>
      </c>
      <c r="D4687" s="2" t="s">
        <v>17</v>
      </c>
      <c r="E4687" s="2" t="s">
        <v>11</v>
      </c>
      <c r="F4687" s="2" t="s">
        <v>18</v>
      </c>
      <c r="G4687" s="2" t="s">
        <v>19</v>
      </c>
      <c r="H4687" s="2" t="s">
        <v>5207</v>
      </c>
      <c r="I4687" s="2" t="s">
        <v>5223</v>
      </c>
    </row>
    <row r="4688" spans="1:9" ht="14.5" x14ac:dyDescent="0.35">
      <c r="A4688" s="2">
        <v>720584</v>
      </c>
      <c r="B4688" s="2" t="str">
        <f>"3212155008910002"</f>
        <v>3212155008910002</v>
      </c>
      <c r="C4688" s="2" t="s">
        <v>5252</v>
      </c>
      <c r="D4688" s="2" t="s">
        <v>10</v>
      </c>
      <c r="E4688" s="2" t="s">
        <v>11</v>
      </c>
      <c r="F4688" s="2" t="s">
        <v>91</v>
      </c>
      <c r="G4688" s="2" t="s">
        <v>114</v>
      </c>
      <c r="H4688" s="2" t="s">
        <v>114</v>
      </c>
      <c r="I4688" s="2" t="s">
        <v>5253</v>
      </c>
    </row>
    <row r="4689" spans="1:9" ht="14.5" x14ac:dyDescent="0.35">
      <c r="A4689" s="2">
        <v>2563659</v>
      </c>
      <c r="B4689" s="2" t="str">
        <f>"3212155008910002"</f>
        <v>3212155008910002</v>
      </c>
      <c r="C4689" s="2" t="s">
        <v>5254</v>
      </c>
      <c r="D4689" s="2" t="s">
        <v>17</v>
      </c>
      <c r="E4689" s="2" t="s">
        <v>11</v>
      </c>
      <c r="F4689" s="2" t="s">
        <v>18</v>
      </c>
      <c r="G4689" s="2" t="s">
        <v>19</v>
      </c>
      <c r="H4689" s="2" t="s">
        <v>5207</v>
      </c>
      <c r="I4689" s="2" t="s">
        <v>5207</v>
      </c>
    </row>
    <row r="4690" spans="1:9" ht="14.5" x14ac:dyDescent="0.35">
      <c r="A4690" s="2">
        <v>1915911</v>
      </c>
      <c r="B4690" s="2" t="str">
        <f>"3216016707950005"</f>
        <v>3216016707950005</v>
      </c>
      <c r="C4690" s="2" t="s">
        <v>5255</v>
      </c>
      <c r="D4690" s="2" t="s">
        <v>10</v>
      </c>
      <c r="E4690" s="2" t="s">
        <v>11</v>
      </c>
      <c r="F4690" s="2" t="s">
        <v>91</v>
      </c>
      <c r="G4690" s="2" t="s">
        <v>92</v>
      </c>
      <c r="H4690" s="2" t="s">
        <v>124</v>
      </c>
      <c r="I4690" s="2" t="s">
        <v>5256</v>
      </c>
    </row>
    <row r="4691" spans="1:9" ht="14.5" x14ac:dyDescent="0.35">
      <c r="A4691" s="2">
        <v>2562054</v>
      </c>
      <c r="B4691" s="2" t="str">
        <f>"3216016707950005"</f>
        <v>3216016707950005</v>
      </c>
      <c r="C4691" s="2" t="s">
        <v>5257</v>
      </c>
      <c r="D4691" s="2" t="s">
        <v>17</v>
      </c>
      <c r="E4691" s="2" t="s">
        <v>11</v>
      </c>
      <c r="F4691" s="2" t="s">
        <v>18</v>
      </c>
      <c r="G4691" s="2" t="s">
        <v>19</v>
      </c>
      <c r="H4691" s="2" t="s">
        <v>5207</v>
      </c>
      <c r="I4691" s="2" t="s">
        <v>5258</v>
      </c>
    </row>
    <row r="4692" spans="1:9" ht="14.5" x14ac:dyDescent="0.35">
      <c r="A4692" s="2">
        <v>752405</v>
      </c>
      <c r="B4692" s="2" t="str">
        <f>"3216091005880022"</f>
        <v>3216091005880022</v>
      </c>
      <c r="C4692" s="2" t="s">
        <v>5259</v>
      </c>
      <c r="D4692" s="2" t="s">
        <v>10</v>
      </c>
      <c r="E4692" s="2" t="s">
        <v>11</v>
      </c>
      <c r="F4692" s="2" t="s">
        <v>91</v>
      </c>
      <c r="G4692" s="2" t="s">
        <v>92</v>
      </c>
      <c r="H4692" s="2" t="s">
        <v>128</v>
      </c>
      <c r="I4692" s="2" t="s">
        <v>2947</v>
      </c>
    </row>
    <row r="4693" spans="1:9" ht="14.5" x14ac:dyDescent="0.35">
      <c r="A4693" s="2">
        <v>2562715</v>
      </c>
      <c r="B4693" s="2" t="str">
        <f>"3216091005880022"</f>
        <v>3216091005880022</v>
      </c>
      <c r="C4693" s="2" t="s">
        <v>5259</v>
      </c>
      <c r="D4693" s="2" t="s">
        <v>17</v>
      </c>
      <c r="E4693" s="2" t="s">
        <v>11</v>
      </c>
      <c r="F4693" s="2" t="s">
        <v>18</v>
      </c>
      <c r="G4693" s="2" t="s">
        <v>19</v>
      </c>
      <c r="H4693" s="2" t="s">
        <v>5207</v>
      </c>
      <c r="I4693" s="2" t="s">
        <v>674</v>
      </c>
    </row>
    <row r="4694" spans="1:9" ht="14.5" x14ac:dyDescent="0.35">
      <c r="A4694" s="2">
        <v>752407</v>
      </c>
      <c r="B4694" s="2" t="str">
        <f>"3216095512840011"</f>
        <v>3216095512840011</v>
      </c>
      <c r="C4694" s="2" t="s">
        <v>5260</v>
      </c>
      <c r="D4694" s="2" t="s">
        <v>10</v>
      </c>
      <c r="E4694" s="2" t="s">
        <v>11</v>
      </c>
      <c r="F4694" s="2" t="s">
        <v>91</v>
      </c>
      <c r="G4694" s="2" t="s">
        <v>92</v>
      </c>
      <c r="H4694" s="2" t="s">
        <v>128</v>
      </c>
      <c r="I4694" s="2" t="s">
        <v>2947</v>
      </c>
    </row>
    <row r="4695" spans="1:9" ht="14.5" x14ac:dyDescent="0.35">
      <c r="A4695" s="2">
        <v>2562716</v>
      </c>
      <c r="B4695" s="2" t="str">
        <f>"3216095512840011"</f>
        <v>3216095512840011</v>
      </c>
      <c r="C4695" s="2" t="s">
        <v>5260</v>
      </c>
      <c r="D4695" s="2" t="s">
        <v>17</v>
      </c>
      <c r="E4695" s="2" t="s">
        <v>11</v>
      </c>
      <c r="F4695" s="2" t="s">
        <v>18</v>
      </c>
      <c r="G4695" s="2" t="s">
        <v>19</v>
      </c>
      <c r="H4695" s="2" t="s">
        <v>5207</v>
      </c>
      <c r="I4695" s="2" t="s">
        <v>674</v>
      </c>
    </row>
    <row r="4696" spans="1:9" ht="14.5" x14ac:dyDescent="0.35">
      <c r="A4696" s="2">
        <v>654007</v>
      </c>
      <c r="B4696" s="2" t="str">
        <f>"3275053112040004"</f>
        <v>3275053112040004</v>
      </c>
      <c r="C4696" s="2" t="s">
        <v>5261</v>
      </c>
      <c r="D4696" s="2" t="s">
        <v>10</v>
      </c>
      <c r="E4696" s="2" t="s">
        <v>11</v>
      </c>
      <c r="F4696" s="2" t="s">
        <v>91</v>
      </c>
      <c r="G4696" s="2" t="s">
        <v>92</v>
      </c>
      <c r="H4696" s="2" t="s">
        <v>105</v>
      </c>
      <c r="I4696" s="2" t="s">
        <v>5262</v>
      </c>
    </row>
    <row r="4697" spans="1:9" ht="14.5" x14ac:dyDescent="0.35">
      <c r="A4697" s="2">
        <v>2561966</v>
      </c>
      <c r="B4697" s="2" t="str">
        <f>"3275053112040004"</f>
        <v>3275053112040004</v>
      </c>
      <c r="C4697" s="2" t="s">
        <v>5261</v>
      </c>
      <c r="D4697" s="2" t="s">
        <v>17</v>
      </c>
      <c r="E4697" s="2" t="s">
        <v>11</v>
      </c>
      <c r="F4697" s="2" t="s">
        <v>18</v>
      </c>
      <c r="G4697" s="2" t="s">
        <v>19</v>
      </c>
      <c r="H4697" s="2" t="s">
        <v>5207</v>
      </c>
      <c r="I4697" s="2" t="s">
        <v>933</v>
      </c>
    </row>
    <row r="4698" spans="1:9" ht="14.5" x14ac:dyDescent="0.35">
      <c r="A4698" s="2">
        <v>654008</v>
      </c>
      <c r="B4698" s="2" t="str">
        <f>"3275056204830018"</f>
        <v>3275056204830018</v>
      </c>
      <c r="C4698" s="2" t="s">
        <v>5263</v>
      </c>
      <c r="D4698" s="2" t="s">
        <v>10</v>
      </c>
      <c r="E4698" s="2" t="s">
        <v>11</v>
      </c>
      <c r="F4698" s="2" t="s">
        <v>91</v>
      </c>
      <c r="G4698" s="2" t="s">
        <v>92</v>
      </c>
      <c r="H4698" s="2" t="s">
        <v>105</v>
      </c>
      <c r="I4698" s="2" t="s">
        <v>5262</v>
      </c>
    </row>
    <row r="4699" spans="1:9" ht="14.5" x14ac:dyDescent="0.35">
      <c r="A4699" s="2">
        <v>2561965</v>
      </c>
      <c r="B4699" s="2" t="str">
        <f>"3275056204830018"</f>
        <v>3275056204830018</v>
      </c>
      <c r="C4699" s="2" t="s">
        <v>5263</v>
      </c>
      <c r="D4699" s="2" t="s">
        <v>17</v>
      </c>
      <c r="E4699" s="2" t="s">
        <v>11</v>
      </c>
      <c r="F4699" s="2" t="s">
        <v>18</v>
      </c>
      <c r="G4699" s="2" t="s">
        <v>19</v>
      </c>
      <c r="H4699" s="2" t="s">
        <v>5207</v>
      </c>
      <c r="I4699" s="2" t="s">
        <v>933</v>
      </c>
    </row>
    <row r="4700" spans="1:9" ht="14.5" x14ac:dyDescent="0.35">
      <c r="A4700" s="2">
        <v>397153</v>
      </c>
      <c r="B4700" s="2" t="str">
        <f>"3275092802800012"</f>
        <v>3275092802800012</v>
      </c>
      <c r="C4700" s="2" t="s">
        <v>5264</v>
      </c>
      <c r="D4700" s="2" t="s">
        <v>10</v>
      </c>
      <c r="E4700" s="2" t="s">
        <v>11</v>
      </c>
      <c r="F4700" s="2" t="s">
        <v>91</v>
      </c>
      <c r="G4700" s="2" t="s">
        <v>159</v>
      </c>
      <c r="H4700" s="2" t="s">
        <v>1170</v>
      </c>
      <c r="I4700" s="2" t="s">
        <v>5265</v>
      </c>
    </row>
    <row r="4701" spans="1:9" ht="14.5" x14ac:dyDescent="0.35">
      <c r="A4701" s="2">
        <v>2562968</v>
      </c>
      <c r="B4701" s="2" t="str">
        <f>"3275092802800012"</f>
        <v>3275092802800012</v>
      </c>
      <c r="C4701" s="2" t="s">
        <v>5264</v>
      </c>
      <c r="D4701" s="2" t="s">
        <v>17</v>
      </c>
      <c r="E4701" s="2" t="s">
        <v>11</v>
      </c>
      <c r="F4701" s="2" t="s">
        <v>18</v>
      </c>
      <c r="G4701" s="2" t="s">
        <v>19</v>
      </c>
      <c r="H4701" s="2" t="s">
        <v>5207</v>
      </c>
      <c r="I4701" s="2" t="s">
        <v>5217</v>
      </c>
    </row>
    <row r="4702" spans="1:9" ht="14.5" x14ac:dyDescent="0.35">
      <c r="A4702" s="2">
        <v>2058896</v>
      </c>
      <c r="B4702" s="2" t="str">
        <f>"3301062005010006"</f>
        <v>3301062005010006</v>
      </c>
      <c r="C4702" s="2" t="s">
        <v>5266</v>
      </c>
      <c r="D4702" s="2" t="s">
        <v>10</v>
      </c>
      <c r="E4702" s="2" t="s">
        <v>11</v>
      </c>
      <c r="F4702" s="2" t="s">
        <v>18</v>
      </c>
      <c r="G4702" s="2" t="s">
        <v>163</v>
      </c>
      <c r="H4702" s="2" t="s">
        <v>4597</v>
      </c>
      <c r="I4702" s="2" t="s">
        <v>5267</v>
      </c>
    </row>
    <row r="4703" spans="1:9" ht="14.5" x14ac:dyDescent="0.35">
      <c r="A4703" s="2">
        <v>2562187</v>
      </c>
      <c r="B4703" s="2" t="str">
        <f>"3301062005010006"</f>
        <v>3301062005010006</v>
      </c>
      <c r="C4703" s="2" t="s">
        <v>5268</v>
      </c>
      <c r="D4703" s="2" t="s">
        <v>17</v>
      </c>
      <c r="E4703" s="2" t="s">
        <v>11</v>
      </c>
      <c r="F4703" s="2" t="s">
        <v>18</v>
      </c>
      <c r="G4703" s="2" t="s">
        <v>19</v>
      </c>
      <c r="H4703" s="2" t="s">
        <v>5207</v>
      </c>
      <c r="I4703" s="2" t="s">
        <v>5258</v>
      </c>
    </row>
    <row r="4704" spans="1:9" ht="14.5" x14ac:dyDescent="0.35">
      <c r="A4704" s="2">
        <v>1898090</v>
      </c>
      <c r="B4704" s="2" t="str">
        <f>"3301070202800002"</f>
        <v>3301070202800002</v>
      </c>
      <c r="C4704" s="2" t="s">
        <v>1267</v>
      </c>
      <c r="D4704" s="2" t="s">
        <v>10</v>
      </c>
      <c r="E4704" s="2" t="s">
        <v>11</v>
      </c>
      <c r="F4704" s="2" t="s">
        <v>18</v>
      </c>
      <c r="G4704" s="2" t="s">
        <v>163</v>
      </c>
      <c r="H4704" s="2" t="s">
        <v>5269</v>
      </c>
      <c r="I4704" s="2" t="s">
        <v>5270</v>
      </c>
    </row>
    <row r="4705" spans="1:9" ht="14.5" x14ac:dyDescent="0.35">
      <c r="A4705" s="2">
        <v>2562687</v>
      </c>
      <c r="B4705" s="2" t="str">
        <f>"3301070202800002"</f>
        <v>3301070202800002</v>
      </c>
      <c r="C4705" s="2" t="s">
        <v>5271</v>
      </c>
      <c r="D4705" s="2" t="s">
        <v>17</v>
      </c>
      <c r="E4705" s="2" t="s">
        <v>11</v>
      </c>
      <c r="F4705" s="2" t="s">
        <v>18</v>
      </c>
      <c r="G4705" s="2" t="s">
        <v>19</v>
      </c>
      <c r="H4705" s="2" t="s">
        <v>5207</v>
      </c>
      <c r="I4705" s="2" t="s">
        <v>674</v>
      </c>
    </row>
    <row r="4706" spans="1:9" ht="14.5" x14ac:dyDescent="0.35">
      <c r="A4706" s="2">
        <v>1392089</v>
      </c>
      <c r="B4706" s="2" t="str">
        <f>"3302130412880002"</f>
        <v>3302130412880002</v>
      </c>
      <c r="C4706" s="2" t="s">
        <v>5272</v>
      </c>
      <c r="D4706" s="2" t="s">
        <v>10</v>
      </c>
      <c r="E4706" s="2" t="s">
        <v>11</v>
      </c>
      <c r="F4706" s="2" t="s">
        <v>18</v>
      </c>
      <c r="G4706" s="2" t="s">
        <v>19</v>
      </c>
      <c r="H4706" s="2" t="s">
        <v>5207</v>
      </c>
      <c r="I4706" s="2" t="s">
        <v>5217</v>
      </c>
    </row>
    <row r="4707" spans="1:9" ht="14.5" x14ac:dyDescent="0.35">
      <c r="A4707" s="2">
        <v>1619756</v>
      </c>
      <c r="B4707" s="2" t="str">
        <f>"3302130412880002"</f>
        <v>3302130412880002</v>
      </c>
      <c r="C4707" s="2" t="s">
        <v>5272</v>
      </c>
      <c r="D4707" s="2" t="s">
        <v>17</v>
      </c>
      <c r="E4707" s="2" t="s">
        <v>11</v>
      </c>
      <c r="F4707" s="2" t="s">
        <v>18</v>
      </c>
      <c r="G4707" s="2" t="s">
        <v>167</v>
      </c>
      <c r="H4707" s="2" t="s">
        <v>1885</v>
      </c>
      <c r="I4707" s="2" t="s">
        <v>4765</v>
      </c>
    </row>
    <row r="4708" spans="1:9" ht="14.5" x14ac:dyDescent="0.35">
      <c r="A4708" s="2">
        <v>264050</v>
      </c>
      <c r="B4708" s="2" t="str">
        <f>"3304052901850005"</f>
        <v>3304052901850005</v>
      </c>
      <c r="C4708" s="2" t="s">
        <v>5273</v>
      </c>
      <c r="D4708" s="2" t="s">
        <v>10</v>
      </c>
      <c r="E4708" s="2" t="s">
        <v>11</v>
      </c>
      <c r="F4708" s="2" t="s">
        <v>18</v>
      </c>
      <c r="G4708" s="2" t="s">
        <v>951</v>
      </c>
      <c r="H4708" s="2" t="s">
        <v>2651</v>
      </c>
      <c r="I4708" s="2" t="s">
        <v>5274</v>
      </c>
    </row>
    <row r="4709" spans="1:9" ht="14.5" x14ac:dyDescent="0.35">
      <c r="A4709" s="2">
        <v>2563054</v>
      </c>
      <c r="B4709" s="2" t="str">
        <f>"3304052901850005"</f>
        <v>3304052901850005</v>
      </c>
      <c r="C4709" s="2" t="s">
        <v>5275</v>
      </c>
      <c r="D4709" s="2" t="s">
        <v>17</v>
      </c>
      <c r="E4709" s="2" t="s">
        <v>11</v>
      </c>
      <c r="F4709" s="2" t="s">
        <v>18</v>
      </c>
      <c r="G4709" s="2" t="s">
        <v>19</v>
      </c>
      <c r="H4709" s="2" t="s">
        <v>5207</v>
      </c>
      <c r="I4709" s="2" t="s">
        <v>5235</v>
      </c>
    </row>
    <row r="4710" spans="1:9" ht="14.5" x14ac:dyDescent="0.35">
      <c r="A4710" s="2">
        <v>1336027</v>
      </c>
      <c r="B4710" s="2" t="str">
        <f>"3305241804870001"</f>
        <v>3305241804870001</v>
      </c>
      <c r="C4710" s="2" t="s">
        <v>350</v>
      </c>
      <c r="D4710" s="2" t="s">
        <v>10</v>
      </c>
      <c r="E4710" s="2" t="s">
        <v>11</v>
      </c>
      <c r="F4710" s="2" t="s">
        <v>18</v>
      </c>
      <c r="G4710" s="2" t="s">
        <v>19</v>
      </c>
      <c r="H4710" s="2" t="s">
        <v>5207</v>
      </c>
      <c r="I4710" s="2" t="s">
        <v>5276</v>
      </c>
    </row>
    <row r="4711" spans="1:9" ht="14.5" x14ac:dyDescent="0.35">
      <c r="A4711" s="2">
        <v>1863063</v>
      </c>
      <c r="B4711" s="2" t="str">
        <f>"3305241804870001"</f>
        <v>3305241804870001</v>
      </c>
      <c r="C4711" s="2" t="s">
        <v>350</v>
      </c>
      <c r="D4711" s="2" t="s">
        <v>17</v>
      </c>
      <c r="E4711" s="2" t="s">
        <v>11</v>
      </c>
      <c r="F4711" s="2" t="s">
        <v>91</v>
      </c>
      <c r="G4711" s="2" t="s">
        <v>320</v>
      </c>
      <c r="H4711" s="2" t="s">
        <v>368</v>
      </c>
      <c r="I4711" s="2" t="s">
        <v>5277</v>
      </c>
    </row>
    <row r="4712" spans="1:9" ht="14.5" x14ac:dyDescent="0.35">
      <c r="A4712" s="2">
        <v>1371107</v>
      </c>
      <c r="B4712" s="2" t="str">
        <f>"3307093007930005"</f>
        <v>3307093007930005</v>
      </c>
      <c r="C4712" s="2" t="s">
        <v>5278</v>
      </c>
      <c r="D4712" s="2" t="s">
        <v>10</v>
      </c>
      <c r="E4712" s="2" t="s">
        <v>11</v>
      </c>
      <c r="F4712" s="2" t="s">
        <v>18</v>
      </c>
      <c r="G4712" s="2" t="s">
        <v>19</v>
      </c>
      <c r="H4712" s="2" t="s">
        <v>5207</v>
      </c>
      <c r="I4712" s="2" t="s">
        <v>5223</v>
      </c>
    </row>
    <row r="4713" spans="1:9" ht="14.5" x14ac:dyDescent="0.35">
      <c r="A4713" s="2">
        <v>730370</v>
      </c>
      <c r="B4713" s="2" t="str">
        <f>"3307093007930005"</f>
        <v>3307093007930005</v>
      </c>
      <c r="C4713" s="2" t="s">
        <v>5279</v>
      </c>
      <c r="D4713" s="2" t="s">
        <v>17</v>
      </c>
      <c r="E4713" s="2" t="s">
        <v>11</v>
      </c>
      <c r="F4713" s="2" t="s">
        <v>18</v>
      </c>
      <c r="G4713" s="2" t="s">
        <v>392</v>
      </c>
      <c r="H4713" s="2" t="s">
        <v>392</v>
      </c>
      <c r="I4713" s="2" t="s">
        <v>5280</v>
      </c>
    </row>
    <row r="4714" spans="1:9" ht="14.5" x14ac:dyDescent="0.35">
      <c r="A4714" s="2">
        <v>1373133</v>
      </c>
      <c r="B4714" s="2" t="str">
        <f>"3316026907010002"</f>
        <v>3316026907010002</v>
      </c>
      <c r="C4714" s="2" t="s">
        <v>5281</v>
      </c>
      <c r="D4714" s="2" t="s">
        <v>10</v>
      </c>
      <c r="E4714" s="2" t="s">
        <v>11</v>
      </c>
      <c r="F4714" s="2" t="s">
        <v>18</v>
      </c>
      <c r="G4714" s="2" t="s">
        <v>19</v>
      </c>
      <c r="H4714" s="2" t="s">
        <v>5207</v>
      </c>
      <c r="I4714" s="2" t="s">
        <v>5223</v>
      </c>
    </row>
    <row r="4715" spans="1:9" ht="14.5" x14ac:dyDescent="0.35">
      <c r="A4715" s="2">
        <v>1426644</v>
      </c>
      <c r="B4715" s="2" t="str">
        <f>"3316026907010002"</f>
        <v>3316026907010002</v>
      </c>
      <c r="C4715" s="2" t="s">
        <v>5281</v>
      </c>
      <c r="D4715" s="2" t="s">
        <v>17</v>
      </c>
      <c r="E4715" s="2" t="s">
        <v>11</v>
      </c>
      <c r="F4715" s="2" t="s">
        <v>18</v>
      </c>
      <c r="G4715" s="2" t="s">
        <v>2416</v>
      </c>
      <c r="H4715" s="2" t="s">
        <v>5282</v>
      </c>
      <c r="I4715" s="2" t="s">
        <v>5282</v>
      </c>
    </row>
    <row r="4716" spans="1:9" ht="14.5" x14ac:dyDescent="0.35">
      <c r="A4716" s="2">
        <v>532231</v>
      </c>
      <c r="B4716" s="2" t="str">
        <f>"3318212903880001"</f>
        <v>3318212903880001</v>
      </c>
      <c r="C4716" s="2" t="s">
        <v>5283</v>
      </c>
      <c r="D4716" s="2" t="s">
        <v>10</v>
      </c>
      <c r="E4716" s="2" t="s">
        <v>11</v>
      </c>
      <c r="F4716" s="2" t="s">
        <v>50</v>
      </c>
      <c r="G4716" s="2" t="s">
        <v>51</v>
      </c>
      <c r="H4716" s="2" t="s">
        <v>62</v>
      </c>
      <c r="I4716" s="2" t="s">
        <v>615</v>
      </c>
    </row>
    <row r="4717" spans="1:9" ht="14.5" x14ac:dyDescent="0.35">
      <c r="A4717" s="2">
        <v>2561700</v>
      </c>
      <c r="B4717" s="2" t="str">
        <f>"3318212903880001"</f>
        <v>3318212903880001</v>
      </c>
      <c r="C4717" s="2" t="s">
        <v>5283</v>
      </c>
      <c r="D4717" s="2" t="s">
        <v>17</v>
      </c>
      <c r="E4717" s="2" t="s">
        <v>11</v>
      </c>
      <c r="F4717" s="2" t="s">
        <v>18</v>
      </c>
      <c r="G4717" s="2" t="s">
        <v>19</v>
      </c>
      <c r="H4717" s="2" t="s">
        <v>5207</v>
      </c>
      <c r="I4717" s="2" t="s">
        <v>5242</v>
      </c>
    </row>
    <row r="4718" spans="1:9" ht="14.5" x14ac:dyDescent="0.35">
      <c r="A4718" s="2">
        <v>2586913</v>
      </c>
      <c r="B4718" s="2" t="str">
        <f>"3327051009910002"</f>
        <v>3327051009910002</v>
      </c>
      <c r="C4718" s="2" t="s">
        <v>5284</v>
      </c>
      <c r="D4718" s="2" t="s">
        <v>10</v>
      </c>
      <c r="E4718" s="2" t="s">
        <v>11</v>
      </c>
      <c r="F4718" s="2" t="s">
        <v>67</v>
      </c>
      <c r="G4718" s="2" t="s">
        <v>512</v>
      </c>
      <c r="H4718" s="2" t="s">
        <v>3643</v>
      </c>
      <c r="I4718" s="2" t="s">
        <v>5285</v>
      </c>
    </row>
    <row r="4719" spans="1:9" ht="14.5" x14ac:dyDescent="0.35">
      <c r="A4719" s="2">
        <v>2563401</v>
      </c>
      <c r="B4719" s="2" t="str">
        <f>"3327051009910002"</f>
        <v>3327051009910002</v>
      </c>
      <c r="C4719" s="2" t="s">
        <v>5286</v>
      </c>
      <c r="D4719" s="2" t="s">
        <v>17</v>
      </c>
      <c r="E4719" s="2" t="s">
        <v>11</v>
      </c>
      <c r="F4719" s="2" t="s">
        <v>18</v>
      </c>
      <c r="G4719" s="2" t="s">
        <v>19</v>
      </c>
      <c r="H4719" s="2" t="s">
        <v>5207</v>
      </c>
      <c r="I4719" s="2" t="s">
        <v>5239</v>
      </c>
    </row>
    <row r="4720" spans="1:9" ht="14.5" x14ac:dyDescent="0.35">
      <c r="A4720" s="2">
        <v>397184</v>
      </c>
      <c r="B4720" s="2" t="str">
        <f>"3328151311820004"</f>
        <v>3328151311820004</v>
      </c>
      <c r="C4720" s="2" t="s">
        <v>5287</v>
      </c>
      <c r="D4720" s="2" t="s">
        <v>10</v>
      </c>
      <c r="E4720" s="2" t="s">
        <v>11</v>
      </c>
      <c r="F4720" s="2" t="s">
        <v>91</v>
      </c>
      <c r="G4720" s="2" t="s">
        <v>320</v>
      </c>
      <c r="H4720" s="2" t="s">
        <v>664</v>
      </c>
      <c r="I4720" s="2" t="s">
        <v>3237</v>
      </c>
    </row>
    <row r="4721" spans="1:9" ht="14.5" x14ac:dyDescent="0.35">
      <c r="A4721" s="2">
        <v>2563272</v>
      </c>
      <c r="B4721" s="2" t="str">
        <f>"3328151311820004"</f>
        <v>3328151311820004</v>
      </c>
      <c r="C4721" s="2" t="s">
        <v>5287</v>
      </c>
      <c r="D4721" s="2" t="s">
        <v>17</v>
      </c>
      <c r="E4721" s="2" t="s">
        <v>11</v>
      </c>
      <c r="F4721" s="2" t="s">
        <v>18</v>
      </c>
      <c r="G4721" s="2" t="s">
        <v>19</v>
      </c>
      <c r="H4721" s="2" t="s">
        <v>5207</v>
      </c>
      <c r="I4721" s="2" t="s">
        <v>5239</v>
      </c>
    </row>
    <row r="4722" spans="1:9" ht="14.5" x14ac:dyDescent="0.35">
      <c r="A4722" s="2">
        <v>104916</v>
      </c>
      <c r="B4722" s="2" t="str">
        <f>"3328160101950007"</f>
        <v>3328160101950007</v>
      </c>
      <c r="C4722" s="2" t="s">
        <v>5288</v>
      </c>
      <c r="D4722" s="2" t="s">
        <v>10</v>
      </c>
      <c r="E4722" s="2" t="s">
        <v>11</v>
      </c>
      <c r="F4722" s="2" t="s">
        <v>18</v>
      </c>
      <c r="G4722" s="2" t="s">
        <v>2389</v>
      </c>
      <c r="H4722" s="2" t="s">
        <v>2597</v>
      </c>
      <c r="I4722" s="2" t="s">
        <v>5289</v>
      </c>
    </row>
    <row r="4723" spans="1:9" ht="14.5" x14ac:dyDescent="0.35">
      <c r="A4723" s="2">
        <v>2562301</v>
      </c>
      <c r="B4723" s="2" t="str">
        <f>"3328160101950007"</f>
        <v>3328160101950007</v>
      </c>
      <c r="C4723" s="2" t="s">
        <v>5288</v>
      </c>
      <c r="D4723" s="2" t="s">
        <v>17</v>
      </c>
      <c r="E4723" s="2" t="s">
        <v>11</v>
      </c>
      <c r="F4723" s="2" t="s">
        <v>18</v>
      </c>
      <c r="G4723" s="2" t="s">
        <v>19</v>
      </c>
      <c r="H4723" s="2" t="s">
        <v>5207</v>
      </c>
      <c r="I4723" s="2" t="s">
        <v>1964</v>
      </c>
    </row>
    <row r="4724" spans="1:9" ht="14.5" x14ac:dyDescent="0.35">
      <c r="A4724" s="2">
        <v>1389668</v>
      </c>
      <c r="B4724" s="2" t="str">
        <f>"3328160102070005"</f>
        <v>3328160102070005</v>
      </c>
      <c r="C4724" s="2" t="s">
        <v>5290</v>
      </c>
      <c r="D4724" s="2" t="s">
        <v>189</v>
      </c>
      <c r="E4724" s="2" t="s">
        <v>11</v>
      </c>
      <c r="F4724" s="2" t="s">
        <v>18</v>
      </c>
      <c r="G4724" s="2" t="s">
        <v>19</v>
      </c>
      <c r="H4724" s="2" t="s">
        <v>5207</v>
      </c>
      <c r="I4724" s="2" t="s">
        <v>5217</v>
      </c>
    </row>
    <row r="4725" spans="1:9" ht="14.5" x14ac:dyDescent="0.35">
      <c r="A4725" s="2">
        <v>1862881</v>
      </c>
      <c r="B4725" s="2" t="str">
        <f>"3328160102070005"</f>
        <v>3328160102070005</v>
      </c>
      <c r="C4725" s="2" t="s">
        <v>5290</v>
      </c>
      <c r="D4725" s="2" t="s">
        <v>10</v>
      </c>
      <c r="E4725" s="2" t="s">
        <v>57</v>
      </c>
      <c r="F4725" s="2" t="s">
        <v>18</v>
      </c>
      <c r="G4725" s="2" t="s">
        <v>733</v>
      </c>
      <c r="H4725" s="2" t="s">
        <v>1127</v>
      </c>
      <c r="I4725" s="2" t="s">
        <v>1127</v>
      </c>
    </row>
    <row r="4726" spans="1:9" ht="14.5" x14ac:dyDescent="0.35">
      <c r="A4726" s="2">
        <v>152406</v>
      </c>
      <c r="B4726" s="2" t="str">
        <f>"3328160105970001"</f>
        <v>3328160105970001</v>
      </c>
      <c r="C4726" s="2" t="s">
        <v>5291</v>
      </c>
      <c r="D4726" s="2" t="s">
        <v>10</v>
      </c>
      <c r="E4726" s="2" t="s">
        <v>11</v>
      </c>
      <c r="F4726" s="2" t="s">
        <v>91</v>
      </c>
      <c r="G4726" s="2" t="s">
        <v>159</v>
      </c>
      <c r="H4726" s="2" t="s">
        <v>685</v>
      </c>
      <c r="I4726" s="2" t="s">
        <v>686</v>
      </c>
    </row>
    <row r="4727" spans="1:9" ht="14.5" x14ac:dyDescent="0.35">
      <c r="A4727" s="2">
        <v>2562741</v>
      </c>
      <c r="B4727" s="2" t="str">
        <f>"3328160105970001"</f>
        <v>3328160105970001</v>
      </c>
      <c r="C4727" s="2" t="s">
        <v>5292</v>
      </c>
      <c r="D4727" s="2" t="s">
        <v>17</v>
      </c>
      <c r="E4727" s="2" t="s">
        <v>11</v>
      </c>
      <c r="F4727" s="2" t="s">
        <v>18</v>
      </c>
      <c r="G4727" s="2" t="s">
        <v>19</v>
      </c>
      <c r="H4727" s="2" t="s">
        <v>5207</v>
      </c>
      <c r="I4727" s="2" t="s">
        <v>674</v>
      </c>
    </row>
    <row r="4728" spans="1:9" ht="14.5" x14ac:dyDescent="0.35">
      <c r="A4728" s="2">
        <v>861890</v>
      </c>
      <c r="B4728" s="2" t="str">
        <f>"3328160307880005"</f>
        <v>3328160307880005</v>
      </c>
      <c r="C4728" s="2" t="s">
        <v>5293</v>
      </c>
      <c r="D4728" s="2" t="s">
        <v>10</v>
      </c>
      <c r="E4728" s="2" t="s">
        <v>11</v>
      </c>
      <c r="F4728" s="2" t="s">
        <v>91</v>
      </c>
      <c r="G4728" s="2" t="s">
        <v>159</v>
      </c>
      <c r="H4728" s="2" t="s">
        <v>2614</v>
      </c>
      <c r="I4728" s="2" t="s">
        <v>5294</v>
      </c>
    </row>
    <row r="4729" spans="1:9" ht="14.5" x14ac:dyDescent="0.35">
      <c r="A4729" s="2">
        <v>2562789</v>
      </c>
      <c r="B4729" s="2" t="str">
        <f>"3328160307880005"</f>
        <v>3328160307880005</v>
      </c>
      <c r="C4729" s="2" t="s">
        <v>5293</v>
      </c>
      <c r="D4729" s="2" t="s">
        <v>17</v>
      </c>
      <c r="E4729" s="2" t="s">
        <v>11</v>
      </c>
      <c r="F4729" s="2" t="s">
        <v>18</v>
      </c>
      <c r="G4729" s="2" t="s">
        <v>19</v>
      </c>
      <c r="H4729" s="2" t="s">
        <v>5207</v>
      </c>
      <c r="I4729" s="2" t="s">
        <v>5217</v>
      </c>
    </row>
    <row r="4730" spans="1:9" ht="14.5" x14ac:dyDescent="0.35">
      <c r="A4730" s="2">
        <v>1374722</v>
      </c>
      <c r="B4730" s="2" t="str">
        <f>"3328160503780005"</f>
        <v>3328160503780005</v>
      </c>
      <c r="C4730" s="2" t="s">
        <v>3155</v>
      </c>
      <c r="D4730" s="2" t="s">
        <v>10</v>
      </c>
      <c r="E4730" s="2" t="s">
        <v>11</v>
      </c>
      <c r="F4730" s="2" t="s">
        <v>18</v>
      </c>
      <c r="G4730" s="2" t="s">
        <v>19</v>
      </c>
      <c r="H4730" s="2" t="s">
        <v>5207</v>
      </c>
      <c r="I4730" s="2" t="s">
        <v>5242</v>
      </c>
    </row>
    <row r="4731" spans="1:9" ht="14.5" x14ac:dyDescent="0.35">
      <c r="A4731" s="2">
        <v>105824</v>
      </c>
      <c r="B4731" s="2" t="str">
        <f>"3328160503780005"</f>
        <v>3328160503780005</v>
      </c>
      <c r="C4731" s="2" t="s">
        <v>3155</v>
      </c>
      <c r="D4731" s="2" t="s">
        <v>17</v>
      </c>
      <c r="E4731" s="2" t="s">
        <v>57</v>
      </c>
      <c r="F4731" s="2" t="s">
        <v>2907</v>
      </c>
      <c r="G4731" s="2" t="s">
        <v>5068</v>
      </c>
      <c r="H4731" s="2" t="s">
        <v>5068</v>
      </c>
      <c r="I4731" s="2" t="s">
        <v>5069</v>
      </c>
    </row>
    <row r="4732" spans="1:9" ht="14.5" x14ac:dyDescent="0.35">
      <c r="A4732" s="2">
        <v>241653</v>
      </c>
      <c r="B4732" s="2" t="str">
        <f>"3328160503800003"</f>
        <v>3328160503800003</v>
      </c>
      <c r="C4732" s="2" t="s">
        <v>2997</v>
      </c>
      <c r="D4732" s="2" t="s">
        <v>10</v>
      </c>
      <c r="E4732" s="2" t="s">
        <v>11</v>
      </c>
      <c r="F4732" s="2" t="s">
        <v>91</v>
      </c>
      <c r="G4732" s="2" t="s">
        <v>631</v>
      </c>
      <c r="H4732" s="2" t="s">
        <v>3880</v>
      </c>
      <c r="I4732" s="2" t="s">
        <v>3880</v>
      </c>
    </row>
    <row r="4733" spans="1:9" ht="14.5" x14ac:dyDescent="0.35">
      <c r="A4733" s="2">
        <v>2563312</v>
      </c>
      <c r="B4733" s="2" t="str">
        <f>"3328160503800003"</f>
        <v>3328160503800003</v>
      </c>
      <c r="C4733" s="2" t="s">
        <v>2997</v>
      </c>
      <c r="D4733" s="2" t="s">
        <v>17</v>
      </c>
      <c r="E4733" s="2" t="s">
        <v>11</v>
      </c>
      <c r="F4733" s="2" t="s">
        <v>18</v>
      </c>
      <c r="G4733" s="2" t="s">
        <v>19</v>
      </c>
      <c r="H4733" s="2" t="s">
        <v>5207</v>
      </c>
      <c r="I4733" s="2" t="s">
        <v>5239</v>
      </c>
    </row>
    <row r="4734" spans="1:9" ht="14.5" x14ac:dyDescent="0.35">
      <c r="A4734" s="2">
        <v>709239</v>
      </c>
      <c r="B4734" s="2" t="str">
        <f>"3328160710830002"</f>
        <v>3328160710830002</v>
      </c>
      <c r="C4734" s="2" t="s">
        <v>5295</v>
      </c>
      <c r="D4734" s="2" t="s">
        <v>10</v>
      </c>
      <c r="E4734" s="2" t="s">
        <v>11</v>
      </c>
      <c r="F4734" s="2" t="s">
        <v>50</v>
      </c>
      <c r="G4734" s="2" t="s">
        <v>280</v>
      </c>
      <c r="H4734" s="2" t="s">
        <v>402</v>
      </c>
      <c r="I4734" s="2" t="s">
        <v>1249</v>
      </c>
    </row>
    <row r="4735" spans="1:9" ht="14.5" x14ac:dyDescent="0.35">
      <c r="A4735" s="2">
        <v>2562818</v>
      </c>
      <c r="B4735" s="2" t="str">
        <f>"3328160710830002"</f>
        <v>3328160710830002</v>
      </c>
      <c r="C4735" s="2" t="s">
        <v>5295</v>
      </c>
      <c r="D4735" s="2" t="s">
        <v>17</v>
      </c>
      <c r="E4735" s="2" t="s">
        <v>11</v>
      </c>
      <c r="F4735" s="2" t="s">
        <v>18</v>
      </c>
      <c r="G4735" s="2" t="s">
        <v>19</v>
      </c>
      <c r="H4735" s="2" t="s">
        <v>5207</v>
      </c>
      <c r="I4735" s="2" t="s">
        <v>5217</v>
      </c>
    </row>
    <row r="4736" spans="1:9" ht="14.5" x14ac:dyDescent="0.35">
      <c r="A4736" s="2">
        <v>1712228</v>
      </c>
      <c r="B4736" s="2" t="str">
        <f>"3328160808000005"</f>
        <v>3328160808000005</v>
      </c>
      <c r="C4736" s="2" t="s">
        <v>5296</v>
      </c>
      <c r="D4736" s="2" t="s">
        <v>10</v>
      </c>
      <c r="E4736" s="2" t="s">
        <v>11</v>
      </c>
      <c r="F4736" s="2" t="s">
        <v>18</v>
      </c>
      <c r="G4736" s="2" t="s">
        <v>19</v>
      </c>
      <c r="H4736" s="2" t="s">
        <v>5207</v>
      </c>
      <c r="I4736" s="2" t="s">
        <v>5258</v>
      </c>
    </row>
    <row r="4737" spans="1:9" ht="14.5" x14ac:dyDescent="0.35">
      <c r="A4737" s="2">
        <v>1942976</v>
      </c>
      <c r="B4737" s="2" t="str">
        <f>"3328160808000005"</f>
        <v>3328160808000005</v>
      </c>
      <c r="C4737" s="2" t="s">
        <v>5297</v>
      </c>
      <c r="D4737" s="2" t="s">
        <v>17</v>
      </c>
      <c r="E4737" s="2" t="s">
        <v>11</v>
      </c>
      <c r="F4737" s="2" t="s">
        <v>50</v>
      </c>
      <c r="G4737" s="2" t="s">
        <v>86</v>
      </c>
      <c r="H4737" s="2" t="s">
        <v>205</v>
      </c>
      <c r="I4737" s="2" t="s">
        <v>1952</v>
      </c>
    </row>
    <row r="4738" spans="1:9" ht="14.5" x14ac:dyDescent="0.35">
      <c r="A4738" s="2">
        <v>1371961</v>
      </c>
      <c r="B4738" s="2" t="str">
        <f>"3328160808910003"</f>
        <v>3328160808910003</v>
      </c>
      <c r="C4738" s="2" t="s">
        <v>5298</v>
      </c>
      <c r="D4738" s="2" t="s">
        <v>10</v>
      </c>
      <c r="E4738" s="2" t="s">
        <v>11</v>
      </c>
      <c r="F4738" s="2" t="s">
        <v>18</v>
      </c>
      <c r="G4738" s="2" t="s">
        <v>19</v>
      </c>
      <c r="H4738" s="2" t="s">
        <v>5207</v>
      </c>
      <c r="I4738" s="2" t="s">
        <v>5223</v>
      </c>
    </row>
    <row r="4739" spans="1:9" ht="14.5" x14ac:dyDescent="0.35">
      <c r="A4739" s="2">
        <v>1680912</v>
      </c>
      <c r="B4739" s="2" t="str">
        <f>"3328160808910003"</f>
        <v>3328160808910003</v>
      </c>
      <c r="C4739" s="2" t="s">
        <v>5299</v>
      </c>
      <c r="D4739" s="2" t="s">
        <v>17</v>
      </c>
      <c r="E4739" s="2" t="s">
        <v>11</v>
      </c>
      <c r="F4739" s="2" t="s">
        <v>18</v>
      </c>
      <c r="G4739" s="2" t="s">
        <v>264</v>
      </c>
      <c r="H4739" s="2" t="s">
        <v>289</v>
      </c>
      <c r="I4739" s="2" t="s">
        <v>466</v>
      </c>
    </row>
    <row r="4740" spans="1:9" ht="14.5" x14ac:dyDescent="0.35">
      <c r="A4740" s="2">
        <v>397183</v>
      </c>
      <c r="B4740" s="2" t="str">
        <f>"3328160904900003"</f>
        <v>3328160904900003</v>
      </c>
      <c r="C4740" s="2" t="s">
        <v>5300</v>
      </c>
      <c r="D4740" s="2" t="s">
        <v>10</v>
      </c>
      <c r="E4740" s="2" t="s">
        <v>11</v>
      </c>
      <c r="F4740" s="2" t="s">
        <v>91</v>
      </c>
      <c r="G4740" s="2" t="s">
        <v>320</v>
      </c>
      <c r="H4740" s="2" t="s">
        <v>664</v>
      </c>
      <c r="I4740" s="2" t="s">
        <v>3237</v>
      </c>
    </row>
    <row r="4741" spans="1:9" ht="14.5" x14ac:dyDescent="0.35">
      <c r="A4741" s="2">
        <v>2563271</v>
      </c>
      <c r="B4741" s="2" t="str">
        <f>"3328160904900003"</f>
        <v>3328160904900003</v>
      </c>
      <c r="C4741" s="2" t="s">
        <v>5300</v>
      </c>
      <c r="D4741" s="2" t="s">
        <v>17</v>
      </c>
      <c r="E4741" s="2" t="s">
        <v>11</v>
      </c>
      <c r="F4741" s="2" t="s">
        <v>18</v>
      </c>
      <c r="G4741" s="2" t="s">
        <v>19</v>
      </c>
      <c r="H4741" s="2" t="s">
        <v>5207</v>
      </c>
      <c r="I4741" s="2" t="s">
        <v>5239</v>
      </c>
    </row>
    <row r="4742" spans="1:9" ht="14.5" x14ac:dyDescent="0.35">
      <c r="A4742" s="2">
        <v>416323</v>
      </c>
      <c r="B4742" s="2" t="str">
        <f>"3328161001890012"</f>
        <v>3328161001890012</v>
      </c>
      <c r="C4742" s="2" t="s">
        <v>5301</v>
      </c>
      <c r="D4742" s="2" t="s">
        <v>10</v>
      </c>
      <c r="E4742" s="2" t="s">
        <v>11</v>
      </c>
      <c r="F4742" s="2" t="s">
        <v>18</v>
      </c>
      <c r="G4742" s="2" t="s">
        <v>268</v>
      </c>
      <c r="H4742" s="2" t="s">
        <v>448</v>
      </c>
      <c r="I4742" s="2" t="s">
        <v>888</v>
      </c>
    </row>
    <row r="4743" spans="1:9" ht="14.5" x14ac:dyDescent="0.35">
      <c r="A4743" s="2">
        <v>2562737</v>
      </c>
      <c r="B4743" s="2" t="str">
        <f>"3328161001890012"</f>
        <v>3328161001890012</v>
      </c>
      <c r="C4743" s="2" t="s">
        <v>5301</v>
      </c>
      <c r="D4743" s="2" t="s">
        <v>17</v>
      </c>
      <c r="E4743" s="2" t="s">
        <v>11</v>
      </c>
      <c r="F4743" s="2" t="s">
        <v>18</v>
      </c>
      <c r="G4743" s="2" t="s">
        <v>19</v>
      </c>
      <c r="H4743" s="2" t="s">
        <v>5207</v>
      </c>
      <c r="I4743" s="2" t="s">
        <v>674</v>
      </c>
    </row>
    <row r="4744" spans="1:9" ht="14.5" x14ac:dyDescent="0.35">
      <c r="A4744" s="2">
        <v>544988</v>
      </c>
      <c r="B4744" s="2" t="str">
        <f>"3328161012920002"</f>
        <v>3328161012920002</v>
      </c>
      <c r="C4744" s="2" t="s">
        <v>5302</v>
      </c>
      <c r="D4744" s="2" t="s">
        <v>10</v>
      </c>
      <c r="E4744" s="2" t="s">
        <v>11</v>
      </c>
      <c r="F4744" s="2" t="s">
        <v>783</v>
      </c>
      <c r="G4744" s="2" t="s">
        <v>1112</v>
      </c>
      <c r="H4744" s="2" t="s">
        <v>1113</v>
      </c>
      <c r="I4744" s="2" t="s">
        <v>4810</v>
      </c>
    </row>
    <row r="4745" spans="1:9" ht="14.5" x14ac:dyDescent="0.35">
      <c r="A4745" s="2">
        <v>2563873</v>
      </c>
      <c r="B4745" s="2" t="str">
        <f>"3328161012920002"</f>
        <v>3328161012920002</v>
      </c>
      <c r="C4745" s="2" t="s">
        <v>5302</v>
      </c>
      <c r="D4745" s="2" t="s">
        <v>17</v>
      </c>
      <c r="E4745" s="2" t="s">
        <v>11</v>
      </c>
      <c r="F4745" s="2" t="s">
        <v>18</v>
      </c>
      <c r="G4745" s="2" t="s">
        <v>19</v>
      </c>
      <c r="H4745" s="2" t="s">
        <v>5207</v>
      </c>
      <c r="I4745" s="2" t="s">
        <v>5276</v>
      </c>
    </row>
    <row r="4746" spans="1:9" ht="14.5" x14ac:dyDescent="0.35">
      <c r="A4746" s="2">
        <v>1403449</v>
      </c>
      <c r="B4746" s="2" t="str">
        <f>"3328161204060007"</f>
        <v>3328161204060007</v>
      </c>
      <c r="C4746" s="2" t="s">
        <v>5303</v>
      </c>
      <c r="D4746" s="2" t="s">
        <v>10</v>
      </c>
      <c r="E4746" s="2" t="s">
        <v>11</v>
      </c>
      <c r="F4746" s="2" t="s">
        <v>18</v>
      </c>
      <c r="G4746" s="2" t="s">
        <v>19</v>
      </c>
      <c r="H4746" s="2" t="s">
        <v>5207</v>
      </c>
      <c r="I4746" s="2" t="s">
        <v>5235</v>
      </c>
    </row>
    <row r="4747" spans="1:9" ht="14.5" x14ac:dyDescent="0.35">
      <c r="A4747" s="2">
        <v>2618025</v>
      </c>
      <c r="B4747" s="2" t="str">
        <f>"3328161204060007"</f>
        <v>3328161204060007</v>
      </c>
      <c r="C4747" s="2" t="s">
        <v>5303</v>
      </c>
      <c r="D4747" s="2" t="s">
        <v>10</v>
      </c>
      <c r="E4747" s="2" t="s">
        <v>57</v>
      </c>
      <c r="F4747" s="2" t="s">
        <v>18</v>
      </c>
      <c r="G4747" s="2" t="s">
        <v>1438</v>
      </c>
      <c r="H4747" s="2" t="s">
        <v>1439</v>
      </c>
      <c r="I4747" s="2" t="s">
        <v>1440</v>
      </c>
    </row>
    <row r="4748" spans="1:9" ht="14.5" x14ac:dyDescent="0.35">
      <c r="A4748" s="2">
        <v>1428832</v>
      </c>
      <c r="B4748" s="2" t="str">
        <f>"3328161312960008"</f>
        <v>3328161312960008</v>
      </c>
      <c r="C4748" s="2" t="s">
        <v>5304</v>
      </c>
      <c r="D4748" s="2" t="s">
        <v>10</v>
      </c>
      <c r="E4748" s="2" t="s">
        <v>11</v>
      </c>
      <c r="F4748" s="2" t="s">
        <v>18</v>
      </c>
      <c r="G4748" s="2" t="s">
        <v>264</v>
      </c>
      <c r="H4748" s="2" t="s">
        <v>248</v>
      </c>
      <c r="I4748" s="2" t="s">
        <v>868</v>
      </c>
    </row>
    <row r="4749" spans="1:9" ht="14.5" x14ac:dyDescent="0.35">
      <c r="A4749" s="2">
        <v>2562781</v>
      </c>
      <c r="B4749" s="2" t="str">
        <f>"3328161312960008"</f>
        <v>3328161312960008</v>
      </c>
      <c r="C4749" s="2" t="s">
        <v>5304</v>
      </c>
      <c r="D4749" s="2" t="s">
        <v>17</v>
      </c>
      <c r="E4749" s="2" t="s">
        <v>11</v>
      </c>
      <c r="F4749" s="2" t="s">
        <v>18</v>
      </c>
      <c r="G4749" s="2" t="s">
        <v>19</v>
      </c>
      <c r="H4749" s="2" t="s">
        <v>5207</v>
      </c>
      <c r="I4749" s="2" t="s">
        <v>5217</v>
      </c>
    </row>
    <row r="4750" spans="1:9" ht="14.5" x14ac:dyDescent="0.35">
      <c r="A4750" s="2">
        <v>1392437</v>
      </c>
      <c r="B4750" s="2" t="str">
        <f>"3328161606960004"</f>
        <v>3328161606960004</v>
      </c>
      <c r="C4750" s="2" t="s">
        <v>5305</v>
      </c>
      <c r="D4750" s="2" t="s">
        <v>189</v>
      </c>
      <c r="E4750" s="2" t="s">
        <v>11</v>
      </c>
      <c r="F4750" s="2" t="s">
        <v>18</v>
      </c>
      <c r="G4750" s="2" t="s">
        <v>19</v>
      </c>
      <c r="H4750" s="2" t="s">
        <v>5207</v>
      </c>
      <c r="I4750" s="2" t="s">
        <v>5217</v>
      </c>
    </row>
    <row r="4751" spans="1:9" ht="14.5" x14ac:dyDescent="0.35">
      <c r="A4751" s="2">
        <v>862404</v>
      </c>
      <c r="B4751" s="2" t="str">
        <f>"3328161606960004"</f>
        <v>3328161606960004</v>
      </c>
      <c r="C4751" s="2" t="s">
        <v>5305</v>
      </c>
      <c r="D4751" s="2" t="s">
        <v>17</v>
      </c>
      <c r="E4751" s="2" t="s">
        <v>11</v>
      </c>
      <c r="F4751" s="2" t="s">
        <v>379</v>
      </c>
      <c r="G4751" s="2" t="s">
        <v>1206</v>
      </c>
      <c r="H4751" s="2" t="s">
        <v>1526</v>
      </c>
      <c r="I4751" s="2" t="s">
        <v>5306</v>
      </c>
    </row>
    <row r="4752" spans="1:9" ht="14.5" x14ac:dyDescent="0.35">
      <c r="A4752" s="2">
        <v>2563237</v>
      </c>
      <c r="B4752" s="2" t="str">
        <f>"3328161701950001"</f>
        <v>3328161701950001</v>
      </c>
      <c r="C4752" s="2" t="s">
        <v>5307</v>
      </c>
      <c r="D4752" s="2" t="s">
        <v>17</v>
      </c>
      <c r="E4752" s="2" t="s">
        <v>11</v>
      </c>
      <c r="F4752" s="2" t="s">
        <v>18</v>
      </c>
      <c r="G4752" s="2" t="s">
        <v>19</v>
      </c>
      <c r="H4752" s="2" t="s">
        <v>5207</v>
      </c>
      <c r="I4752" s="2" t="s">
        <v>5239</v>
      </c>
    </row>
    <row r="4753" spans="1:9" ht="14.5" x14ac:dyDescent="0.35">
      <c r="A4753" s="2">
        <v>1627193</v>
      </c>
      <c r="B4753" s="2" t="str">
        <f>"3328161701950001"</f>
        <v>3328161701950001</v>
      </c>
      <c r="C4753" s="2" t="s">
        <v>5308</v>
      </c>
      <c r="D4753" s="2" t="s">
        <v>17</v>
      </c>
      <c r="E4753" s="2" t="s">
        <v>11</v>
      </c>
      <c r="F4753" s="2" t="s">
        <v>18</v>
      </c>
      <c r="G4753" s="2" t="s">
        <v>264</v>
      </c>
      <c r="H4753" s="2" t="s">
        <v>248</v>
      </c>
      <c r="I4753" s="2" t="s">
        <v>992</v>
      </c>
    </row>
    <row r="4754" spans="1:9" ht="14.5" x14ac:dyDescent="0.35">
      <c r="A4754" s="2">
        <v>1373134</v>
      </c>
      <c r="B4754" s="2" t="str">
        <f>"3328161701950006"</f>
        <v>3328161701950006</v>
      </c>
      <c r="C4754" s="2" t="s">
        <v>5309</v>
      </c>
      <c r="D4754" s="2" t="s">
        <v>10</v>
      </c>
      <c r="E4754" s="2" t="s">
        <v>11</v>
      </c>
      <c r="F4754" s="2" t="s">
        <v>18</v>
      </c>
      <c r="G4754" s="2" t="s">
        <v>19</v>
      </c>
      <c r="H4754" s="2" t="s">
        <v>5207</v>
      </c>
      <c r="I4754" s="2" t="s">
        <v>5223</v>
      </c>
    </row>
    <row r="4755" spans="1:9" ht="14.5" x14ac:dyDescent="0.35">
      <c r="A4755" s="2">
        <v>1426568</v>
      </c>
      <c r="B4755" s="2" t="str">
        <f>"3328161701950006"</f>
        <v>3328161701950006</v>
      </c>
      <c r="C4755" s="2" t="s">
        <v>5310</v>
      </c>
      <c r="D4755" s="2" t="s">
        <v>17</v>
      </c>
      <c r="E4755" s="2" t="s">
        <v>11</v>
      </c>
      <c r="F4755" s="2" t="s">
        <v>18</v>
      </c>
      <c r="G4755" s="2" t="s">
        <v>2416</v>
      </c>
      <c r="H4755" s="2" t="s">
        <v>5282</v>
      </c>
      <c r="I4755" s="2" t="s">
        <v>5282</v>
      </c>
    </row>
    <row r="4756" spans="1:9" ht="14.5" x14ac:dyDescent="0.35">
      <c r="A4756" s="2">
        <v>1394667</v>
      </c>
      <c r="B4756" s="2" t="str">
        <f>"3328161704000004"</f>
        <v>3328161704000004</v>
      </c>
      <c r="C4756" s="2" t="s">
        <v>5311</v>
      </c>
      <c r="D4756" s="2" t="s">
        <v>10</v>
      </c>
      <c r="E4756" s="2" t="s">
        <v>11</v>
      </c>
      <c r="F4756" s="2" t="s">
        <v>18</v>
      </c>
      <c r="G4756" s="2" t="s">
        <v>19</v>
      </c>
      <c r="H4756" s="2" t="s">
        <v>5207</v>
      </c>
      <c r="I4756" s="2" t="s">
        <v>5217</v>
      </c>
    </row>
    <row r="4757" spans="1:9" ht="14.5" x14ac:dyDescent="0.35">
      <c r="A4757" s="2">
        <v>1350417</v>
      </c>
      <c r="B4757" s="2" t="str">
        <f>"3328161704000004"</f>
        <v>3328161704000004</v>
      </c>
      <c r="C4757" s="2" t="s">
        <v>5311</v>
      </c>
      <c r="D4757" s="2" t="s">
        <v>10</v>
      </c>
      <c r="E4757" s="2" t="s">
        <v>57</v>
      </c>
      <c r="F4757" s="2" t="s">
        <v>303</v>
      </c>
      <c r="G4757" s="2" t="s">
        <v>608</v>
      </c>
      <c r="H4757" s="2" t="s">
        <v>609</v>
      </c>
      <c r="I4757" s="2" t="s">
        <v>610</v>
      </c>
    </row>
    <row r="4758" spans="1:9" ht="14.5" x14ac:dyDescent="0.35">
      <c r="A4758" s="2">
        <v>1375842</v>
      </c>
      <c r="B4758" s="2" t="str">
        <f>"3328161708810011"</f>
        <v>3328161708810011</v>
      </c>
      <c r="C4758" s="2" t="s">
        <v>5312</v>
      </c>
      <c r="D4758" s="2" t="s">
        <v>10</v>
      </c>
      <c r="E4758" s="2" t="s">
        <v>11</v>
      </c>
      <c r="F4758" s="2" t="s">
        <v>18</v>
      </c>
      <c r="G4758" s="2" t="s">
        <v>19</v>
      </c>
      <c r="H4758" s="2" t="s">
        <v>5207</v>
      </c>
      <c r="I4758" s="2" t="s">
        <v>5242</v>
      </c>
    </row>
    <row r="4759" spans="1:9" ht="14.5" x14ac:dyDescent="0.35">
      <c r="A4759" s="2">
        <v>105872</v>
      </c>
      <c r="B4759" s="2" t="str">
        <f>"3328161708810011"</f>
        <v>3328161708810011</v>
      </c>
      <c r="C4759" s="2" t="s">
        <v>5312</v>
      </c>
      <c r="D4759" s="2" t="s">
        <v>17</v>
      </c>
      <c r="E4759" s="2" t="s">
        <v>57</v>
      </c>
      <c r="F4759" s="2" t="s">
        <v>2907</v>
      </c>
      <c r="G4759" s="2" t="s">
        <v>5068</v>
      </c>
      <c r="H4759" s="2" t="s">
        <v>5068</v>
      </c>
      <c r="I4759" s="2" t="s">
        <v>5069</v>
      </c>
    </row>
    <row r="4760" spans="1:9" ht="14.5" x14ac:dyDescent="0.35">
      <c r="A4760" s="2">
        <v>615969</v>
      </c>
      <c r="B4760" s="2" t="str">
        <f>"3328161905910007"</f>
        <v>3328161905910007</v>
      </c>
      <c r="C4760" s="2" t="s">
        <v>5313</v>
      </c>
      <c r="D4760" s="2" t="s">
        <v>10</v>
      </c>
      <c r="E4760" s="2" t="s">
        <v>11</v>
      </c>
      <c r="F4760" s="2" t="s">
        <v>50</v>
      </c>
      <c r="G4760" s="2" t="s">
        <v>51</v>
      </c>
      <c r="H4760" s="2" t="s">
        <v>425</v>
      </c>
      <c r="I4760" s="2" t="s">
        <v>5314</v>
      </c>
    </row>
    <row r="4761" spans="1:9" ht="14.5" x14ac:dyDescent="0.35">
      <c r="A4761" s="2">
        <v>2562327</v>
      </c>
      <c r="B4761" s="2" t="str">
        <f>"3328161905910007"</f>
        <v>3328161905910007</v>
      </c>
      <c r="C4761" s="2" t="s">
        <v>5315</v>
      </c>
      <c r="D4761" s="2" t="s">
        <v>17</v>
      </c>
      <c r="E4761" s="2" t="s">
        <v>11</v>
      </c>
      <c r="F4761" s="2" t="s">
        <v>18</v>
      </c>
      <c r="G4761" s="2" t="s">
        <v>19</v>
      </c>
      <c r="H4761" s="2" t="s">
        <v>5207</v>
      </c>
      <c r="I4761" s="2" t="s">
        <v>1964</v>
      </c>
    </row>
    <row r="4762" spans="1:9" ht="14.5" x14ac:dyDescent="0.35">
      <c r="A4762" s="2">
        <v>1116603</v>
      </c>
      <c r="B4762" s="2" t="str">
        <f>"3328162204790005"</f>
        <v>3328162204790005</v>
      </c>
      <c r="C4762" s="2" t="s">
        <v>5316</v>
      </c>
      <c r="D4762" s="2" t="s">
        <v>10</v>
      </c>
      <c r="E4762" s="2" t="s">
        <v>11</v>
      </c>
      <c r="F4762" s="2" t="s">
        <v>91</v>
      </c>
      <c r="G4762" s="2" t="s">
        <v>2364</v>
      </c>
      <c r="H4762" s="2" t="s">
        <v>5317</v>
      </c>
      <c r="I4762" s="2" t="s">
        <v>5318</v>
      </c>
    </row>
    <row r="4763" spans="1:9" ht="14.5" x14ac:dyDescent="0.35">
      <c r="A4763" s="2">
        <v>2561656</v>
      </c>
      <c r="B4763" s="2" t="str">
        <f>"3328162204790005"</f>
        <v>3328162204790005</v>
      </c>
      <c r="C4763" s="2" t="s">
        <v>5316</v>
      </c>
      <c r="D4763" s="2" t="s">
        <v>17</v>
      </c>
      <c r="E4763" s="2" t="s">
        <v>11</v>
      </c>
      <c r="F4763" s="2" t="s">
        <v>18</v>
      </c>
      <c r="G4763" s="2" t="s">
        <v>19</v>
      </c>
      <c r="H4763" s="2" t="s">
        <v>5207</v>
      </c>
      <c r="I4763" s="2" t="s">
        <v>5242</v>
      </c>
    </row>
    <row r="4764" spans="1:9" ht="14.5" x14ac:dyDescent="0.35">
      <c r="A4764" s="2">
        <v>138165</v>
      </c>
      <c r="B4764" s="2" t="str">
        <f>"3328162303020004"</f>
        <v>3328162303020004</v>
      </c>
      <c r="C4764" s="2" t="s">
        <v>5319</v>
      </c>
      <c r="D4764" s="2" t="s">
        <v>10</v>
      </c>
      <c r="E4764" s="2" t="s">
        <v>11</v>
      </c>
      <c r="F4764" s="2" t="s">
        <v>50</v>
      </c>
      <c r="G4764" s="2" t="s">
        <v>51</v>
      </c>
      <c r="H4764" s="2" t="s">
        <v>62</v>
      </c>
      <c r="I4764" s="2" t="s">
        <v>63</v>
      </c>
    </row>
    <row r="4765" spans="1:9" ht="14.5" x14ac:dyDescent="0.35">
      <c r="A4765" s="2">
        <v>2562286</v>
      </c>
      <c r="B4765" s="2" t="str">
        <f>"3328162303020004"</f>
        <v>3328162303020004</v>
      </c>
      <c r="C4765" s="2" t="s">
        <v>5320</v>
      </c>
      <c r="D4765" s="2" t="s">
        <v>17</v>
      </c>
      <c r="E4765" s="2" t="s">
        <v>11</v>
      </c>
      <c r="F4765" s="2" t="s">
        <v>18</v>
      </c>
      <c r="G4765" s="2" t="s">
        <v>19</v>
      </c>
      <c r="H4765" s="2" t="s">
        <v>5207</v>
      </c>
      <c r="I4765" s="2" t="s">
        <v>1964</v>
      </c>
    </row>
    <row r="4766" spans="1:9" ht="14.5" x14ac:dyDescent="0.35">
      <c r="A4766" s="2">
        <v>1375359</v>
      </c>
      <c r="B4766" s="2" t="str">
        <f>"3328162511930003"</f>
        <v>3328162511930003</v>
      </c>
      <c r="C4766" s="2" t="s">
        <v>5076</v>
      </c>
      <c r="D4766" s="2" t="s">
        <v>10</v>
      </c>
      <c r="E4766" s="2" t="s">
        <v>11</v>
      </c>
      <c r="F4766" s="2" t="s">
        <v>18</v>
      </c>
      <c r="G4766" s="2" t="s">
        <v>19</v>
      </c>
      <c r="H4766" s="2" t="s">
        <v>5207</v>
      </c>
      <c r="I4766" s="2" t="s">
        <v>5242</v>
      </c>
    </row>
    <row r="4767" spans="1:9" ht="14.5" x14ac:dyDescent="0.35">
      <c r="A4767" s="2">
        <v>105781</v>
      </c>
      <c r="B4767" s="2" t="str">
        <f>"3328162511930003"</f>
        <v>3328162511930003</v>
      </c>
      <c r="C4767" s="2" t="s">
        <v>5321</v>
      </c>
      <c r="D4767" s="2" t="s">
        <v>17</v>
      </c>
      <c r="E4767" s="2" t="s">
        <v>57</v>
      </c>
      <c r="F4767" s="2" t="s">
        <v>2907</v>
      </c>
      <c r="G4767" s="2" t="s">
        <v>5068</v>
      </c>
      <c r="H4767" s="2" t="s">
        <v>5068</v>
      </c>
      <c r="I4767" s="2" t="s">
        <v>5069</v>
      </c>
    </row>
    <row r="4768" spans="1:9" ht="14.5" x14ac:dyDescent="0.35">
      <c r="A4768" s="2">
        <v>1369810</v>
      </c>
      <c r="B4768" s="2" t="str">
        <f>"3328162803040004"</f>
        <v>3328162803040004</v>
      </c>
      <c r="C4768" s="2" t="s">
        <v>5322</v>
      </c>
      <c r="D4768" s="2" t="s">
        <v>10</v>
      </c>
      <c r="E4768" s="2" t="s">
        <v>11</v>
      </c>
      <c r="F4768" s="2" t="s">
        <v>18</v>
      </c>
      <c r="G4768" s="2" t="s">
        <v>19</v>
      </c>
      <c r="H4768" s="2" t="s">
        <v>5207</v>
      </c>
      <c r="I4768" s="2" t="s">
        <v>5223</v>
      </c>
    </row>
    <row r="4769" spans="1:9" ht="14.5" x14ac:dyDescent="0.35">
      <c r="A4769" s="2">
        <v>3084221</v>
      </c>
      <c r="B4769" s="2" t="str">
        <f>"3328162803040004"</f>
        <v>3328162803040004</v>
      </c>
      <c r="C4769" s="2" t="s">
        <v>5322</v>
      </c>
      <c r="D4769" s="2" t="s">
        <v>17</v>
      </c>
      <c r="E4769" s="2" t="s">
        <v>11</v>
      </c>
      <c r="F4769" s="2" t="s">
        <v>18</v>
      </c>
      <c r="G4769" s="2" t="s">
        <v>163</v>
      </c>
      <c r="H4769" s="2" t="s">
        <v>5323</v>
      </c>
      <c r="I4769" s="2" t="s">
        <v>5324</v>
      </c>
    </row>
    <row r="4770" spans="1:9" ht="14.5" x14ac:dyDescent="0.35">
      <c r="A4770" s="2">
        <v>1375616</v>
      </c>
      <c r="B4770" s="2" t="str">
        <f>"3328162907940001"</f>
        <v>3328162907940001</v>
      </c>
      <c r="C4770" s="2" t="s">
        <v>5325</v>
      </c>
      <c r="D4770" s="2" t="s">
        <v>10</v>
      </c>
      <c r="E4770" s="2" t="s">
        <v>11</v>
      </c>
      <c r="F4770" s="2" t="s">
        <v>18</v>
      </c>
      <c r="G4770" s="2" t="s">
        <v>19</v>
      </c>
      <c r="H4770" s="2" t="s">
        <v>5207</v>
      </c>
      <c r="I4770" s="2" t="s">
        <v>5242</v>
      </c>
    </row>
    <row r="4771" spans="1:9" ht="14.5" x14ac:dyDescent="0.35">
      <c r="A4771" s="2">
        <v>105839</v>
      </c>
      <c r="B4771" s="2" t="str">
        <f>"3328162907940001"</f>
        <v>3328162907940001</v>
      </c>
      <c r="C4771" s="2" t="s">
        <v>5325</v>
      </c>
      <c r="D4771" s="2" t="s">
        <v>17</v>
      </c>
      <c r="E4771" s="2" t="s">
        <v>57</v>
      </c>
      <c r="F4771" s="2" t="s">
        <v>2907</v>
      </c>
      <c r="G4771" s="2" t="s">
        <v>5068</v>
      </c>
      <c r="H4771" s="2" t="s">
        <v>5068</v>
      </c>
      <c r="I4771" s="2" t="s">
        <v>5069</v>
      </c>
    </row>
    <row r="4772" spans="1:9" ht="14.5" x14ac:dyDescent="0.35">
      <c r="A4772" s="2">
        <v>1340643</v>
      </c>
      <c r="B4772" s="2" t="str">
        <f>"3328163004770009"</f>
        <v>3328163004770009</v>
      </c>
      <c r="C4772" s="2" t="s">
        <v>5326</v>
      </c>
      <c r="D4772" s="2" t="s">
        <v>10</v>
      </c>
      <c r="E4772" s="2" t="s">
        <v>11</v>
      </c>
      <c r="F4772" s="2" t="s">
        <v>18</v>
      </c>
      <c r="G4772" s="2" t="s">
        <v>19</v>
      </c>
      <c r="H4772" s="2" t="s">
        <v>5207</v>
      </c>
      <c r="I4772" s="2" t="s">
        <v>5239</v>
      </c>
    </row>
    <row r="4773" spans="1:9" ht="14.5" x14ac:dyDescent="0.35">
      <c r="A4773" s="2">
        <v>423881</v>
      </c>
      <c r="B4773" s="2" t="str">
        <f>"3328163004770009"</f>
        <v>3328163004770009</v>
      </c>
      <c r="C4773" s="2" t="s">
        <v>5327</v>
      </c>
      <c r="D4773" s="2" t="s">
        <v>10</v>
      </c>
      <c r="E4773" s="2" t="s">
        <v>57</v>
      </c>
      <c r="F4773" s="2" t="s">
        <v>18</v>
      </c>
      <c r="G4773" s="2" t="s">
        <v>268</v>
      </c>
      <c r="H4773" s="2" t="s">
        <v>277</v>
      </c>
      <c r="I4773" s="2" t="s">
        <v>278</v>
      </c>
    </row>
    <row r="4774" spans="1:9" ht="14.5" x14ac:dyDescent="0.35">
      <c r="A4774" s="2">
        <v>2552776</v>
      </c>
      <c r="B4774" s="2" t="str">
        <f>"3328164207810009"</f>
        <v>3328164207810009</v>
      </c>
      <c r="C4774" s="2" t="s">
        <v>5328</v>
      </c>
      <c r="D4774" s="2" t="s">
        <v>10</v>
      </c>
      <c r="E4774" s="2" t="s">
        <v>11</v>
      </c>
      <c r="F4774" s="2" t="s">
        <v>67</v>
      </c>
      <c r="G4774" s="2" t="s">
        <v>512</v>
      </c>
      <c r="H4774" s="2" t="s">
        <v>513</v>
      </c>
      <c r="I4774" s="2" t="s">
        <v>514</v>
      </c>
    </row>
    <row r="4775" spans="1:9" ht="14.5" x14ac:dyDescent="0.35">
      <c r="A4775" s="2">
        <v>2562588</v>
      </c>
      <c r="B4775" s="2" t="str">
        <f>"3328164207810009"</f>
        <v>3328164207810009</v>
      </c>
      <c r="C4775" s="2" t="s">
        <v>5328</v>
      </c>
      <c r="D4775" s="2" t="s">
        <v>17</v>
      </c>
      <c r="E4775" s="2" t="s">
        <v>11</v>
      </c>
      <c r="F4775" s="2" t="s">
        <v>18</v>
      </c>
      <c r="G4775" s="2" t="s">
        <v>19</v>
      </c>
      <c r="H4775" s="2" t="s">
        <v>5207</v>
      </c>
      <c r="I4775" s="2" t="s">
        <v>674</v>
      </c>
    </row>
    <row r="4776" spans="1:9" ht="14.5" x14ac:dyDescent="0.35">
      <c r="A4776" s="2">
        <v>1389582</v>
      </c>
      <c r="B4776" s="2" t="str">
        <f>"3328164405990003"</f>
        <v>3328164405990003</v>
      </c>
      <c r="C4776" s="2" t="s">
        <v>5329</v>
      </c>
      <c r="D4776" s="2" t="s">
        <v>10</v>
      </c>
      <c r="E4776" s="2" t="s">
        <v>11</v>
      </c>
      <c r="F4776" s="2" t="s">
        <v>18</v>
      </c>
      <c r="G4776" s="2" t="s">
        <v>19</v>
      </c>
      <c r="H4776" s="2" t="s">
        <v>5207</v>
      </c>
      <c r="I4776" s="2" t="s">
        <v>5217</v>
      </c>
    </row>
    <row r="4777" spans="1:9" ht="14.5" x14ac:dyDescent="0.35">
      <c r="A4777" s="2">
        <v>1627492</v>
      </c>
      <c r="B4777" s="2" t="str">
        <f>"3328164405990003"</f>
        <v>3328164405990003</v>
      </c>
      <c r="C4777" s="2" t="s">
        <v>5329</v>
      </c>
      <c r="D4777" s="2" t="s">
        <v>17</v>
      </c>
      <c r="E4777" s="2" t="s">
        <v>11</v>
      </c>
      <c r="F4777" s="2" t="s">
        <v>18</v>
      </c>
      <c r="G4777" s="2" t="s">
        <v>167</v>
      </c>
      <c r="H4777" s="2" t="s">
        <v>5330</v>
      </c>
      <c r="I4777" s="2" t="s">
        <v>5331</v>
      </c>
    </row>
    <row r="4778" spans="1:9" ht="14.5" x14ac:dyDescent="0.35">
      <c r="A4778" s="2">
        <v>417846</v>
      </c>
      <c r="B4778" s="2" t="str">
        <f>"3328164406890005"</f>
        <v>3328164406890005</v>
      </c>
      <c r="C4778" s="2" t="s">
        <v>5332</v>
      </c>
      <c r="D4778" s="2" t="s">
        <v>10</v>
      </c>
      <c r="E4778" s="2" t="s">
        <v>11</v>
      </c>
      <c r="F4778" s="2" t="s">
        <v>379</v>
      </c>
      <c r="G4778" s="2" t="s">
        <v>1202</v>
      </c>
      <c r="H4778" s="2" t="s">
        <v>5333</v>
      </c>
      <c r="I4778" s="2" t="s">
        <v>5334</v>
      </c>
    </row>
    <row r="4779" spans="1:9" ht="14.5" x14ac:dyDescent="0.35">
      <c r="A4779" s="2">
        <v>2563354</v>
      </c>
      <c r="B4779" s="2" t="str">
        <f>"3328164406890005"</f>
        <v>3328164406890005</v>
      </c>
      <c r="C4779" s="2" t="s">
        <v>5335</v>
      </c>
      <c r="D4779" s="2" t="s">
        <v>17</v>
      </c>
      <c r="E4779" s="2" t="s">
        <v>11</v>
      </c>
      <c r="F4779" s="2" t="s">
        <v>18</v>
      </c>
      <c r="G4779" s="2" t="s">
        <v>19</v>
      </c>
      <c r="H4779" s="2" t="s">
        <v>5207</v>
      </c>
      <c r="I4779" s="2" t="s">
        <v>5239</v>
      </c>
    </row>
    <row r="4780" spans="1:9" ht="14.5" x14ac:dyDescent="0.35">
      <c r="A4780" s="2">
        <v>1404931</v>
      </c>
      <c r="B4780" s="2" t="str">
        <f>"3328164504560001"</f>
        <v>3328164504560001</v>
      </c>
      <c r="C4780" s="2" t="s">
        <v>1935</v>
      </c>
      <c r="D4780" s="2" t="s">
        <v>10</v>
      </c>
      <c r="E4780" s="2" t="s">
        <v>11</v>
      </c>
      <c r="F4780" s="2" t="s">
        <v>18</v>
      </c>
      <c r="G4780" s="2" t="s">
        <v>19</v>
      </c>
      <c r="H4780" s="2" t="s">
        <v>5207</v>
      </c>
      <c r="I4780" s="2" t="s">
        <v>5235</v>
      </c>
    </row>
    <row r="4781" spans="1:9" ht="14.5" x14ac:dyDescent="0.35">
      <c r="A4781" s="2">
        <v>929668</v>
      </c>
      <c r="B4781" s="2" t="str">
        <f>"3328164504560001"</f>
        <v>3328164504560001</v>
      </c>
      <c r="C4781" s="2" t="s">
        <v>1935</v>
      </c>
      <c r="D4781" s="2" t="s">
        <v>17</v>
      </c>
      <c r="E4781" s="2" t="s">
        <v>11</v>
      </c>
      <c r="F4781" s="2" t="s">
        <v>91</v>
      </c>
      <c r="G4781" s="2" t="s">
        <v>109</v>
      </c>
      <c r="H4781" s="2" t="s">
        <v>5336</v>
      </c>
      <c r="I4781" s="2" t="s">
        <v>5337</v>
      </c>
    </row>
    <row r="4782" spans="1:9" ht="14.5" x14ac:dyDescent="0.35">
      <c r="A4782" s="2">
        <v>1369811</v>
      </c>
      <c r="B4782" s="2" t="str">
        <f>"3328164604820011"</f>
        <v>3328164604820011</v>
      </c>
      <c r="C4782" s="2" t="s">
        <v>5338</v>
      </c>
      <c r="D4782" s="2" t="s">
        <v>10</v>
      </c>
      <c r="E4782" s="2" t="s">
        <v>11</v>
      </c>
      <c r="F4782" s="2" t="s">
        <v>18</v>
      </c>
      <c r="G4782" s="2" t="s">
        <v>19</v>
      </c>
      <c r="H4782" s="2" t="s">
        <v>5207</v>
      </c>
      <c r="I4782" s="2" t="s">
        <v>5223</v>
      </c>
    </row>
    <row r="4783" spans="1:9" ht="14.5" x14ac:dyDescent="0.35">
      <c r="A4783" s="2">
        <v>3084328</v>
      </c>
      <c r="B4783" s="2" t="str">
        <f>"3328164604820011"</f>
        <v>3328164604820011</v>
      </c>
      <c r="C4783" s="2" t="s">
        <v>5338</v>
      </c>
      <c r="D4783" s="2" t="s">
        <v>17</v>
      </c>
      <c r="E4783" s="2" t="s">
        <v>11</v>
      </c>
      <c r="F4783" s="2" t="s">
        <v>18</v>
      </c>
      <c r="G4783" s="2" t="s">
        <v>163</v>
      </c>
      <c r="H4783" s="2" t="s">
        <v>5323</v>
      </c>
      <c r="I4783" s="2" t="s">
        <v>5324</v>
      </c>
    </row>
    <row r="4784" spans="1:9" ht="14.5" x14ac:dyDescent="0.35">
      <c r="A4784" s="2">
        <v>1336500</v>
      </c>
      <c r="B4784" s="2" t="str">
        <f>"3328164608050003"</f>
        <v>3328164608050003</v>
      </c>
      <c r="C4784" s="2" t="s">
        <v>5339</v>
      </c>
      <c r="D4784" s="2" t="s">
        <v>10</v>
      </c>
      <c r="E4784" s="2" t="s">
        <v>11</v>
      </c>
      <c r="F4784" s="2" t="s">
        <v>18</v>
      </c>
      <c r="G4784" s="2" t="s">
        <v>19</v>
      </c>
      <c r="H4784" s="2" t="s">
        <v>5207</v>
      </c>
      <c r="I4784" s="2" t="s">
        <v>5276</v>
      </c>
    </row>
    <row r="4785" spans="1:9" ht="14.5" x14ac:dyDescent="0.35">
      <c r="A4785" s="2">
        <v>1819397</v>
      </c>
      <c r="B4785" s="2" t="str">
        <f>"3328164608050003"</f>
        <v>3328164608050003</v>
      </c>
      <c r="C4785" s="2" t="s">
        <v>5340</v>
      </c>
      <c r="D4785" s="2" t="s">
        <v>10</v>
      </c>
      <c r="E4785" s="2" t="s">
        <v>11</v>
      </c>
      <c r="F4785" s="2" t="s">
        <v>18</v>
      </c>
      <c r="G4785" s="2" t="s">
        <v>199</v>
      </c>
      <c r="H4785" s="2" t="s">
        <v>595</v>
      </c>
      <c r="I4785" s="2" t="s">
        <v>596</v>
      </c>
    </row>
    <row r="4786" spans="1:9" ht="14.5" x14ac:dyDescent="0.35">
      <c r="A4786" s="2">
        <v>1410557</v>
      </c>
      <c r="B4786" s="2" t="str">
        <f>"3328164704920007"</f>
        <v>3328164704920007</v>
      </c>
      <c r="C4786" s="2" t="s">
        <v>5341</v>
      </c>
      <c r="D4786" s="2" t="s">
        <v>10</v>
      </c>
      <c r="E4786" s="2" t="s">
        <v>11</v>
      </c>
      <c r="F4786" s="2" t="s">
        <v>18</v>
      </c>
      <c r="G4786" s="2" t="s">
        <v>19</v>
      </c>
      <c r="H4786" s="2" t="s">
        <v>5207</v>
      </c>
      <c r="I4786" s="2" t="s">
        <v>5235</v>
      </c>
    </row>
    <row r="4787" spans="1:9" ht="14.5" x14ac:dyDescent="0.35">
      <c r="A4787" s="2">
        <v>1960164</v>
      </c>
      <c r="B4787" s="2" t="str">
        <f>"3328164704920007"</f>
        <v>3328164704920007</v>
      </c>
      <c r="C4787" s="2" t="s">
        <v>5341</v>
      </c>
      <c r="D4787" s="2" t="s">
        <v>17</v>
      </c>
      <c r="E4787" s="2" t="s">
        <v>11</v>
      </c>
      <c r="F4787" s="2" t="s">
        <v>50</v>
      </c>
      <c r="G4787" s="2" t="s">
        <v>86</v>
      </c>
      <c r="H4787" s="2" t="s">
        <v>1268</v>
      </c>
      <c r="I4787" s="2" t="s">
        <v>1269</v>
      </c>
    </row>
    <row r="4788" spans="1:9" ht="14.5" x14ac:dyDescent="0.35">
      <c r="A4788" s="2">
        <v>1778929</v>
      </c>
      <c r="B4788" s="2" t="str">
        <f>"3328165012900001"</f>
        <v>3328165012900001</v>
      </c>
      <c r="C4788" s="2" t="s">
        <v>5342</v>
      </c>
      <c r="D4788" s="2" t="s">
        <v>10</v>
      </c>
      <c r="E4788" s="2" t="s">
        <v>11</v>
      </c>
      <c r="F4788" s="2" t="s">
        <v>91</v>
      </c>
      <c r="G4788" s="2" t="s">
        <v>159</v>
      </c>
      <c r="H4788" s="2" t="s">
        <v>1332</v>
      </c>
      <c r="I4788" s="2" t="s">
        <v>2200</v>
      </c>
    </row>
    <row r="4789" spans="1:9" ht="14.5" x14ac:dyDescent="0.35">
      <c r="A4789" s="2">
        <v>1309307</v>
      </c>
      <c r="B4789" s="2" t="str">
        <f>"3328165012900001"</f>
        <v>3328165012900001</v>
      </c>
      <c r="C4789" s="2" t="s">
        <v>5343</v>
      </c>
      <c r="D4789" s="2" t="s">
        <v>189</v>
      </c>
      <c r="E4789" s="2" t="s">
        <v>11</v>
      </c>
      <c r="F4789" s="2" t="s">
        <v>18</v>
      </c>
      <c r="G4789" s="2" t="s">
        <v>19</v>
      </c>
      <c r="H4789" s="2" t="s">
        <v>5207</v>
      </c>
      <c r="I4789" s="2" t="s">
        <v>674</v>
      </c>
    </row>
    <row r="4790" spans="1:9" ht="14.5" x14ac:dyDescent="0.35">
      <c r="A4790" s="2">
        <v>1405688</v>
      </c>
      <c r="B4790" s="2" t="str">
        <f>"3328165012930008"</f>
        <v>3328165012930008</v>
      </c>
      <c r="C4790" s="2" t="s">
        <v>5344</v>
      </c>
      <c r="D4790" s="2" t="s">
        <v>10</v>
      </c>
      <c r="E4790" s="2" t="s">
        <v>11</v>
      </c>
      <c r="F4790" s="2" t="s">
        <v>18</v>
      </c>
      <c r="G4790" s="2" t="s">
        <v>19</v>
      </c>
      <c r="H4790" s="2" t="s">
        <v>5207</v>
      </c>
      <c r="I4790" s="2" t="s">
        <v>5235</v>
      </c>
    </row>
    <row r="4791" spans="1:9" ht="14.5" x14ac:dyDescent="0.35">
      <c r="A4791" s="2">
        <v>737889</v>
      </c>
      <c r="B4791" s="2" t="str">
        <f>"3328165012930008"</f>
        <v>3328165012930008</v>
      </c>
      <c r="C4791" s="2" t="s">
        <v>5345</v>
      </c>
      <c r="D4791" s="2" t="s">
        <v>17</v>
      </c>
      <c r="E4791" s="2" t="s">
        <v>11</v>
      </c>
      <c r="F4791" s="2" t="s">
        <v>18</v>
      </c>
      <c r="G4791" s="2" t="s">
        <v>1381</v>
      </c>
      <c r="H4791" s="2" t="s">
        <v>3524</v>
      </c>
      <c r="I4791" s="2" t="s">
        <v>5346</v>
      </c>
    </row>
    <row r="4792" spans="1:9" ht="14.5" x14ac:dyDescent="0.35">
      <c r="A4792" s="2">
        <v>144752</v>
      </c>
      <c r="B4792" s="2" t="str">
        <f>"3328165202040001"</f>
        <v>3328165202040001</v>
      </c>
      <c r="C4792" s="2" t="s">
        <v>5347</v>
      </c>
      <c r="D4792" s="2" t="s">
        <v>10</v>
      </c>
      <c r="E4792" s="2" t="s">
        <v>11</v>
      </c>
      <c r="F4792" s="2" t="s">
        <v>232</v>
      </c>
      <c r="G4792" s="2" t="s">
        <v>5348</v>
      </c>
      <c r="H4792" s="2" t="s">
        <v>5349</v>
      </c>
      <c r="I4792" s="2" t="s">
        <v>5350</v>
      </c>
    </row>
    <row r="4793" spans="1:9" ht="14.5" x14ac:dyDescent="0.35">
      <c r="A4793" s="2">
        <v>2563214</v>
      </c>
      <c r="B4793" s="2" t="str">
        <f>"3328165202040001"</f>
        <v>3328165202040001</v>
      </c>
      <c r="C4793" s="2" t="s">
        <v>5347</v>
      </c>
      <c r="D4793" s="2" t="s">
        <v>17</v>
      </c>
      <c r="E4793" s="2" t="s">
        <v>11</v>
      </c>
      <c r="F4793" s="2" t="s">
        <v>18</v>
      </c>
      <c r="G4793" s="2" t="s">
        <v>19</v>
      </c>
      <c r="H4793" s="2" t="s">
        <v>5207</v>
      </c>
      <c r="I4793" s="2" t="s">
        <v>5239</v>
      </c>
    </row>
    <row r="4794" spans="1:9" ht="14.5" x14ac:dyDescent="0.35">
      <c r="A4794" s="2">
        <v>1342084</v>
      </c>
      <c r="B4794" s="2" t="str">
        <f>"3328165203030003"</f>
        <v>3328165203030003</v>
      </c>
      <c r="C4794" s="2" t="s">
        <v>5351</v>
      </c>
      <c r="D4794" s="2" t="s">
        <v>10</v>
      </c>
      <c r="E4794" s="2" t="s">
        <v>11</v>
      </c>
      <c r="F4794" s="2" t="s">
        <v>18</v>
      </c>
      <c r="G4794" s="2" t="s">
        <v>19</v>
      </c>
      <c r="H4794" s="2" t="s">
        <v>5207</v>
      </c>
      <c r="I4794" s="2" t="s">
        <v>5239</v>
      </c>
    </row>
    <row r="4795" spans="1:9" ht="14.5" x14ac:dyDescent="0.35">
      <c r="A4795" s="2">
        <v>1352914</v>
      </c>
      <c r="B4795" s="2" t="str">
        <f>"3328165203030003"</f>
        <v>3328165203030003</v>
      </c>
      <c r="C4795" s="2" t="s">
        <v>5352</v>
      </c>
      <c r="D4795" s="2" t="s">
        <v>10</v>
      </c>
      <c r="E4795" s="2" t="s">
        <v>57</v>
      </c>
      <c r="F4795" s="2" t="s">
        <v>303</v>
      </c>
      <c r="G4795" s="2" t="s">
        <v>608</v>
      </c>
      <c r="H4795" s="2" t="s">
        <v>609</v>
      </c>
      <c r="I4795" s="2" t="s">
        <v>610</v>
      </c>
    </row>
    <row r="4796" spans="1:9" ht="14.5" x14ac:dyDescent="0.35">
      <c r="A4796" s="2">
        <v>264051</v>
      </c>
      <c r="B4796" s="2" t="str">
        <f>"3328165304880002"</f>
        <v>3328165304880002</v>
      </c>
      <c r="C4796" s="2" t="s">
        <v>5353</v>
      </c>
      <c r="D4796" s="2" t="s">
        <v>10</v>
      </c>
      <c r="E4796" s="2" t="s">
        <v>11</v>
      </c>
      <c r="F4796" s="2" t="s">
        <v>18</v>
      </c>
      <c r="G4796" s="2" t="s">
        <v>951</v>
      </c>
      <c r="H4796" s="2" t="s">
        <v>2651</v>
      </c>
      <c r="I4796" s="2" t="s">
        <v>5274</v>
      </c>
    </row>
    <row r="4797" spans="1:9" ht="14.5" x14ac:dyDescent="0.35">
      <c r="A4797" s="2">
        <v>2563055</v>
      </c>
      <c r="B4797" s="2" t="str">
        <f>"3328165304880002"</f>
        <v>3328165304880002</v>
      </c>
      <c r="C4797" s="2" t="s">
        <v>5353</v>
      </c>
      <c r="D4797" s="2" t="s">
        <v>17</v>
      </c>
      <c r="E4797" s="2" t="s">
        <v>11</v>
      </c>
      <c r="F4797" s="2" t="s">
        <v>18</v>
      </c>
      <c r="G4797" s="2" t="s">
        <v>19</v>
      </c>
      <c r="H4797" s="2" t="s">
        <v>5207</v>
      </c>
      <c r="I4797" s="2" t="s">
        <v>5235</v>
      </c>
    </row>
    <row r="4798" spans="1:9" ht="14.5" x14ac:dyDescent="0.35">
      <c r="A4798" s="2">
        <v>1356590</v>
      </c>
      <c r="B4798" s="2" t="str">
        <f>"3328165501070007"</f>
        <v>3328165501070007</v>
      </c>
      <c r="C4798" s="2" t="s">
        <v>5354</v>
      </c>
      <c r="D4798" s="2" t="s">
        <v>10</v>
      </c>
      <c r="E4798" s="2" t="s">
        <v>11</v>
      </c>
      <c r="F4798" s="2" t="s">
        <v>50</v>
      </c>
      <c r="G4798" s="2" t="s">
        <v>72</v>
      </c>
      <c r="H4798" s="2" t="s">
        <v>628</v>
      </c>
      <c r="I4798" s="2" t="s">
        <v>1469</v>
      </c>
    </row>
    <row r="4799" spans="1:9" ht="14.5" x14ac:dyDescent="0.35">
      <c r="A4799" s="2">
        <v>2563926</v>
      </c>
      <c r="B4799" s="2" t="str">
        <f>"3328165501070007"</f>
        <v>3328165501070007</v>
      </c>
      <c r="C4799" s="2" t="s">
        <v>5354</v>
      </c>
      <c r="D4799" s="2" t="s">
        <v>17</v>
      </c>
      <c r="E4799" s="2" t="s">
        <v>11</v>
      </c>
      <c r="F4799" s="2" t="s">
        <v>18</v>
      </c>
      <c r="G4799" s="2" t="s">
        <v>19</v>
      </c>
      <c r="H4799" s="2" t="s">
        <v>5207</v>
      </c>
      <c r="I4799" s="2" t="s">
        <v>5276</v>
      </c>
    </row>
    <row r="4800" spans="1:9" ht="14.5" x14ac:dyDescent="0.35">
      <c r="A4800" s="2">
        <v>575249</v>
      </c>
      <c r="B4800" s="2" t="str">
        <f>"3328165506810003"</f>
        <v>3328165506810003</v>
      </c>
      <c r="C4800" s="2" t="s">
        <v>5355</v>
      </c>
      <c r="D4800" s="2" t="s">
        <v>10</v>
      </c>
      <c r="E4800" s="2" t="s">
        <v>11</v>
      </c>
      <c r="F4800" s="2" t="s">
        <v>18</v>
      </c>
      <c r="G4800" s="2" t="s">
        <v>264</v>
      </c>
      <c r="H4800" s="2" t="s">
        <v>264</v>
      </c>
      <c r="I4800" s="2" t="s">
        <v>3727</v>
      </c>
    </row>
    <row r="4801" spans="1:9" ht="14.5" x14ac:dyDescent="0.35">
      <c r="A4801" s="2">
        <v>2563253</v>
      </c>
      <c r="B4801" s="2" t="str">
        <f>"3328165506810003"</f>
        <v>3328165506810003</v>
      </c>
      <c r="C4801" s="2" t="s">
        <v>5356</v>
      </c>
      <c r="D4801" s="2" t="s">
        <v>17</v>
      </c>
      <c r="E4801" s="2" t="s">
        <v>11</v>
      </c>
      <c r="F4801" s="2" t="s">
        <v>18</v>
      </c>
      <c r="G4801" s="2" t="s">
        <v>19</v>
      </c>
      <c r="H4801" s="2" t="s">
        <v>5207</v>
      </c>
      <c r="I4801" s="2" t="s">
        <v>5239</v>
      </c>
    </row>
    <row r="4802" spans="1:9" ht="14.5" x14ac:dyDescent="0.35">
      <c r="A4802" s="2">
        <v>1341106</v>
      </c>
      <c r="B4802" s="2" t="str">
        <f>"3328165510780005"</f>
        <v>3328165510780005</v>
      </c>
      <c r="C4802" s="2" t="s">
        <v>4698</v>
      </c>
      <c r="D4802" s="2" t="s">
        <v>10</v>
      </c>
      <c r="E4802" s="2" t="s">
        <v>11</v>
      </c>
      <c r="F4802" s="2" t="s">
        <v>18</v>
      </c>
      <c r="G4802" s="2" t="s">
        <v>19</v>
      </c>
      <c r="H4802" s="2" t="s">
        <v>5207</v>
      </c>
      <c r="I4802" s="2" t="s">
        <v>5239</v>
      </c>
    </row>
    <row r="4803" spans="1:9" ht="14.5" x14ac:dyDescent="0.35">
      <c r="A4803" s="2">
        <v>1349043</v>
      </c>
      <c r="B4803" s="2" t="str">
        <f>"3328165510780005"</f>
        <v>3328165510780005</v>
      </c>
      <c r="C4803" s="2" t="s">
        <v>5357</v>
      </c>
      <c r="D4803" s="2" t="s">
        <v>10</v>
      </c>
      <c r="E4803" s="2" t="s">
        <v>57</v>
      </c>
      <c r="F4803" s="2" t="s">
        <v>303</v>
      </c>
      <c r="G4803" s="2" t="s">
        <v>608</v>
      </c>
      <c r="H4803" s="2" t="s">
        <v>609</v>
      </c>
      <c r="I4803" s="2" t="s">
        <v>610</v>
      </c>
    </row>
    <row r="4804" spans="1:9" ht="14.5" x14ac:dyDescent="0.35">
      <c r="A4804" s="2">
        <v>1343977</v>
      </c>
      <c r="B4804" s="2" t="str">
        <f>"3328165512960004"</f>
        <v>3328165512960004</v>
      </c>
      <c r="C4804" s="2" t="s">
        <v>5358</v>
      </c>
      <c r="D4804" s="2" t="s">
        <v>10</v>
      </c>
      <c r="E4804" s="2" t="s">
        <v>11</v>
      </c>
      <c r="F4804" s="2" t="s">
        <v>18</v>
      </c>
      <c r="G4804" s="2" t="s">
        <v>19</v>
      </c>
      <c r="H4804" s="2" t="s">
        <v>5207</v>
      </c>
      <c r="I4804" s="2" t="s">
        <v>5239</v>
      </c>
    </row>
    <row r="4805" spans="1:9" ht="14.5" x14ac:dyDescent="0.35">
      <c r="A4805" s="2">
        <v>1959689</v>
      </c>
      <c r="B4805" s="2" t="str">
        <f>"3328165512960004"</f>
        <v>3328165512960004</v>
      </c>
      <c r="C4805" s="2" t="s">
        <v>5358</v>
      </c>
      <c r="D4805" s="2" t="s">
        <v>17</v>
      </c>
      <c r="E4805" s="2" t="s">
        <v>11</v>
      </c>
      <c r="F4805" s="2" t="s">
        <v>50</v>
      </c>
      <c r="G4805" s="2" t="s">
        <v>86</v>
      </c>
      <c r="H4805" s="2" t="s">
        <v>1268</v>
      </c>
      <c r="I4805" s="2" t="s">
        <v>5359</v>
      </c>
    </row>
    <row r="4806" spans="1:9" ht="14.5" x14ac:dyDescent="0.35">
      <c r="A4806" s="2">
        <v>117368</v>
      </c>
      <c r="B4806" s="2" t="str">
        <f>"3328166002970002"</f>
        <v>3328166002970002</v>
      </c>
      <c r="C4806" s="2" t="s">
        <v>5360</v>
      </c>
      <c r="D4806" s="2" t="s">
        <v>10</v>
      </c>
      <c r="E4806" s="2" t="s">
        <v>11</v>
      </c>
      <c r="F4806" s="2" t="s">
        <v>44</v>
      </c>
      <c r="G4806" s="2" t="s">
        <v>5361</v>
      </c>
      <c r="H4806" s="2" t="s">
        <v>5362</v>
      </c>
      <c r="I4806" s="2" t="s">
        <v>5363</v>
      </c>
    </row>
    <row r="4807" spans="1:9" ht="14.5" x14ac:dyDescent="0.35">
      <c r="A4807" s="2">
        <v>2561869</v>
      </c>
      <c r="B4807" s="2" t="str">
        <f>"3328166002970002"</f>
        <v>3328166002970002</v>
      </c>
      <c r="C4807" s="2" t="s">
        <v>5360</v>
      </c>
      <c r="D4807" s="2" t="s">
        <v>17</v>
      </c>
      <c r="E4807" s="2" t="s">
        <v>11</v>
      </c>
      <c r="F4807" s="2" t="s">
        <v>18</v>
      </c>
      <c r="G4807" s="2" t="s">
        <v>19</v>
      </c>
      <c r="H4807" s="2" t="s">
        <v>5207</v>
      </c>
      <c r="I4807" s="2" t="s">
        <v>5223</v>
      </c>
    </row>
    <row r="4808" spans="1:9" ht="14.5" x14ac:dyDescent="0.35">
      <c r="A4808" s="2">
        <v>532232</v>
      </c>
      <c r="B4808" s="2" t="str">
        <f>"3328166105900002"</f>
        <v>3328166105900002</v>
      </c>
      <c r="C4808" s="2" t="s">
        <v>5364</v>
      </c>
      <c r="D4808" s="2" t="s">
        <v>10</v>
      </c>
      <c r="E4808" s="2" t="s">
        <v>11</v>
      </c>
      <c r="F4808" s="2" t="s">
        <v>50</v>
      </c>
      <c r="G4808" s="2" t="s">
        <v>51</v>
      </c>
      <c r="H4808" s="2" t="s">
        <v>62</v>
      </c>
      <c r="I4808" s="2" t="s">
        <v>615</v>
      </c>
    </row>
    <row r="4809" spans="1:9" ht="14.5" x14ac:dyDescent="0.35">
      <c r="A4809" s="2">
        <v>2561701</v>
      </c>
      <c r="B4809" s="2" t="str">
        <f>"3328166105900002"</f>
        <v>3328166105900002</v>
      </c>
      <c r="C4809" s="2" t="s">
        <v>5364</v>
      </c>
      <c r="D4809" s="2" t="s">
        <v>17</v>
      </c>
      <c r="E4809" s="2" t="s">
        <v>11</v>
      </c>
      <c r="F4809" s="2" t="s">
        <v>18</v>
      </c>
      <c r="G4809" s="2" t="s">
        <v>19</v>
      </c>
      <c r="H4809" s="2" t="s">
        <v>5207</v>
      </c>
      <c r="I4809" s="2" t="s">
        <v>5242</v>
      </c>
    </row>
    <row r="4810" spans="1:9" ht="14.5" x14ac:dyDescent="0.35">
      <c r="A4810" s="2">
        <v>1342086</v>
      </c>
      <c r="B4810" s="2" t="str">
        <f>"3328166107770002"</f>
        <v>3328166107770002</v>
      </c>
      <c r="C4810" s="2" t="s">
        <v>5365</v>
      </c>
      <c r="D4810" s="2" t="s">
        <v>10</v>
      </c>
      <c r="E4810" s="2" t="s">
        <v>11</v>
      </c>
      <c r="F4810" s="2" t="s">
        <v>18</v>
      </c>
      <c r="G4810" s="2" t="s">
        <v>19</v>
      </c>
      <c r="H4810" s="2" t="s">
        <v>5207</v>
      </c>
      <c r="I4810" s="2" t="s">
        <v>5239</v>
      </c>
    </row>
    <row r="4811" spans="1:9" ht="14.5" x14ac:dyDescent="0.35">
      <c r="A4811" s="2">
        <v>1349042</v>
      </c>
      <c r="B4811" s="2" t="str">
        <f>"3328166107770002"</f>
        <v>3328166107770002</v>
      </c>
      <c r="C4811" s="2" t="s">
        <v>5366</v>
      </c>
      <c r="D4811" s="2" t="s">
        <v>10</v>
      </c>
      <c r="E4811" s="2" t="s">
        <v>57</v>
      </c>
      <c r="F4811" s="2" t="s">
        <v>303</v>
      </c>
      <c r="G4811" s="2" t="s">
        <v>608</v>
      </c>
      <c r="H4811" s="2" t="s">
        <v>609</v>
      </c>
      <c r="I4811" s="2" t="s">
        <v>610</v>
      </c>
    </row>
    <row r="4812" spans="1:9" ht="14.5" x14ac:dyDescent="0.35">
      <c r="A4812" s="2">
        <v>265943</v>
      </c>
      <c r="B4812" s="2" t="str">
        <f>"3328166208950002"</f>
        <v>3328166208950002</v>
      </c>
      <c r="C4812" s="2" t="s">
        <v>5367</v>
      </c>
      <c r="D4812" s="2" t="s">
        <v>10</v>
      </c>
      <c r="E4812" s="2" t="s">
        <v>11</v>
      </c>
      <c r="F4812" s="2" t="s">
        <v>18</v>
      </c>
      <c r="G4812" s="2" t="s">
        <v>268</v>
      </c>
      <c r="H4812" s="2" t="s">
        <v>371</v>
      </c>
      <c r="I4812" s="2" t="s">
        <v>497</v>
      </c>
    </row>
    <row r="4813" spans="1:9" ht="14.5" x14ac:dyDescent="0.35">
      <c r="A4813" s="2">
        <v>2562923</v>
      </c>
      <c r="B4813" s="2" t="str">
        <f>"3328166208950002"</f>
        <v>3328166208950002</v>
      </c>
      <c r="C4813" s="2" t="s">
        <v>5367</v>
      </c>
      <c r="D4813" s="2" t="s">
        <v>17</v>
      </c>
      <c r="E4813" s="2" t="s">
        <v>11</v>
      </c>
      <c r="F4813" s="2" t="s">
        <v>18</v>
      </c>
      <c r="G4813" s="2" t="s">
        <v>19</v>
      </c>
      <c r="H4813" s="2" t="s">
        <v>5207</v>
      </c>
      <c r="I4813" s="2" t="s">
        <v>5217</v>
      </c>
    </row>
    <row r="4814" spans="1:9" ht="14.5" x14ac:dyDescent="0.35">
      <c r="A4814" s="2">
        <v>152407</v>
      </c>
      <c r="B4814" s="2" t="str">
        <f>"3328166406760003"</f>
        <v>3328166406760003</v>
      </c>
      <c r="C4814" s="2" t="s">
        <v>5368</v>
      </c>
      <c r="D4814" s="2" t="s">
        <v>10</v>
      </c>
      <c r="E4814" s="2" t="s">
        <v>11</v>
      </c>
      <c r="F4814" s="2" t="s">
        <v>91</v>
      </c>
      <c r="G4814" s="2" t="s">
        <v>159</v>
      </c>
      <c r="H4814" s="2" t="s">
        <v>685</v>
      </c>
      <c r="I4814" s="2" t="s">
        <v>686</v>
      </c>
    </row>
    <row r="4815" spans="1:9" ht="14.5" x14ac:dyDescent="0.35">
      <c r="A4815" s="2">
        <v>2562743</v>
      </c>
      <c r="B4815" s="2" t="str">
        <f>"3328166406760003"</f>
        <v>3328166406760003</v>
      </c>
      <c r="C4815" s="2" t="s">
        <v>5369</v>
      </c>
      <c r="D4815" s="2" t="s">
        <v>17</v>
      </c>
      <c r="E4815" s="2" t="s">
        <v>11</v>
      </c>
      <c r="F4815" s="2" t="s">
        <v>18</v>
      </c>
      <c r="G4815" s="2" t="s">
        <v>19</v>
      </c>
      <c r="H4815" s="2" t="s">
        <v>5207</v>
      </c>
      <c r="I4815" s="2" t="s">
        <v>674</v>
      </c>
    </row>
    <row r="4816" spans="1:9" ht="14.5" x14ac:dyDescent="0.35">
      <c r="A4816" s="2">
        <v>861893</v>
      </c>
      <c r="B4816" s="2" t="str">
        <f>"3328166501890003"</f>
        <v>3328166501890003</v>
      </c>
      <c r="C4816" s="2" t="s">
        <v>5370</v>
      </c>
      <c r="D4816" s="2" t="s">
        <v>10</v>
      </c>
      <c r="E4816" s="2" t="s">
        <v>11</v>
      </c>
      <c r="F4816" s="2" t="s">
        <v>91</v>
      </c>
      <c r="G4816" s="2" t="s">
        <v>159</v>
      </c>
      <c r="H4816" s="2" t="s">
        <v>2614</v>
      </c>
      <c r="I4816" s="2" t="s">
        <v>5294</v>
      </c>
    </row>
    <row r="4817" spans="1:9" ht="14.5" x14ac:dyDescent="0.35">
      <c r="A4817" s="2">
        <v>2562790</v>
      </c>
      <c r="B4817" s="2" t="str">
        <f>"3328166501890003"</f>
        <v>3328166501890003</v>
      </c>
      <c r="C4817" s="2" t="s">
        <v>5370</v>
      </c>
      <c r="D4817" s="2" t="s">
        <v>17</v>
      </c>
      <c r="E4817" s="2" t="s">
        <v>11</v>
      </c>
      <c r="F4817" s="2" t="s">
        <v>18</v>
      </c>
      <c r="G4817" s="2" t="s">
        <v>19</v>
      </c>
      <c r="H4817" s="2" t="s">
        <v>5207</v>
      </c>
      <c r="I4817" s="2" t="s">
        <v>5217</v>
      </c>
    </row>
    <row r="4818" spans="1:9" ht="14.5" x14ac:dyDescent="0.35">
      <c r="A4818" s="2">
        <v>1404418</v>
      </c>
      <c r="B4818" s="2" t="str">
        <f>"3328166501910003"</f>
        <v>3328166501910003</v>
      </c>
      <c r="C4818" s="2" t="s">
        <v>1963</v>
      </c>
      <c r="D4818" s="2" t="s">
        <v>10</v>
      </c>
      <c r="E4818" s="2" t="s">
        <v>11</v>
      </c>
      <c r="F4818" s="2" t="s">
        <v>18</v>
      </c>
      <c r="G4818" s="2" t="s">
        <v>19</v>
      </c>
      <c r="H4818" s="2" t="s">
        <v>5207</v>
      </c>
      <c r="I4818" s="2" t="s">
        <v>5235</v>
      </c>
    </row>
    <row r="4819" spans="1:9" ht="14.5" x14ac:dyDescent="0.35">
      <c r="A4819" s="2">
        <v>943487</v>
      </c>
      <c r="B4819" s="2" t="str">
        <f>"3328166501910003"</f>
        <v>3328166501910003</v>
      </c>
      <c r="C4819" s="2" t="s">
        <v>1963</v>
      </c>
      <c r="D4819" s="2" t="s">
        <v>17</v>
      </c>
      <c r="E4819" s="2" t="s">
        <v>11</v>
      </c>
      <c r="F4819" s="2" t="s">
        <v>91</v>
      </c>
      <c r="G4819" s="2" t="s">
        <v>109</v>
      </c>
      <c r="H4819" s="2" t="s">
        <v>5371</v>
      </c>
      <c r="I4819" s="2" t="s">
        <v>4043</v>
      </c>
    </row>
    <row r="4820" spans="1:9" ht="14.5" x14ac:dyDescent="0.35">
      <c r="A4820" s="2">
        <v>1392090</v>
      </c>
      <c r="B4820" s="2" t="str">
        <f>"3328166507920004"</f>
        <v>3328166507920004</v>
      </c>
      <c r="C4820" s="2" t="s">
        <v>5372</v>
      </c>
      <c r="D4820" s="2" t="s">
        <v>10</v>
      </c>
      <c r="E4820" s="2" t="s">
        <v>11</v>
      </c>
      <c r="F4820" s="2" t="s">
        <v>18</v>
      </c>
      <c r="G4820" s="2" t="s">
        <v>19</v>
      </c>
      <c r="H4820" s="2" t="s">
        <v>5207</v>
      </c>
      <c r="I4820" s="2" t="s">
        <v>5217</v>
      </c>
    </row>
    <row r="4821" spans="1:9" ht="14.5" x14ac:dyDescent="0.35">
      <c r="A4821" s="2">
        <v>1619757</v>
      </c>
      <c r="B4821" s="2" t="str">
        <f>"3328166507920004"</f>
        <v>3328166507920004</v>
      </c>
      <c r="C4821" s="2" t="s">
        <v>5372</v>
      </c>
      <c r="D4821" s="2" t="s">
        <v>17</v>
      </c>
      <c r="E4821" s="2" t="s">
        <v>11</v>
      </c>
      <c r="F4821" s="2" t="s">
        <v>18</v>
      </c>
      <c r="G4821" s="2" t="s">
        <v>167</v>
      </c>
      <c r="H4821" s="2" t="s">
        <v>1885</v>
      </c>
      <c r="I4821" s="2" t="s">
        <v>4765</v>
      </c>
    </row>
    <row r="4822" spans="1:9" ht="14.5" x14ac:dyDescent="0.35">
      <c r="A4822" s="2">
        <v>1336026</v>
      </c>
      <c r="B4822" s="2" t="str">
        <f>"3328166510860005"</f>
        <v>3328166510860005</v>
      </c>
      <c r="C4822" s="2" t="s">
        <v>5373</v>
      </c>
      <c r="D4822" s="2" t="s">
        <v>10</v>
      </c>
      <c r="E4822" s="2" t="s">
        <v>11</v>
      </c>
      <c r="F4822" s="2" t="s">
        <v>18</v>
      </c>
      <c r="G4822" s="2" t="s">
        <v>19</v>
      </c>
      <c r="H4822" s="2" t="s">
        <v>5207</v>
      </c>
      <c r="I4822" s="2" t="s">
        <v>5276</v>
      </c>
    </row>
    <row r="4823" spans="1:9" ht="14.5" x14ac:dyDescent="0.35">
      <c r="A4823" s="2">
        <v>1863064</v>
      </c>
      <c r="B4823" s="2" t="str">
        <f>"3328166510860005"</f>
        <v>3328166510860005</v>
      </c>
      <c r="C4823" s="2" t="s">
        <v>5373</v>
      </c>
      <c r="D4823" s="2" t="s">
        <v>17</v>
      </c>
      <c r="E4823" s="2" t="s">
        <v>11</v>
      </c>
      <c r="F4823" s="2" t="s">
        <v>91</v>
      </c>
      <c r="G4823" s="2" t="s">
        <v>320</v>
      </c>
      <c r="H4823" s="2" t="s">
        <v>368</v>
      </c>
      <c r="I4823" s="2" t="s">
        <v>5277</v>
      </c>
    </row>
    <row r="4824" spans="1:9" ht="14.5" x14ac:dyDescent="0.35">
      <c r="A4824" s="2">
        <v>1227491</v>
      </c>
      <c r="B4824" s="2" t="str">
        <f>"3328166704550003"</f>
        <v>3328166704550003</v>
      </c>
      <c r="C4824" s="2" t="s">
        <v>5374</v>
      </c>
      <c r="D4824" s="2" t="s">
        <v>17</v>
      </c>
      <c r="E4824" s="2" t="s">
        <v>11</v>
      </c>
      <c r="F4824" s="2" t="s">
        <v>303</v>
      </c>
      <c r="G4824" s="2" t="s">
        <v>5375</v>
      </c>
      <c r="H4824" s="2" t="s">
        <v>5376</v>
      </c>
      <c r="I4824" s="2" t="s">
        <v>5376</v>
      </c>
    </row>
    <row r="4825" spans="1:9" ht="14.5" x14ac:dyDescent="0.35">
      <c r="A4825" s="2">
        <v>2562670</v>
      </c>
      <c r="B4825" s="2" t="str">
        <f>"3328166704550003"</f>
        <v>3328166704550003</v>
      </c>
      <c r="C4825" s="2" t="s">
        <v>5377</v>
      </c>
      <c r="D4825" s="2" t="s">
        <v>17</v>
      </c>
      <c r="E4825" s="2" t="s">
        <v>11</v>
      </c>
      <c r="F4825" s="2" t="s">
        <v>18</v>
      </c>
      <c r="G4825" s="2" t="s">
        <v>19</v>
      </c>
      <c r="H4825" s="2" t="s">
        <v>5207</v>
      </c>
      <c r="I4825" s="2" t="s">
        <v>674</v>
      </c>
    </row>
    <row r="4826" spans="1:9" ht="14.5" x14ac:dyDescent="0.35">
      <c r="A4826" s="2">
        <v>2079862</v>
      </c>
      <c r="B4826" s="2" t="str">
        <f>"3328166806900001"</f>
        <v>3328166806900001</v>
      </c>
      <c r="C4826" s="2" t="s">
        <v>4178</v>
      </c>
      <c r="D4826" s="2" t="s">
        <v>189</v>
      </c>
      <c r="E4826" s="2" t="s">
        <v>11</v>
      </c>
      <c r="F4826" s="2" t="s">
        <v>18</v>
      </c>
      <c r="G4826" s="2" t="s">
        <v>19</v>
      </c>
      <c r="H4826" s="2" t="s">
        <v>5207</v>
      </c>
      <c r="I4826" s="2" t="s">
        <v>1964</v>
      </c>
    </row>
    <row r="4827" spans="1:9" ht="14.5" x14ac:dyDescent="0.35">
      <c r="A4827" s="2">
        <v>941891</v>
      </c>
      <c r="B4827" s="2" t="str">
        <f>"3328166806900001"</f>
        <v>3328166806900001</v>
      </c>
      <c r="C4827" s="2" t="s">
        <v>4178</v>
      </c>
      <c r="D4827" s="2" t="s">
        <v>17</v>
      </c>
      <c r="E4827" s="2" t="s">
        <v>11</v>
      </c>
      <c r="F4827" s="2" t="s">
        <v>91</v>
      </c>
      <c r="G4827" s="2" t="s">
        <v>109</v>
      </c>
      <c r="H4827" s="2" t="s">
        <v>110</v>
      </c>
      <c r="I4827" s="2" t="s">
        <v>5378</v>
      </c>
    </row>
    <row r="4828" spans="1:9" ht="14.5" x14ac:dyDescent="0.35">
      <c r="A4828" s="2">
        <v>152408</v>
      </c>
      <c r="B4828" s="2" t="str">
        <f>"3328166907030001"</f>
        <v>3328166907030001</v>
      </c>
      <c r="C4828" s="2" t="s">
        <v>5379</v>
      </c>
      <c r="D4828" s="2" t="s">
        <v>10</v>
      </c>
      <c r="E4828" s="2" t="s">
        <v>11</v>
      </c>
      <c r="F4828" s="2" t="s">
        <v>91</v>
      </c>
      <c r="G4828" s="2" t="s">
        <v>159</v>
      </c>
      <c r="H4828" s="2" t="s">
        <v>685</v>
      </c>
      <c r="I4828" s="2" t="s">
        <v>686</v>
      </c>
    </row>
    <row r="4829" spans="1:9" ht="14.5" x14ac:dyDescent="0.35">
      <c r="A4829" s="2">
        <v>2562740</v>
      </c>
      <c r="B4829" s="2" t="str">
        <f>"3328166907030001"</f>
        <v>3328166907030001</v>
      </c>
      <c r="C4829" s="2" t="s">
        <v>5380</v>
      </c>
      <c r="D4829" s="2" t="s">
        <v>17</v>
      </c>
      <c r="E4829" s="2" t="s">
        <v>11</v>
      </c>
      <c r="F4829" s="2" t="s">
        <v>18</v>
      </c>
      <c r="G4829" s="2" t="s">
        <v>19</v>
      </c>
      <c r="H4829" s="2" t="s">
        <v>5207</v>
      </c>
      <c r="I4829" s="2" t="s">
        <v>674</v>
      </c>
    </row>
    <row r="4830" spans="1:9" ht="14.5" x14ac:dyDescent="0.35">
      <c r="A4830" s="2">
        <v>1499351</v>
      </c>
      <c r="B4830" s="2" t="str">
        <f>"3329054208000002"</f>
        <v>3329054208000002</v>
      </c>
      <c r="C4830" s="2" t="s">
        <v>1934</v>
      </c>
      <c r="D4830" s="2" t="s">
        <v>10</v>
      </c>
      <c r="E4830" s="2" t="s">
        <v>11</v>
      </c>
      <c r="F4830" s="2" t="s">
        <v>18</v>
      </c>
      <c r="G4830" s="2" t="s">
        <v>264</v>
      </c>
      <c r="H4830" s="2" t="s">
        <v>289</v>
      </c>
      <c r="I4830" s="2" t="s">
        <v>466</v>
      </c>
    </row>
    <row r="4831" spans="1:9" ht="14.5" x14ac:dyDescent="0.35">
      <c r="A4831" s="2">
        <v>2561828</v>
      </c>
      <c r="B4831" s="2" t="str">
        <f>"3329054208000002"</f>
        <v>3329054208000002</v>
      </c>
      <c r="C4831" s="2" t="s">
        <v>5381</v>
      </c>
      <c r="D4831" s="2" t="s">
        <v>17</v>
      </c>
      <c r="E4831" s="2" t="s">
        <v>11</v>
      </c>
      <c r="F4831" s="2" t="s">
        <v>18</v>
      </c>
      <c r="G4831" s="2" t="s">
        <v>19</v>
      </c>
      <c r="H4831" s="2" t="s">
        <v>5207</v>
      </c>
      <c r="I4831" s="2" t="s">
        <v>5223</v>
      </c>
    </row>
    <row r="4832" spans="1:9" ht="14.5" x14ac:dyDescent="0.35">
      <c r="A4832" s="2">
        <v>1317613</v>
      </c>
      <c r="B4832" s="2" t="str">
        <f>"3329072912960001"</f>
        <v>3329072912960001</v>
      </c>
      <c r="C4832" s="2" t="s">
        <v>5382</v>
      </c>
      <c r="D4832" s="2" t="s">
        <v>10</v>
      </c>
      <c r="E4832" s="2" t="s">
        <v>11</v>
      </c>
      <c r="F4832" s="2" t="s">
        <v>18</v>
      </c>
      <c r="G4832" s="2" t="s">
        <v>264</v>
      </c>
      <c r="H4832" s="2" t="s">
        <v>265</v>
      </c>
      <c r="I4832" s="2" t="s">
        <v>1869</v>
      </c>
    </row>
    <row r="4833" spans="1:9" ht="14.5" x14ac:dyDescent="0.35">
      <c r="A4833" s="2">
        <v>2562638</v>
      </c>
      <c r="B4833" s="2" t="str">
        <f>"3329072912960001"</f>
        <v>3329072912960001</v>
      </c>
      <c r="C4833" s="2" t="s">
        <v>5383</v>
      </c>
      <c r="D4833" s="2" t="s">
        <v>17</v>
      </c>
      <c r="E4833" s="2" t="s">
        <v>11</v>
      </c>
      <c r="F4833" s="2" t="s">
        <v>18</v>
      </c>
      <c r="G4833" s="2" t="s">
        <v>19</v>
      </c>
      <c r="H4833" s="2" t="s">
        <v>5207</v>
      </c>
      <c r="I4833" s="2" t="s">
        <v>674</v>
      </c>
    </row>
    <row r="4834" spans="1:9" ht="14.5" x14ac:dyDescent="0.35">
      <c r="A4834" s="2">
        <v>668072</v>
      </c>
      <c r="B4834" s="2" t="str">
        <f>"3329083112640011"</f>
        <v>3329083112640011</v>
      </c>
      <c r="C4834" s="2" t="s">
        <v>5384</v>
      </c>
      <c r="D4834" s="2" t="s">
        <v>10</v>
      </c>
      <c r="E4834" s="2" t="s">
        <v>11</v>
      </c>
      <c r="F4834" s="2" t="s">
        <v>18</v>
      </c>
      <c r="G4834" s="2" t="s">
        <v>264</v>
      </c>
      <c r="H4834" s="2" t="s">
        <v>248</v>
      </c>
      <c r="I4834" s="2" t="s">
        <v>1634</v>
      </c>
    </row>
    <row r="4835" spans="1:9" ht="14.5" x14ac:dyDescent="0.35">
      <c r="A4835" s="2">
        <v>2563573</v>
      </c>
      <c r="B4835" s="2" t="str">
        <f>"3329083112640011"</f>
        <v>3329083112640011</v>
      </c>
      <c r="C4835" s="2" t="s">
        <v>5385</v>
      </c>
      <c r="D4835" s="2" t="s">
        <v>17</v>
      </c>
      <c r="E4835" s="2" t="s">
        <v>11</v>
      </c>
      <c r="F4835" s="2" t="s">
        <v>18</v>
      </c>
      <c r="G4835" s="2" t="s">
        <v>19</v>
      </c>
      <c r="H4835" s="2" t="s">
        <v>5207</v>
      </c>
      <c r="I4835" s="2" t="s">
        <v>5207</v>
      </c>
    </row>
    <row r="4836" spans="1:9" ht="14.5" x14ac:dyDescent="0.35">
      <c r="A4836" s="2">
        <v>1428551</v>
      </c>
      <c r="B4836" s="2" t="str">
        <f>"3329086501000002"</f>
        <v>3329086501000002</v>
      </c>
      <c r="C4836" s="2" t="s">
        <v>5386</v>
      </c>
      <c r="D4836" s="2" t="s">
        <v>10</v>
      </c>
      <c r="E4836" s="2" t="s">
        <v>11</v>
      </c>
      <c r="F4836" s="2" t="s">
        <v>18</v>
      </c>
      <c r="G4836" s="2" t="s">
        <v>264</v>
      </c>
      <c r="H4836" s="2" t="s">
        <v>248</v>
      </c>
      <c r="I4836" s="2" t="s">
        <v>868</v>
      </c>
    </row>
    <row r="4837" spans="1:9" ht="14.5" x14ac:dyDescent="0.35">
      <c r="A4837" s="2">
        <v>2563224</v>
      </c>
      <c r="B4837" s="2" t="str">
        <f>"3329086501000002"</f>
        <v>3329086501000002</v>
      </c>
      <c r="C4837" s="2" t="s">
        <v>5387</v>
      </c>
      <c r="D4837" s="2" t="s">
        <v>17</v>
      </c>
      <c r="E4837" s="2" t="s">
        <v>11</v>
      </c>
      <c r="F4837" s="2" t="s">
        <v>18</v>
      </c>
      <c r="G4837" s="2" t="s">
        <v>19</v>
      </c>
      <c r="H4837" s="2" t="s">
        <v>5207</v>
      </c>
      <c r="I4837" s="2" t="s">
        <v>5239</v>
      </c>
    </row>
    <row r="4838" spans="1:9" ht="14.5" x14ac:dyDescent="0.35">
      <c r="A4838" s="2">
        <v>926016</v>
      </c>
      <c r="B4838" s="2" t="str">
        <f>"3329121306860006"</f>
        <v>3329121306860006</v>
      </c>
      <c r="C4838" s="2" t="s">
        <v>5388</v>
      </c>
      <c r="D4838" s="2" t="s">
        <v>10</v>
      </c>
      <c r="E4838" s="2" t="s">
        <v>11</v>
      </c>
      <c r="F4838" s="2" t="s">
        <v>18</v>
      </c>
      <c r="G4838" s="2" t="s">
        <v>264</v>
      </c>
      <c r="H4838" s="2" t="s">
        <v>877</v>
      </c>
      <c r="I4838" s="2" t="s">
        <v>5389</v>
      </c>
    </row>
    <row r="4839" spans="1:9" ht="14.5" x14ac:dyDescent="0.35">
      <c r="A4839" s="2">
        <v>2562933</v>
      </c>
      <c r="B4839" s="2" t="str">
        <f>"3329121306860006"</f>
        <v>3329121306860006</v>
      </c>
      <c r="C4839" s="2" t="s">
        <v>5388</v>
      </c>
      <c r="D4839" s="2" t="s">
        <v>17</v>
      </c>
      <c r="E4839" s="2" t="s">
        <v>11</v>
      </c>
      <c r="F4839" s="2" t="s">
        <v>18</v>
      </c>
      <c r="G4839" s="2" t="s">
        <v>19</v>
      </c>
      <c r="H4839" s="2" t="s">
        <v>5207</v>
      </c>
      <c r="I4839" s="2" t="s">
        <v>5217</v>
      </c>
    </row>
    <row r="4840" spans="1:9" ht="14.5" x14ac:dyDescent="0.35">
      <c r="A4840" s="2">
        <v>1715677</v>
      </c>
      <c r="B4840" s="2" t="str">
        <f>"3329142907930007"</f>
        <v>3329142907930007</v>
      </c>
      <c r="C4840" s="2" t="s">
        <v>5390</v>
      </c>
      <c r="D4840" s="2" t="s">
        <v>10</v>
      </c>
      <c r="E4840" s="2" t="s">
        <v>11</v>
      </c>
      <c r="F4840" s="2" t="s">
        <v>18</v>
      </c>
      <c r="G4840" s="2" t="s">
        <v>19</v>
      </c>
      <c r="H4840" s="2" t="s">
        <v>5207</v>
      </c>
      <c r="I4840" s="2" t="s">
        <v>5258</v>
      </c>
    </row>
    <row r="4841" spans="1:9" ht="14.5" x14ac:dyDescent="0.35">
      <c r="A4841" s="2">
        <v>1640356</v>
      </c>
      <c r="B4841" s="2" t="str">
        <f>"3329142907930007"</f>
        <v>3329142907930007</v>
      </c>
      <c r="C4841" s="2" t="s">
        <v>5390</v>
      </c>
      <c r="D4841" s="2" t="s">
        <v>17</v>
      </c>
      <c r="E4841" s="2" t="s">
        <v>11</v>
      </c>
      <c r="F4841" s="2" t="s">
        <v>18</v>
      </c>
      <c r="G4841" s="2" t="s">
        <v>264</v>
      </c>
      <c r="H4841" s="2" t="s">
        <v>477</v>
      </c>
      <c r="I4841" s="2" t="s">
        <v>1646</v>
      </c>
    </row>
    <row r="4842" spans="1:9" ht="14.5" x14ac:dyDescent="0.35">
      <c r="A4842" s="2">
        <v>1392223</v>
      </c>
      <c r="B4842" s="2" t="str">
        <f>"3329170107830129"</f>
        <v>3329170107830129</v>
      </c>
      <c r="C4842" s="2" t="s">
        <v>5391</v>
      </c>
      <c r="D4842" s="2" t="s">
        <v>10</v>
      </c>
      <c r="E4842" s="2" t="s">
        <v>11</v>
      </c>
      <c r="F4842" s="2" t="s">
        <v>18</v>
      </c>
      <c r="G4842" s="2" t="s">
        <v>19</v>
      </c>
      <c r="H4842" s="2" t="s">
        <v>5207</v>
      </c>
      <c r="I4842" s="2" t="s">
        <v>5217</v>
      </c>
    </row>
    <row r="4843" spans="1:9" ht="14.5" x14ac:dyDescent="0.35">
      <c r="A4843" s="2">
        <v>1586265</v>
      </c>
      <c r="B4843" s="2" t="str">
        <f>"3329170107830129"</f>
        <v>3329170107830129</v>
      </c>
      <c r="C4843" s="2" t="s">
        <v>5392</v>
      </c>
      <c r="D4843" s="2" t="s">
        <v>17</v>
      </c>
      <c r="E4843" s="2" t="s">
        <v>11</v>
      </c>
      <c r="F4843" s="2" t="s">
        <v>18</v>
      </c>
      <c r="G4843" s="2" t="s">
        <v>264</v>
      </c>
      <c r="H4843" s="2" t="s">
        <v>881</v>
      </c>
      <c r="I4843" s="2" t="s">
        <v>5393</v>
      </c>
    </row>
    <row r="4844" spans="1:9" ht="14.5" x14ac:dyDescent="0.35">
      <c r="A4844" s="2">
        <v>265944</v>
      </c>
      <c r="B4844" s="2" t="str">
        <f>"3376020102940008"</f>
        <v>3376020102940008</v>
      </c>
      <c r="C4844" s="2" t="s">
        <v>5394</v>
      </c>
      <c r="D4844" s="2" t="s">
        <v>10</v>
      </c>
      <c r="E4844" s="2" t="s">
        <v>11</v>
      </c>
      <c r="F4844" s="2" t="s">
        <v>18</v>
      </c>
      <c r="G4844" s="2" t="s">
        <v>268</v>
      </c>
      <c r="H4844" s="2" t="s">
        <v>371</v>
      </c>
      <c r="I4844" s="2" t="s">
        <v>497</v>
      </c>
    </row>
    <row r="4845" spans="1:9" ht="14.5" x14ac:dyDescent="0.35">
      <c r="A4845" s="2">
        <v>2562922</v>
      </c>
      <c r="B4845" s="2" t="str">
        <f>"3376020102940008"</f>
        <v>3376020102940008</v>
      </c>
      <c r="C4845" s="2" t="s">
        <v>5394</v>
      </c>
      <c r="D4845" s="2" t="s">
        <v>17</v>
      </c>
      <c r="E4845" s="2" t="s">
        <v>11</v>
      </c>
      <c r="F4845" s="2" t="s">
        <v>18</v>
      </c>
      <c r="G4845" s="2" t="s">
        <v>19</v>
      </c>
      <c r="H4845" s="2" t="s">
        <v>5207</v>
      </c>
      <c r="I4845" s="2" t="s">
        <v>5217</v>
      </c>
    </row>
    <row r="4846" spans="1:9" ht="14.5" x14ac:dyDescent="0.35">
      <c r="A4846" s="2">
        <v>297025</v>
      </c>
      <c r="B4846" s="2" t="str">
        <f>"3376021912960005"</f>
        <v>3376021912960005</v>
      </c>
      <c r="C4846" s="2" t="s">
        <v>5395</v>
      </c>
      <c r="D4846" s="2" t="s">
        <v>10</v>
      </c>
      <c r="E4846" s="2" t="s">
        <v>11</v>
      </c>
      <c r="F4846" s="2" t="s">
        <v>18</v>
      </c>
      <c r="G4846" s="2" t="s">
        <v>268</v>
      </c>
      <c r="H4846" s="2" t="s">
        <v>277</v>
      </c>
      <c r="I4846" s="2" t="s">
        <v>2762</v>
      </c>
    </row>
    <row r="4847" spans="1:9" ht="14.5" x14ac:dyDescent="0.35">
      <c r="A4847" s="2">
        <v>2563393</v>
      </c>
      <c r="B4847" s="2" t="str">
        <f>"3376021912960005"</f>
        <v>3376021912960005</v>
      </c>
      <c r="C4847" s="2" t="s">
        <v>5396</v>
      </c>
      <c r="D4847" s="2" t="s">
        <v>17</v>
      </c>
      <c r="E4847" s="2" t="s">
        <v>11</v>
      </c>
      <c r="F4847" s="2" t="s">
        <v>18</v>
      </c>
      <c r="G4847" s="2" t="s">
        <v>19</v>
      </c>
      <c r="H4847" s="2" t="s">
        <v>5207</v>
      </c>
      <c r="I4847" s="2" t="s">
        <v>5239</v>
      </c>
    </row>
    <row r="4848" spans="1:9" ht="14.5" x14ac:dyDescent="0.35">
      <c r="A4848" s="2">
        <v>416322</v>
      </c>
      <c r="B4848" s="2" t="str">
        <f>"3376045207940001"</f>
        <v>3376045207940001</v>
      </c>
      <c r="C4848" s="2" t="s">
        <v>5397</v>
      </c>
      <c r="D4848" s="2" t="s">
        <v>10</v>
      </c>
      <c r="E4848" s="2" t="s">
        <v>11</v>
      </c>
      <c r="F4848" s="2" t="s">
        <v>18</v>
      </c>
      <c r="G4848" s="2" t="s">
        <v>268</v>
      </c>
      <c r="H4848" s="2" t="s">
        <v>448</v>
      </c>
      <c r="I4848" s="2" t="s">
        <v>888</v>
      </c>
    </row>
    <row r="4849" spans="1:9" ht="14.5" x14ac:dyDescent="0.35">
      <c r="A4849" s="2">
        <v>2562738</v>
      </c>
      <c r="B4849" s="2" t="str">
        <f>"3376045207940001"</f>
        <v>3376045207940001</v>
      </c>
      <c r="C4849" s="2" t="s">
        <v>5398</v>
      </c>
      <c r="D4849" s="2" t="s">
        <v>17</v>
      </c>
      <c r="E4849" s="2" t="s">
        <v>11</v>
      </c>
      <c r="F4849" s="2" t="s">
        <v>18</v>
      </c>
      <c r="G4849" s="2" t="s">
        <v>19</v>
      </c>
      <c r="H4849" s="2" t="s">
        <v>5207</v>
      </c>
      <c r="I4849" s="2" t="s">
        <v>674</v>
      </c>
    </row>
    <row r="4850" spans="1:9" ht="14.5" x14ac:dyDescent="0.35">
      <c r="A4850" s="2">
        <v>1812263</v>
      </c>
      <c r="B4850" s="2" t="str">
        <f>"3509291002800004"</f>
        <v>3509291002800004</v>
      </c>
      <c r="C4850" s="2" t="s">
        <v>5399</v>
      </c>
      <c r="D4850" s="2" t="s">
        <v>10</v>
      </c>
      <c r="E4850" s="2" t="s">
        <v>11</v>
      </c>
      <c r="F4850" s="2" t="s">
        <v>18</v>
      </c>
      <c r="G4850" s="2" t="s">
        <v>19</v>
      </c>
      <c r="H4850" s="2" t="s">
        <v>5207</v>
      </c>
      <c r="I4850" s="2" t="s">
        <v>933</v>
      </c>
    </row>
    <row r="4851" spans="1:9" ht="14.5" x14ac:dyDescent="0.35">
      <c r="A4851" s="2">
        <v>2356146</v>
      </c>
      <c r="B4851" s="2" t="str">
        <f>"3509291002800004"</f>
        <v>3509291002800004</v>
      </c>
      <c r="C4851" s="2" t="s">
        <v>5399</v>
      </c>
      <c r="D4851" s="2" t="s">
        <v>17</v>
      </c>
      <c r="E4851" s="2" t="s">
        <v>11</v>
      </c>
      <c r="F4851" s="2" t="s">
        <v>303</v>
      </c>
      <c r="G4851" s="2" t="s">
        <v>5400</v>
      </c>
      <c r="H4851" s="2" t="s">
        <v>5401</v>
      </c>
      <c r="I4851" s="2" t="s">
        <v>5402</v>
      </c>
    </row>
    <row r="4852" spans="1:9" ht="14.5" x14ac:dyDescent="0.35">
      <c r="A4852" s="2">
        <v>756459</v>
      </c>
      <c r="B4852" s="2" t="str">
        <f>"3519074607810001"</f>
        <v>3519074607810001</v>
      </c>
      <c r="C4852" s="2" t="s">
        <v>5403</v>
      </c>
      <c r="D4852" s="2" t="s">
        <v>10</v>
      </c>
      <c r="E4852" s="2" t="s">
        <v>11</v>
      </c>
      <c r="F4852" s="2" t="s">
        <v>303</v>
      </c>
      <c r="G4852" s="2" t="s">
        <v>5404</v>
      </c>
      <c r="H4852" s="2" t="s">
        <v>5405</v>
      </c>
      <c r="I4852" s="2" t="s">
        <v>5406</v>
      </c>
    </row>
    <row r="4853" spans="1:9" ht="14.5" x14ac:dyDescent="0.35">
      <c r="A4853" s="2">
        <v>2562309</v>
      </c>
      <c r="B4853" s="2" t="str">
        <f>"3519074607810001"</f>
        <v>3519074607810001</v>
      </c>
      <c r="C4853" s="2" t="s">
        <v>5407</v>
      </c>
      <c r="D4853" s="2" t="s">
        <v>17</v>
      </c>
      <c r="E4853" s="2" t="s">
        <v>11</v>
      </c>
      <c r="F4853" s="2" t="s">
        <v>18</v>
      </c>
      <c r="G4853" s="2" t="s">
        <v>19</v>
      </c>
      <c r="H4853" s="2" t="s">
        <v>5207</v>
      </c>
      <c r="I4853" s="2" t="s">
        <v>1964</v>
      </c>
    </row>
    <row r="4854" spans="1:9" ht="14.5" x14ac:dyDescent="0.35">
      <c r="A4854" s="2">
        <v>1565750</v>
      </c>
      <c r="B4854" s="2" t="str">
        <f>"3601200107930069"</f>
        <v>3601200107930069</v>
      </c>
      <c r="C4854" s="2" t="s">
        <v>5408</v>
      </c>
      <c r="D4854" s="2" t="s">
        <v>10</v>
      </c>
      <c r="E4854" s="2" t="s">
        <v>11</v>
      </c>
      <c r="F4854" s="2" t="s">
        <v>67</v>
      </c>
      <c r="G4854" s="2" t="s">
        <v>890</v>
      </c>
      <c r="H4854" s="2" t="s">
        <v>241</v>
      </c>
      <c r="I4854" s="2" t="s">
        <v>241</v>
      </c>
    </row>
    <row r="4855" spans="1:9" ht="14.5" x14ac:dyDescent="0.35">
      <c r="A4855" s="2">
        <v>2561859</v>
      </c>
      <c r="B4855" s="2" t="str">
        <f>"3601200107930069"</f>
        <v>3601200107930069</v>
      </c>
      <c r="C4855" s="2" t="s">
        <v>5409</v>
      </c>
      <c r="D4855" s="2" t="s">
        <v>17</v>
      </c>
      <c r="E4855" s="2" t="s">
        <v>11</v>
      </c>
      <c r="F4855" s="2" t="s">
        <v>18</v>
      </c>
      <c r="G4855" s="2" t="s">
        <v>19</v>
      </c>
      <c r="H4855" s="2" t="s">
        <v>5207</v>
      </c>
      <c r="I4855" s="2" t="s">
        <v>5223</v>
      </c>
    </row>
    <row r="4856" spans="1:9" ht="14.5" x14ac:dyDescent="0.35">
      <c r="A4856" s="2">
        <v>1783139</v>
      </c>
      <c r="B4856" s="2" t="str">
        <f>"3603083105750002"</f>
        <v>3603083105750002</v>
      </c>
      <c r="C4856" s="2" t="s">
        <v>5410</v>
      </c>
      <c r="D4856" s="2" t="s">
        <v>10</v>
      </c>
      <c r="E4856" s="2" t="s">
        <v>11</v>
      </c>
      <c r="F4856" s="2" t="s">
        <v>67</v>
      </c>
      <c r="G4856" s="2" t="s">
        <v>791</v>
      </c>
      <c r="H4856" s="2" t="s">
        <v>5411</v>
      </c>
      <c r="I4856" s="2" t="s">
        <v>5412</v>
      </c>
    </row>
    <row r="4857" spans="1:9" ht="14.5" x14ac:dyDescent="0.35">
      <c r="A4857" s="2">
        <v>2563050</v>
      </c>
      <c r="B4857" s="2" t="str">
        <f>"3603083105750002"</f>
        <v>3603083105750002</v>
      </c>
      <c r="C4857" s="2" t="s">
        <v>5410</v>
      </c>
      <c r="D4857" s="2" t="s">
        <v>17</v>
      </c>
      <c r="E4857" s="2" t="s">
        <v>11</v>
      </c>
      <c r="F4857" s="2" t="s">
        <v>18</v>
      </c>
      <c r="G4857" s="2" t="s">
        <v>19</v>
      </c>
      <c r="H4857" s="2" t="s">
        <v>5207</v>
      </c>
      <c r="I4857" s="2" t="s">
        <v>5235</v>
      </c>
    </row>
    <row r="4858" spans="1:9" ht="14.5" x14ac:dyDescent="0.35">
      <c r="A4858" s="2">
        <v>1043577</v>
      </c>
      <c r="B4858" s="2" t="str">
        <f>"3603110102800004"</f>
        <v>3603110102800004</v>
      </c>
      <c r="C4858" s="2" t="s">
        <v>5413</v>
      </c>
      <c r="D4858" s="2" t="s">
        <v>10</v>
      </c>
      <c r="E4858" s="2" t="s">
        <v>11</v>
      </c>
      <c r="F4858" s="2" t="s">
        <v>67</v>
      </c>
      <c r="G4858" s="2" t="s">
        <v>791</v>
      </c>
      <c r="H4858" s="2" t="s">
        <v>5414</v>
      </c>
      <c r="I4858" s="2" t="s">
        <v>1815</v>
      </c>
    </row>
    <row r="4859" spans="1:9" ht="14.5" x14ac:dyDescent="0.35">
      <c r="A4859" s="2">
        <v>2561682</v>
      </c>
      <c r="B4859" s="2" t="str">
        <f>"3603110102800004"</f>
        <v>3603110102800004</v>
      </c>
      <c r="C4859" s="2" t="s">
        <v>5413</v>
      </c>
      <c r="D4859" s="2" t="s">
        <v>17</v>
      </c>
      <c r="E4859" s="2" t="s">
        <v>11</v>
      </c>
      <c r="F4859" s="2" t="s">
        <v>18</v>
      </c>
      <c r="G4859" s="2" t="s">
        <v>19</v>
      </c>
      <c r="H4859" s="2" t="s">
        <v>5207</v>
      </c>
      <c r="I4859" s="2" t="s">
        <v>5242</v>
      </c>
    </row>
    <row r="4860" spans="1:9" ht="14.5" x14ac:dyDescent="0.35">
      <c r="A4860" s="2">
        <v>1306098</v>
      </c>
      <c r="B4860" s="2" t="str">
        <f>"3604090101790008"</f>
        <v>3604090101790008</v>
      </c>
      <c r="C4860" s="2" t="s">
        <v>5415</v>
      </c>
      <c r="D4860" s="2" t="s">
        <v>10</v>
      </c>
      <c r="E4860" s="2" t="s">
        <v>11</v>
      </c>
      <c r="F4860" s="2" t="s">
        <v>67</v>
      </c>
      <c r="G4860" s="2" t="s">
        <v>375</v>
      </c>
      <c r="H4860" s="2" t="s">
        <v>2518</v>
      </c>
      <c r="I4860" s="2" t="s">
        <v>2519</v>
      </c>
    </row>
    <row r="4861" spans="1:9" ht="14.5" x14ac:dyDescent="0.35">
      <c r="A4861" s="2">
        <v>2563248</v>
      </c>
      <c r="B4861" s="2" t="str">
        <f>"3604090101790008"</f>
        <v>3604090101790008</v>
      </c>
      <c r="C4861" s="2" t="s">
        <v>5416</v>
      </c>
      <c r="D4861" s="2" t="s">
        <v>17</v>
      </c>
      <c r="E4861" s="2" t="s">
        <v>11</v>
      </c>
      <c r="F4861" s="2" t="s">
        <v>18</v>
      </c>
      <c r="G4861" s="2" t="s">
        <v>19</v>
      </c>
      <c r="H4861" s="2" t="s">
        <v>5207</v>
      </c>
      <c r="I4861" s="2" t="s">
        <v>5239</v>
      </c>
    </row>
    <row r="4862" spans="1:9" ht="14.5" x14ac:dyDescent="0.35">
      <c r="A4862" s="2">
        <v>2552777</v>
      </c>
      <c r="B4862" s="2" t="str">
        <f>"3671061811860009"</f>
        <v>3671061811860009</v>
      </c>
      <c r="C4862" s="2" t="s">
        <v>5417</v>
      </c>
      <c r="D4862" s="2" t="s">
        <v>10</v>
      </c>
      <c r="E4862" s="2" t="s">
        <v>11</v>
      </c>
      <c r="F4862" s="2" t="s">
        <v>67</v>
      </c>
      <c r="G4862" s="2" t="s">
        <v>512</v>
      </c>
      <c r="H4862" s="2" t="s">
        <v>513</v>
      </c>
      <c r="I4862" s="2" t="s">
        <v>514</v>
      </c>
    </row>
    <row r="4863" spans="1:9" ht="14.5" x14ac:dyDescent="0.35">
      <c r="A4863" s="2">
        <v>2562587</v>
      </c>
      <c r="B4863" s="2" t="str">
        <f>"3671061811860009"</f>
        <v>3671061811860009</v>
      </c>
      <c r="C4863" s="2" t="s">
        <v>5417</v>
      </c>
      <c r="D4863" s="2" t="s">
        <v>17</v>
      </c>
      <c r="E4863" s="2" t="s">
        <v>11</v>
      </c>
      <c r="F4863" s="2" t="s">
        <v>18</v>
      </c>
      <c r="G4863" s="2" t="s">
        <v>19</v>
      </c>
      <c r="H4863" s="2" t="s">
        <v>5207</v>
      </c>
      <c r="I4863" s="2" t="s">
        <v>674</v>
      </c>
    </row>
    <row r="4864" spans="1:9" ht="14.5" x14ac:dyDescent="0.35">
      <c r="A4864" s="2">
        <v>1182293</v>
      </c>
      <c r="B4864" s="2" t="str">
        <f>"3174050102761001"</f>
        <v>3174050102761001</v>
      </c>
      <c r="C4864" s="2" t="s">
        <v>5418</v>
      </c>
      <c r="D4864" s="2" t="s">
        <v>10</v>
      </c>
      <c r="E4864" s="2" t="s">
        <v>11</v>
      </c>
      <c r="F4864" s="2" t="s">
        <v>50</v>
      </c>
      <c r="G4864" s="2" t="s">
        <v>72</v>
      </c>
      <c r="H4864" s="2" t="s">
        <v>803</v>
      </c>
      <c r="I4864" s="2" t="s">
        <v>2864</v>
      </c>
    </row>
    <row r="4865" spans="1:9" ht="14.5" x14ac:dyDescent="0.35">
      <c r="A4865" s="2">
        <v>2564062</v>
      </c>
      <c r="B4865" s="2" t="str">
        <f>"3174050102761001"</f>
        <v>3174050102761001</v>
      </c>
      <c r="C4865" s="2" t="s">
        <v>5418</v>
      </c>
      <c r="D4865" s="2" t="s">
        <v>17</v>
      </c>
      <c r="E4865" s="2" t="s">
        <v>11</v>
      </c>
      <c r="F4865" s="2" t="s">
        <v>18</v>
      </c>
      <c r="G4865" s="2" t="s">
        <v>19</v>
      </c>
      <c r="H4865" s="2" t="s">
        <v>4754</v>
      </c>
      <c r="I4865" s="2" t="s">
        <v>3958</v>
      </c>
    </row>
    <row r="4866" spans="1:9" ht="14.5" x14ac:dyDescent="0.35">
      <c r="A4866" s="2">
        <v>1785079</v>
      </c>
      <c r="B4866" s="2" t="str">
        <f>"3175015003950003"</f>
        <v>3175015003950003</v>
      </c>
      <c r="C4866" s="2" t="s">
        <v>5419</v>
      </c>
      <c r="D4866" s="2" t="s">
        <v>10</v>
      </c>
      <c r="E4866" s="2" t="s">
        <v>11</v>
      </c>
      <c r="F4866" s="2" t="s">
        <v>50</v>
      </c>
      <c r="G4866" s="2" t="s">
        <v>58</v>
      </c>
      <c r="H4866" s="2" t="s">
        <v>406</v>
      </c>
      <c r="I4866" s="2" t="s">
        <v>5420</v>
      </c>
    </row>
    <row r="4867" spans="1:9" ht="14.5" x14ac:dyDescent="0.35">
      <c r="A4867" s="2">
        <v>2564451</v>
      </c>
      <c r="B4867" s="2" t="str">
        <f>"3175015003950003"</f>
        <v>3175015003950003</v>
      </c>
      <c r="C4867" s="2" t="s">
        <v>5419</v>
      </c>
      <c r="D4867" s="2" t="s">
        <v>17</v>
      </c>
      <c r="E4867" s="2" t="s">
        <v>11</v>
      </c>
      <c r="F4867" s="2" t="s">
        <v>18</v>
      </c>
      <c r="G4867" s="2" t="s">
        <v>19</v>
      </c>
      <c r="H4867" s="2" t="s">
        <v>4754</v>
      </c>
      <c r="I4867" s="2" t="s">
        <v>5421</v>
      </c>
    </row>
    <row r="4868" spans="1:9" ht="14.5" x14ac:dyDescent="0.35">
      <c r="A4868" s="2">
        <v>2564206</v>
      </c>
      <c r="B4868" s="2" t="str">
        <f>"3175061709721001"</f>
        <v>3175061709721001</v>
      </c>
      <c r="C4868" s="2" t="s">
        <v>5422</v>
      </c>
      <c r="D4868" s="2" t="s">
        <v>17</v>
      </c>
      <c r="E4868" s="2" t="s">
        <v>11</v>
      </c>
      <c r="F4868" s="2" t="s">
        <v>18</v>
      </c>
      <c r="G4868" s="2" t="s">
        <v>19</v>
      </c>
      <c r="H4868" s="2" t="s">
        <v>4754</v>
      </c>
      <c r="I4868" s="2" t="s">
        <v>4754</v>
      </c>
    </row>
    <row r="4869" spans="1:9" ht="14.5" x14ac:dyDescent="0.35">
      <c r="A4869" s="2">
        <v>2289029</v>
      </c>
      <c r="B4869" s="2" t="str">
        <f>"3175061709721001"</f>
        <v>3175061709721001</v>
      </c>
      <c r="C4869" s="2" t="s">
        <v>5423</v>
      </c>
      <c r="D4869" s="2" t="s">
        <v>189</v>
      </c>
      <c r="E4869" s="2" t="s">
        <v>11</v>
      </c>
      <c r="F4869" s="2" t="s">
        <v>50</v>
      </c>
      <c r="G4869" s="2" t="s">
        <v>58</v>
      </c>
      <c r="H4869" s="2" t="s">
        <v>417</v>
      </c>
      <c r="I4869" s="2" t="s">
        <v>418</v>
      </c>
    </row>
    <row r="4870" spans="1:9" ht="14.5" x14ac:dyDescent="0.35">
      <c r="A4870" s="2">
        <v>2788992</v>
      </c>
      <c r="B4870" s="2" t="str">
        <f>"3203195501890004"</f>
        <v>3203195501890004</v>
      </c>
      <c r="C4870" s="2" t="s">
        <v>5424</v>
      </c>
      <c r="D4870" s="2" t="s">
        <v>10</v>
      </c>
      <c r="E4870" s="2" t="s">
        <v>11</v>
      </c>
      <c r="F4870" s="2" t="s">
        <v>67</v>
      </c>
      <c r="G4870" s="2" t="s">
        <v>512</v>
      </c>
      <c r="H4870" s="2" t="s">
        <v>1214</v>
      </c>
      <c r="I4870" s="2" t="s">
        <v>1215</v>
      </c>
    </row>
    <row r="4871" spans="1:9" ht="14.5" x14ac:dyDescent="0.35">
      <c r="A4871" s="2">
        <v>2564246</v>
      </c>
      <c r="B4871" s="2" t="str">
        <f>"3203195501890004"</f>
        <v>3203195501890004</v>
      </c>
      <c r="C4871" s="2" t="s">
        <v>5424</v>
      </c>
      <c r="D4871" s="2" t="s">
        <v>17</v>
      </c>
      <c r="E4871" s="2" t="s">
        <v>11</v>
      </c>
      <c r="F4871" s="2" t="s">
        <v>18</v>
      </c>
      <c r="G4871" s="2" t="s">
        <v>19</v>
      </c>
      <c r="H4871" s="2" t="s">
        <v>4754</v>
      </c>
      <c r="I4871" s="2" t="s">
        <v>4754</v>
      </c>
    </row>
    <row r="4872" spans="1:9" ht="14.5" x14ac:dyDescent="0.35">
      <c r="A4872" s="2">
        <v>1522970</v>
      </c>
      <c r="B4872" s="2" t="str">
        <f>"3206260203750004"</f>
        <v>3206260203750004</v>
      </c>
      <c r="C4872" s="2" t="s">
        <v>5425</v>
      </c>
      <c r="D4872" s="2" t="s">
        <v>10</v>
      </c>
      <c r="E4872" s="2" t="s">
        <v>11</v>
      </c>
      <c r="F4872" s="2" t="s">
        <v>18</v>
      </c>
      <c r="G4872" s="2" t="s">
        <v>19</v>
      </c>
      <c r="H4872" s="2" t="s">
        <v>4754</v>
      </c>
      <c r="I4872" s="2" t="s">
        <v>5426</v>
      </c>
    </row>
    <row r="4873" spans="1:9" ht="14.5" x14ac:dyDescent="0.35">
      <c r="A4873" s="2">
        <v>1449916</v>
      </c>
      <c r="B4873" s="2" t="str">
        <f>"3206260203750004"</f>
        <v>3206260203750004</v>
      </c>
      <c r="C4873" s="2" t="s">
        <v>5427</v>
      </c>
      <c r="D4873" s="2" t="s">
        <v>17</v>
      </c>
      <c r="E4873" s="2" t="s">
        <v>11</v>
      </c>
      <c r="F4873" s="2" t="s">
        <v>91</v>
      </c>
      <c r="G4873" s="2" t="s">
        <v>1300</v>
      </c>
      <c r="H4873" s="2" t="s">
        <v>1835</v>
      </c>
      <c r="I4873" s="2" t="s">
        <v>5428</v>
      </c>
    </row>
    <row r="4874" spans="1:9" ht="14.5" x14ac:dyDescent="0.35">
      <c r="A4874" s="2">
        <v>222977</v>
      </c>
      <c r="B4874" s="2" t="str">
        <f>"3206260211960004"</f>
        <v>3206260211960004</v>
      </c>
      <c r="C4874" s="2" t="s">
        <v>5429</v>
      </c>
      <c r="D4874" s="2" t="s">
        <v>10</v>
      </c>
      <c r="E4874" s="2" t="s">
        <v>11</v>
      </c>
      <c r="F4874" s="2" t="s">
        <v>91</v>
      </c>
      <c r="G4874" s="2" t="s">
        <v>1300</v>
      </c>
      <c r="H4874" s="2" t="s">
        <v>1835</v>
      </c>
      <c r="I4874" s="2" t="s">
        <v>5430</v>
      </c>
    </row>
    <row r="4875" spans="1:9" ht="14.5" x14ac:dyDescent="0.35">
      <c r="A4875" s="2">
        <v>2565078</v>
      </c>
      <c r="B4875" s="2" t="str">
        <f>"3206260211960004"</f>
        <v>3206260211960004</v>
      </c>
      <c r="C4875" s="2" t="s">
        <v>5429</v>
      </c>
      <c r="D4875" s="2" t="s">
        <v>17</v>
      </c>
      <c r="E4875" s="2" t="s">
        <v>11</v>
      </c>
      <c r="F4875" s="2" t="s">
        <v>18</v>
      </c>
      <c r="G4875" s="2" t="s">
        <v>19</v>
      </c>
      <c r="H4875" s="2" t="s">
        <v>4754</v>
      </c>
      <c r="I4875" s="2" t="s">
        <v>5426</v>
      </c>
    </row>
    <row r="4876" spans="1:9" ht="14.5" x14ac:dyDescent="0.35">
      <c r="A4876" s="2">
        <v>1665574</v>
      </c>
      <c r="B4876" s="2" t="str">
        <f>"3208101603840005"</f>
        <v>3208101603840005</v>
      </c>
      <c r="C4876" s="2" t="s">
        <v>5431</v>
      </c>
      <c r="D4876" s="2" t="s">
        <v>10</v>
      </c>
      <c r="E4876" s="2" t="s">
        <v>11</v>
      </c>
      <c r="F4876" s="2" t="s">
        <v>50</v>
      </c>
      <c r="G4876" s="2" t="s">
        <v>72</v>
      </c>
      <c r="H4876" s="2" t="s">
        <v>1172</v>
      </c>
      <c r="I4876" s="2" t="s">
        <v>2230</v>
      </c>
    </row>
    <row r="4877" spans="1:9" ht="14.5" x14ac:dyDescent="0.35">
      <c r="A4877" s="2">
        <v>2565139</v>
      </c>
      <c r="B4877" s="2" t="str">
        <f>"3208101603840005"</f>
        <v>3208101603840005</v>
      </c>
      <c r="C4877" s="2" t="s">
        <v>5431</v>
      </c>
      <c r="D4877" s="2" t="s">
        <v>17</v>
      </c>
      <c r="E4877" s="2" t="s">
        <v>11</v>
      </c>
      <c r="F4877" s="2" t="s">
        <v>18</v>
      </c>
      <c r="G4877" s="2" t="s">
        <v>19</v>
      </c>
      <c r="H4877" s="2" t="s">
        <v>4754</v>
      </c>
      <c r="I4877" s="2" t="s">
        <v>5426</v>
      </c>
    </row>
    <row r="4878" spans="1:9" ht="14.5" x14ac:dyDescent="0.35">
      <c r="A4878" s="2">
        <v>1665575</v>
      </c>
      <c r="B4878" s="2" t="str">
        <f>"3208104901890006"</f>
        <v>3208104901890006</v>
      </c>
      <c r="C4878" s="2" t="s">
        <v>5432</v>
      </c>
      <c r="D4878" s="2" t="s">
        <v>10</v>
      </c>
      <c r="E4878" s="2" t="s">
        <v>11</v>
      </c>
      <c r="F4878" s="2" t="s">
        <v>50</v>
      </c>
      <c r="G4878" s="2" t="s">
        <v>72</v>
      </c>
      <c r="H4878" s="2" t="s">
        <v>1172</v>
      </c>
      <c r="I4878" s="2" t="s">
        <v>2230</v>
      </c>
    </row>
    <row r="4879" spans="1:9" ht="14.5" x14ac:dyDescent="0.35">
      <c r="A4879" s="2">
        <v>2565140</v>
      </c>
      <c r="B4879" s="2" t="str">
        <f>"3208104901890006"</f>
        <v>3208104901890006</v>
      </c>
      <c r="C4879" s="2" t="s">
        <v>5432</v>
      </c>
      <c r="D4879" s="2" t="s">
        <v>17</v>
      </c>
      <c r="E4879" s="2" t="s">
        <v>11</v>
      </c>
      <c r="F4879" s="2" t="s">
        <v>18</v>
      </c>
      <c r="G4879" s="2" t="s">
        <v>19</v>
      </c>
      <c r="H4879" s="2" t="s">
        <v>4754</v>
      </c>
      <c r="I4879" s="2" t="s">
        <v>5426</v>
      </c>
    </row>
    <row r="4880" spans="1:9" ht="14.5" x14ac:dyDescent="0.35">
      <c r="A4880" s="2">
        <v>576346</v>
      </c>
      <c r="B4880" s="2" t="str">
        <f>"3209341208900002"</f>
        <v>3209341208900002</v>
      </c>
      <c r="C4880" s="2" t="s">
        <v>5433</v>
      </c>
      <c r="D4880" s="2" t="s">
        <v>10</v>
      </c>
      <c r="E4880" s="2" t="s">
        <v>11</v>
      </c>
      <c r="F4880" s="2" t="s">
        <v>91</v>
      </c>
      <c r="G4880" s="2" t="s">
        <v>985</v>
      </c>
      <c r="H4880" s="2" t="s">
        <v>5434</v>
      </c>
      <c r="I4880" s="2" t="s">
        <v>5435</v>
      </c>
    </row>
    <row r="4881" spans="1:9" ht="14.5" x14ac:dyDescent="0.35">
      <c r="A4881" s="2">
        <v>2564228</v>
      </c>
      <c r="B4881" s="2" t="str">
        <f>"3209341208900002"</f>
        <v>3209341208900002</v>
      </c>
      <c r="C4881" s="2" t="s">
        <v>5433</v>
      </c>
      <c r="D4881" s="2" t="s">
        <v>17</v>
      </c>
      <c r="E4881" s="2" t="s">
        <v>11</v>
      </c>
      <c r="F4881" s="2" t="s">
        <v>18</v>
      </c>
      <c r="G4881" s="2" t="s">
        <v>19</v>
      </c>
      <c r="H4881" s="2" t="s">
        <v>4754</v>
      </c>
      <c r="I4881" s="2" t="s">
        <v>4754</v>
      </c>
    </row>
    <row r="4882" spans="1:9" ht="14.5" x14ac:dyDescent="0.35">
      <c r="A4882" s="2">
        <v>576342</v>
      </c>
      <c r="B4882" s="2" t="str">
        <f>"3209345704920001"</f>
        <v>3209345704920001</v>
      </c>
      <c r="C4882" s="2" t="s">
        <v>5436</v>
      </c>
      <c r="D4882" s="2" t="s">
        <v>10</v>
      </c>
      <c r="E4882" s="2" t="s">
        <v>11</v>
      </c>
      <c r="F4882" s="2" t="s">
        <v>91</v>
      </c>
      <c r="G4882" s="2" t="s">
        <v>985</v>
      </c>
      <c r="H4882" s="2" t="s">
        <v>5434</v>
      </c>
      <c r="I4882" s="2" t="s">
        <v>5435</v>
      </c>
    </row>
    <row r="4883" spans="1:9" ht="14.5" x14ac:dyDescent="0.35">
      <c r="A4883" s="2">
        <v>2564229</v>
      </c>
      <c r="B4883" s="2" t="str">
        <f>"3209345704920001"</f>
        <v>3209345704920001</v>
      </c>
      <c r="C4883" s="2" t="s">
        <v>5436</v>
      </c>
      <c r="D4883" s="2" t="s">
        <v>17</v>
      </c>
      <c r="E4883" s="2" t="s">
        <v>11</v>
      </c>
      <c r="F4883" s="2" t="s">
        <v>18</v>
      </c>
      <c r="G4883" s="2" t="s">
        <v>19</v>
      </c>
      <c r="H4883" s="2" t="s">
        <v>4754</v>
      </c>
      <c r="I4883" s="2" t="s">
        <v>4754</v>
      </c>
    </row>
    <row r="4884" spans="1:9" ht="14.5" x14ac:dyDescent="0.35">
      <c r="A4884" s="2">
        <v>304984</v>
      </c>
      <c r="B4884" s="2" t="str">
        <f>"3216110510930004"</f>
        <v>3216110510930004</v>
      </c>
      <c r="C4884" s="2" t="s">
        <v>5437</v>
      </c>
      <c r="D4884" s="2" t="s">
        <v>10</v>
      </c>
      <c r="E4884" s="2" t="s">
        <v>11</v>
      </c>
      <c r="F4884" s="2" t="s">
        <v>18</v>
      </c>
      <c r="G4884" s="2" t="s">
        <v>268</v>
      </c>
      <c r="H4884" s="2" t="s">
        <v>269</v>
      </c>
      <c r="I4884" s="2" t="s">
        <v>4250</v>
      </c>
    </row>
    <row r="4885" spans="1:9" ht="14.5" x14ac:dyDescent="0.35">
      <c r="A4885" s="2">
        <v>2564490</v>
      </c>
      <c r="B4885" s="2" t="str">
        <f>"3216110510930004"</f>
        <v>3216110510930004</v>
      </c>
      <c r="C4885" s="2" t="s">
        <v>5437</v>
      </c>
      <c r="D4885" s="2" t="s">
        <v>17</v>
      </c>
      <c r="E4885" s="2" t="s">
        <v>11</v>
      </c>
      <c r="F4885" s="2" t="s">
        <v>18</v>
      </c>
      <c r="G4885" s="2" t="s">
        <v>19</v>
      </c>
      <c r="H4885" s="2" t="s">
        <v>4754</v>
      </c>
      <c r="I4885" s="2" t="s">
        <v>5421</v>
      </c>
    </row>
    <row r="4886" spans="1:9" ht="14.5" x14ac:dyDescent="0.35">
      <c r="A4886" s="2">
        <v>1025938</v>
      </c>
      <c r="B4886" s="2" t="str">
        <f>"3275080704840026"</f>
        <v>3275080704840026</v>
      </c>
      <c r="C4886" s="2" t="s">
        <v>1618</v>
      </c>
      <c r="D4886" s="2" t="s">
        <v>10</v>
      </c>
      <c r="E4886" s="2" t="s">
        <v>11</v>
      </c>
      <c r="F4886" s="2" t="s">
        <v>91</v>
      </c>
      <c r="G4886" s="2" t="s">
        <v>159</v>
      </c>
      <c r="H4886" s="2" t="s">
        <v>1337</v>
      </c>
      <c r="I4886" s="2" t="s">
        <v>1338</v>
      </c>
    </row>
    <row r="4887" spans="1:9" ht="14.5" x14ac:dyDescent="0.35">
      <c r="A4887" s="2">
        <v>2565018</v>
      </c>
      <c r="B4887" s="2" t="str">
        <f>"3275080704840026"</f>
        <v>3275080704840026</v>
      </c>
      <c r="C4887" s="2" t="s">
        <v>1618</v>
      </c>
      <c r="D4887" s="2" t="s">
        <v>17</v>
      </c>
      <c r="E4887" s="2" t="s">
        <v>11</v>
      </c>
      <c r="F4887" s="2" t="s">
        <v>18</v>
      </c>
      <c r="G4887" s="2" t="s">
        <v>19</v>
      </c>
      <c r="H4887" s="2" t="s">
        <v>4754</v>
      </c>
      <c r="I4887" s="2" t="s">
        <v>5438</v>
      </c>
    </row>
    <row r="4888" spans="1:9" ht="14.5" x14ac:dyDescent="0.35">
      <c r="A4888" s="2">
        <v>373153</v>
      </c>
      <c r="B4888" s="2" t="str">
        <f>"3305031903870004"</f>
        <v>3305031903870004</v>
      </c>
      <c r="C4888" s="2" t="s">
        <v>3276</v>
      </c>
      <c r="D4888" s="2" t="s">
        <v>17</v>
      </c>
      <c r="E4888" s="2" t="s">
        <v>11</v>
      </c>
      <c r="F4888" s="2" t="s">
        <v>18</v>
      </c>
      <c r="G4888" s="2" t="s">
        <v>171</v>
      </c>
      <c r="H4888" s="2" t="s">
        <v>1427</v>
      </c>
      <c r="I4888" s="2" t="s">
        <v>5439</v>
      </c>
    </row>
    <row r="4889" spans="1:9" ht="14.5" x14ac:dyDescent="0.35">
      <c r="A4889" s="2">
        <v>2564586</v>
      </c>
      <c r="B4889" s="2" t="str">
        <f>"3305031903870004"</f>
        <v>3305031903870004</v>
      </c>
      <c r="C4889" s="2" t="s">
        <v>3276</v>
      </c>
      <c r="D4889" s="2" t="s">
        <v>17</v>
      </c>
      <c r="E4889" s="2" t="s">
        <v>11</v>
      </c>
      <c r="F4889" s="2" t="s">
        <v>18</v>
      </c>
      <c r="G4889" s="2" t="s">
        <v>19</v>
      </c>
      <c r="H4889" s="2" t="s">
        <v>4754</v>
      </c>
      <c r="I4889" s="2" t="s">
        <v>5440</v>
      </c>
    </row>
    <row r="4890" spans="1:9" ht="14.5" x14ac:dyDescent="0.35">
      <c r="A4890" s="2">
        <v>1496086</v>
      </c>
      <c r="B4890" s="2" t="str">
        <f>"3305044311940002"</f>
        <v>3305044311940002</v>
      </c>
      <c r="C4890" s="2" t="s">
        <v>5441</v>
      </c>
      <c r="D4890" s="2" t="s">
        <v>10</v>
      </c>
      <c r="E4890" s="2" t="s">
        <v>11</v>
      </c>
      <c r="F4890" s="2" t="s">
        <v>18</v>
      </c>
      <c r="G4890" s="2" t="s">
        <v>19</v>
      </c>
      <c r="H4890" s="2" t="s">
        <v>4754</v>
      </c>
      <c r="I4890" s="2" t="s">
        <v>5442</v>
      </c>
    </row>
    <row r="4891" spans="1:9" ht="14.5" x14ac:dyDescent="0.35">
      <c r="A4891" s="2">
        <v>1100211</v>
      </c>
      <c r="B4891" s="2" t="str">
        <f>"3305044311940002"</f>
        <v>3305044311940002</v>
      </c>
      <c r="C4891" s="2" t="s">
        <v>5441</v>
      </c>
      <c r="D4891" s="2" t="s">
        <v>17</v>
      </c>
      <c r="E4891" s="2" t="s">
        <v>11</v>
      </c>
      <c r="F4891" s="2" t="s">
        <v>18</v>
      </c>
      <c r="G4891" s="2" t="s">
        <v>171</v>
      </c>
      <c r="H4891" s="2" t="s">
        <v>5443</v>
      </c>
      <c r="I4891" s="2" t="s">
        <v>5444</v>
      </c>
    </row>
    <row r="4892" spans="1:9" ht="14.5" x14ac:dyDescent="0.35">
      <c r="A4892" s="2">
        <v>1543044</v>
      </c>
      <c r="B4892" s="2" t="str">
        <f>"3311015506870002"</f>
        <v>3311015506870002</v>
      </c>
      <c r="C4892" s="2" t="s">
        <v>5445</v>
      </c>
      <c r="D4892" s="2" t="s">
        <v>10</v>
      </c>
      <c r="E4892" s="2" t="s">
        <v>11</v>
      </c>
      <c r="F4892" s="2" t="s">
        <v>18</v>
      </c>
      <c r="G4892" s="2" t="s">
        <v>19</v>
      </c>
      <c r="H4892" s="2" t="s">
        <v>4754</v>
      </c>
      <c r="I4892" s="2" t="s">
        <v>3958</v>
      </c>
    </row>
    <row r="4893" spans="1:9" ht="14.5" x14ac:dyDescent="0.35">
      <c r="A4893" s="2">
        <v>1385197</v>
      </c>
      <c r="B4893" s="2" t="str">
        <f>"3311015506870002"</f>
        <v>3311015506870002</v>
      </c>
      <c r="C4893" s="2" t="s">
        <v>5445</v>
      </c>
      <c r="D4893" s="2" t="s">
        <v>17</v>
      </c>
      <c r="E4893" s="2" t="s">
        <v>11</v>
      </c>
      <c r="F4893" s="2" t="s">
        <v>50</v>
      </c>
      <c r="G4893" s="2" t="s">
        <v>51</v>
      </c>
      <c r="H4893" s="2" t="s">
        <v>52</v>
      </c>
      <c r="I4893" s="2" t="s">
        <v>52</v>
      </c>
    </row>
    <row r="4894" spans="1:9" ht="14.5" x14ac:dyDescent="0.35">
      <c r="A4894" s="2">
        <v>2564267</v>
      </c>
      <c r="B4894" s="2" t="str">
        <f>"3315047004940004"</f>
        <v>3315047004940004</v>
      </c>
      <c r="C4894" s="2" t="s">
        <v>781</v>
      </c>
      <c r="D4894" s="2" t="s">
        <v>17</v>
      </c>
      <c r="E4894" s="2" t="s">
        <v>11</v>
      </c>
      <c r="F4894" s="2" t="s">
        <v>18</v>
      </c>
      <c r="G4894" s="2" t="s">
        <v>19</v>
      </c>
      <c r="H4894" s="2" t="s">
        <v>4754</v>
      </c>
      <c r="I4894" s="2" t="s">
        <v>4754</v>
      </c>
    </row>
    <row r="4895" spans="1:9" ht="14.5" x14ac:dyDescent="0.35">
      <c r="A4895" s="2">
        <v>1177288</v>
      </c>
      <c r="B4895" s="2" t="str">
        <f>"3315047004940004"</f>
        <v>3315047004940004</v>
      </c>
      <c r="C4895" s="2" t="s">
        <v>781</v>
      </c>
      <c r="D4895" s="2" t="s">
        <v>189</v>
      </c>
      <c r="E4895" s="2" t="s">
        <v>11</v>
      </c>
      <c r="F4895" s="2" t="s">
        <v>18</v>
      </c>
      <c r="G4895" s="2" t="s">
        <v>180</v>
      </c>
      <c r="H4895" s="2" t="s">
        <v>5446</v>
      </c>
      <c r="I4895" s="2" t="s">
        <v>1207</v>
      </c>
    </row>
    <row r="4896" spans="1:9" ht="14.5" x14ac:dyDescent="0.35">
      <c r="A4896" s="2">
        <v>189935</v>
      </c>
      <c r="B4896" s="2" t="str">
        <f>"3315171212960006"</f>
        <v>3315171212960006</v>
      </c>
      <c r="C4896" s="2" t="s">
        <v>5447</v>
      </c>
      <c r="D4896" s="2" t="s">
        <v>10</v>
      </c>
      <c r="E4896" s="2" t="s">
        <v>11</v>
      </c>
      <c r="F4896" s="2" t="s">
        <v>18</v>
      </c>
      <c r="G4896" s="2" t="s">
        <v>180</v>
      </c>
      <c r="H4896" s="2" t="s">
        <v>5448</v>
      </c>
      <c r="I4896" s="2" t="s">
        <v>5449</v>
      </c>
    </row>
    <row r="4897" spans="1:9" ht="14.5" x14ac:dyDescent="0.35">
      <c r="A4897" s="2">
        <v>2564324</v>
      </c>
      <c r="B4897" s="2" t="str">
        <f>"3315171212960006"</f>
        <v>3315171212960006</v>
      </c>
      <c r="C4897" s="2" t="s">
        <v>5447</v>
      </c>
      <c r="D4897" s="2" t="s">
        <v>17</v>
      </c>
      <c r="E4897" s="2" t="s">
        <v>11</v>
      </c>
      <c r="F4897" s="2" t="s">
        <v>18</v>
      </c>
      <c r="G4897" s="2" t="s">
        <v>19</v>
      </c>
      <c r="H4897" s="2" t="s">
        <v>4754</v>
      </c>
      <c r="I4897" s="2" t="s">
        <v>4754</v>
      </c>
    </row>
    <row r="4898" spans="1:9" ht="14.5" x14ac:dyDescent="0.35">
      <c r="A4898" s="2">
        <v>1546076</v>
      </c>
      <c r="B4898" s="2" t="str">
        <f>"3326031906860001"</f>
        <v>3326031906860001</v>
      </c>
      <c r="C4898" s="2" t="s">
        <v>5450</v>
      </c>
      <c r="D4898" s="2" t="s">
        <v>10</v>
      </c>
      <c r="E4898" s="2" t="s">
        <v>11</v>
      </c>
      <c r="F4898" s="2" t="s">
        <v>18</v>
      </c>
      <c r="G4898" s="2" t="s">
        <v>19</v>
      </c>
      <c r="H4898" s="2" t="s">
        <v>4754</v>
      </c>
      <c r="I4898" s="2" t="s">
        <v>3958</v>
      </c>
    </row>
    <row r="4899" spans="1:9" ht="14.5" x14ac:dyDescent="0.35">
      <c r="A4899" s="2">
        <v>1546197</v>
      </c>
      <c r="B4899" s="2" t="str">
        <f>"3326031906860001"</f>
        <v>3326031906860001</v>
      </c>
      <c r="C4899" s="2" t="s">
        <v>5450</v>
      </c>
      <c r="D4899" s="2" t="s">
        <v>17</v>
      </c>
      <c r="E4899" s="2" t="s">
        <v>11</v>
      </c>
      <c r="F4899" s="2" t="s">
        <v>18</v>
      </c>
      <c r="G4899" s="2" t="s">
        <v>195</v>
      </c>
      <c r="H4899" s="2" t="s">
        <v>4132</v>
      </c>
      <c r="I4899" s="2" t="s">
        <v>4132</v>
      </c>
    </row>
    <row r="4900" spans="1:9" ht="14.5" x14ac:dyDescent="0.35">
      <c r="A4900" s="2">
        <v>1521657</v>
      </c>
      <c r="B4900" s="2" t="str">
        <f>"3326090810870004"</f>
        <v>3326090810870004</v>
      </c>
      <c r="C4900" s="2" t="s">
        <v>5451</v>
      </c>
      <c r="D4900" s="2" t="s">
        <v>10</v>
      </c>
      <c r="E4900" s="2" t="s">
        <v>11</v>
      </c>
      <c r="F4900" s="2" t="s">
        <v>18</v>
      </c>
      <c r="G4900" s="2" t="s">
        <v>19</v>
      </c>
      <c r="H4900" s="2" t="s">
        <v>4754</v>
      </c>
      <c r="I4900" s="2" t="s">
        <v>5426</v>
      </c>
    </row>
    <row r="4901" spans="1:9" ht="14.5" x14ac:dyDescent="0.35">
      <c r="A4901" s="2">
        <v>1557063</v>
      </c>
      <c r="B4901" s="2" t="str">
        <f>"3326090810870004"</f>
        <v>3326090810870004</v>
      </c>
      <c r="C4901" s="2" t="s">
        <v>5451</v>
      </c>
      <c r="D4901" s="2" t="s">
        <v>17</v>
      </c>
      <c r="E4901" s="2" t="s">
        <v>11</v>
      </c>
      <c r="F4901" s="2" t="s">
        <v>18</v>
      </c>
      <c r="G4901" s="2" t="s">
        <v>195</v>
      </c>
      <c r="H4901" s="2" t="s">
        <v>196</v>
      </c>
      <c r="I4901" s="2" t="s">
        <v>5452</v>
      </c>
    </row>
    <row r="4902" spans="1:9" ht="14.5" x14ac:dyDescent="0.35">
      <c r="A4902" s="2">
        <v>625237</v>
      </c>
      <c r="B4902" s="2" t="str">
        <f>"3326115009940002"</f>
        <v>3326115009940002</v>
      </c>
      <c r="C4902" s="2" t="s">
        <v>5453</v>
      </c>
      <c r="D4902" s="2" t="s">
        <v>10</v>
      </c>
      <c r="E4902" s="2" t="s">
        <v>11</v>
      </c>
      <c r="F4902" s="2" t="s">
        <v>18</v>
      </c>
      <c r="G4902" s="2" t="s">
        <v>264</v>
      </c>
      <c r="H4902" s="2" t="s">
        <v>264</v>
      </c>
      <c r="I4902" s="2" t="s">
        <v>2004</v>
      </c>
    </row>
    <row r="4903" spans="1:9" ht="14.5" x14ac:dyDescent="0.35">
      <c r="A4903" s="2">
        <v>2564306</v>
      </c>
      <c r="B4903" s="2" t="str">
        <f>"3326115009940002"</f>
        <v>3326115009940002</v>
      </c>
      <c r="C4903" s="2" t="s">
        <v>5453</v>
      </c>
      <c r="D4903" s="2" t="s">
        <v>17</v>
      </c>
      <c r="E4903" s="2" t="s">
        <v>11</v>
      </c>
      <c r="F4903" s="2" t="s">
        <v>18</v>
      </c>
      <c r="G4903" s="2" t="s">
        <v>19</v>
      </c>
      <c r="H4903" s="2" t="s">
        <v>4754</v>
      </c>
      <c r="I4903" s="2" t="s">
        <v>4754</v>
      </c>
    </row>
    <row r="4904" spans="1:9" ht="14.5" x14ac:dyDescent="0.35">
      <c r="A4904" s="2">
        <v>1651840</v>
      </c>
      <c r="B4904" s="2" t="str">
        <f>"3327076611940001"</f>
        <v>3327076611940001</v>
      </c>
      <c r="C4904" s="2" t="s">
        <v>5454</v>
      </c>
      <c r="D4904" s="2" t="s">
        <v>10</v>
      </c>
      <c r="E4904" s="2" t="s">
        <v>11</v>
      </c>
      <c r="F4904" s="2" t="s">
        <v>50</v>
      </c>
      <c r="G4904" s="2" t="s">
        <v>86</v>
      </c>
      <c r="H4904" s="2" t="s">
        <v>445</v>
      </c>
      <c r="I4904" s="2" t="s">
        <v>1947</v>
      </c>
    </row>
    <row r="4905" spans="1:9" ht="14.5" x14ac:dyDescent="0.35">
      <c r="A4905" s="2">
        <v>2564344</v>
      </c>
      <c r="B4905" s="2" t="str">
        <f>"3327076611940001"</f>
        <v>3327076611940001</v>
      </c>
      <c r="C4905" s="2" t="s">
        <v>5455</v>
      </c>
      <c r="D4905" s="2" t="s">
        <v>17</v>
      </c>
      <c r="E4905" s="2" t="s">
        <v>11</v>
      </c>
      <c r="F4905" s="2" t="s">
        <v>18</v>
      </c>
      <c r="G4905" s="2" t="s">
        <v>19</v>
      </c>
      <c r="H4905" s="2" t="s">
        <v>4754</v>
      </c>
      <c r="I4905" s="2" t="s">
        <v>5421</v>
      </c>
    </row>
    <row r="4906" spans="1:9" ht="14.5" x14ac:dyDescent="0.35">
      <c r="A4906" s="2">
        <v>1497121</v>
      </c>
      <c r="B4906" s="2" t="str">
        <f>"3327080510700061"</f>
        <v>3327080510700061</v>
      </c>
      <c r="C4906" s="2" t="s">
        <v>5456</v>
      </c>
      <c r="D4906" s="2" t="s">
        <v>10</v>
      </c>
      <c r="E4906" s="2" t="s">
        <v>11</v>
      </c>
      <c r="F4906" s="2" t="s">
        <v>18</v>
      </c>
      <c r="G4906" s="2" t="s">
        <v>19</v>
      </c>
      <c r="H4906" s="2" t="s">
        <v>4754</v>
      </c>
      <c r="I4906" s="2" t="s">
        <v>5442</v>
      </c>
    </row>
    <row r="4907" spans="1:9" ht="14.5" x14ac:dyDescent="0.35">
      <c r="A4907" s="2">
        <v>2647327</v>
      </c>
      <c r="B4907" s="2" t="str">
        <f>"3327080510700061"</f>
        <v>3327080510700061</v>
      </c>
      <c r="C4907" s="2" t="s">
        <v>5456</v>
      </c>
      <c r="D4907" s="2" t="s">
        <v>17</v>
      </c>
      <c r="E4907" s="2" t="s">
        <v>11</v>
      </c>
      <c r="F4907" s="2" t="s">
        <v>18</v>
      </c>
      <c r="G4907" s="2" t="s">
        <v>199</v>
      </c>
      <c r="H4907" s="2" t="s">
        <v>199</v>
      </c>
      <c r="I4907" s="2" t="s">
        <v>5457</v>
      </c>
    </row>
    <row r="4908" spans="1:9" ht="14.5" x14ac:dyDescent="0.35">
      <c r="A4908" s="2">
        <v>1519125</v>
      </c>
      <c r="B4908" s="2" t="str">
        <f>"3327081707900086"</f>
        <v>3327081707900086</v>
      </c>
      <c r="C4908" s="2" t="s">
        <v>5458</v>
      </c>
      <c r="D4908" s="2" t="s">
        <v>10</v>
      </c>
      <c r="E4908" s="2" t="s">
        <v>11</v>
      </c>
      <c r="F4908" s="2" t="s">
        <v>18</v>
      </c>
      <c r="G4908" s="2" t="s">
        <v>19</v>
      </c>
      <c r="H4908" s="2" t="s">
        <v>4754</v>
      </c>
      <c r="I4908" s="2" t="s">
        <v>4755</v>
      </c>
    </row>
    <row r="4909" spans="1:9" ht="14.5" x14ac:dyDescent="0.35">
      <c r="A4909" s="2">
        <v>2543990</v>
      </c>
      <c r="B4909" s="2" t="str">
        <f>"3327081707900086"</f>
        <v>3327081707900086</v>
      </c>
      <c r="C4909" s="2" t="s">
        <v>5459</v>
      </c>
      <c r="D4909" s="2" t="s">
        <v>189</v>
      </c>
      <c r="E4909" s="2" t="s">
        <v>11</v>
      </c>
      <c r="F4909" s="2" t="s">
        <v>18</v>
      </c>
      <c r="G4909" s="2" t="s">
        <v>199</v>
      </c>
      <c r="H4909" s="2" t="s">
        <v>199</v>
      </c>
      <c r="I4909" s="2" t="s">
        <v>5460</v>
      </c>
    </row>
    <row r="4910" spans="1:9" ht="14.5" x14ac:dyDescent="0.35">
      <c r="A4910" s="2">
        <v>1620924</v>
      </c>
      <c r="B4910" s="2" t="str">
        <f>"3327105502810045"</f>
        <v>3327105502810045</v>
      </c>
      <c r="C4910" s="2" t="s">
        <v>5461</v>
      </c>
      <c r="D4910" s="2" t="s">
        <v>10</v>
      </c>
      <c r="E4910" s="2" t="s">
        <v>11</v>
      </c>
      <c r="F4910" s="2" t="s">
        <v>18</v>
      </c>
      <c r="G4910" s="2" t="s">
        <v>19</v>
      </c>
      <c r="H4910" s="2" t="s">
        <v>4754</v>
      </c>
      <c r="I4910" s="2" t="s">
        <v>5421</v>
      </c>
    </row>
    <row r="4911" spans="1:9" ht="14.5" x14ac:dyDescent="0.35">
      <c r="A4911" s="2">
        <v>1352178</v>
      </c>
      <c r="B4911" s="2" t="str">
        <f>"3327105502810045"</f>
        <v>3327105502810045</v>
      </c>
      <c r="C4911" s="2" t="s">
        <v>5462</v>
      </c>
      <c r="D4911" s="2" t="s">
        <v>10</v>
      </c>
      <c r="E4911" s="2" t="s">
        <v>57</v>
      </c>
      <c r="F4911" s="2" t="s">
        <v>303</v>
      </c>
      <c r="G4911" s="2" t="s">
        <v>608</v>
      </c>
      <c r="H4911" s="2" t="s">
        <v>609</v>
      </c>
      <c r="I4911" s="2" t="s">
        <v>610</v>
      </c>
    </row>
    <row r="4912" spans="1:9" ht="14.5" x14ac:dyDescent="0.35">
      <c r="A4912" s="2">
        <v>339713</v>
      </c>
      <c r="B4912" s="2" t="str">
        <f>"3328170102990001"</f>
        <v>3328170102990001</v>
      </c>
      <c r="C4912" s="2" t="s">
        <v>5463</v>
      </c>
      <c r="D4912" s="2" t="s">
        <v>10</v>
      </c>
      <c r="E4912" s="2" t="s">
        <v>11</v>
      </c>
      <c r="F4912" s="2" t="s">
        <v>783</v>
      </c>
      <c r="G4912" s="2" t="s">
        <v>1112</v>
      </c>
      <c r="H4912" s="2" t="s">
        <v>5201</v>
      </c>
      <c r="I4912" s="2" t="s">
        <v>5464</v>
      </c>
    </row>
    <row r="4913" spans="1:9" ht="14.5" x14ac:dyDescent="0.35">
      <c r="A4913" s="2">
        <v>2564065</v>
      </c>
      <c r="B4913" s="2" t="str">
        <f>"3328170102990001"</f>
        <v>3328170102990001</v>
      </c>
      <c r="C4913" s="2" t="s">
        <v>5465</v>
      </c>
      <c r="D4913" s="2" t="s">
        <v>17</v>
      </c>
      <c r="E4913" s="2" t="s">
        <v>11</v>
      </c>
      <c r="F4913" s="2" t="s">
        <v>18</v>
      </c>
      <c r="G4913" s="2" t="s">
        <v>19</v>
      </c>
      <c r="H4913" s="2" t="s">
        <v>4754</v>
      </c>
      <c r="I4913" s="2" t="s">
        <v>3958</v>
      </c>
    </row>
    <row r="4914" spans="1:9" ht="14.5" x14ac:dyDescent="0.35">
      <c r="A4914" s="2">
        <v>1514127</v>
      </c>
      <c r="B4914" s="2" t="str">
        <f>"3328170212050003"</f>
        <v>3328170212050003</v>
      </c>
      <c r="C4914" s="2" t="s">
        <v>5466</v>
      </c>
      <c r="D4914" s="2" t="s">
        <v>10</v>
      </c>
      <c r="E4914" s="2" t="s">
        <v>11</v>
      </c>
      <c r="F4914" s="2" t="s">
        <v>18</v>
      </c>
      <c r="G4914" s="2" t="s">
        <v>19</v>
      </c>
      <c r="H4914" s="2" t="s">
        <v>4754</v>
      </c>
      <c r="I4914" s="2" t="s">
        <v>882</v>
      </c>
    </row>
    <row r="4915" spans="1:9" ht="14.5" x14ac:dyDescent="0.35">
      <c r="A4915" s="2">
        <v>1863022</v>
      </c>
      <c r="B4915" s="2" t="str">
        <f>"3328170212050003"</f>
        <v>3328170212050003</v>
      </c>
      <c r="C4915" s="2" t="s">
        <v>5467</v>
      </c>
      <c r="D4915" s="2" t="s">
        <v>10</v>
      </c>
      <c r="E4915" s="2" t="s">
        <v>57</v>
      </c>
      <c r="F4915" s="2" t="s">
        <v>18</v>
      </c>
      <c r="G4915" s="2" t="s">
        <v>733</v>
      </c>
      <c r="H4915" s="2" t="s">
        <v>1127</v>
      </c>
      <c r="I4915" s="2" t="s">
        <v>5468</v>
      </c>
    </row>
    <row r="4916" spans="1:9" ht="14.5" x14ac:dyDescent="0.35">
      <c r="A4916" s="2">
        <v>1524404</v>
      </c>
      <c r="B4916" s="2" t="str">
        <f>"3328170403020008"</f>
        <v>3328170403020008</v>
      </c>
      <c r="C4916" s="2" t="s">
        <v>5469</v>
      </c>
      <c r="D4916" s="2" t="s">
        <v>10</v>
      </c>
      <c r="E4916" s="2" t="s">
        <v>11</v>
      </c>
      <c r="F4916" s="2" t="s">
        <v>18</v>
      </c>
      <c r="G4916" s="2" t="s">
        <v>19</v>
      </c>
      <c r="H4916" s="2" t="s">
        <v>4754</v>
      </c>
      <c r="I4916" s="2" t="s">
        <v>5426</v>
      </c>
    </row>
    <row r="4917" spans="1:9" ht="14.5" x14ac:dyDescent="0.35">
      <c r="A4917" s="2">
        <v>1350442</v>
      </c>
      <c r="B4917" s="2" t="str">
        <f>"3328170403020008"</f>
        <v>3328170403020008</v>
      </c>
      <c r="C4917" s="2" t="s">
        <v>5470</v>
      </c>
      <c r="D4917" s="2" t="s">
        <v>10</v>
      </c>
      <c r="E4917" s="2" t="s">
        <v>57</v>
      </c>
      <c r="F4917" s="2" t="s">
        <v>303</v>
      </c>
      <c r="G4917" s="2" t="s">
        <v>608</v>
      </c>
      <c r="H4917" s="2" t="s">
        <v>609</v>
      </c>
      <c r="I4917" s="2" t="s">
        <v>610</v>
      </c>
    </row>
    <row r="4918" spans="1:9" ht="14.5" x14ac:dyDescent="0.35">
      <c r="A4918" s="2">
        <v>370184</v>
      </c>
      <c r="B4918" s="2" t="str">
        <f>"3328170411050003"</f>
        <v>3328170411050003</v>
      </c>
      <c r="C4918" s="2" t="s">
        <v>5471</v>
      </c>
      <c r="D4918" s="2" t="s">
        <v>10</v>
      </c>
      <c r="E4918" s="2" t="s">
        <v>11</v>
      </c>
      <c r="F4918" s="2" t="s">
        <v>18</v>
      </c>
      <c r="G4918" s="2" t="s">
        <v>268</v>
      </c>
      <c r="H4918" s="2" t="s">
        <v>269</v>
      </c>
      <c r="I4918" s="2" t="s">
        <v>996</v>
      </c>
    </row>
    <row r="4919" spans="1:9" ht="14.5" x14ac:dyDescent="0.35">
      <c r="A4919" s="2">
        <v>2564356</v>
      </c>
      <c r="B4919" s="2" t="str">
        <f>"3328170411050003"</f>
        <v>3328170411050003</v>
      </c>
      <c r="C4919" s="2" t="s">
        <v>5471</v>
      </c>
      <c r="D4919" s="2" t="s">
        <v>17</v>
      </c>
      <c r="E4919" s="2" t="s">
        <v>11</v>
      </c>
      <c r="F4919" s="2" t="s">
        <v>18</v>
      </c>
      <c r="G4919" s="2" t="s">
        <v>19</v>
      </c>
      <c r="H4919" s="2" t="s">
        <v>4754</v>
      </c>
      <c r="I4919" s="2" t="s">
        <v>5421</v>
      </c>
    </row>
    <row r="4920" spans="1:9" ht="14.5" x14ac:dyDescent="0.35">
      <c r="A4920" s="2">
        <v>1393089</v>
      </c>
      <c r="B4920" s="2" t="str">
        <f>"3328170602870002"</f>
        <v>3328170602870002</v>
      </c>
      <c r="C4920" s="2" t="s">
        <v>3793</v>
      </c>
      <c r="D4920" s="2" t="s">
        <v>10</v>
      </c>
      <c r="E4920" s="2" t="s">
        <v>11</v>
      </c>
      <c r="F4920" s="2" t="s">
        <v>91</v>
      </c>
      <c r="G4920" s="2" t="s">
        <v>159</v>
      </c>
      <c r="H4920" s="2" t="s">
        <v>685</v>
      </c>
      <c r="I4920" s="2" t="s">
        <v>3105</v>
      </c>
    </row>
    <row r="4921" spans="1:9" ht="14.5" x14ac:dyDescent="0.35">
      <c r="A4921" s="2">
        <v>2564348</v>
      </c>
      <c r="B4921" s="2" t="str">
        <f>"3328170602870002"</f>
        <v>3328170602870002</v>
      </c>
      <c r="C4921" s="2" t="s">
        <v>3793</v>
      </c>
      <c r="D4921" s="2" t="s">
        <v>17</v>
      </c>
      <c r="E4921" s="2" t="s">
        <v>11</v>
      </c>
      <c r="F4921" s="2" t="s">
        <v>18</v>
      </c>
      <c r="G4921" s="2" t="s">
        <v>19</v>
      </c>
      <c r="H4921" s="2" t="s">
        <v>4754</v>
      </c>
      <c r="I4921" s="2" t="s">
        <v>5421</v>
      </c>
    </row>
    <row r="4922" spans="1:9" ht="14.5" x14ac:dyDescent="0.35">
      <c r="A4922" s="2">
        <v>1741017</v>
      </c>
      <c r="B4922" s="2" t="str">
        <f>"3328170603820004"</f>
        <v>3328170603820004</v>
      </c>
      <c r="C4922" s="2" t="s">
        <v>5472</v>
      </c>
      <c r="D4922" s="2" t="s">
        <v>10</v>
      </c>
      <c r="E4922" s="2" t="s">
        <v>11</v>
      </c>
      <c r="F4922" s="2" t="s">
        <v>91</v>
      </c>
      <c r="G4922" s="2" t="s">
        <v>1763</v>
      </c>
      <c r="H4922" s="2" t="s">
        <v>5473</v>
      </c>
      <c r="I4922" s="2" t="s">
        <v>5474</v>
      </c>
    </row>
    <row r="4923" spans="1:9" ht="14.5" x14ac:dyDescent="0.35">
      <c r="A4923" s="2">
        <v>2564376</v>
      </c>
      <c r="B4923" s="2" t="str">
        <f>"3328170603820004"</f>
        <v>3328170603820004</v>
      </c>
      <c r="C4923" s="2" t="s">
        <v>5472</v>
      </c>
      <c r="D4923" s="2" t="s">
        <v>17</v>
      </c>
      <c r="E4923" s="2" t="s">
        <v>11</v>
      </c>
      <c r="F4923" s="2" t="s">
        <v>18</v>
      </c>
      <c r="G4923" s="2" t="s">
        <v>19</v>
      </c>
      <c r="H4923" s="2" t="s">
        <v>4754</v>
      </c>
      <c r="I4923" s="2" t="s">
        <v>5421</v>
      </c>
    </row>
    <row r="4924" spans="1:9" ht="14.5" x14ac:dyDescent="0.35">
      <c r="A4924" s="2">
        <v>1518516</v>
      </c>
      <c r="B4924" s="2" t="str">
        <f>"3328170606970006"</f>
        <v>3328170606970006</v>
      </c>
      <c r="C4924" s="2" t="s">
        <v>5475</v>
      </c>
      <c r="D4924" s="2" t="s">
        <v>10</v>
      </c>
      <c r="E4924" s="2" t="s">
        <v>11</v>
      </c>
      <c r="F4924" s="2" t="s">
        <v>18</v>
      </c>
      <c r="G4924" s="2" t="s">
        <v>19</v>
      </c>
      <c r="H4924" s="2" t="s">
        <v>4754</v>
      </c>
      <c r="I4924" s="2" t="s">
        <v>4755</v>
      </c>
    </row>
    <row r="4925" spans="1:9" ht="14.5" x14ac:dyDescent="0.35">
      <c r="A4925" s="2">
        <v>3088696</v>
      </c>
      <c r="B4925" s="2" t="str">
        <f>"3328170606970006"</f>
        <v>3328170606970006</v>
      </c>
      <c r="C4925" s="2" t="s">
        <v>5475</v>
      </c>
      <c r="D4925" s="2" t="s">
        <v>17</v>
      </c>
      <c r="E4925" s="2" t="s">
        <v>11</v>
      </c>
      <c r="F4925" s="2" t="s">
        <v>18</v>
      </c>
      <c r="G4925" s="2" t="s">
        <v>163</v>
      </c>
      <c r="H4925" s="2" t="s">
        <v>509</v>
      </c>
      <c r="I4925" s="2" t="s">
        <v>353</v>
      </c>
    </row>
    <row r="4926" spans="1:9" ht="14.5" x14ac:dyDescent="0.35">
      <c r="A4926" s="2">
        <v>1493749</v>
      </c>
      <c r="B4926" s="2" t="str">
        <f>"3328170612940002"</f>
        <v>3328170612940002</v>
      </c>
      <c r="C4926" s="2" t="s">
        <v>5476</v>
      </c>
      <c r="D4926" s="2" t="s">
        <v>10</v>
      </c>
      <c r="E4926" s="2" t="s">
        <v>11</v>
      </c>
      <c r="F4926" s="2" t="s">
        <v>18</v>
      </c>
      <c r="G4926" s="2" t="s">
        <v>19</v>
      </c>
      <c r="H4926" s="2" t="s">
        <v>4754</v>
      </c>
      <c r="I4926" s="2" t="s">
        <v>5442</v>
      </c>
    </row>
    <row r="4927" spans="1:9" ht="14.5" x14ac:dyDescent="0.35">
      <c r="A4927" s="2">
        <v>423744</v>
      </c>
      <c r="B4927" s="2" t="str">
        <f>"3328170612940002"</f>
        <v>3328170612940002</v>
      </c>
      <c r="C4927" s="2" t="s">
        <v>5477</v>
      </c>
      <c r="D4927" s="2" t="s">
        <v>10</v>
      </c>
      <c r="E4927" s="2" t="s">
        <v>57</v>
      </c>
      <c r="F4927" s="2" t="s">
        <v>18</v>
      </c>
      <c r="G4927" s="2" t="s">
        <v>268</v>
      </c>
      <c r="H4927" s="2" t="s">
        <v>277</v>
      </c>
      <c r="I4927" s="2" t="s">
        <v>278</v>
      </c>
    </row>
    <row r="4928" spans="1:9" ht="14.5" x14ac:dyDescent="0.35">
      <c r="A4928" s="2">
        <v>275432</v>
      </c>
      <c r="B4928" s="2" t="str">
        <f>"3328170704830002"</f>
        <v>3328170704830002</v>
      </c>
      <c r="C4928" s="2" t="s">
        <v>5478</v>
      </c>
      <c r="D4928" s="2" t="s">
        <v>10</v>
      </c>
      <c r="E4928" s="2" t="s">
        <v>11</v>
      </c>
      <c r="F4928" s="2" t="s">
        <v>18</v>
      </c>
      <c r="G4928" s="2" t="s">
        <v>268</v>
      </c>
      <c r="H4928" s="2" t="s">
        <v>277</v>
      </c>
      <c r="I4928" s="2" t="s">
        <v>3326</v>
      </c>
    </row>
    <row r="4929" spans="1:9" ht="14.5" x14ac:dyDescent="0.35">
      <c r="A4929" s="2">
        <v>2564425</v>
      </c>
      <c r="B4929" s="2" t="str">
        <f>"3328170704830002"</f>
        <v>3328170704830002</v>
      </c>
      <c r="C4929" s="2" t="s">
        <v>5479</v>
      </c>
      <c r="D4929" s="2" t="s">
        <v>17</v>
      </c>
      <c r="E4929" s="2" t="s">
        <v>11</v>
      </c>
      <c r="F4929" s="2" t="s">
        <v>18</v>
      </c>
      <c r="G4929" s="2" t="s">
        <v>19</v>
      </c>
      <c r="H4929" s="2" t="s">
        <v>4754</v>
      </c>
      <c r="I4929" s="2" t="s">
        <v>5421</v>
      </c>
    </row>
    <row r="4930" spans="1:9" ht="14.5" x14ac:dyDescent="0.35">
      <c r="A4930" s="2">
        <v>1503580</v>
      </c>
      <c r="B4930" s="2" t="str">
        <f>"3328170705900009"</f>
        <v>3328170705900009</v>
      </c>
      <c r="C4930" s="2" t="s">
        <v>5480</v>
      </c>
      <c r="D4930" s="2" t="s">
        <v>10</v>
      </c>
      <c r="E4930" s="2" t="s">
        <v>11</v>
      </c>
      <c r="F4930" s="2" t="s">
        <v>18</v>
      </c>
      <c r="G4930" s="2" t="s">
        <v>19</v>
      </c>
      <c r="H4930" s="2" t="s">
        <v>4754</v>
      </c>
      <c r="I4930" s="2" t="s">
        <v>5481</v>
      </c>
    </row>
    <row r="4931" spans="1:9" ht="14.5" x14ac:dyDescent="0.35">
      <c r="A4931" s="2">
        <v>627885</v>
      </c>
      <c r="B4931" s="2" t="str">
        <f>"3328170705900009"</f>
        <v>3328170705900009</v>
      </c>
      <c r="C4931" s="2" t="s">
        <v>5482</v>
      </c>
      <c r="D4931" s="2" t="s">
        <v>10</v>
      </c>
      <c r="E4931" s="2" t="s">
        <v>57</v>
      </c>
      <c r="F4931" s="2" t="s">
        <v>521</v>
      </c>
      <c r="G4931" s="2" t="s">
        <v>5483</v>
      </c>
      <c r="H4931" s="2" t="s">
        <v>5484</v>
      </c>
      <c r="I4931" s="2" t="s">
        <v>5485</v>
      </c>
    </row>
    <row r="4932" spans="1:9" ht="14.5" x14ac:dyDescent="0.35">
      <c r="A4932" s="2">
        <v>1506266</v>
      </c>
      <c r="B4932" s="2" t="str">
        <f>"3328170909920002"</f>
        <v>3328170909920002</v>
      </c>
      <c r="C4932" s="2" t="s">
        <v>5486</v>
      </c>
      <c r="D4932" s="2" t="s">
        <v>10</v>
      </c>
      <c r="E4932" s="2" t="s">
        <v>11</v>
      </c>
      <c r="F4932" s="2" t="s">
        <v>18</v>
      </c>
      <c r="G4932" s="2" t="s">
        <v>19</v>
      </c>
      <c r="H4932" s="2" t="s">
        <v>4754</v>
      </c>
      <c r="I4932" s="2" t="s">
        <v>5481</v>
      </c>
    </row>
    <row r="4933" spans="1:9" ht="14.5" x14ac:dyDescent="0.35">
      <c r="A4933" s="2">
        <v>1918470</v>
      </c>
      <c r="B4933" s="2" t="str">
        <f>"3328170909920002"</f>
        <v>3328170909920002</v>
      </c>
      <c r="C4933" s="2" t="s">
        <v>5486</v>
      </c>
      <c r="D4933" s="2" t="s">
        <v>17</v>
      </c>
      <c r="E4933" s="2" t="s">
        <v>11</v>
      </c>
      <c r="F4933" s="2" t="s">
        <v>91</v>
      </c>
      <c r="G4933" s="2" t="s">
        <v>320</v>
      </c>
      <c r="H4933" s="2" t="s">
        <v>5487</v>
      </c>
      <c r="I4933" s="2" t="s">
        <v>5488</v>
      </c>
    </row>
    <row r="4934" spans="1:9" ht="14.5" x14ac:dyDescent="0.35">
      <c r="A4934" s="2">
        <v>277115</v>
      </c>
      <c r="B4934" s="2" t="str">
        <f>"3328171012960005"</f>
        <v>3328171012960005</v>
      </c>
      <c r="C4934" s="2" t="s">
        <v>5489</v>
      </c>
      <c r="D4934" s="2" t="s">
        <v>189</v>
      </c>
      <c r="E4934" s="2" t="s">
        <v>11</v>
      </c>
      <c r="F4934" s="2" t="s">
        <v>18</v>
      </c>
      <c r="G4934" s="2" t="s">
        <v>268</v>
      </c>
      <c r="H4934" s="2" t="s">
        <v>277</v>
      </c>
      <c r="I4934" s="2" t="s">
        <v>3243</v>
      </c>
    </row>
    <row r="4935" spans="1:9" ht="14.5" x14ac:dyDescent="0.35">
      <c r="A4935" s="2">
        <v>1502448</v>
      </c>
      <c r="B4935" s="2" t="str">
        <f>"3328171012960005"</f>
        <v>3328171012960005</v>
      </c>
      <c r="C4935" s="2" t="s">
        <v>5489</v>
      </c>
      <c r="D4935" s="2" t="s">
        <v>189</v>
      </c>
      <c r="E4935" s="2" t="s">
        <v>11</v>
      </c>
      <c r="F4935" s="2" t="s">
        <v>18</v>
      </c>
      <c r="G4935" s="2" t="s">
        <v>19</v>
      </c>
      <c r="H4935" s="2" t="s">
        <v>4754</v>
      </c>
      <c r="I4935" s="2" t="s">
        <v>5481</v>
      </c>
    </row>
    <row r="4936" spans="1:9" ht="14.5" x14ac:dyDescent="0.35">
      <c r="A4936" s="2">
        <v>1619468</v>
      </c>
      <c r="B4936" s="2" t="str">
        <f>"3328171105960001"</f>
        <v>3328171105960001</v>
      </c>
      <c r="C4936" s="2" t="s">
        <v>5490</v>
      </c>
      <c r="D4936" s="2" t="s">
        <v>10</v>
      </c>
      <c r="E4936" s="2" t="s">
        <v>11</v>
      </c>
      <c r="F4936" s="2" t="s">
        <v>18</v>
      </c>
      <c r="G4936" s="2" t="s">
        <v>19</v>
      </c>
      <c r="H4936" s="2" t="s">
        <v>4754</v>
      </c>
      <c r="I4936" s="2" t="s">
        <v>5421</v>
      </c>
    </row>
    <row r="4937" spans="1:9" ht="14.5" x14ac:dyDescent="0.35">
      <c r="A4937" s="2">
        <v>386463</v>
      </c>
      <c r="B4937" s="2" t="str">
        <f>"3328171105960001"</f>
        <v>3328171105960001</v>
      </c>
      <c r="C4937" s="2" t="s">
        <v>5491</v>
      </c>
      <c r="D4937" s="2" t="s">
        <v>17</v>
      </c>
      <c r="E4937" s="2" t="s">
        <v>11</v>
      </c>
      <c r="F4937" s="2" t="s">
        <v>232</v>
      </c>
      <c r="G4937" s="2" t="s">
        <v>3300</v>
      </c>
      <c r="H4937" s="2" t="s">
        <v>5492</v>
      </c>
      <c r="I4937" s="2" t="s">
        <v>5493</v>
      </c>
    </row>
    <row r="4938" spans="1:9" ht="14.5" x14ac:dyDescent="0.35">
      <c r="A4938" s="2">
        <v>1618291</v>
      </c>
      <c r="B4938" s="2" t="str">
        <f>"3328171106000001"</f>
        <v>3328171106000001</v>
      </c>
      <c r="C4938" s="2" t="s">
        <v>5494</v>
      </c>
      <c r="D4938" s="2" t="s">
        <v>10</v>
      </c>
      <c r="E4938" s="2" t="s">
        <v>11</v>
      </c>
      <c r="F4938" s="2" t="s">
        <v>18</v>
      </c>
      <c r="G4938" s="2" t="s">
        <v>19</v>
      </c>
      <c r="H4938" s="2" t="s">
        <v>4754</v>
      </c>
      <c r="I4938" s="2" t="s">
        <v>5421</v>
      </c>
    </row>
    <row r="4939" spans="1:9" ht="14.5" x14ac:dyDescent="0.35">
      <c r="A4939" s="2">
        <v>762471</v>
      </c>
      <c r="B4939" s="2" t="str">
        <f>"3328171106000001"</f>
        <v>3328171106000001</v>
      </c>
      <c r="C4939" s="2" t="s">
        <v>5495</v>
      </c>
      <c r="D4939" s="2" t="s">
        <v>10</v>
      </c>
      <c r="E4939" s="2" t="s">
        <v>57</v>
      </c>
      <c r="F4939" s="2" t="s">
        <v>379</v>
      </c>
      <c r="G4939" s="2" t="s">
        <v>711</v>
      </c>
      <c r="H4939" s="2" t="s">
        <v>718</v>
      </c>
      <c r="I4939" s="2" t="s">
        <v>719</v>
      </c>
    </row>
    <row r="4940" spans="1:9" ht="14.5" x14ac:dyDescent="0.35">
      <c r="A4940" s="2">
        <v>625238</v>
      </c>
      <c r="B4940" s="2" t="str">
        <f>"3328171109900002"</f>
        <v>3328171109900002</v>
      </c>
      <c r="C4940" s="2" t="s">
        <v>1199</v>
      </c>
      <c r="D4940" s="2" t="s">
        <v>10</v>
      </c>
      <c r="E4940" s="2" t="s">
        <v>11</v>
      </c>
      <c r="F4940" s="2" t="s">
        <v>18</v>
      </c>
      <c r="G4940" s="2" t="s">
        <v>264</v>
      </c>
      <c r="H4940" s="2" t="s">
        <v>264</v>
      </c>
      <c r="I4940" s="2" t="s">
        <v>2004</v>
      </c>
    </row>
    <row r="4941" spans="1:9" ht="14.5" x14ac:dyDescent="0.35">
      <c r="A4941" s="2">
        <v>2564305</v>
      </c>
      <c r="B4941" s="2" t="str">
        <f>"3328171109900002"</f>
        <v>3328171109900002</v>
      </c>
      <c r="C4941" s="2" t="s">
        <v>1199</v>
      </c>
      <c r="D4941" s="2" t="s">
        <v>17</v>
      </c>
      <c r="E4941" s="2" t="s">
        <v>11</v>
      </c>
      <c r="F4941" s="2" t="s">
        <v>18</v>
      </c>
      <c r="G4941" s="2" t="s">
        <v>19</v>
      </c>
      <c r="H4941" s="2" t="s">
        <v>4754</v>
      </c>
      <c r="I4941" s="2" t="s">
        <v>4754</v>
      </c>
    </row>
    <row r="4942" spans="1:9" ht="14.5" x14ac:dyDescent="0.35">
      <c r="A4942" s="2">
        <v>1494390</v>
      </c>
      <c r="B4942" s="2" t="str">
        <f>"3328171202020004"</f>
        <v>3328171202020004</v>
      </c>
      <c r="C4942" s="2" t="s">
        <v>5496</v>
      </c>
      <c r="D4942" s="2" t="s">
        <v>10</v>
      </c>
      <c r="E4942" s="2" t="s">
        <v>11</v>
      </c>
      <c r="F4942" s="2" t="s">
        <v>18</v>
      </c>
      <c r="G4942" s="2" t="s">
        <v>19</v>
      </c>
      <c r="H4942" s="2" t="s">
        <v>4754</v>
      </c>
      <c r="I4942" s="2" t="s">
        <v>5442</v>
      </c>
    </row>
    <row r="4943" spans="1:9" ht="14.5" x14ac:dyDescent="0.35">
      <c r="A4943" s="2">
        <v>2662310</v>
      </c>
      <c r="B4943" s="2" t="str">
        <f>"3328171202020004"</f>
        <v>3328171202020004</v>
      </c>
      <c r="C4943" s="2" t="s">
        <v>5497</v>
      </c>
      <c r="D4943" s="2" t="s">
        <v>10</v>
      </c>
      <c r="E4943" s="2" t="s">
        <v>57</v>
      </c>
      <c r="F4943" s="2" t="s">
        <v>18</v>
      </c>
      <c r="G4943" s="2" t="s">
        <v>199</v>
      </c>
      <c r="H4943" s="2" t="s">
        <v>199</v>
      </c>
      <c r="I4943" s="2" t="s">
        <v>839</v>
      </c>
    </row>
    <row r="4944" spans="1:9" ht="14.5" x14ac:dyDescent="0.35">
      <c r="A4944" s="2">
        <v>1503615</v>
      </c>
      <c r="B4944" s="2" t="str">
        <f>"3328171202960002"</f>
        <v>3328171202960002</v>
      </c>
      <c r="C4944" s="2" t="s">
        <v>5498</v>
      </c>
      <c r="D4944" s="2" t="s">
        <v>10</v>
      </c>
      <c r="E4944" s="2" t="s">
        <v>11</v>
      </c>
      <c r="F4944" s="2" t="s">
        <v>18</v>
      </c>
      <c r="G4944" s="2" t="s">
        <v>19</v>
      </c>
      <c r="H4944" s="2" t="s">
        <v>4754</v>
      </c>
      <c r="I4944" s="2" t="s">
        <v>5481</v>
      </c>
    </row>
    <row r="4945" spans="1:9" ht="14.5" x14ac:dyDescent="0.35">
      <c r="A4945" s="2">
        <v>1894274</v>
      </c>
      <c r="B4945" s="2" t="str">
        <f>"3328171202960002"</f>
        <v>3328171202960002</v>
      </c>
      <c r="C4945" s="2" t="s">
        <v>5498</v>
      </c>
      <c r="D4945" s="2" t="s">
        <v>17</v>
      </c>
      <c r="E4945" s="2" t="s">
        <v>11</v>
      </c>
      <c r="F4945" s="2" t="s">
        <v>91</v>
      </c>
      <c r="G4945" s="2" t="s">
        <v>320</v>
      </c>
      <c r="H4945" s="2" t="s">
        <v>964</v>
      </c>
      <c r="I4945" s="2" t="s">
        <v>361</v>
      </c>
    </row>
    <row r="4946" spans="1:9" ht="14.5" x14ac:dyDescent="0.35">
      <c r="A4946" s="2">
        <v>67024</v>
      </c>
      <c r="B4946" s="2" t="str">
        <f>"3328171602920001"</f>
        <v>3328171602920001</v>
      </c>
      <c r="C4946" s="2" t="s">
        <v>5499</v>
      </c>
      <c r="D4946" s="2" t="s">
        <v>10</v>
      </c>
      <c r="E4946" s="2" t="s">
        <v>11</v>
      </c>
      <c r="F4946" s="2" t="s">
        <v>44</v>
      </c>
      <c r="G4946" s="2" t="s">
        <v>2174</v>
      </c>
      <c r="H4946" s="2" t="s">
        <v>5500</v>
      </c>
      <c r="I4946" s="2" t="s">
        <v>5501</v>
      </c>
    </row>
    <row r="4947" spans="1:9" ht="14.5" x14ac:dyDescent="0.35">
      <c r="A4947" s="2">
        <v>2565072</v>
      </c>
      <c r="B4947" s="2" t="str">
        <f>"3328171602920001"</f>
        <v>3328171602920001</v>
      </c>
      <c r="C4947" s="2" t="s">
        <v>5502</v>
      </c>
      <c r="D4947" s="2" t="s">
        <v>17</v>
      </c>
      <c r="E4947" s="2" t="s">
        <v>11</v>
      </c>
      <c r="F4947" s="2" t="s">
        <v>18</v>
      </c>
      <c r="G4947" s="2" t="s">
        <v>19</v>
      </c>
      <c r="H4947" s="2" t="s">
        <v>4754</v>
      </c>
      <c r="I4947" s="2" t="s">
        <v>5426</v>
      </c>
    </row>
    <row r="4948" spans="1:9" ht="14.5" x14ac:dyDescent="0.35">
      <c r="A4948" s="2">
        <v>1507874</v>
      </c>
      <c r="B4948" s="2" t="str">
        <f>"3328171605910004"</f>
        <v>3328171605910004</v>
      </c>
      <c r="C4948" s="2" t="s">
        <v>5503</v>
      </c>
      <c r="D4948" s="2" t="s">
        <v>10</v>
      </c>
      <c r="E4948" s="2" t="s">
        <v>11</v>
      </c>
      <c r="F4948" s="2" t="s">
        <v>18</v>
      </c>
      <c r="G4948" s="2" t="s">
        <v>19</v>
      </c>
      <c r="H4948" s="2" t="s">
        <v>4754</v>
      </c>
      <c r="I4948" s="2" t="s">
        <v>5440</v>
      </c>
    </row>
    <row r="4949" spans="1:9" ht="14.5" x14ac:dyDescent="0.35">
      <c r="A4949" s="2">
        <v>1694687</v>
      </c>
      <c r="B4949" s="2" t="str">
        <f>"3328171605910004"</f>
        <v>3328171605910004</v>
      </c>
      <c r="C4949" s="2" t="s">
        <v>5503</v>
      </c>
      <c r="D4949" s="2" t="s">
        <v>17</v>
      </c>
      <c r="E4949" s="2" t="s">
        <v>11</v>
      </c>
      <c r="F4949" s="2" t="s">
        <v>18</v>
      </c>
      <c r="G4949" s="2" t="s">
        <v>264</v>
      </c>
      <c r="H4949" s="2" t="s">
        <v>273</v>
      </c>
      <c r="I4949" s="2" t="s">
        <v>2080</v>
      </c>
    </row>
    <row r="4950" spans="1:9" ht="14.5" x14ac:dyDescent="0.35">
      <c r="A4950" s="2">
        <v>1617161</v>
      </c>
      <c r="B4950" s="2" t="str">
        <f>"3328171705060003"</f>
        <v>3328171705060003</v>
      </c>
      <c r="C4950" s="2" t="s">
        <v>5504</v>
      </c>
      <c r="D4950" s="2" t="s">
        <v>189</v>
      </c>
      <c r="E4950" s="2" t="s">
        <v>11</v>
      </c>
      <c r="F4950" s="2" t="s">
        <v>18</v>
      </c>
      <c r="G4950" s="2" t="s">
        <v>19</v>
      </c>
      <c r="H4950" s="2" t="s">
        <v>4754</v>
      </c>
      <c r="I4950" s="2" t="s">
        <v>5421</v>
      </c>
    </row>
    <row r="4951" spans="1:9" ht="14.5" x14ac:dyDescent="0.35">
      <c r="A4951" s="2">
        <v>1349047</v>
      </c>
      <c r="B4951" s="2" t="str">
        <f>"3328171705060003"</f>
        <v>3328171705060003</v>
      </c>
      <c r="C4951" s="2" t="s">
        <v>5504</v>
      </c>
      <c r="D4951" s="2" t="s">
        <v>10</v>
      </c>
      <c r="E4951" s="2" t="s">
        <v>57</v>
      </c>
      <c r="F4951" s="2" t="s">
        <v>303</v>
      </c>
      <c r="G4951" s="2" t="s">
        <v>608</v>
      </c>
      <c r="H4951" s="2" t="s">
        <v>609</v>
      </c>
      <c r="I4951" s="2" t="s">
        <v>610</v>
      </c>
    </row>
    <row r="4952" spans="1:9" ht="14.5" x14ac:dyDescent="0.35">
      <c r="A4952" s="2">
        <v>1519326</v>
      </c>
      <c r="B4952" s="2" t="str">
        <f>"3328171805060008"</f>
        <v>3328171805060008</v>
      </c>
      <c r="C4952" s="2" t="s">
        <v>5505</v>
      </c>
      <c r="D4952" s="2" t="s">
        <v>10</v>
      </c>
      <c r="E4952" s="2" t="s">
        <v>11</v>
      </c>
      <c r="F4952" s="2" t="s">
        <v>18</v>
      </c>
      <c r="G4952" s="2" t="s">
        <v>19</v>
      </c>
      <c r="H4952" s="2" t="s">
        <v>4754</v>
      </c>
      <c r="I4952" s="2" t="s">
        <v>4755</v>
      </c>
    </row>
    <row r="4953" spans="1:9" ht="14.5" x14ac:dyDescent="0.35">
      <c r="A4953" s="2">
        <v>636290</v>
      </c>
      <c r="B4953" s="2" t="str">
        <f>"3328171805060008"</f>
        <v>3328171805060008</v>
      </c>
      <c r="C4953" s="2" t="s">
        <v>5506</v>
      </c>
      <c r="D4953" s="2" t="s">
        <v>17</v>
      </c>
      <c r="E4953" s="2" t="s">
        <v>57</v>
      </c>
      <c r="F4953" s="2" t="s">
        <v>18</v>
      </c>
      <c r="G4953" s="2" t="s">
        <v>190</v>
      </c>
      <c r="H4953" s="2" t="s">
        <v>1497</v>
      </c>
      <c r="I4953" s="2" t="s">
        <v>1498</v>
      </c>
    </row>
    <row r="4954" spans="1:9" ht="14.5" x14ac:dyDescent="0.35">
      <c r="A4954" s="2">
        <v>1495552</v>
      </c>
      <c r="B4954" s="2" t="str">
        <f>"3328171805820003"</f>
        <v>3328171805820003</v>
      </c>
      <c r="C4954" s="2" t="s">
        <v>2052</v>
      </c>
      <c r="D4954" s="2" t="s">
        <v>10</v>
      </c>
      <c r="E4954" s="2" t="s">
        <v>11</v>
      </c>
      <c r="F4954" s="2" t="s">
        <v>18</v>
      </c>
      <c r="G4954" s="2" t="s">
        <v>19</v>
      </c>
      <c r="H4954" s="2" t="s">
        <v>4754</v>
      </c>
      <c r="I4954" s="2" t="s">
        <v>5442</v>
      </c>
    </row>
    <row r="4955" spans="1:9" ht="14.5" x14ac:dyDescent="0.35">
      <c r="A4955" s="2">
        <v>1642354</v>
      </c>
      <c r="B4955" s="2" t="str">
        <f>"3328171805820003"</f>
        <v>3328171805820003</v>
      </c>
      <c r="C4955" s="2" t="s">
        <v>2052</v>
      </c>
      <c r="D4955" s="2" t="s">
        <v>17</v>
      </c>
      <c r="E4955" s="2" t="s">
        <v>11</v>
      </c>
      <c r="F4955" s="2" t="s">
        <v>18</v>
      </c>
      <c r="G4955" s="2" t="s">
        <v>264</v>
      </c>
      <c r="H4955" s="2" t="s">
        <v>773</v>
      </c>
      <c r="I4955" s="2" t="s">
        <v>5507</v>
      </c>
    </row>
    <row r="4956" spans="1:9" ht="14.5" x14ac:dyDescent="0.35">
      <c r="A4956" s="2">
        <v>264202</v>
      </c>
      <c r="B4956" s="2" t="str">
        <f>"3328171808960001"</f>
        <v>3328171808960001</v>
      </c>
      <c r="C4956" s="2" t="s">
        <v>5508</v>
      </c>
      <c r="D4956" s="2" t="s">
        <v>10</v>
      </c>
      <c r="E4956" s="2" t="s">
        <v>11</v>
      </c>
      <c r="F4956" s="2" t="s">
        <v>18</v>
      </c>
      <c r="G4956" s="2" t="s">
        <v>268</v>
      </c>
      <c r="H4956" s="2" t="s">
        <v>371</v>
      </c>
      <c r="I4956" s="2" t="s">
        <v>497</v>
      </c>
    </row>
    <row r="4957" spans="1:9" ht="14.5" x14ac:dyDescent="0.35">
      <c r="A4957" s="2">
        <v>2564652</v>
      </c>
      <c r="B4957" s="2" t="str">
        <f>"3328171808960001"</f>
        <v>3328171808960001</v>
      </c>
      <c r="C4957" s="2" t="s">
        <v>5509</v>
      </c>
      <c r="D4957" s="2" t="s">
        <v>17</v>
      </c>
      <c r="E4957" s="2" t="s">
        <v>11</v>
      </c>
      <c r="F4957" s="2" t="s">
        <v>18</v>
      </c>
      <c r="G4957" s="2" t="s">
        <v>19</v>
      </c>
      <c r="H4957" s="2" t="s">
        <v>4754</v>
      </c>
      <c r="I4957" s="2" t="s">
        <v>5481</v>
      </c>
    </row>
    <row r="4958" spans="1:9" ht="14.5" x14ac:dyDescent="0.35">
      <c r="A4958" s="2">
        <v>1191640</v>
      </c>
      <c r="B4958" s="2" t="str">
        <f>"3328171905890001"</f>
        <v>3328171905890001</v>
      </c>
      <c r="C4958" s="2" t="s">
        <v>5510</v>
      </c>
      <c r="D4958" s="2" t="s">
        <v>10</v>
      </c>
      <c r="E4958" s="2" t="s">
        <v>11</v>
      </c>
      <c r="F4958" s="2" t="s">
        <v>91</v>
      </c>
      <c r="G4958" s="2" t="s">
        <v>320</v>
      </c>
      <c r="H4958" s="2" t="s">
        <v>368</v>
      </c>
      <c r="I4958" s="2" t="s">
        <v>3266</v>
      </c>
    </row>
    <row r="4959" spans="1:9" ht="14.5" x14ac:dyDescent="0.35">
      <c r="A4959" s="2">
        <v>2564343</v>
      </c>
      <c r="B4959" s="2" t="str">
        <f>"3328171905890001"</f>
        <v>3328171905890001</v>
      </c>
      <c r="C4959" s="2" t="s">
        <v>5511</v>
      </c>
      <c r="D4959" s="2" t="s">
        <v>17</v>
      </c>
      <c r="E4959" s="2" t="s">
        <v>11</v>
      </c>
      <c r="F4959" s="2" t="s">
        <v>18</v>
      </c>
      <c r="G4959" s="2" t="s">
        <v>19</v>
      </c>
      <c r="H4959" s="2" t="s">
        <v>4754</v>
      </c>
      <c r="I4959" s="2" t="s">
        <v>5421</v>
      </c>
    </row>
    <row r="4960" spans="1:9" ht="14.5" x14ac:dyDescent="0.35">
      <c r="A4960" s="2">
        <v>1523879</v>
      </c>
      <c r="B4960" s="2" t="str">
        <f>"3328171910950002"</f>
        <v>3328171910950002</v>
      </c>
      <c r="C4960" s="2" t="s">
        <v>5512</v>
      </c>
      <c r="D4960" s="2" t="s">
        <v>10</v>
      </c>
      <c r="E4960" s="2" t="s">
        <v>11</v>
      </c>
      <c r="F4960" s="2" t="s">
        <v>18</v>
      </c>
      <c r="G4960" s="2" t="s">
        <v>19</v>
      </c>
      <c r="H4960" s="2" t="s">
        <v>4754</v>
      </c>
      <c r="I4960" s="2" t="s">
        <v>5426</v>
      </c>
    </row>
    <row r="4961" spans="1:9" ht="14.5" x14ac:dyDescent="0.35">
      <c r="A4961" s="2">
        <v>1349048</v>
      </c>
      <c r="B4961" s="2" t="str">
        <f>"3328171910950002"</f>
        <v>3328171910950002</v>
      </c>
      <c r="C4961" s="2" t="s">
        <v>5512</v>
      </c>
      <c r="D4961" s="2" t="s">
        <v>10</v>
      </c>
      <c r="E4961" s="2" t="s">
        <v>57</v>
      </c>
      <c r="F4961" s="2" t="s">
        <v>303</v>
      </c>
      <c r="G4961" s="2" t="s">
        <v>608</v>
      </c>
      <c r="H4961" s="2" t="s">
        <v>609</v>
      </c>
      <c r="I4961" s="2" t="s">
        <v>610</v>
      </c>
    </row>
    <row r="4962" spans="1:9" ht="14.5" x14ac:dyDescent="0.35">
      <c r="A4962" s="2">
        <v>1525350</v>
      </c>
      <c r="B4962" s="2" t="str">
        <f>"3328172006030004"</f>
        <v>3328172006030004</v>
      </c>
      <c r="C4962" s="2" t="s">
        <v>5513</v>
      </c>
      <c r="D4962" s="2" t="s">
        <v>10</v>
      </c>
      <c r="E4962" s="2" t="s">
        <v>11</v>
      </c>
      <c r="F4962" s="2" t="s">
        <v>18</v>
      </c>
      <c r="G4962" s="2" t="s">
        <v>19</v>
      </c>
      <c r="H4962" s="2" t="s">
        <v>4754</v>
      </c>
      <c r="I4962" s="2" t="s">
        <v>5514</v>
      </c>
    </row>
    <row r="4963" spans="1:9" ht="14.5" x14ac:dyDescent="0.35">
      <c r="A4963" s="2">
        <v>1350443</v>
      </c>
      <c r="B4963" s="2" t="str">
        <f>"3328172006030004"</f>
        <v>3328172006030004</v>
      </c>
      <c r="C4963" s="2" t="s">
        <v>5513</v>
      </c>
      <c r="D4963" s="2" t="s">
        <v>10</v>
      </c>
      <c r="E4963" s="2" t="s">
        <v>57</v>
      </c>
      <c r="F4963" s="2" t="s">
        <v>303</v>
      </c>
      <c r="G4963" s="2" t="s">
        <v>608</v>
      </c>
      <c r="H4963" s="2" t="s">
        <v>609</v>
      </c>
      <c r="I4963" s="2" t="s">
        <v>610</v>
      </c>
    </row>
    <row r="4964" spans="1:9" ht="14.5" x14ac:dyDescent="0.35">
      <c r="A4964" s="2">
        <v>2645632</v>
      </c>
      <c r="B4964" s="2" t="str">
        <f>"3328172111940003"</f>
        <v>3328172111940003</v>
      </c>
      <c r="C4964" s="2" t="s">
        <v>3659</v>
      </c>
      <c r="D4964" s="2" t="s">
        <v>17</v>
      </c>
      <c r="E4964" s="2" t="s">
        <v>11</v>
      </c>
      <c r="F4964" s="2" t="s">
        <v>18</v>
      </c>
      <c r="G4964" s="2" t="s">
        <v>199</v>
      </c>
      <c r="H4964" s="2" t="s">
        <v>208</v>
      </c>
      <c r="I4964" s="2" t="s">
        <v>5515</v>
      </c>
    </row>
    <row r="4965" spans="1:9" ht="14.5" x14ac:dyDescent="0.35">
      <c r="A4965" s="2">
        <v>1503369</v>
      </c>
      <c r="B4965" s="2" t="str">
        <f>"3328172111940003"</f>
        <v>3328172111940003</v>
      </c>
      <c r="C4965" s="2" t="s">
        <v>3659</v>
      </c>
      <c r="D4965" s="2" t="s">
        <v>189</v>
      </c>
      <c r="E4965" s="2" t="s">
        <v>11</v>
      </c>
      <c r="F4965" s="2" t="s">
        <v>18</v>
      </c>
      <c r="G4965" s="2" t="s">
        <v>19</v>
      </c>
      <c r="H4965" s="2" t="s">
        <v>4754</v>
      </c>
      <c r="I4965" s="2" t="s">
        <v>5481</v>
      </c>
    </row>
    <row r="4966" spans="1:9" ht="14.5" x14ac:dyDescent="0.35">
      <c r="A4966" s="2">
        <v>1502826</v>
      </c>
      <c r="B4966" s="2" t="str">
        <f>"3328172309730003"</f>
        <v>3328172309730003</v>
      </c>
      <c r="C4966" s="2" t="s">
        <v>5516</v>
      </c>
      <c r="D4966" s="2" t="s">
        <v>10</v>
      </c>
      <c r="E4966" s="2" t="s">
        <v>11</v>
      </c>
      <c r="F4966" s="2" t="s">
        <v>18</v>
      </c>
      <c r="G4966" s="2" t="s">
        <v>19</v>
      </c>
      <c r="H4966" s="2" t="s">
        <v>4754</v>
      </c>
      <c r="I4966" s="2" t="s">
        <v>5481</v>
      </c>
    </row>
    <row r="4967" spans="1:9" ht="14.5" x14ac:dyDescent="0.35">
      <c r="A4967" s="2">
        <v>2419062</v>
      </c>
      <c r="B4967" s="2" t="str">
        <f>"3328172309730003"</f>
        <v>3328172309730003</v>
      </c>
      <c r="C4967" s="2" t="s">
        <v>5517</v>
      </c>
      <c r="D4967" s="2" t="s">
        <v>10</v>
      </c>
      <c r="E4967" s="2" t="s">
        <v>57</v>
      </c>
      <c r="F4967" s="2" t="s">
        <v>50</v>
      </c>
      <c r="G4967" s="2" t="s">
        <v>58</v>
      </c>
      <c r="H4967" s="2" t="s">
        <v>59</v>
      </c>
      <c r="I4967" s="2" t="s">
        <v>60</v>
      </c>
    </row>
    <row r="4968" spans="1:9" ht="14.5" x14ac:dyDescent="0.35">
      <c r="A4968" s="2">
        <v>1515712</v>
      </c>
      <c r="B4968" s="2" t="str">
        <f>"3328172310000004"</f>
        <v>3328172310000004</v>
      </c>
      <c r="C4968" s="2" t="s">
        <v>5518</v>
      </c>
      <c r="D4968" s="2" t="s">
        <v>10</v>
      </c>
      <c r="E4968" s="2" t="s">
        <v>11</v>
      </c>
      <c r="F4968" s="2" t="s">
        <v>18</v>
      </c>
      <c r="G4968" s="2" t="s">
        <v>19</v>
      </c>
      <c r="H4968" s="2" t="s">
        <v>4754</v>
      </c>
      <c r="I4968" s="2" t="s">
        <v>882</v>
      </c>
    </row>
    <row r="4969" spans="1:9" ht="14.5" x14ac:dyDescent="0.35">
      <c r="A4969" s="2">
        <v>421635</v>
      </c>
      <c r="B4969" s="2" t="str">
        <f>"3328172310000004"</f>
        <v>3328172310000004</v>
      </c>
      <c r="C4969" s="2" t="s">
        <v>5519</v>
      </c>
      <c r="D4969" s="2" t="s">
        <v>17</v>
      </c>
      <c r="E4969" s="2" t="s">
        <v>11</v>
      </c>
      <c r="F4969" s="2" t="s">
        <v>18</v>
      </c>
      <c r="G4969" s="2" t="s">
        <v>268</v>
      </c>
      <c r="H4969" s="2" t="s">
        <v>371</v>
      </c>
      <c r="I4969" s="2" t="s">
        <v>2772</v>
      </c>
    </row>
    <row r="4970" spans="1:9" ht="14.5" x14ac:dyDescent="0.35">
      <c r="A4970" s="2">
        <v>2564979</v>
      </c>
      <c r="B4970" s="2" t="str">
        <f>"3328172405880003"</f>
        <v>3328172405880003</v>
      </c>
      <c r="C4970" s="2" t="s">
        <v>5520</v>
      </c>
      <c r="D4970" s="2" t="s">
        <v>17</v>
      </c>
      <c r="E4970" s="2" t="s">
        <v>11</v>
      </c>
      <c r="F4970" s="2" t="s">
        <v>18</v>
      </c>
      <c r="G4970" s="2" t="s">
        <v>19</v>
      </c>
      <c r="H4970" s="2" t="s">
        <v>4754</v>
      </c>
      <c r="I4970" s="2" t="s">
        <v>5438</v>
      </c>
    </row>
    <row r="4971" spans="1:9" ht="14.5" x14ac:dyDescent="0.35">
      <c r="A4971" s="2">
        <v>815203</v>
      </c>
      <c r="B4971" s="2" t="str">
        <f>"3328172405880003"</f>
        <v>3328172405880003</v>
      </c>
      <c r="C4971" s="2" t="s">
        <v>5521</v>
      </c>
      <c r="D4971" s="2" t="s">
        <v>17</v>
      </c>
      <c r="E4971" s="2" t="s">
        <v>11</v>
      </c>
      <c r="F4971" s="2" t="s">
        <v>18</v>
      </c>
      <c r="G4971" s="2" t="s">
        <v>3495</v>
      </c>
      <c r="H4971" s="2" t="s">
        <v>5522</v>
      </c>
      <c r="I4971" s="2" t="s">
        <v>5523</v>
      </c>
    </row>
    <row r="4972" spans="1:9" ht="14.5" x14ac:dyDescent="0.35">
      <c r="A4972" s="2">
        <v>1913708</v>
      </c>
      <c r="B4972" s="2" t="str">
        <f>"3328172410840001"</f>
        <v>3328172410840001</v>
      </c>
      <c r="C4972" s="2" t="s">
        <v>5524</v>
      </c>
      <c r="D4972" s="2" t="s">
        <v>10</v>
      </c>
      <c r="E4972" s="2" t="s">
        <v>11</v>
      </c>
      <c r="F4972" s="2" t="s">
        <v>18</v>
      </c>
      <c r="G4972" s="2" t="s">
        <v>19</v>
      </c>
      <c r="H4972" s="2" t="s">
        <v>4754</v>
      </c>
      <c r="I4972" s="2" t="s">
        <v>5438</v>
      </c>
    </row>
    <row r="4973" spans="1:9" ht="14.5" x14ac:dyDescent="0.35">
      <c r="A4973" s="2">
        <v>850897</v>
      </c>
      <c r="B4973" s="2" t="str">
        <f>"3328172410840001"</f>
        <v>3328172410840001</v>
      </c>
      <c r="C4973" s="2" t="s">
        <v>5525</v>
      </c>
      <c r="D4973" s="2" t="s">
        <v>17</v>
      </c>
      <c r="E4973" s="2" t="s">
        <v>11</v>
      </c>
      <c r="F4973" s="2" t="s">
        <v>18</v>
      </c>
      <c r="G4973" s="2" t="s">
        <v>951</v>
      </c>
      <c r="H4973" s="2" t="s">
        <v>2651</v>
      </c>
      <c r="I4973" s="2" t="s">
        <v>375</v>
      </c>
    </row>
    <row r="4974" spans="1:9" ht="14.5" x14ac:dyDescent="0.35">
      <c r="A4974" s="2">
        <v>1506808</v>
      </c>
      <c r="B4974" s="2" t="str">
        <f>"3328172601980001"</f>
        <v>3328172601980001</v>
      </c>
      <c r="C4974" s="2" t="s">
        <v>5526</v>
      </c>
      <c r="D4974" s="2" t="s">
        <v>10</v>
      </c>
      <c r="E4974" s="2" t="s">
        <v>11</v>
      </c>
      <c r="F4974" s="2" t="s">
        <v>18</v>
      </c>
      <c r="G4974" s="2" t="s">
        <v>19</v>
      </c>
      <c r="H4974" s="2" t="s">
        <v>4754</v>
      </c>
      <c r="I4974" s="2" t="s">
        <v>5481</v>
      </c>
    </row>
    <row r="4975" spans="1:9" ht="14.5" x14ac:dyDescent="0.35">
      <c r="A4975" s="2">
        <v>1350441</v>
      </c>
      <c r="B4975" s="2" t="str">
        <f>"3328172601980001"</f>
        <v>3328172601980001</v>
      </c>
      <c r="C4975" s="2" t="s">
        <v>5526</v>
      </c>
      <c r="D4975" s="2" t="s">
        <v>10</v>
      </c>
      <c r="E4975" s="2" t="s">
        <v>57</v>
      </c>
      <c r="F4975" s="2" t="s">
        <v>303</v>
      </c>
      <c r="G4975" s="2" t="s">
        <v>608</v>
      </c>
      <c r="H4975" s="2" t="s">
        <v>609</v>
      </c>
      <c r="I4975" s="2" t="s">
        <v>610</v>
      </c>
    </row>
    <row r="4976" spans="1:9" ht="14.5" x14ac:dyDescent="0.35">
      <c r="A4976" s="2">
        <v>345984</v>
      </c>
      <c r="B4976" s="2" t="str">
        <f>"3328172705060002"</f>
        <v>3328172705060002</v>
      </c>
      <c r="C4976" s="2" t="s">
        <v>5527</v>
      </c>
      <c r="D4976" s="2" t="s">
        <v>10</v>
      </c>
      <c r="E4976" s="2" t="s">
        <v>11</v>
      </c>
      <c r="F4976" s="2" t="s">
        <v>379</v>
      </c>
      <c r="G4976" s="2" t="s">
        <v>380</v>
      </c>
      <c r="H4976" s="2" t="s">
        <v>3848</v>
      </c>
      <c r="I4976" s="2" t="s">
        <v>5017</v>
      </c>
    </row>
    <row r="4977" spans="1:9" ht="14.5" x14ac:dyDescent="0.35">
      <c r="A4977" s="2">
        <v>2564448</v>
      </c>
      <c r="B4977" s="2" t="str">
        <f>"3328172705060002"</f>
        <v>3328172705060002</v>
      </c>
      <c r="C4977" s="2" t="s">
        <v>5527</v>
      </c>
      <c r="D4977" s="2" t="s">
        <v>17</v>
      </c>
      <c r="E4977" s="2" t="s">
        <v>11</v>
      </c>
      <c r="F4977" s="2" t="s">
        <v>18</v>
      </c>
      <c r="G4977" s="2" t="s">
        <v>19</v>
      </c>
      <c r="H4977" s="2" t="s">
        <v>4754</v>
      </c>
      <c r="I4977" s="2" t="s">
        <v>5421</v>
      </c>
    </row>
    <row r="4978" spans="1:9" ht="14.5" x14ac:dyDescent="0.35">
      <c r="A4978" s="2">
        <v>1543045</v>
      </c>
      <c r="B4978" s="2" t="str">
        <f>"3328172908850007"</f>
        <v>3328172908850007</v>
      </c>
      <c r="C4978" s="2" t="s">
        <v>5528</v>
      </c>
      <c r="D4978" s="2" t="s">
        <v>10</v>
      </c>
      <c r="E4978" s="2" t="s">
        <v>11</v>
      </c>
      <c r="F4978" s="2" t="s">
        <v>18</v>
      </c>
      <c r="G4978" s="2" t="s">
        <v>19</v>
      </c>
      <c r="H4978" s="2" t="s">
        <v>4754</v>
      </c>
      <c r="I4978" s="2" t="s">
        <v>3958</v>
      </c>
    </row>
    <row r="4979" spans="1:9" ht="14.5" x14ac:dyDescent="0.35">
      <c r="A4979" s="2">
        <v>1385198</v>
      </c>
      <c r="B4979" s="2" t="str">
        <f>"3328172908850007"</f>
        <v>3328172908850007</v>
      </c>
      <c r="C4979" s="2" t="s">
        <v>5528</v>
      </c>
      <c r="D4979" s="2" t="s">
        <v>17</v>
      </c>
      <c r="E4979" s="2" t="s">
        <v>11</v>
      </c>
      <c r="F4979" s="2" t="s">
        <v>50</v>
      </c>
      <c r="G4979" s="2" t="s">
        <v>51</v>
      </c>
      <c r="H4979" s="2" t="s">
        <v>52</v>
      </c>
      <c r="I4979" s="2" t="s">
        <v>52</v>
      </c>
    </row>
    <row r="4980" spans="1:9" ht="14.5" x14ac:dyDescent="0.35">
      <c r="A4980" s="2">
        <v>1617013</v>
      </c>
      <c r="B4980" s="2" t="str">
        <f>"3328173108840002"</f>
        <v>3328173108840002</v>
      </c>
      <c r="C4980" s="2" t="s">
        <v>5529</v>
      </c>
      <c r="D4980" s="2" t="s">
        <v>10</v>
      </c>
      <c r="E4980" s="2" t="s">
        <v>11</v>
      </c>
      <c r="F4980" s="2" t="s">
        <v>18</v>
      </c>
      <c r="G4980" s="2" t="s">
        <v>19</v>
      </c>
      <c r="H4980" s="2" t="s">
        <v>4754</v>
      </c>
      <c r="I4980" s="2" t="s">
        <v>5421</v>
      </c>
    </row>
    <row r="4981" spans="1:9" ht="14.5" x14ac:dyDescent="0.35">
      <c r="A4981" s="2">
        <v>412096</v>
      </c>
      <c r="B4981" s="2" t="str">
        <f>"3328173108840002"</f>
        <v>3328173108840002</v>
      </c>
      <c r="C4981" s="2" t="s">
        <v>5529</v>
      </c>
      <c r="D4981" s="2" t="s">
        <v>10</v>
      </c>
      <c r="E4981" s="2" t="s">
        <v>57</v>
      </c>
      <c r="F4981" s="2" t="s">
        <v>3068</v>
      </c>
      <c r="G4981" s="2" t="s">
        <v>5530</v>
      </c>
      <c r="H4981" s="2" t="s">
        <v>5531</v>
      </c>
      <c r="I4981" s="2" t="s">
        <v>5532</v>
      </c>
    </row>
    <row r="4982" spans="1:9" ht="14.5" x14ac:dyDescent="0.35">
      <c r="A4982" s="2">
        <v>1521658</v>
      </c>
      <c r="B4982" s="2" t="str">
        <f>"3328174107930039"</f>
        <v>3328174107930039</v>
      </c>
      <c r="C4982" s="2" t="s">
        <v>5533</v>
      </c>
      <c r="D4982" s="2" t="s">
        <v>10</v>
      </c>
      <c r="E4982" s="2" t="s">
        <v>11</v>
      </c>
      <c r="F4982" s="2" t="s">
        <v>18</v>
      </c>
      <c r="G4982" s="2" t="s">
        <v>19</v>
      </c>
      <c r="H4982" s="2" t="s">
        <v>4754</v>
      </c>
      <c r="I4982" s="2" t="s">
        <v>5426</v>
      </c>
    </row>
    <row r="4983" spans="1:9" ht="14.5" x14ac:dyDescent="0.35">
      <c r="A4983" s="2">
        <v>1557062</v>
      </c>
      <c r="B4983" s="2" t="str">
        <f>"3328174107930039"</f>
        <v>3328174107930039</v>
      </c>
      <c r="C4983" s="2" t="s">
        <v>5533</v>
      </c>
      <c r="D4983" s="2" t="s">
        <v>17</v>
      </c>
      <c r="E4983" s="2" t="s">
        <v>11</v>
      </c>
      <c r="F4983" s="2" t="s">
        <v>18</v>
      </c>
      <c r="G4983" s="2" t="s">
        <v>195</v>
      </c>
      <c r="H4983" s="2" t="s">
        <v>196</v>
      </c>
      <c r="I4983" s="2" t="s">
        <v>5452</v>
      </c>
    </row>
    <row r="4984" spans="1:9" ht="14.5" x14ac:dyDescent="0.35">
      <c r="A4984" s="2">
        <v>1505660</v>
      </c>
      <c r="B4984" s="2" t="str">
        <f>"3328174207920002"</f>
        <v>3328174207920002</v>
      </c>
      <c r="C4984" s="2" t="s">
        <v>2376</v>
      </c>
      <c r="D4984" s="2" t="s">
        <v>10</v>
      </c>
      <c r="E4984" s="2" t="s">
        <v>11</v>
      </c>
      <c r="F4984" s="2" t="s">
        <v>18</v>
      </c>
      <c r="G4984" s="2" t="s">
        <v>19</v>
      </c>
      <c r="H4984" s="2" t="s">
        <v>4754</v>
      </c>
      <c r="I4984" s="2" t="s">
        <v>5481</v>
      </c>
    </row>
    <row r="4985" spans="1:9" ht="14.5" x14ac:dyDescent="0.35">
      <c r="A4985" s="2">
        <v>2660782</v>
      </c>
      <c r="B4985" s="2" t="str">
        <f>"3328174207920002"</f>
        <v>3328174207920002</v>
      </c>
      <c r="C4985" s="2" t="s">
        <v>2376</v>
      </c>
      <c r="D4985" s="2" t="s">
        <v>17</v>
      </c>
      <c r="E4985" s="2" t="s">
        <v>11</v>
      </c>
      <c r="F4985" s="2" t="s">
        <v>18</v>
      </c>
      <c r="G4985" s="2" t="s">
        <v>199</v>
      </c>
      <c r="H4985" s="2" t="s">
        <v>4400</v>
      </c>
      <c r="I4985" s="2" t="s">
        <v>5534</v>
      </c>
    </row>
    <row r="4986" spans="1:9" ht="14.5" x14ac:dyDescent="0.35">
      <c r="A4986" s="2">
        <v>225215</v>
      </c>
      <c r="B4986" s="2" t="str">
        <f>"3328174302990002"</f>
        <v>3328174302990002</v>
      </c>
      <c r="C4986" s="2" t="s">
        <v>5535</v>
      </c>
      <c r="D4986" s="2" t="s">
        <v>10</v>
      </c>
      <c r="E4986" s="2" t="s">
        <v>11</v>
      </c>
      <c r="F4986" s="2" t="s">
        <v>44</v>
      </c>
      <c r="G4986" s="2" t="s">
        <v>3084</v>
      </c>
      <c r="H4986" s="2" t="s">
        <v>5536</v>
      </c>
      <c r="I4986" s="2" t="s">
        <v>5537</v>
      </c>
    </row>
    <row r="4987" spans="1:9" ht="14.5" x14ac:dyDescent="0.35">
      <c r="A4987" s="2">
        <v>2564649</v>
      </c>
      <c r="B4987" s="2" t="str">
        <f>"3328174302990002"</f>
        <v>3328174302990002</v>
      </c>
      <c r="C4987" s="2" t="s">
        <v>5535</v>
      </c>
      <c r="D4987" s="2" t="s">
        <v>17</v>
      </c>
      <c r="E4987" s="2" t="s">
        <v>11</v>
      </c>
      <c r="F4987" s="2" t="s">
        <v>18</v>
      </c>
      <c r="G4987" s="2" t="s">
        <v>19</v>
      </c>
      <c r="H4987" s="2" t="s">
        <v>4754</v>
      </c>
      <c r="I4987" s="2" t="s">
        <v>5481</v>
      </c>
    </row>
    <row r="4988" spans="1:9" ht="14.5" x14ac:dyDescent="0.35">
      <c r="A4988" s="2">
        <v>1501135</v>
      </c>
      <c r="B4988" s="2" t="str">
        <f>"3328174705810007"</f>
        <v>3328174705810007</v>
      </c>
      <c r="C4988" s="2" t="s">
        <v>5538</v>
      </c>
      <c r="D4988" s="2" t="s">
        <v>189</v>
      </c>
      <c r="E4988" s="2" t="s">
        <v>11</v>
      </c>
      <c r="F4988" s="2" t="s">
        <v>18</v>
      </c>
      <c r="G4988" s="2" t="s">
        <v>19</v>
      </c>
      <c r="H4988" s="2" t="s">
        <v>4754</v>
      </c>
      <c r="I4988" s="2" t="s">
        <v>4754</v>
      </c>
    </row>
    <row r="4989" spans="1:9" ht="14.5" x14ac:dyDescent="0.35">
      <c r="A4989" s="2">
        <v>760803</v>
      </c>
      <c r="B4989" s="2" t="str">
        <f>"3328174705810007"</f>
        <v>3328174705810007</v>
      </c>
      <c r="C4989" s="2" t="s">
        <v>5538</v>
      </c>
      <c r="D4989" s="2" t="s">
        <v>17</v>
      </c>
      <c r="E4989" s="2" t="s">
        <v>11</v>
      </c>
      <c r="F4989" s="2" t="s">
        <v>379</v>
      </c>
      <c r="G4989" s="2" t="s">
        <v>711</v>
      </c>
      <c r="H4989" s="2" t="s">
        <v>718</v>
      </c>
      <c r="I4989" s="2" t="s">
        <v>3776</v>
      </c>
    </row>
    <row r="4990" spans="1:9" ht="14.5" x14ac:dyDescent="0.35">
      <c r="A4990" s="2">
        <v>1521914</v>
      </c>
      <c r="B4990" s="2" t="str">
        <f>"3328175101920003"</f>
        <v>3328175101920003</v>
      </c>
      <c r="C4990" s="2" t="s">
        <v>5539</v>
      </c>
      <c r="D4990" s="2" t="s">
        <v>10</v>
      </c>
      <c r="E4990" s="2" t="s">
        <v>11</v>
      </c>
      <c r="F4990" s="2" t="s">
        <v>18</v>
      </c>
      <c r="G4990" s="2" t="s">
        <v>19</v>
      </c>
      <c r="H4990" s="2" t="s">
        <v>4754</v>
      </c>
      <c r="I4990" s="2" t="s">
        <v>5426</v>
      </c>
    </row>
    <row r="4991" spans="1:9" ht="14.5" x14ac:dyDescent="0.35">
      <c r="A4991" s="2">
        <v>1958960</v>
      </c>
      <c r="B4991" s="2" t="str">
        <f>"3328175101920003"</f>
        <v>3328175101920003</v>
      </c>
      <c r="C4991" s="2" t="s">
        <v>5539</v>
      </c>
      <c r="D4991" s="2" t="s">
        <v>17</v>
      </c>
      <c r="E4991" s="2" t="s">
        <v>11</v>
      </c>
      <c r="F4991" s="2" t="s">
        <v>50</v>
      </c>
      <c r="G4991" s="2" t="s">
        <v>86</v>
      </c>
      <c r="H4991" s="2" t="s">
        <v>1268</v>
      </c>
      <c r="I4991" s="2" t="s">
        <v>2503</v>
      </c>
    </row>
    <row r="4992" spans="1:9" ht="14.5" x14ac:dyDescent="0.35">
      <c r="A4992" s="2">
        <v>1825839</v>
      </c>
      <c r="B4992" s="2" t="str">
        <f>"3328175310010002"</f>
        <v>3328175310010002</v>
      </c>
      <c r="C4992" s="2" t="s">
        <v>5540</v>
      </c>
      <c r="D4992" s="2" t="s">
        <v>10</v>
      </c>
      <c r="E4992" s="2" t="s">
        <v>11</v>
      </c>
      <c r="F4992" s="2" t="s">
        <v>91</v>
      </c>
      <c r="G4992" s="2" t="s">
        <v>1398</v>
      </c>
      <c r="H4992" s="2" t="s">
        <v>5541</v>
      </c>
      <c r="I4992" s="2" t="s">
        <v>3247</v>
      </c>
    </row>
    <row r="4993" spans="1:9" ht="14.5" x14ac:dyDescent="0.35">
      <c r="A4993" s="2">
        <v>2564921</v>
      </c>
      <c r="B4993" s="2" t="str">
        <f>"3328175310010002"</f>
        <v>3328175310010002</v>
      </c>
      <c r="C4993" s="2" t="s">
        <v>5540</v>
      </c>
      <c r="D4993" s="2" t="s">
        <v>17</v>
      </c>
      <c r="E4993" s="2" t="s">
        <v>11</v>
      </c>
      <c r="F4993" s="2" t="s">
        <v>18</v>
      </c>
      <c r="G4993" s="2" t="s">
        <v>19</v>
      </c>
      <c r="H4993" s="2" t="s">
        <v>4754</v>
      </c>
      <c r="I4993" s="2" t="s">
        <v>4755</v>
      </c>
    </row>
    <row r="4994" spans="1:9" ht="14.5" x14ac:dyDescent="0.35">
      <c r="A4994" s="2">
        <v>2158910</v>
      </c>
      <c r="B4994" s="2" t="str">
        <f>"3328175402780002"</f>
        <v>3328175402780002</v>
      </c>
      <c r="C4994" s="2" t="s">
        <v>5542</v>
      </c>
      <c r="D4994" s="2" t="s">
        <v>10</v>
      </c>
      <c r="E4994" s="2" t="s">
        <v>11</v>
      </c>
      <c r="F4994" s="2" t="s">
        <v>67</v>
      </c>
      <c r="G4994" s="2" t="s">
        <v>512</v>
      </c>
      <c r="H4994" s="2" t="s">
        <v>1214</v>
      </c>
      <c r="I4994" s="2" t="s">
        <v>5543</v>
      </c>
    </row>
    <row r="4995" spans="1:9" ht="14.5" x14ac:dyDescent="0.35">
      <c r="A4995" s="2">
        <v>2564250</v>
      </c>
      <c r="B4995" s="2" t="str">
        <f>"3328175402780002"</f>
        <v>3328175402780002</v>
      </c>
      <c r="C4995" s="2" t="s">
        <v>5542</v>
      </c>
      <c r="D4995" s="2" t="s">
        <v>17</v>
      </c>
      <c r="E4995" s="2" t="s">
        <v>11</v>
      </c>
      <c r="F4995" s="2" t="s">
        <v>18</v>
      </c>
      <c r="G4995" s="2" t="s">
        <v>19</v>
      </c>
      <c r="H4995" s="2" t="s">
        <v>4754</v>
      </c>
      <c r="I4995" s="2" t="s">
        <v>4754</v>
      </c>
    </row>
    <row r="4996" spans="1:9" ht="14.5" x14ac:dyDescent="0.35">
      <c r="A4996" s="2">
        <v>283422</v>
      </c>
      <c r="B4996" s="2" t="str">
        <f>"3328175510950002"</f>
        <v>3328175510950002</v>
      </c>
      <c r="C4996" s="2" t="s">
        <v>5544</v>
      </c>
      <c r="D4996" s="2" t="s">
        <v>10</v>
      </c>
      <c r="E4996" s="2" t="s">
        <v>11</v>
      </c>
      <c r="F4996" s="2" t="s">
        <v>50</v>
      </c>
      <c r="G4996" s="2" t="s">
        <v>58</v>
      </c>
      <c r="H4996" s="2" t="s">
        <v>316</v>
      </c>
      <c r="I4996" s="2" t="s">
        <v>2895</v>
      </c>
    </row>
    <row r="4997" spans="1:9" ht="14.5" x14ac:dyDescent="0.35">
      <c r="A4997" s="2">
        <v>2564277</v>
      </c>
      <c r="B4997" s="2" t="str">
        <f>"3328175510950002"</f>
        <v>3328175510950002</v>
      </c>
      <c r="C4997" s="2" t="s">
        <v>5544</v>
      </c>
      <c r="D4997" s="2" t="s">
        <v>17</v>
      </c>
      <c r="E4997" s="2" t="s">
        <v>11</v>
      </c>
      <c r="F4997" s="2" t="s">
        <v>18</v>
      </c>
      <c r="G4997" s="2" t="s">
        <v>19</v>
      </c>
      <c r="H4997" s="2" t="s">
        <v>4754</v>
      </c>
      <c r="I4997" s="2" t="s">
        <v>4754</v>
      </c>
    </row>
    <row r="4998" spans="1:9" ht="14.5" x14ac:dyDescent="0.35">
      <c r="A4998" s="2">
        <v>1622621</v>
      </c>
      <c r="B4998" s="2" t="str">
        <f>"3328175512720003"</f>
        <v>3328175512720003</v>
      </c>
      <c r="C4998" s="2" t="s">
        <v>759</v>
      </c>
      <c r="D4998" s="2" t="s">
        <v>10</v>
      </c>
      <c r="E4998" s="2" t="s">
        <v>11</v>
      </c>
      <c r="F4998" s="2" t="s">
        <v>18</v>
      </c>
      <c r="G4998" s="2" t="s">
        <v>19</v>
      </c>
      <c r="H4998" s="2" t="s">
        <v>4754</v>
      </c>
      <c r="I4998" s="2" t="s">
        <v>5421</v>
      </c>
    </row>
    <row r="4999" spans="1:9" ht="14.5" x14ac:dyDescent="0.35">
      <c r="A4999" s="2">
        <v>1804071</v>
      </c>
      <c r="B4999" s="2" t="str">
        <f>"3328175512720003"</f>
        <v>3328175512720003</v>
      </c>
      <c r="C4999" s="2" t="s">
        <v>5545</v>
      </c>
      <c r="D4999" s="2" t="s">
        <v>17</v>
      </c>
      <c r="E4999" s="2" t="s">
        <v>11</v>
      </c>
      <c r="F4999" s="2" t="s">
        <v>50</v>
      </c>
      <c r="G4999" s="2" t="s">
        <v>72</v>
      </c>
      <c r="H4999" s="2" t="s">
        <v>738</v>
      </c>
      <c r="I4999" s="2" t="s">
        <v>738</v>
      </c>
    </row>
    <row r="5000" spans="1:9" ht="14.5" x14ac:dyDescent="0.35">
      <c r="A5000" s="2">
        <v>1509409</v>
      </c>
      <c r="B5000" s="2" t="str">
        <f>"3328175602950004"</f>
        <v>3328175602950004</v>
      </c>
      <c r="C5000" s="2" t="s">
        <v>5546</v>
      </c>
      <c r="D5000" s="2" t="s">
        <v>10</v>
      </c>
      <c r="E5000" s="2" t="s">
        <v>11</v>
      </c>
      <c r="F5000" s="2" t="s">
        <v>18</v>
      </c>
      <c r="G5000" s="2" t="s">
        <v>19</v>
      </c>
      <c r="H5000" s="2" t="s">
        <v>4754</v>
      </c>
      <c r="I5000" s="2" t="s">
        <v>5440</v>
      </c>
    </row>
    <row r="5001" spans="1:9" ht="14.5" x14ac:dyDescent="0.35">
      <c r="A5001" s="2">
        <v>2115535</v>
      </c>
      <c r="B5001" s="2" t="str">
        <f>"3328175602950004"</f>
        <v>3328175602950004</v>
      </c>
      <c r="C5001" s="2" t="s">
        <v>5547</v>
      </c>
      <c r="D5001" s="2" t="s">
        <v>17</v>
      </c>
      <c r="E5001" s="2" t="s">
        <v>11</v>
      </c>
      <c r="F5001" s="2" t="s">
        <v>67</v>
      </c>
      <c r="G5001" s="2" t="s">
        <v>638</v>
      </c>
      <c r="H5001" s="2" t="s">
        <v>2991</v>
      </c>
      <c r="I5001" s="2" t="s">
        <v>5548</v>
      </c>
    </row>
    <row r="5002" spans="1:9" ht="14.5" x14ac:dyDescent="0.35">
      <c r="A5002" s="2">
        <v>1544100</v>
      </c>
      <c r="B5002" s="2" t="str">
        <f>"3328176009970007"</f>
        <v>3328176009970007</v>
      </c>
      <c r="C5002" s="2" t="s">
        <v>5549</v>
      </c>
      <c r="D5002" s="2" t="s">
        <v>189</v>
      </c>
      <c r="E5002" s="2" t="s">
        <v>11</v>
      </c>
      <c r="F5002" s="2" t="s">
        <v>18</v>
      </c>
      <c r="G5002" s="2" t="s">
        <v>19</v>
      </c>
      <c r="H5002" s="2" t="s">
        <v>4754</v>
      </c>
      <c r="I5002" s="2" t="s">
        <v>3958</v>
      </c>
    </row>
    <row r="5003" spans="1:9" ht="14.5" x14ac:dyDescent="0.35">
      <c r="A5003" s="2">
        <v>1576281</v>
      </c>
      <c r="B5003" s="2" t="str">
        <f>"3328176009970007"</f>
        <v>3328176009970007</v>
      </c>
      <c r="C5003" s="2" t="s">
        <v>5549</v>
      </c>
      <c r="D5003" s="2" t="s">
        <v>17</v>
      </c>
      <c r="E5003" s="2" t="s">
        <v>11</v>
      </c>
      <c r="F5003" s="2" t="s">
        <v>18</v>
      </c>
      <c r="G5003" s="2" t="s">
        <v>195</v>
      </c>
      <c r="H5003" s="2" t="s">
        <v>5550</v>
      </c>
      <c r="I5003" s="2" t="s">
        <v>5551</v>
      </c>
    </row>
    <row r="5004" spans="1:9" ht="14.5" x14ac:dyDescent="0.35">
      <c r="A5004" s="2">
        <v>89592</v>
      </c>
      <c r="B5004" s="2" t="str">
        <f>"3328176108940002"</f>
        <v>3328176108940002</v>
      </c>
      <c r="C5004" s="2" t="s">
        <v>5552</v>
      </c>
      <c r="D5004" s="2" t="s">
        <v>10</v>
      </c>
      <c r="E5004" s="2" t="s">
        <v>11</v>
      </c>
      <c r="F5004" s="2" t="s">
        <v>33</v>
      </c>
      <c r="G5004" s="2" t="s">
        <v>5553</v>
      </c>
      <c r="H5004" s="2" t="s">
        <v>5554</v>
      </c>
      <c r="I5004" s="2" t="s">
        <v>5555</v>
      </c>
    </row>
    <row r="5005" spans="1:9" ht="14.5" x14ac:dyDescent="0.35">
      <c r="A5005" s="2">
        <v>2565034</v>
      </c>
      <c r="B5005" s="2" t="str">
        <f>"3328176108940002"</f>
        <v>3328176108940002</v>
      </c>
      <c r="C5005" s="2" t="s">
        <v>5552</v>
      </c>
      <c r="D5005" s="2" t="s">
        <v>17</v>
      </c>
      <c r="E5005" s="2" t="s">
        <v>11</v>
      </c>
      <c r="F5005" s="2" t="s">
        <v>18</v>
      </c>
      <c r="G5005" s="2" t="s">
        <v>19</v>
      </c>
      <c r="H5005" s="2" t="s">
        <v>4754</v>
      </c>
      <c r="I5005" s="2" t="s">
        <v>5438</v>
      </c>
    </row>
    <row r="5006" spans="1:9" ht="14.5" x14ac:dyDescent="0.35">
      <c r="A5006" s="2">
        <v>1119267</v>
      </c>
      <c r="B5006" s="2" t="str">
        <f>"3328176410770004"</f>
        <v>3328176410770004</v>
      </c>
      <c r="C5006" s="2" t="s">
        <v>5556</v>
      </c>
      <c r="D5006" s="2" t="s">
        <v>10</v>
      </c>
      <c r="E5006" s="2" t="s">
        <v>11</v>
      </c>
      <c r="F5006" s="2" t="s">
        <v>50</v>
      </c>
      <c r="G5006" s="2" t="s">
        <v>51</v>
      </c>
      <c r="H5006" s="2" t="s">
        <v>52</v>
      </c>
      <c r="I5006" s="2" t="s">
        <v>52</v>
      </c>
    </row>
    <row r="5007" spans="1:9" ht="14.5" x14ac:dyDescent="0.35">
      <c r="A5007" s="2">
        <v>2565094</v>
      </c>
      <c r="B5007" s="2" t="str">
        <f>"3328176410770004"</f>
        <v>3328176410770004</v>
      </c>
      <c r="C5007" s="2" t="s">
        <v>5556</v>
      </c>
      <c r="D5007" s="2" t="s">
        <v>17</v>
      </c>
      <c r="E5007" s="2" t="s">
        <v>11</v>
      </c>
      <c r="F5007" s="2" t="s">
        <v>18</v>
      </c>
      <c r="G5007" s="2" t="s">
        <v>19</v>
      </c>
      <c r="H5007" s="2" t="s">
        <v>4754</v>
      </c>
      <c r="I5007" s="2" t="s">
        <v>5426</v>
      </c>
    </row>
    <row r="5008" spans="1:9" ht="14.5" x14ac:dyDescent="0.35">
      <c r="A5008" s="2">
        <v>1515277</v>
      </c>
      <c r="B5008" s="2" t="str">
        <f>"3328176501010006"</f>
        <v>3328176501010006</v>
      </c>
      <c r="C5008" s="2" t="s">
        <v>5557</v>
      </c>
      <c r="D5008" s="2" t="s">
        <v>10</v>
      </c>
      <c r="E5008" s="2" t="s">
        <v>11</v>
      </c>
      <c r="F5008" s="2" t="s">
        <v>18</v>
      </c>
      <c r="G5008" s="2" t="s">
        <v>19</v>
      </c>
      <c r="H5008" s="2" t="s">
        <v>4754</v>
      </c>
      <c r="I5008" s="2" t="s">
        <v>882</v>
      </c>
    </row>
    <row r="5009" spans="1:9" ht="14.5" x14ac:dyDescent="0.35">
      <c r="A5009" s="2">
        <v>715026</v>
      </c>
      <c r="B5009" s="2" t="str">
        <f>"3328176501010006"</f>
        <v>3328176501010006</v>
      </c>
      <c r="C5009" s="2" t="s">
        <v>5557</v>
      </c>
      <c r="D5009" s="2" t="s">
        <v>17</v>
      </c>
      <c r="E5009" s="2" t="s">
        <v>11</v>
      </c>
      <c r="F5009" s="2" t="s">
        <v>18</v>
      </c>
      <c r="G5009" s="2" t="s">
        <v>190</v>
      </c>
      <c r="H5009" s="2" t="s">
        <v>5229</v>
      </c>
      <c r="I5009" s="2" t="s">
        <v>5230</v>
      </c>
    </row>
    <row r="5010" spans="1:9" ht="14.5" x14ac:dyDescent="0.35">
      <c r="A5010" s="2">
        <v>1610503</v>
      </c>
      <c r="B5010" s="2" t="str">
        <f>"3328176804890006"</f>
        <v>3328176804890006</v>
      </c>
      <c r="C5010" s="2" t="s">
        <v>5558</v>
      </c>
      <c r="D5010" s="2" t="s">
        <v>10</v>
      </c>
      <c r="E5010" s="2" t="s">
        <v>11</v>
      </c>
      <c r="F5010" s="2" t="s">
        <v>67</v>
      </c>
      <c r="G5010" s="2" t="s">
        <v>68</v>
      </c>
      <c r="H5010" s="2" t="s">
        <v>2955</v>
      </c>
      <c r="I5010" s="2" t="s">
        <v>5559</v>
      </c>
    </row>
    <row r="5011" spans="1:9" ht="14.5" x14ac:dyDescent="0.35">
      <c r="A5011" s="2">
        <v>2565181</v>
      </c>
      <c r="B5011" s="2" t="str">
        <f>"3328176804890006"</f>
        <v>3328176804890006</v>
      </c>
      <c r="C5011" s="2" t="s">
        <v>5558</v>
      </c>
      <c r="D5011" s="2" t="s">
        <v>17</v>
      </c>
      <c r="E5011" s="2" t="s">
        <v>11</v>
      </c>
      <c r="F5011" s="2" t="s">
        <v>18</v>
      </c>
      <c r="G5011" s="2" t="s">
        <v>19</v>
      </c>
      <c r="H5011" s="2" t="s">
        <v>4754</v>
      </c>
      <c r="I5011" s="2" t="s">
        <v>5514</v>
      </c>
    </row>
    <row r="5012" spans="1:9" ht="14.5" x14ac:dyDescent="0.35">
      <c r="A5012" s="2">
        <v>1511603</v>
      </c>
      <c r="B5012" s="2" t="str">
        <f>"3328176809780003"</f>
        <v>3328176809780003</v>
      </c>
      <c r="C5012" s="2" t="s">
        <v>5560</v>
      </c>
      <c r="D5012" s="2" t="s">
        <v>10</v>
      </c>
      <c r="E5012" s="2" t="s">
        <v>11</v>
      </c>
      <c r="F5012" s="2" t="s">
        <v>18</v>
      </c>
      <c r="G5012" s="2" t="s">
        <v>19</v>
      </c>
      <c r="H5012" s="2" t="s">
        <v>4754</v>
      </c>
      <c r="I5012" s="2" t="s">
        <v>5440</v>
      </c>
    </row>
    <row r="5013" spans="1:9" ht="14.5" x14ac:dyDescent="0.35">
      <c r="A5013" s="2">
        <v>1942866</v>
      </c>
      <c r="B5013" s="2" t="str">
        <f>"3328176809780003"</f>
        <v>3328176809780003</v>
      </c>
      <c r="C5013" s="2" t="s">
        <v>5561</v>
      </c>
      <c r="D5013" s="2" t="s">
        <v>17</v>
      </c>
      <c r="E5013" s="2" t="s">
        <v>11</v>
      </c>
      <c r="F5013" s="2" t="s">
        <v>50</v>
      </c>
      <c r="G5013" s="2" t="s">
        <v>86</v>
      </c>
      <c r="H5013" s="2" t="s">
        <v>205</v>
      </c>
      <c r="I5013" s="2" t="s">
        <v>1952</v>
      </c>
    </row>
    <row r="5014" spans="1:9" ht="14.5" x14ac:dyDescent="0.35">
      <c r="A5014" s="2">
        <v>1113068</v>
      </c>
      <c r="B5014" s="2" t="str">
        <f>"3328176910950002"</f>
        <v>3328176910950002</v>
      </c>
      <c r="C5014" s="2" t="s">
        <v>5562</v>
      </c>
      <c r="D5014" s="2" t="s">
        <v>10</v>
      </c>
      <c r="E5014" s="2" t="s">
        <v>11</v>
      </c>
      <c r="F5014" s="2" t="s">
        <v>50</v>
      </c>
      <c r="G5014" s="2" t="s">
        <v>51</v>
      </c>
      <c r="H5014" s="2" t="s">
        <v>52</v>
      </c>
      <c r="I5014" s="2" t="s">
        <v>52</v>
      </c>
    </row>
    <row r="5015" spans="1:9" ht="14.5" x14ac:dyDescent="0.35">
      <c r="A5015" s="2">
        <v>2565010</v>
      </c>
      <c r="B5015" s="2" t="str">
        <f>"3328176910950002"</f>
        <v>3328176910950002</v>
      </c>
      <c r="C5015" s="2" t="s">
        <v>5562</v>
      </c>
      <c r="D5015" s="2" t="s">
        <v>17</v>
      </c>
      <c r="E5015" s="2" t="s">
        <v>11</v>
      </c>
      <c r="F5015" s="2" t="s">
        <v>18</v>
      </c>
      <c r="G5015" s="2" t="s">
        <v>19</v>
      </c>
      <c r="H5015" s="2" t="s">
        <v>4754</v>
      </c>
      <c r="I5015" s="2" t="s">
        <v>5438</v>
      </c>
    </row>
    <row r="5016" spans="1:9" ht="14.5" x14ac:dyDescent="0.35">
      <c r="A5016" s="2">
        <v>1006969</v>
      </c>
      <c r="B5016" s="2" t="str">
        <f>"3329081205890006"</f>
        <v>3329081205890006</v>
      </c>
      <c r="C5016" s="2" t="s">
        <v>5563</v>
      </c>
      <c r="D5016" s="2" t="s">
        <v>189</v>
      </c>
      <c r="E5016" s="2" t="s">
        <v>11</v>
      </c>
      <c r="F5016" s="2" t="s">
        <v>18</v>
      </c>
      <c r="G5016" s="2" t="s">
        <v>264</v>
      </c>
      <c r="H5016" s="2" t="s">
        <v>248</v>
      </c>
      <c r="I5016" s="2" t="s">
        <v>2689</v>
      </c>
    </row>
    <row r="5017" spans="1:9" ht="14.5" x14ac:dyDescent="0.35">
      <c r="A5017" s="2">
        <v>2565187</v>
      </c>
      <c r="B5017" s="2" t="str">
        <f>"3329081205890006"</f>
        <v>3329081205890006</v>
      </c>
      <c r="C5017" s="2" t="s">
        <v>5563</v>
      </c>
      <c r="D5017" s="2" t="s">
        <v>17</v>
      </c>
      <c r="E5017" s="2" t="s">
        <v>11</v>
      </c>
      <c r="F5017" s="2" t="s">
        <v>18</v>
      </c>
      <c r="G5017" s="2" t="s">
        <v>19</v>
      </c>
      <c r="H5017" s="2" t="s">
        <v>4754</v>
      </c>
      <c r="I5017" s="2" t="s">
        <v>5514</v>
      </c>
    </row>
    <row r="5018" spans="1:9" ht="14.5" x14ac:dyDescent="0.35">
      <c r="A5018" s="2">
        <v>690173</v>
      </c>
      <c r="B5018" s="2" t="str">
        <f>"3329090107820173"</f>
        <v>3329090107820173</v>
      </c>
      <c r="C5018" s="2" t="s">
        <v>5564</v>
      </c>
      <c r="D5018" s="2" t="s">
        <v>10</v>
      </c>
      <c r="E5018" s="2" t="s">
        <v>11</v>
      </c>
      <c r="F5018" s="2" t="s">
        <v>18</v>
      </c>
      <c r="G5018" s="2" t="s">
        <v>264</v>
      </c>
      <c r="H5018" s="2" t="s">
        <v>264</v>
      </c>
      <c r="I5018" s="2" t="s">
        <v>5565</v>
      </c>
    </row>
    <row r="5019" spans="1:9" ht="14.5" x14ac:dyDescent="0.35">
      <c r="A5019" s="2">
        <v>2564614</v>
      </c>
      <c r="B5019" s="2" t="str">
        <f>"3329090107820173"</f>
        <v>3329090107820173</v>
      </c>
      <c r="C5019" s="2" t="s">
        <v>5564</v>
      </c>
      <c r="D5019" s="2" t="s">
        <v>17</v>
      </c>
      <c r="E5019" s="2" t="s">
        <v>11</v>
      </c>
      <c r="F5019" s="2" t="s">
        <v>18</v>
      </c>
      <c r="G5019" s="2" t="s">
        <v>19</v>
      </c>
      <c r="H5019" s="2" t="s">
        <v>4754</v>
      </c>
      <c r="I5019" s="2" t="s">
        <v>5440</v>
      </c>
    </row>
    <row r="5020" spans="1:9" ht="14.5" x14ac:dyDescent="0.35">
      <c r="A5020" s="2">
        <v>1516579</v>
      </c>
      <c r="B5020" s="2" t="str">
        <f>"3329093103970003"</f>
        <v>3329093103970003</v>
      </c>
      <c r="C5020" s="2" t="s">
        <v>5566</v>
      </c>
      <c r="D5020" s="2" t="s">
        <v>10</v>
      </c>
      <c r="E5020" s="2" t="s">
        <v>11</v>
      </c>
      <c r="F5020" s="2" t="s">
        <v>18</v>
      </c>
      <c r="G5020" s="2" t="s">
        <v>19</v>
      </c>
      <c r="H5020" s="2" t="s">
        <v>4754</v>
      </c>
      <c r="I5020" s="2" t="s">
        <v>4755</v>
      </c>
    </row>
    <row r="5021" spans="1:9" ht="14.5" x14ac:dyDescent="0.35">
      <c r="A5021" s="2">
        <v>1603151</v>
      </c>
      <c r="B5021" s="2" t="str">
        <f>"3329093103970003"</f>
        <v>3329093103970003</v>
      </c>
      <c r="C5021" s="2" t="s">
        <v>5566</v>
      </c>
      <c r="D5021" s="2" t="s">
        <v>17</v>
      </c>
      <c r="E5021" s="2" t="s">
        <v>11</v>
      </c>
      <c r="F5021" s="2" t="s">
        <v>18</v>
      </c>
      <c r="G5021" s="2" t="s">
        <v>264</v>
      </c>
      <c r="H5021" s="2" t="s">
        <v>264</v>
      </c>
      <c r="I5021" s="2" t="s">
        <v>5567</v>
      </c>
    </row>
    <row r="5022" spans="1:9" ht="14.5" x14ac:dyDescent="0.35">
      <c r="A5022" s="2">
        <v>1567864</v>
      </c>
      <c r="B5022" s="2" t="str">
        <f>"3329152305980004"</f>
        <v>3329152305980004</v>
      </c>
      <c r="C5022" s="2" t="s">
        <v>5568</v>
      </c>
      <c r="D5022" s="2" t="s">
        <v>10</v>
      </c>
      <c r="E5022" s="2" t="s">
        <v>11</v>
      </c>
      <c r="F5022" s="2" t="s">
        <v>18</v>
      </c>
      <c r="G5022" s="2" t="s">
        <v>264</v>
      </c>
      <c r="H5022" s="2" t="s">
        <v>330</v>
      </c>
      <c r="I5022" s="2" t="s">
        <v>330</v>
      </c>
    </row>
    <row r="5023" spans="1:9" ht="14.5" x14ac:dyDescent="0.35">
      <c r="A5023" s="2">
        <v>2565058</v>
      </c>
      <c r="B5023" s="2" t="str">
        <f>"3329152305980004"</f>
        <v>3329152305980004</v>
      </c>
      <c r="C5023" s="2" t="s">
        <v>5568</v>
      </c>
      <c r="D5023" s="2" t="s">
        <v>17</v>
      </c>
      <c r="E5023" s="2" t="s">
        <v>11</v>
      </c>
      <c r="F5023" s="2" t="s">
        <v>18</v>
      </c>
      <c r="G5023" s="2" t="s">
        <v>19</v>
      </c>
      <c r="H5023" s="2" t="s">
        <v>4754</v>
      </c>
      <c r="I5023" s="2" t="s">
        <v>5426</v>
      </c>
    </row>
    <row r="5024" spans="1:9" ht="14.5" x14ac:dyDescent="0.35">
      <c r="A5024" s="2">
        <v>237525</v>
      </c>
      <c r="B5024" s="2" t="str">
        <f>"3376024505960006"</f>
        <v>3376024505960006</v>
      </c>
      <c r="C5024" s="2" t="s">
        <v>5569</v>
      </c>
      <c r="D5024" s="2" t="s">
        <v>10</v>
      </c>
      <c r="E5024" s="2" t="s">
        <v>11</v>
      </c>
      <c r="F5024" s="2" t="s">
        <v>18</v>
      </c>
      <c r="G5024" s="2" t="s">
        <v>268</v>
      </c>
      <c r="H5024" s="2" t="s">
        <v>371</v>
      </c>
      <c r="I5024" s="2" t="s">
        <v>372</v>
      </c>
    </row>
    <row r="5025" spans="1:9" ht="14.5" x14ac:dyDescent="0.35">
      <c r="A5025" s="2">
        <v>2564603</v>
      </c>
      <c r="B5025" s="2" t="str">
        <f>"3376024505960006"</f>
        <v>3376024505960006</v>
      </c>
      <c r="C5025" s="2" t="s">
        <v>5569</v>
      </c>
      <c r="D5025" s="2" t="s">
        <v>17</v>
      </c>
      <c r="E5025" s="2" t="s">
        <v>11</v>
      </c>
      <c r="F5025" s="2" t="s">
        <v>18</v>
      </c>
      <c r="G5025" s="2" t="s">
        <v>19</v>
      </c>
      <c r="H5025" s="2" t="s">
        <v>4754</v>
      </c>
      <c r="I5025" s="2" t="s">
        <v>5440</v>
      </c>
    </row>
    <row r="5026" spans="1:9" ht="14.5" x14ac:dyDescent="0.35">
      <c r="A5026" s="2">
        <v>1435944</v>
      </c>
      <c r="B5026" s="2" t="str">
        <f>"3671025807020006"</f>
        <v>3671025807020006</v>
      </c>
      <c r="C5026" s="2" t="s">
        <v>5570</v>
      </c>
      <c r="D5026" s="2" t="s">
        <v>10</v>
      </c>
      <c r="E5026" s="2" t="s">
        <v>11</v>
      </c>
      <c r="F5026" s="2" t="s">
        <v>67</v>
      </c>
      <c r="G5026" s="2" t="s">
        <v>791</v>
      </c>
      <c r="H5026" s="2" t="s">
        <v>5571</v>
      </c>
      <c r="I5026" s="2" t="s">
        <v>5572</v>
      </c>
    </row>
    <row r="5027" spans="1:9" ht="14.5" x14ac:dyDescent="0.35">
      <c r="A5027" s="2">
        <v>2564703</v>
      </c>
      <c r="B5027" s="2" t="str">
        <f>"3671025807020006"</f>
        <v>3671025807020006</v>
      </c>
      <c r="C5027" s="2" t="s">
        <v>5570</v>
      </c>
      <c r="D5027" s="2" t="s">
        <v>17</v>
      </c>
      <c r="E5027" s="2" t="s">
        <v>11</v>
      </c>
      <c r="F5027" s="2" t="s">
        <v>18</v>
      </c>
      <c r="G5027" s="2" t="s">
        <v>19</v>
      </c>
      <c r="H5027" s="2" t="s">
        <v>4754</v>
      </c>
      <c r="I5027" s="2" t="s">
        <v>5481</v>
      </c>
    </row>
    <row r="5028" spans="1:9" ht="14.5" x14ac:dyDescent="0.35">
      <c r="A5028" s="2">
        <v>2159116</v>
      </c>
      <c r="B5028" s="2" t="str">
        <f>"3671034607010009"</f>
        <v>3671034607010009</v>
      </c>
      <c r="C5028" s="2" t="s">
        <v>5573</v>
      </c>
      <c r="D5028" s="2" t="s">
        <v>10</v>
      </c>
      <c r="E5028" s="2" t="s">
        <v>11</v>
      </c>
      <c r="F5028" s="2" t="s">
        <v>67</v>
      </c>
      <c r="G5028" s="2" t="s">
        <v>512</v>
      </c>
      <c r="H5028" s="2" t="s">
        <v>1214</v>
      </c>
      <c r="I5028" s="2" t="s">
        <v>5543</v>
      </c>
    </row>
    <row r="5029" spans="1:9" ht="14.5" x14ac:dyDescent="0.35">
      <c r="A5029" s="2">
        <v>2564244</v>
      </c>
      <c r="B5029" s="2" t="str">
        <f>"3671034607010009"</f>
        <v>3671034607010009</v>
      </c>
      <c r="C5029" s="2" t="s">
        <v>5573</v>
      </c>
      <c r="D5029" s="2" t="s">
        <v>17</v>
      </c>
      <c r="E5029" s="2" t="s">
        <v>11</v>
      </c>
      <c r="F5029" s="2" t="s">
        <v>18</v>
      </c>
      <c r="G5029" s="2" t="s">
        <v>19</v>
      </c>
      <c r="H5029" s="2" t="s">
        <v>4754</v>
      </c>
      <c r="I5029" s="2" t="s">
        <v>4754</v>
      </c>
    </row>
    <row r="5030" spans="1:9" ht="14.5" x14ac:dyDescent="0.35">
      <c r="A5030" s="2">
        <v>65325</v>
      </c>
      <c r="B5030" s="2" t="str">
        <f>"8107095207900001"</f>
        <v>8107095207900001</v>
      </c>
      <c r="C5030" s="2" t="s">
        <v>5574</v>
      </c>
      <c r="D5030" s="2" t="s">
        <v>10</v>
      </c>
      <c r="E5030" s="2" t="s">
        <v>11</v>
      </c>
      <c r="F5030" s="2" t="s">
        <v>1374</v>
      </c>
      <c r="G5030" s="2" t="s">
        <v>1375</v>
      </c>
      <c r="H5030" s="2" t="s">
        <v>1376</v>
      </c>
      <c r="I5030" s="2" t="s">
        <v>5575</v>
      </c>
    </row>
    <row r="5031" spans="1:9" ht="14.5" x14ac:dyDescent="0.35">
      <c r="A5031" s="2">
        <v>2564632</v>
      </c>
      <c r="B5031" s="2" t="str">
        <f>"8107095207900001"</f>
        <v>8107095207900001</v>
      </c>
      <c r="C5031" s="2" t="s">
        <v>5576</v>
      </c>
      <c r="D5031" s="2" t="s">
        <v>17</v>
      </c>
      <c r="E5031" s="2" t="s">
        <v>11</v>
      </c>
      <c r="F5031" s="2" t="s">
        <v>18</v>
      </c>
      <c r="G5031" s="2" t="s">
        <v>19</v>
      </c>
      <c r="H5031" s="2" t="s">
        <v>4754</v>
      </c>
      <c r="I5031" s="2" t="s">
        <v>5481</v>
      </c>
    </row>
    <row r="5032" spans="1:9" ht="14.5" x14ac:dyDescent="0.35">
      <c r="A5032" s="2">
        <v>44442</v>
      </c>
      <c r="B5032" s="2" t="str">
        <f>"9110053012910001"</f>
        <v>9110053012910001</v>
      </c>
      <c r="C5032" s="2" t="s">
        <v>5577</v>
      </c>
      <c r="D5032" s="2" t="s">
        <v>10</v>
      </c>
      <c r="E5032" s="2" t="s">
        <v>11</v>
      </c>
      <c r="F5032" s="2" t="s">
        <v>783</v>
      </c>
      <c r="G5032" s="2" t="s">
        <v>3513</v>
      </c>
      <c r="H5032" s="2" t="s">
        <v>5578</v>
      </c>
      <c r="I5032" s="2" t="s">
        <v>5579</v>
      </c>
    </row>
    <row r="5033" spans="1:9" ht="14.5" x14ac:dyDescent="0.35">
      <c r="A5033" s="2">
        <v>2564862</v>
      </c>
      <c r="B5033" s="2" t="str">
        <f>"9110053012910001"</f>
        <v>9110053012910001</v>
      </c>
      <c r="C5033" s="2" t="s">
        <v>5577</v>
      </c>
      <c r="D5033" s="2" t="s">
        <v>17</v>
      </c>
      <c r="E5033" s="2" t="s">
        <v>11</v>
      </c>
      <c r="F5033" s="2" t="s">
        <v>18</v>
      </c>
      <c r="G5033" s="2" t="s">
        <v>19</v>
      </c>
      <c r="H5033" s="2" t="s">
        <v>4754</v>
      </c>
      <c r="I5033" s="2" t="s">
        <v>4755</v>
      </c>
    </row>
    <row r="5034" spans="1:9" ht="14.5" x14ac:dyDescent="0.35">
      <c r="A5034" s="2">
        <v>1974566</v>
      </c>
      <c r="B5034" s="2" t="str">
        <f>"1371115803970005"</f>
        <v>1371115803970005</v>
      </c>
      <c r="C5034" s="2" t="s">
        <v>5580</v>
      </c>
      <c r="D5034" s="2" t="s">
        <v>10</v>
      </c>
      <c r="E5034" s="2" t="s">
        <v>11</v>
      </c>
      <c r="F5034" s="2" t="s">
        <v>18</v>
      </c>
      <c r="G5034" s="2" t="s">
        <v>19</v>
      </c>
      <c r="H5034" s="2" t="s">
        <v>5581</v>
      </c>
      <c r="I5034" s="2" t="s">
        <v>5582</v>
      </c>
    </row>
    <row r="5035" spans="1:9" ht="14.5" x14ac:dyDescent="0.35">
      <c r="A5035" s="2">
        <v>712531</v>
      </c>
      <c r="B5035" s="2" t="str">
        <f>"1371115803970005"</f>
        <v>1371115803970005</v>
      </c>
      <c r="C5035" s="2" t="s">
        <v>5580</v>
      </c>
      <c r="D5035" s="2" t="s">
        <v>17</v>
      </c>
      <c r="E5035" s="2" t="s">
        <v>11</v>
      </c>
      <c r="F5035" s="2" t="s">
        <v>12</v>
      </c>
      <c r="G5035" s="2" t="s">
        <v>1232</v>
      </c>
      <c r="H5035" s="2" t="s">
        <v>5583</v>
      </c>
      <c r="I5035" s="2" t="s">
        <v>5584</v>
      </c>
    </row>
    <row r="5036" spans="1:9" ht="14.5" x14ac:dyDescent="0.35">
      <c r="A5036" s="2">
        <v>377845</v>
      </c>
      <c r="B5036" s="2" t="str">
        <f>"1509042602010002"</f>
        <v>1509042602010002</v>
      </c>
      <c r="C5036" s="2" t="s">
        <v>5585</v>
      </c>
      <c r="D5036" s="2" t="s">
        <v>10</v>
      </c>
      <c r="E5036" s="2" t="s">
        <v>11</v>
      </c>
      <c r="F5036" s="2" t="s">
        <v>24</v>
      </c>
      <c r="G5036" s="2" t="s">
        <v>5586</v>
      </c>
      <c r="H5036" s="2" t="s">
        <v>5587</v>
      </c>
      <c r="I5036" s="2" t="s">
        <v>5588</v>
      </c>
    </row>
    <row r="5037" spans="1:9" ht="14.5" x14ac:dyDescent="0.35">
      <c r="A5037" s="2">
        <v>2566230</v>
      </c>
      <c r="B5037" s="2" t="str">
        <f>"1509042602010002"</f>
        <v>1509042602010002</v>
      </c>
      <c r="C5037" s="2" t="s">
        <v>5585</v>
      </c>
      <c r="D5037" s="2" t="s">
        <v>17</v>
      </c>
      <c r="E5037" s="2" t="s">
        <v>11</v>
      </c>
      <c r="F5037" s="2" t="s">
        <v>18</v>
      </c>
      <c r="G5037" s="2" t="s">
        <v>19</v>
      </c>
      <c r="H5037" s="2" t="s">
        <v>5581</v>
      </c>
      <c r="I5037" s="2" t="s">
        <v>5589</v>
      </c>
    </row>
    <row r="5038" spans="1:9" ht="14.5" x14ac:dyDescent="0.35">
      <c r="A5038" s="2">
        <v>676757</v>
      </c>
      <c r="B5038" s="2" t="str">
        <f>"2171094109939001"</f>
        <v>2171094109939001</v>
      </c>
      <c r="C5038" s="2" t="s">
        <v>5590</v>
      </c>
      <c r="D5038" s="2" t="s">
        <v>10</v>
      </c>
      <c r="E5038" s="2" t="s">
        <v>11</v>
      </c>
      <c r="F5038" s="2" t="s">
        <v>811</v>
      </c>
      <c r="G5038" s="2" t="s">
        <v>812</v>
      </c>
      <c r="H5038" s="2" t="s">
        <v>5591</v>
      </c>
      <c r="I5038" s="2" t="s">
        <v>5592</v>
      </c>
    </row>
    <row r="5039" spans="1:9" ht="14.5" x14ac:dyDescent="0.35">
      <c r="A5039" s="2">
        <v>2565828</v>
      </c>
      <c r="B5039" s="2" t="str">
        <f>"2171094109939001"</f>
        <v>2171094109939001</v>
      </c>
      <c r="C5039" s="2" t="s">
        <v>5590</v>
      </c>
      <c r="D5039" s="2" t="s">
        <v>17</v>
      </c>
      <c r="E5039" s="2" t="s">
        <v>11</v>
      </c>
      <c r="F5039" s="2" t="s">
        <v>18</v>
      </c>
      <c r="G5039" s="2" t="s">
        <v>19</v>
      </c>
      <c r="H5039" s="2" t="s">
        <v>5581</v>
      </c>
      <c r="I5039" s="2" t="s">
        <v>5593</v>
      </c>
    </row>
    <row r="5040" spans="1:9" ht="14.5" x14ac:dyDescent="0.35">
      <c r="A5040" s="2">
        <v>639447</v>
      </c>
      <c r="B5040" s="2" t="str">
        <f>"3171070401710005"</f>
        <v>3171070401710005</v>
      </c>
      <c r="C5040" s="2" t="s">
        <v>744</v>
      </c>
      <c r="D5040" s="2" t="s">
        <v>10</v>
      </c>
      <c r="E5040" s="2" t="s">
        <v>11</v>
      </c>
      <c r="F5040" s="2" t="s">
        <v>50</v>
      </c>
      <c r="G5040" s="2" t="s">
        <v>280</v>
      </c>
      <c r="H5040" s="2" t="s">
        <v>281</v>
      </c>
      <c r="I5040" s="2" t="s">
        <v>282</v>
      </c>
    </row>
    <row r="5041" spans="1:9" ht="14.5" x14ac:dyDescent="0.35">
      <c r="A5041" s="2">
        <v>2566910</v>
      </c>
      <c r="B5041" s="2" t="str">
        <f>"3171070401710005"</f>
        <v>3171070401710005</v>
      </c>
      <c r="C5041" s="2" t="s">
        <v>744</v>
      </c>
      <c r="D5041" s="2" t="s">
        <v>17</v>
      </c>
      <c r="E5041" s="2" t="s">
        <v>11</v>
      </c>
      <c r="F5041" s="2" t="s">
        <v>18</v>
      </c>
      <c r="G5041" s="2" t="s">
        <v>19</v>
      </c>
      <c r="H5041" s="2" t="s">
        <v>5581</v>
      </c>
      <c r="I5041" s="2" t="s">
        <v>5581</v>
      </c>
    </row>
    <row r="5042" spans="1:9" ht="14.5" x14ac:dyDescent="0.35">
      <c r="A5042" s="2">
        <v>639449</v>
      </c>
      <c r="B5042" s="2" t="str">
        <f>"3171072111030004"</f>
        <v>3171072111030004</v>
      </c>
      <c r="C5042" s="2" t="s">
        <v>5594</v>
      </c>
      <c r="D5042" s="2" t="s">
        <v>10</v>
      </c>
      <c r="E5042" s="2" t="s">
        <v>11</v>
      </c>
      <c r="F5042" s="2" t="s">
        <v>50</v>
      </c>
      <c r="G5042" s="2" t="s">
        <v>280</v>
      </c>
      <c r="H5042" s="2" t="s">
        <v>281</v>
      </c>
      <c r="I5042" s="2" t="s">
        <v>282</v>
      </c>
    </row>
    <row r="5043" spans="1:9" ht="14.5" x14ac:dyDescent="0.35">
      <c r="A5043" s="2">
        <v>2566907</v>
      </c>
      <c r="B5043" s="2" t="str">
        <f>"3171072111030004"</f>
        <v>3171072111030004</v>
      </c>
      <c r="C5043" s="2" t="s">
        <v>5594</v>
      </c>
      <c r="D5043" s="2" t="s">
        <v>17</v>
      </c>
      <c r="E5043" s="2" t="s">
        <v>11</v>
      </c>
      <c r="F5043" s="2" t="s">
        <v>18</v>
      </c>
      <c r="G5043" s="2" t="s">
        <v>19</v>
      </c>
      <c r="H5043" s="2" t="s">
        <v>5581</v>
      </c>
      <c r="I5043" s="2" t="s">
        <v>5581</v>
      </c>
    </row>
    <row r="5044" spans="1:9" ht="14.5" x14ac:dyDescent="0.35">
      <c r="A5044" s="2">
        <v>639450</v>
      </c>
      <c r="B5044" s="2" t="str">
        <f>"3171074501950004"</f>
        <v>3171074501950004</v>
      </c>
      <c r="C5044" s="2" t="s">
        <v>5595</v>
      </c>
      <c r="D5044" s="2" t="s">
        <v>10</v>
      </c>
      <c r="E5044" s="2" t="s">
        <v>11</v>
      </c>
      <c r="F5044" s="2" t="s">
        <v>50</v>
      </c>
      <c r="G5044" s="2" t="s">
        <v>280</v>
      </c>
      <c r="H5044" s="2" t="s">
        <v>281</v>
      </c>
      <c r="I5044" s="2" t="s">
        <v>282</v>
      </c>
    </row>
    <row r="5045" spans="1:9" ht="14.5" x14ac:dyDescent="0.35">
      <c r="A5045" s="2">
        <v>2566906</v>
      </c>
      <c r="B5045" s="2" t="str">
        <f>"3171074501950004"</f>
        <v>3171074501950004</v>
      </c>
      <c r="C5045" s="2" t="s">
        <v>5595</v>
      </c>
      <c r="D5045" s="2" t="s">
        <v>17</v>
      </c>
      <c r="E5045" s="2" t="s">
        <v>11</v>
      </c>
      <c r="F5045" s="2" t="s">
        <v>18</v>
      </c>
      <c r="G5045" s="2" t="s">
        <v>19</v>
      </c>
      <c r="H5045" s="2" t="s">
        <v>5581</v>
      </c>
      <c r="I5045" s="2" t="s">
        <v>5581</v>
      </c>
    </row>
    <row r="5046" spans="1:9" ht="14.5" x14ac:dyDescent="0.35">
      <c r="A5046" s="2">
        <v>639448</v>
      </c>
      <c r="B5046" s="2" t="str">
        <f>"3171074505740007"</f>
        <v>3171074505740007</v>
      </c>
      <c r="C5046" s="2" t="s">
        <v>5596</v>
      </c>
      <c r="D5046" s="2" t="s">
        <v>10</v>
      </c>
      <c r="E5046" s="2" t="s">
        <v>11</v>
      </c>
      <c r="F5046" s="2" t="s">
        <v>50</v>
      </c>
      <c r="G5046" s="2" t="s">
        <v>280</v>
      </c>
      <c r="H5046" s="2" t="s">
        <v>281</v>
      </c>
      <c r="I5046" s="2" t="s">
        <v>282</v>
      </c>
    </row>
    <row r="5047" spans="1:9" ht="14.5" x14ac:dyDescent="0.35">
      <c r="A5047" s="2">
        <v>2566911</v>
      </c>
      <c r="B5047" s="2" t="str">
        <f>"3171074505740007"</f>
        <v>3171074505740007</v>
      </c>
      <c r="C5047" s="2" t="s">
        <v>5596</v>
      </c>
      <c r="D5047" s="2" t="s">
        <v>17</v>
      </c>
      <c r="E5047" s="2" t="s">
        <v>11</v>
      </c>
      <c r="F5047" s="2" t="s">
        <v>18</v>
      </c>
      <c r="G5047" s="2" t="s">
        <v>19</v>
      </c>
      <c r="H5047" s="2" t="s">
        <v>5581</v>
      </c>
      <c r="I5047" s="2" t="s">
        <v>5581</v>
      </c>
    </row>
    <row r="5048" spans="1:9" ht="14.5" x14ac:dyDescent="0.35">
      <c r="A5048" s="2">
        <v>416522</v>
      </c>
      <c r="B5048" s="2" t="str">
        <f>"3171074808840007"</f>
        <v>3171074808840007</v>
      </c>
      <c r="C5048" s="2" t="s">
        <v>5597</v>
      </c>
      <c r="D5048" s="2" t="s">
        <v>10</v>
      </c>
      <c r="E5048" s="2" t="s">
        <v>11</v>
      </c>
      <c r="F5048" s="2" t="s">
        <v>50</v>
      </c>
      <c r="G5048" s="2" t="s">
        <v>280</v>
      </c>
      <c r="H5048" s="2" t="s">
        <v>281</v>
      </c>
      <c r="I5048" s="2" t="s">
        <v>1256</v>
      </c>
    </row>
    <row r="5049" spans="1:9" ht="14.5" x14ac:dyDescent="0.35">
      <c r="A5049" s="2">
        <v>2565996</v>
      </c>
      <c r="B5049" s="2" t="str">
        <f>"3171074808840007"</f>
        <v>3171074808840007</v>
      </c>
      <c r="C5049" s="2" t="s">
        <v>5598</v>
      </c>
      <c r="D5049" s="2" t="s">
        <v>17</v>
      </c>
      <c r="E5049" s="2" t="s">
        <v>11</v>
      </c>
      <c r="F5049" s="2" t="s">
        <v>18</v>
      </c>
      <c r="G5049" s="2" t="s">
        <v>19</v>
      </c>
      <c r="H5049" s="2" t="s">
        <v>5581</v>
      </c>
      <c r="I5049" s="2" t="s">
        <v>5599</v>
      </c>
    </row>
    <row r="5050" spans="1:9" ht="14.5" x14ac:dyDescent="0.35">
      <c r="A5050" s="2">
        <v>1090491</v>
      </c>
      <c r="B5050" s="2" t="str">
        <f>"3172016403850004"</f>
        <v>3172016403850004</v>
      </c>
      <c r="C5050" s="2" t="s">
        <v>5367</v>
      </c>
      <c r="D5050" s="2" t="s">
        <v>10</v>
      </c>
      <c r="E5050" s="2" t="s">
        <v>11</v>
      </c>
      <c r="F5050" s="2" t="s">
        <v>50</v>
      </c>
      <c r="G5050" s="2" t="s">
        <v>51</v>
      </c>
      <c r="H5050" s="2" t="s">
        <v>52</v>
      </c>
      <c r="I5050" s="2" t="s">
        <v>52</v>
      </c>
    </row>
    <row r="5051" spans="1:9" ht="14.5" x14ac:dyDescent="0.35">
      <c r="A5051" s="2">
        <v>2566096</v>
      </c>
      <c r="B5051" s="2" t="str">
        <f>"3172016403850004"</f>
        <v>3172016403850004</v>
      </c>
      <c r="C5051" s="2" t="s">
        <v>5600</v>
      </c>
      <c r="D5051" s="2" t="s">
        <v>17</v>
      </c>
      <c r="E5051" s="2" t="s">
        <v>11</v>
      </c>
      <c r="F5051" s="2" t="s">
        <v>18</v>
      </c>
      <c r="G5051" s="2" t="s">
        <v>19</v>
      </c>
      <c r="H5051" s="2" t="s">
        <v>5581</v>
      </c>
      <c r="I5051" s="2" t="s">
        <v>5599</v>
      </c>
    </row>
    <row r="5052" spans="1:9" ht="14.5" x14ac:dyDescent="0.35">
      <c r="A5052" s="2">
        <v>1090223</v>
      </c>
      <c r="B5052" s="2" t="str">
        <f>"3172016408630001"</f>
        <v>3172016408630001</v>
      </c>
      <c r="C5052" s="2" t="s">
        <v>5601</v>
      </c>
      <c r="D5052" s="2" t="s">
        <v>10</v>
      </c>
      <c r="E5052" s="2" t="s">
        <v>11</v>
      </c>
      <c r="F5052" s="2" t="s">
        <v>50</v>
      </c>
      <c r="G5052" s="2" t="s">
        <v>51</v>
      </c>
      <c r="H5052" s="2" t="s">
        <v>52</v>
      </c>
      <c r="I5052" s="2" t="s">
        <v>52</v>
      </c>
    </row>
    <row r="5053" spans="1:9" ht="14.5" x14ac:dyDescent="0.35">
      <c r="A5053" s="2">
        <v>2566095</v>
      </c>
      <c r="B5053" s="2" t="str">
        <f>"3172016408630001"</f>
        <v>3172016408630001</v>
      </c>
      <c r="C5053" s="2" t="s">
        <v>5602</v>
      </c>
      <c r="D5053" s="2" t="s">
        <v>17</v>
      </c>
      <c r="E5053" s="2" t="s">
        <v>11</v>
      </c>
      <c r="F5053" s="2" t="s">
        <v>18</v>
      </c>
      <c r="G5053" s="2" t="s">
        <v>19</v>
      </c>
      <c r="H5053" s="2" t="s">
        <v>5581</v>
      </c>
      <c r="I5053" s="2" t="s">
        <v>5599</v>
      </c>
    </row>
    <row r="5054" spans="1:9" ht="14.5" x14ac:dyDescent="0.35">
      <c r="A5054" s="2">
        <v>1183767</v>
      </c>
      <c r="B5054" s="2" t="str">
        <f>"3172041102911004"</f>
        <v>3172041102911004</v>
      </c>
      <c r="C5054" s="2" t="s">
        <v>5603</v>
      </c>
      <c r="D5054" s="2" t="s">
        <v>10</v>
      </c>
      <c r="E5054" s="2" t="s">
        <v>11</v>
      </c>
      <c r="F5054" s="2" t="s">
        <v>50</v>
      </c>
      <c r="G5054" s="2" t="s">
        <v>51</v>
      </c>
      <c r="H5054" s="2" t="s">
        <v>78</v>
      </c>
      <c r="I5054" s="2" t="s">
        <v>680</v>
      </c>
    </row>
    <row r="5055" spans="1:9" ht="14.5" x14ac:dyDescent="0.35">
      <c r="A5055" s="2">
        <v>2566164</v>
      </c>
      <c r="B5055" s="2" t="str">
        <f>"3172041102911004"</f>
        <v>3172041102911004</v>
      </c>
      <c r="C5055" s="2" t="s">
        <v>5603</v>
      </c>
      <c r="D5055" s="2" t="s">
        <v>17</v>
      </c>
      <c r="E5055" s="2" t="s">
        <v>11</v>
      </c>
      <c r="F5055" s="2" t="s">
        <v>18</v>
      </c>
      <c r="G5055" s="2" t="s">
        <v>19</v>
      </c>
      <c r="H5055" s="2" t="s">
        <v>5581</v>
      </c>
      <c r="I5055" s="2" t="s">
        <v>5582</v>
      </c>
    </row>
    <row r="5056" spans="1:9" ht="14.5" x14ac:dyDescent="0.35">
      <c r="A5056" s="2">
        <v>428702</v>
      </c>
      <c r="B5056" s="2" t="str">
        <f>"3174041506881001"</f>
        <v>3174041506881001</v>
      </c>
      <c r="C5056" s="2" t="s">
        <v>5604</v>
      </c>
      <c r="D5056" s="2" t="s">
        <v>10</v>
      </c>
      <c r="E5056" s="2" t="s">
        <v>11</v>
      </c>
      <c r="F5056" s="2" t="s">
        <v>50</v>
      </c>
      <c r="G5056" s="2" t="s">
        <v>72</v>
      </c>
      <c r="H5056" s="2" t="s">
        <v>73</v>
      </c>
      <c r="I5056" s="2" t="s">
        <v>2242</v>
      </c>
    </row>
    <row r="5057" spans="1:9" ht="14.5" x14ac:dyDescent="0.35">
      <c r="A5057" s="2">
        <v>2566841</v>
      </c>
      <c r="B5057" s="2" t="str">
        <f>"3174041506881001"</f>
        <v>3174041506881001</v>
      </c>
      <c r="C5057" s="2" t="s">
        <v>5605</v>
      </c>
      <c r="D5057" s="2" t="s">
        <v>17</v>
      </c>
      <c r="E5057" s="2" t="s">
        <v>11</v>
      </c>
      <c r="F5057" s="2" t="s">
        <v>18</v>
      </c>
      <c r="G5057" s="2" t="s">
        <v>19</v>
      </c>
      <c r="H5057" s="2" t="s">
        <v>5581</v>
      </c>
      <c r="I5057" s="2" t="s">
        <v>5581</v>
      </c>
    </row>
    <row r="5058" spans="1:9" ht="14.5" x14ac:dyDescent="0.35">
      <c r="A5058" s="2">
        <v>656914</v>
      </c>
      <c r="B5058" s="2" t="str">
        <f>"3174044708780005"</f>
        <v>3174044708780005</v>
      </c>
      <c r="C5058" s="2" t="s">
        <v>5606</v>
      </c>
      <c r="D5058" s="2" t="s">
        <v>10</v>
      </c>
      <c r="E5058" s="2" t="s">
        <v>11</v>
      </c>
      <c r="F5058" s="2" t="s">
        <v>50</v>
      </c>
      <c r="G5058" s="2" t="s">
        <v>72</v>
      </c>
      <c r="H5058" s="2" t="s">
        <v>73</v>
      </c>
      <c r="I5058" s="2" t="s">
        <v>74</v>
      </c>
    </row>
    <row r="5059" spans="1:9" ht="14.5" x14ac:dyDescent="0.35">
      <c r="A5059" s="2">
        <v>2566870</v>
      </c>
      <c r="B5059" s="2" t="str">
        <f>"3174044708780005"</f>
        <v>3174044708780005</v>
      </c>
      <c r="C5059" s="2" t="s">
        <v>5606</v>
      </c>
      <c r="D5059" s="2" t="s">
        <v>17</v>
      </c>
      <c r="E5059" s="2" t="s">
        <v>11</v>
      </c>
      <c r="F5059" s="2" t="s">
        <v>18</v>
      </c>
      <c r="G5059" s="2" t="s">
        <v>19</v>
      </c>
      <c r="H5059" s="2" t="s">
        <v>5581</v>
      </c>
      <c r="I5059" s="2" t="s">
        <v>5581</v>
      </c>
    </row>
    <row r="5060" spans="1:9" ht="14.5" x14ac:dyDescent="0.35">
      <c r="A5060" s="2">
        <v>42414</v>
      </c>
      <c r="B5060" s="2" t="str">
        <f>"3174065901030004"</f>
        <v>3174065901030004</v>
      </c>
      <c r="C5060" s="2" t="s">
        <v>5607</v>
      </c>
      <c r="D5060" s="2" t="s">
        <v>10</v>
      </c>
      <c r="E5060" s="2" t="s">
        <v>11</v>
      </c>
      <c r="F5060" s="2" t="s">
        <v>91</v>
      </c>
      <c r="G5060" s="2" t="s">
        <v>320</v>
      </c>
      <c r="H5060" s="2" t="s">
        <v>5608</v>
      </c>
      <c r="I5060" s="2" t="s">
        <v>5608</v>
      </c>
    </row>
    <row r="5061" spans="1:9" ht="14.5" x14ac:dyDescent="0.35">
      <c r="A5061" s="2">
        <v>2566954</v>
      </c>
      <c r="B5061" s="2" t="str">
        <f>"3174065901030004"</f>
        <v>3174065901030004</v>
      </c>
      <c r="C5061" s="2" t="s">
        <v>5607</v>
      </c>
      <c r="D5061" s="2" t="s">
        <v>17</v>
      </c>
      <c r="E5061" s="2" t="s">
        <v>11</v>
      </c>
      <c r="F5061" s="2" t="s">
        <v>18</v>
      </c>
      <c r="G5061" s="2" t="s">
        <v>19</v>
      </c>
      <c r="H5061" s="2" t="s">
        <v>5581</v>
      </c>
      <c r="I5061" s="2" t="s">
        <v>5609</v>
      </c>
    </row>
    <row r="5062" spans="1:9" ht="14.5" x14ac:dyDescent="0.35">
      <c r="A5062" s="2">
        <v>1363562</v>
      </c>
      <c r="B5062" s="2" t="str">
        <f>"3174070102680009"</f>
        <v>3174070102680009</v>
      </c>
      <c r="C5062" s="2" t="s">
        <v>5610</v>
      </c>
      <c r="D5062" s="2" t="s">
        <v>10</v>
      </c>
      <c r="E5062" s="2" t="s">
        <v>11</v>
      </c>
      <c r="F5062" s="2" t="s">
        <v>50</v>
      </c>
      <c r="G5062" s="2" t="s">
        <v>72</v>
      </c>
      <c r="H5062" s="2" t="s">
        <v>628</v>
      </c>
      <c r="I5062" s="2" t="s">
        <v>2252</v>
      </c>
    </row>
    <row r="5063" spans="1:9" ht="14.5" x14ac:dyDescent="0.35">
      <c r="A5063" s="2">
        <v>2565507</v>
      </c>
      <c r="B5063" s="2" t="str">
        <f>"3174070102680009"</f>
        <v>3174070102680009</v>
      </c>
      <c r="C5063" s="2" t="s">
        <v>2757</v>
      </c>
      <c r="D5063" s="2" t="s">
        <v>17</v>
      </c>
      <c r="E5063" s="2" t="s">
        <v>11</v>
      </c>
      <c r="F5063" s="2" t="s">
        <v>18</v>
      </c>
      <c r="G5063" s="2" t="s">
        <v>19</v>
      </c>
      <c r="H5063" s="2" t="s">
        <v>5581</v>
      </c>
      <c r="I5063" s="2" t="s">
        <v>5611</v>
      </c>
    </row>
    <row r="5064" spans="1:9" ht="14.5" x14ac:dyDescent="0.35">
      <c r="A5064" s="2">
        <v>2565813</v>
      </c>
      <c r="B5064" s="2" t="str">
        <f>"3175102805911001"</f>
        <v>3175102805911001</v>
      </c>
      <c r="C5064" s="2" t="s">
        <v>5612</v>
      </c>
      <c r="D5064" s="2" t="s">
        <v>17</v>
      </c>
      <c r="E5064" s="2" t="s">
        <v>11</v>
      </c>
      <c r="F5064" s="2" t="s">
        <v>18</v>
      </c>
      <c r="G5064" s="2" t="s">
        <v>19</v>
      </c>
      <c r="H5064" s="2" t="s">
        <v>5581</v>
      </c>
      <c r="I5064" s="2" t="s">
        <v>5593</v>
      </c>
    </row>
    <row r="5065" spans="1:9" ht="14.5" x14ac:dyDescent="0.35">
      <c r="A5065" s="2">
        <v>59910</v>
      </c>
      <c r="B5065" s="2" t="str">
        <f>"3175102805911001"</f>
        <v>3175102805911001</v>
      </c>
      <c r="C5065" s="2" t="s">
        <v>5612</v>
      </c>
      <c r="D5065" s="2" t="s">
        <v>10</v>
      </c>
      <c r="E5065" s="2" t="s">
        <v>11</v>
      </c>
      <c r="F5065" s="2" t="s">
        <v>516</v>
      </c>
      <c r="G5065" s="2" t="s">
        <v>5613</v>
      </c>
      <c r="H5065" s="2" t="s">
        <v>5614</v>
      </c>
      <c r="I5065" s="2" t="s">
        <v>5615</v>
      </c>
    </row>
    <row r="5066" spans="1:9" ht="14.5" x14ac:dyDescent="0.35">
      <c r="A5066" s="2">
        <v>3682135</v>
      </c>
      <c r="B5066" s="2" t="str">
        <f>"3201012305880009"</f>
        <v>3201012305880009</v>
      </c>
      <c r="C5066" s="2" t="s">
        <v>5616</v>
      </c>
      <c r="D5066" s="2" t="s">
        <v>10</v>
      </c>
      <c r="E5066" s="2" t="s">
        <v>11</v>
      </c>
      <c r="F5066" s="2" t="s">
        <v>91</v>
      </c>
      <c r="G5066" s="2" t="s">
        <v>650</v>
      </c>
      <c r="H5066" s="2" t="s">
        <v>5617</v>
      </c>
      <c r="I5066" s="2" t="s">
        <v>5618</v>
      </c>
    </row>
    <row r="5067" spans="1:9" ht="14.5" x14ac:dyDescent="0.35">
      <c r="A5067" s="2">
        <v>2565775</v>
      </c>
      <c r="B5067" s="2" t="str">
        <f>"3201012305880009"</f>
        <v>3201012305880009</v>
      </c>
      <c r="C5067" s="2" t="s">
        <v>5619</v>
      </c>
      <c r="D5067" s="2" t="s">
        <v>17</v>
      </c>
      <c r="E5067" s="2" t="s">
        <v>11</v>
      </c>
      <c r="F5067" s="2" t="s">
        <v>18</v>
      </c>
      <c r="G5067" s="2" t="s">
        <v>19</v>
      </c>
      <c r="H5067" s="2" t="s">
        <v>5581</v>
      </c>
      <c r="I5067" s="2" t="s">
        <v>5593</v>
      </c>
    </row>
    <row r="5068" spans="1:9" ht="14.5" x14ac:dyDescent="0.35">
      <c r="A5068" s="2">
        <v>1977656</v>
      </c>
      <c r="B5068" s="2" t="str">
        <f>"3206361711010001"</f>
        <v>3206361711010001</v>
      </c>
      <c r="C5068" s="2" t="s">
        <v>5620</v>
      </c>
      <c r="D5068" s="2" t="s">
        <v>10</v>
      </c>
      <c r="E5068" s="2" t="s">
        <v>11</v>
      </c>
      <c r="F5068" s="2" t="s">
        <v>18</v>
      </c>
      <c r="G5068" s="2" t="s">
        <v>19</v>
      </c>
      <c r="H5068" s="2" t="s">
        <v>5581</v>
      </c>
      <c r="I5068" s="2" t="s">
        <v>5589</v>
      </c>
    </row>
    <row r="5069" spans="1:9" ht="14.5" x14ac:dyDescent="0.35">
      <c r="A5069" s="2">
        <v>1437866</v>
      </c>
      <c r="B5069" s="2" t="str">
        <f>"3206361711010001"</f>
        <v>3206361711010001</v>
      </c>
      <c r="C5069" s="2" t="s">
        <v>5621</v>
      </c>
      <c r="D5069" s="2" t="s">
        <v>17</v>
      </c>
      <c r="E5069" s="2" t="s">
        <v>11</v>
      </c>
      <c r="F5069" s="2" t="s">
        <v>91</v>
      </c>
      <c r="G5069" s="2" t="s">
        <v>1300</v>
      </c>
      <c r="H5069" s="2" t="s">
        <v>5622</v>
      </c>
      <c r="I5069" s="2" t="s">
        <v>5622</v>
      </c>
    </row>
    <row r="5070" spans="1:9" ht="14.5" x14ac:dyDescent="0.35">
      <c r="A5070" s="2">
        <v>1977655</v>
      </c>
      <c r="B5070" s="2" t="str">
        <f>"3206366305780001"</f>
        <v>3206366305780001</v>
      </c>
      <c r="C5070" s="2" t="s">
        <v>5623</v>
      </c>
      <c r="D5070" s="2" t="s">
        <v>10</v>
      </c>
      <c r="E5070" s="2" t="s">
        <v>11</v>
      </c>
      <c r="F5070" s="2" t="s">
        <v>18</v>
      </c>
      <c r="G5070" s="2" t="s">
        <v>19</v>
      </c>
      <c r="H5070" s="2" t="s">
        <v>5581</v>
      </c>
      <c r="I5070" s="2" t="s">
        <v>5589</v>
      </c>
    </row>
    <row r="5071" spans="1:9" ht="14.5" x14ac:dyDescent="0.35">
      <c r="A5071" s="2">
        <v>1437868</v>
      </c>
      <c r="B5071" s="2" t="str">
        <f>"3206366305780001"</f>
        <v>3206366305780001</v>
      </c>
      <c r="C5071" s="2" t="s">
        <v>5623</v>
      </c>
      <c r="D5071" s="2" t="s">
        <v>17</v>
      </c>
      <c r="E5071" s="2" t="s">
        <v>11</v>
      </c>
      <c r="F5071" s="2" t="s">
        <v>91</v>
      </c>
      <c r="G5071" s="2" t="s">
        <v>1300</v>
      </c>
      <c r="H5071" s="2" t="s">
        <v>5622</v>
      </c>
      <c r="I5071" s="2" t="s">
        <v>5622</v>
      </c>
    </row>
    <row r="5072" spans="1:9" ht="14.5" x14ac:dyDescent="0.35">
      <c r="A5072" s="2">
        <v>1268484</v>
      </c>
      <c r="B5072" s="2" t="str">
        <f>"3209015702000005"</f>
        <v>3209015702000005</v>
      </c>
      <c r="C5072" s="2" t="s">
        <v>5624</v>
      </c>
      <c r="D5072" s="2" t="s">
        <v>10</v>
      </c>
      <c r="E5072" s="2" t="s">
        <v>11</v>
      </c>
      <c r="F5072" s="2" t="s">
        <v>91</v>
      </c>
      <c r="G5072" s="2" t="s">
        <v>985</v>
      </c>
      <c r="H5072" s="2" t="s">
        <v>5625</v>
      </c>
      <c r="I5072" s="2" t="s">
        <v>5626</v>
      </c>
    </row>
    <row r="5073" spans="1:9" ht="14.5" x14ac:dyDescent="0.35">
      <c r="A5073" s="2">
        <v>2565381</v>
      </c>
      <c r="B5073" s="2" t="str">
        <f>"3209015702000005"</f>
        <v>3209015702000005</v>
      </c>
      <c r="C5073" s="2" t="s">
        <v>5624</v>
      </c>
      <c r="D5073" s="2" t="s">
        <v>17</v>
      </c>
      <c r="E5073" s="2" t="s">
        <v>11</v>
      </c>
      <c r="F5073" s="2" t="s">
        <v>18</v>
      </c>
      <c r="G5073" s="2" t="s">
        <v>19</v>
      </c>
      <c r="H5073" s="2" t="s">
        <v>5581</v>
      </c>
      <c r="I5073" s="2" t="s">
        <v>5611</v>
      </c>
    </row>
    <row r="5074" spans="1:9" ht="14.5" x14ac:dyDescent="0.35">
      <c r="A5074" s="2">
        <v>469404</v>
      </c>
      <c r="B5074" s="2" t="str">
        <f>"3209035009990006"</f>
        <v>3209035009990006</v>
      </c>
      <c r="C5074" s="2" t="s">
        <v>5627</v>
      </c>
      <c r="D5074" s="2" t="s">
        <v>10</v>
      </c>
      <c r="E5074" s="2" t="s">
        <v>11</v>
      </c>
      <c r="F5074" s="2" t="s">
        <v>91</v>
      </c>
      <c r="G5074" s="2" t="s">
        <v>985</v>
      </c>
      <c r="H5074" s="2" t="s">
        <v>877</v>
      </c>
      <c r="I5074" s="2" t="s">
        <v>5628</v>
      </c>
    </row>
    <row r="5075" spans="1:9" ht="14.5" x14ac:dyDescent="0.35">
      <c r="A5075" s="2">
        <v>2565382</v>
      </c>
      <c r="B5075" s="2" t="str">
        <f>"3209035009990006"</f>
        <v>3209035009990006</v>
      </c>
      <c r="C5075" s="2" t="s">
        <v>5627</v>
      </c>
      <c r="D5075" s="2" t="s">
        <v>17</v>
      </c>
      <c r="E5075" s="2" t="s">
        <v>11</v>
      </c>
      <c r="F5075" s="2" t="s">
        <v>18</v>
      </c>
      <c r="G5075" s="2" t="s">
        <v>19</v>
      </c>
      <c r="H5075" s="2" t="s">
        <v>5581</v>
      </c>
      <c r="I5075" s="2" t="s">
        <v>5611</v>
      </c>
    </row>
    <row r="5076" spans="1:9" ht="14.5" x14ac:dyDescent="0.35">
      <c r="A5076" s="2">
        <v>1686070</v>
      </c>
      <c r="B5076" s="2" t="str">
        <f>"3211084210020004"</f>
        <v>3211084210020004</v>
      </c>
      <c r="C5076" s="2" t="s">
        <v>5629</v>
      </c>
      <c r="D5076" s="2" t="s">
        <v>10</v>
      </c>
      <c r="E5076" s="2" t="s">
        <v>11</v>
      </c>
      <c r="F5076" s="2" t="s">
        <v>91</v>
      </c>
      <c r="G5076" s="2" t="s">
        <v>1763</v>
      </c>
      <c r="H5076" s="2" t="s">
        <v>4776</v>
      </c>
      <c r="I5076" s="2" t="s">
        <v>5630</v>
      </c>
    </row>
    <row r="5077" spans="1:9" ht="14.5" x14ac:dyDescent="0.35">
      <c r="A5077" s="2">
        <v>2565466</v>
      </c>
      <c r="B5077" s="2" t="str">
        <f>"3211084210020004"</f>
        <v>3211084210020004</v>
      </c>
      <c r="C5077" s="2" t="s">
        <v>5629</v>
      </c>
      <c r="D5077" s="2" t="s">
        <v>17</v>
      </c>
      <c r="E5077" s="2" t="s">
        <v>11</v>
      </c>
      <c r="F5077" s="2" t="s">
        <v>18</v>
      </c>
      <c r="G5077" s="2" t="s">
        <v>19</v>
      </c>
      <c r="H5077" s="2" t="s">
        <v>5581</v>
      </c>
      <c r="I5077" s="2" t="s">
        <v>5611</v>
      </c>
    </row>
    <row r="5078" spans="1:9" ht="14.5" x14ac:dyDescent="0.35">
      <c r="A5078" s="2">
        <v>1140262</v>
      </c>
      <c r="B5078" s="2" t="str">
        <f>"3212040311940001"</f>
        <v>3212040311940001</v>
      </c>
      <c r="C5078" s="2" t="s">
        <v>5631</v>
      </c>
      <c r="D5078" s="2" t="s">
        <v>10</v>
      </c>
      <c r="E5078" s="2" t="s">
        <v>11</v>
      </c>
      <c r="F5078" s="2" t="s">
        <v>91</v>
      </c>
      <c r="G5078" s="2" t="s">
        <v>114</v>
      </c>
      <c r="H5078" s="2" t="s">
        <v>5632</v>
      </c>
      <c r="I5078" s="2" t="s">
        <v>5633</v>
      </c>
    </row>
    <row r="5079" spans="1:9" ht="14.5" x14ac:dyDescent="0.35">
      <c r="A5079" s="2">
        <v>2565586</v>
      </c>
      <c r="B5079" s="2" t="str">
        <f>"3212040311940001"</f>
        <v>3212040311940001</v>
      </c>
      <c r="C5079" s="2" t="s">
        <v>5631</v>
      </c>
      <c r="D5079" s="2" t="s">
        <v>17</v>
      </c>
      <c r="E5079" s="2" t="s">
        <v>11</v>
      </c>
      <c r="F5079" s="2" t="s">
        <v>18</v>
      </c>
      <c r="G5079" s="2" t="s">
        <v>19</v>
      </c>
      <c r="H5079" s="2" t="s">
        <v>5581</v>
      </c>
      <c r="I5079" s="2" t="s">
        <v>5634</v>
      </c>
    </row>
    <row r="5080" spans="1:9" ht="14.5" x14ac:dyDescent="0.35">
      <c r="A5080" s="2">
        <v>2003180</v>
      </c>
      <c r="B5080" s="2" t="str">
        <f>"3213154101960015"</f>
        <v>3213154101960015</v>
      </c>
      <c r="C5080" s="2" t="s">
        <v>5635</v>
      </c>
      <c r="D5080" s="2" t="s">
        <v>10</v>
      </c>
      <c r="E5080" s="2" t="s">
        <v>11</v>
      </c>
      <c r="F5080" s="2" t="s">
        <v>18</v>
      </c>
      <c r="G5080" s="2" t="s">
        <v>19</v>
      </c>
      <c r="H5080" s="2" t="s">
        <v>5581</v>
      </c>
      <c r="I5080" s="2" t="s">
        <v>5581</v>
      </c>
    </row>
    <row r="5081" spans="1:9" ht="14.5" x14ac:dyDescent="0.35">
      <c r="A5081" s="2">
        <v>1267240</v>
      </c>
      <c r="B5081" s="2" t="str">
        <f>"3213154101960015"</f>
        <v>3213154101960015</v>
      </c>
      <c r="C5081" s="2" t="s">
        <v>5635</v>
      </c>
      <c r="D5081" s="2" t="s">
        <v>17</v>
      </c>
      <c r="E5081" s="2" t="s">
        <v>11</v>
      </c>
      <c r="F5081" s="2" t="s">
        <v>91</v>
      </c>
      <c r="G5081" s="2" t="s">
        <v>2364</v>
      </c>
      <c r="H5081" s="2" t="s">
        <v>3269</v>
      </c>
      <c r="I5081" s="2" t="s">
        <v>5636</v>
      </c>
    </row>
    <row r="5082" spans="1:9" ht="14.5" x14ac:dyDescent="0.35">
      <c r="A5082" s="2">
        <v>384215</v>
      </c>
      <c r="B5082" s="2" t="str">
        <f>"3275040312630011"</f>
        <v>3275040312630011</v>
      </c>
      <c r="C5082" s="2" t="s">
        <v>5637</v>
      </c>
      <c r="D5082" s="2" t="s">
        <v>10</v>
      </c>
      <c r="E5082" s="2" t="s">
        <v>11</v>
      </c>
      <c r="F5082" s="2" t="s">
        <v>91</v>
      </c>
      <c r="G5082" s="2" t="s">
        <v>159</v>
      </c>
      <c r="H5082" s="2" t="s">
        <v>1332</v>
      </c>
      <c r="I5082" s="2" t="s">
        <v>4360</v>
      </c>
    </row>
    <row r="5083" spans="1:9" ht="14.5" x14ac:dyDescent="0.35">
      <c r="A5083" s="2">
        <v>2565952</v>
      </c>
      <c r="B5083" s="2" t="str">
        <f>"3275040312630011"</f>
        <v>3275040312630011</v>
      </c>
      <c r="C5083" s="2" t="s">
        <v>5637</v>
      </c>
      <c r="D5083" s="2" t="s">
        <v>17</v>
      </c>
      <c r="E5083" s="2" t="s">
        <v>11</v>
      </c>
      <c r="F5083" s="2" t="s">
        <v>18</v>
      </c>
      <c r="G5083" s="2" t="s">
        <v>19</v>
      </c>
      <c r="H5083" s="2" t="s">
        <v>5581</v>
      </c>
      <c r="I5083" s="2" t="s">
        <v>5593</v>
      </c>
    </row>
    <row r="5084" spans="1:9" ht="14.5" x14ac:dyDescent="0.35">
      <c r="A5084" s="2">
        <v>384216</v>
      </c>
      <c r="B5084" s="2" t="str">
        <f>"3275046909640021"</f>
        <v>3275046909640021</v>
      </c>
      <c r="C5084" s="2" t="s">
        <v>5638</v>
      </c>
      <c r="D5084" s="2" t="s">
        <v>10</v>
      </c>
      <c r="E5084" s="2" t="s">
        <v>11</v>
      </c>
      <c r="F5084" s="2" t="s">
        <v>91</v>
      </c>
      <c r="G5084" s="2" t="s">
        <v>159</v>
      </c>
      <c r="H5084" s="2" t="s">
        <v>1332</v>
      </c>
      <c r="I5084" s="2" t="s">
        <v>4360</v>
      </c>
    </row>
    <row r="5085" spans="1:9" ht="14.5" x14ac:dyDescent="0.35">
      <c r="A5085" s="2">
        <v>2565953</v>
      </c>
      <c r="B5085" s="2" t="str">
        <f>"3275046909640021"</f>
        <v>3275046909640021</v>
      </c>
      <c r="C5085" s="2" t="s">
        <v>5638</v>
      </c>
      <c r="D5085" s="2" t="s">
        <v>17</v>
      </c>
      <c r="E5085" s="2" t="s">
        <v>11</v>
      </c>
      <c r="F5085" s="2" t="s">
        <v>18</v>
      </c>
      <c r="G5085" s="2" t="s">
        <v>19</v>
      </c>
      <c r="H5085" s="2" t="s">
        <v>5581</v>
      </c>
      <c r="I5085" s="2" t="s">
        <v>5593</v>
      </c>
    </row>
    <row r="5086" spans="1:9" ht="14.5" x14ac:dyDescent="0.35">
      <c r="A5086" s="2">
        <v>1966303</v>
      </c>
      <c r="B5086" s="2" t="str">
        <f>"3301172409840002"</f>
        <v>3301172409840002</v>
      </c>
      <c r="C5086" s="2" t="s">
        <v>5639</v>
      </c>
      <c r="D5086" s="2" t="s">
        <v>10</v>
      </c>
      <c r="E5086" s="2" t="s">
        <v>11</v>
      </c>
      <c r="F5086" s="2" t="s">
        <v>18</v>
      </c>
      <c r="G5086" s="2" t="s">
        <v>19</v>
      </c>
      <c r="H5086" s="2" t="s">
        <v>5581</v>
      </c>
      <c r="I5086" s="2" t="s">
        <v>5599</v>
      </c>
    </row>
    <row r="5087" spans="1:9" ht="14.5" x14ac:dyDescent="0.35">
      <c r="A5087" s="2">
        <v>3088791</v>
      </c>
      <c r="B5087" s="2" t="str">
        <f>"3301172409840002"</f>
        <v>3301172409840002</v>
      </c>
      <c r="C5087" s="2" t="s">
        <v>5639</v>
      </c>
      <c r="D5087" s="2" t="s">
        <v>17</v>
      </c>
      <c r="E5087" s="2" t="s">
        <v>11</v>
      </c>
      <c r="F5087" s="2" t="s">
        <v>18</v>
      </c>
      <c r="G5087" s="2" t="s">
        <v>163</v>
      </c>
      <c r="H5087" s="2" t="s">
        <v>509</v>
      </c>
      <c r="I5087" s="2" t="s">
        <v>1976</v>
      </c>
    </row>
    <row r="5088" spans="1:9" ht="14.5" x14ac:dyDescent="0.35">
      <c r="A5088" s="2">
        <v>2565510</v>
      </c>
      <c r="B5088" s="2" t="str">
        <f>"3302154504940001"</f>
        <v>3302154504940001</v>
      </c>
      <c r="C5088" s="2" t="s">
        <v>5640</v>
      </c>
      <c r="D5088" s="2" t="s">
        <v>17</v>
      </c>
      <c r="E5088" s="2" t="s">
        <v>11</v>
      </c>
      <c r="F5088" s="2" t="s">
        <v>18</v>
      </c>
      <c r="G5088" s="2" t="s">
        <v>19</v>
      </c>
      <c r="H5088" s="2" t="s">
        <v>5581</v>
      </c>
      <c r="I5088" s="2" t="s">
        <v>5611</v>
      </c>
    </row>
    <row r="5089" spans="1:9" ht="14.5" x14ac:dyDescent="0.35">
      <c r="A5089" s="2">
        <v>433392</v>
      </c>
      <c r="B5089" s="2" t="str">
        <f>"3302154504940001"</f>
        <v>3302154504940001</v>
      </c>
      <c r="C5089" s="2" t="s">
        <v>5640</v>
      </c>
      <c r="D5089" s="2" t="s">
        <v>189</v>
      </c>
      <c r="E5089" s="2" t="s">
        <v>11</v>
      </c>
      <c r="F5089" s="2" t="s">
        <v>18</v>
      </c>
      <c r="G5089" s="2" t="s">
        <v>167</v>
      </c>
      <c r="H5089" s="2" t="s">
        <v>5330</v>
      </c>
      <c r="I5089" s="2" t="s">
        <v>5641</v>
      </c>
    </row>
    <row r="5090" spans="1:9" ht="14.5" x14ac:dyDescent="0.35">
      <c r="A5090" s="2">
        <v>1962576</v>
      </c>
      <c r="B5090" s="2" t="str">
        <f>"3303140808880002"</f>
        <v>3303140808880002</v>
      </c>
      <c r="C5090" s="2" t="s">
        <v>5642</v>
      </c>
      <c r="D5090" s="2" t="s">
        <v>10</v>
      </c>
      <c r="E5090" s="2" t="s">
        <v>11</v>
      </c>
      <c r="F5090" s="2" t="s">
        <v>18</v>
      </c>
      <c r="G5090" s="2" t="s">
        <v>19</v>
      </c>
      <c r="H5090" s="2" t="s">
        <v>5581</v>
      </c>
      <c r="I5090" s="2" t="s">
        <v>5593</v>
      </c>
    </row>
    <row r="5091" spans="1:9" ht="14.5" x14ac:dyDescent="0.35">
      <c r="A5091" s="2">
        <v>1590452</v>
      </c>
      <c r="B5091" s="2" t="str">
        <f>"3303140808880002"</f>
        <v>3303140808880002</v>
      </c>
      <c r="C5091" s="2" t="s">
        <v>5642</v>
      </c>
      <c r="D5091" s="2" t="s">
        <v>17</v>
      </c>
      <c r="E5091" s="2" t="s">
        <v>11</v>
      </c>
      <c r="F5091" s="2" t="s">
        <v>18</v>
      </c>
      <c r="G5091" s="2" t="s">
        <v>1349</v>
      </c>
      <c r="H5091" s="2" t="s">
        <v>5643</v>
      </c>
      <c r="I5091" s="2" t="s">
        <v>1387</v>
      </c>
    </row>
    <row r="5092" spans="1:9" ht="14.5" x14ac:dyDescent="0.35">
      <c r="A5092" s="2">
        <v>2566527</v>
      </c>
      <c r="B5092" s="2" t="str">
        <f>"3324050101880003"</f>
        <v>3324050101880003</v>
      </c>
      <c r="C5092" s="2" t="s">
        <v>5644</v>
      </c>
      <c r="D5092" s="2" t="s">
        <v>17</v>
      </c>
      <c r="E5092" s="2" t="s">
        <v>11</v>
      </c>
      <c r="F5092" s="2" t="s">
        <v>18</v>
      </c>
      <c r="G5092" s="2" t="s">
        <v>19</v>
      </c>
      <c r="H5092" s="2" t="s">
        <v>5581</v>
      </c>
      <c r="I5092" s="2" t="s">
        <v>5645</v>
      </c>
    </row>
    <row r="5093" spans="1:9" ht="14.5" x14ac:dyDescent="0.35">
      <c r="A5093" s="2">
        <v>1293847</v>
      </c>
      <c r="B5093" s="2" t="str">
        <f>"3324050101880003"</f>
        <v>3324050101880003</v>
      </c>
      <c r="C5093" s="2" t="s">
        <v>5646</v>
      </c>
      <c r="D5093" s="2" t="s">
        <v>189</v>
      </c>
      <c r="E5093" s="2" t="s">
        <v>11</v>
      </c>
      <c r="F5093" s="2" t="s">
        <v>18</v>
      </c>
      <c r="G5093" s="2" t="s">
        <v>184</v>
      </c>
      <c r="H5093" s="2" t="s">
        <v>5647</v>
      </c>
      <c r="I5093" s="2" t="s">
        <v>5648</v>
      </c>
    </row>
    <row r="5094" spans="1:9" ht="14.5" x14ac:dyDescent="0.35">
      <c r="A5094" s="2">
        <v>1090490</v>
      </c>
      <c r="B5094" s="2" t="str">
        <f>"3326111701850002"</f>
        <v>3326111701850002</v>
      </c>
      <c r="C5094" s="2" t="s">
        <v>5649</v>
      </c>
      <c r="D5094" s="2" t="s">
        <v>10</v>
      </c>
      <c r="E5094" s="2" t="s">
        <v>11</v>
      </c>
      <c r="F5094" s="2" t="s">
        <v>50</v>
      </c>
      <c r="G5094" s="2" t="s">
        <v>51</v>
      </c>
      <c r="H5094" s="2" t="s">
        <v>52</v>
      </c>
      <c r="I5094" s="2" t="s">
        <v>52</v>
      </c>
    </row>
    <row r="5095" spans="1:9" ht="14.5" x14ac:dyDescent="0.35">
      <c r="A5095" s="2">
        <v>2566097</v>
      </c>
      <c r="B5095" s="2" t="str">
        <f>"3326111701850002"</f>
        <v>3326111701850002</v>
      </c>
      <c r="C5095" s="2" t="s">
        <v>5650</v>
      </c>
      <c r="D5095" s="2" t="s">
        <v>17</v>
      </c>
      <c r="E5095" s="2" t="s">
        <v>11</v>
      </c>
      <c r="F5095" s="2" t="s">
        <v>18</v>
      </c>
      <c r="G5095" s="2" t="s">
        <v>19</v>
      </c>
      <c r="H5095" s="2" t="s">
        <v>5581</v>
      </c>
      <c r="I5095" s="2" t="s">
        <v>5599</v>
      </c>
    </row>
    <row r="5096" spans="1:9" ht="14.5" x14ac:dyDescent="0.35">
      <c r="A5096" s="2">
        <v>275405</v>
      </c>
      <c r="B5096" s="2" t="str">
        <f>"3327102801770065"</f>
        <v>3327102801770065</v>
      </c>
      <c r="C5096" s="2" t="s">
        <v>5651</v>
      </c>
      <c r="D5096" s="2" t="s">
        <v>10</v>
      </c>
      <c r="E5096" s="2" t="s">
        <v>11</v>
      </c>
      <c r="F5096" s="2" t="s">
        <v>18</v>
      </c>
      <c r="G5096" s="2" t="s">
        <v>264</v>
      </c>
      <c r="H5096" s="2" t="s">
        <v>330</v>
      </c>
      <c r="I5096" s="2" t="s">
        <v>5652</v>
      </c>
    </row>
    <row r="5097" spans="1:9" ht="14.5" x14ac:dyDescent="0.35">
      <c r="A5097" s="2">
        <v>1985562</v>
      </c>
      <c r="B5097" s="2" t="str">
        <f>"3327102801770065"</f>
        <v>3327102801770065</v>
      </c>
      <c r="C5097" s="2" t="s">
        <v>5418</v>
      </c>
      <c r="D5097" s="2" t="s">
        <v>189</v>
      </c>
      <c r="E5097" s="2" t="s">
        <v>11</v>
      </c>
      <c r="F5097" s="2" t="s">
        <v>18</v>
      </c>
      <c r="G5097" s="2" t="s">
        <v>19</v>
      </c>
      <c r="H5097" s="2" t="s">
        <v>5581</v>
      </c>
      <c r="I5097" s="2" t="s">
        <v>5653</v>
      </c>
    </row>
    <row r="5098" spans="1:9" ht="14.5" x14ac:dyDescent="0.35">
      <c r="A5098" s="2">
        <v>140105</v>
      </c>
      <c r="B5098" s="2" t="str">
        <f>"3328095005870016"</f>
        <v>3328095005870016</v>
      </c>
      <c r="C5098" s="2" t="s">
        <v>5654</v>
      </c>
      <c r="D5098" s="2" t="s">
        <v>10</v>
      </c>
      <c r="E5098" s="2" t="s">
        <v>11</v>
      </c>
      <c r="F5098" s="2" t="s">
        <v>232</v>
      </c>
      <c r="G5098" s="2" t="s">
        <v>642</v>
      </c>
      <c r="H5098" s="2" t="s">
        <v>2600</v>
      </c>
      <c r="I5098" s="2" t="s">
        <v>2601</v>
      </c>
    </row>
    <row r="5099" spans="1:9" ht="14.5" x14ac:dyDescent="0.35">
      <c r="A5099" s="2">
        <v>2566008</v>
      </c>
      <c r="B5099" s="2" t="str">
        <f>"3328095005870016"</f>
        <v>3328095005870016</v>
      </c>
      <c r="C5099" s="2" t="s">
        <v>5654</v>
      </c>
      <c r="D5099" s="2" t="s">
        <v>17</v>
      </c>
      <c r="E5099" s="2" t="s">
        <v>11</v>
      </c>
      <c r="F5099" s="2" t="s">
        <v>18</v>
      </c>
      <c r="G5099" s="2" t="s">
        <v>19</v>
      </c>
      <c r="H5099" s="2" t="s">
        <v>5581</v>
      </c>
      <c r="I5099" s="2" t="s">
        <v>5599</v>
      </c>
    </row>
    <row r="5100" spans="1:9" ht="14.5" x14ac:dyDescent="0.35">
      <c r="A5100" s="2">
        <v>1977654</v>
      </c>
      <c r="B5100" s="2" t="str">
        <f>"3328100903700005"</f>
        <v>3328100903700005</v>
      </c>
      <c r="C5100" s="2" t="s">
        <v>5655</v>
      </c>
      <c r="D5100" s="2" t="s">
        <v>10</v>
      </c>
      <c r="E5100" s="2" t="s">
        <v>11</v>
      </c>
      <c r="F5100" s="2" t="s">
        <v>18</v>
      </c>
      <c r="G5100" s="2" t="s">
        <v>19</v>
      </c>
      <c r="H5100" s="2" t="s">
        <v>5581</v>
      </c>
      <c r="I5100" s="2" t="s">
        <v>5589</v>
      </c>
    </row>
    <row r="5101" spans="1:9" ht="14.5" x14ac:dyDescent="0.35">
      <c r="A5101" s="2">
        <v>1437867</v>
      </c>
      <c r="B5101" s="2" t="str">
        <f>"3328100903700005"</f>
        <v>3328100903700005</v>
      </c>
      <c r="C5101" s="2" t="s">
        <v>5656</v>
      </c>
      <c r="D5101" s="2" t="s">
        <v>17</v>
      </c>
      <c r="E5101" s="2" t="s">
        <v>11</v>
      </c>
      <c r="F5101" s="2" t="s">
        <v>91</v>
      </c>
      <c r="G5101" s="2" t="s">
        <v>1300</v>
      </c>
      <c r="H5101" s="2" t="s">
        <v>5622</v>
      </c>
      <c r="I5101" s="2" t="s">
        <v>5622</v>
      </c>
    </row>
    <row r="5102" spans="1:9" ht="14.5" x14ac:dyDescent="0.35">
      <c r="A5102" s="2">
        <v>1600524</v>
      </c>
      <c r="B5102" s="2" t="str">
        <f>"3328180107790033"</f>
        <v>3328180107790033</v>
      </c>
      <c r="C5102" s="2" t="s">
        <v>5657</v>
      </c>
      <c r="D5102" s="2" t="s">
        <v>10</v>
      </c>
      <c r="E5102" s="2" t="s">
        <v>11</v>
      </c>
      <c r="F5102" s="2" t="s">
        <v>44</v>
      </c>
      <c r="G5102" s="2" t="s">
        <v>5214</v>
      </c>
      <c r="H5102" s="2" t="s">
        <v>5658</v>
      </c>
      <c r="I5102" s="2" t="s">
        <v>5659</v>
      </c>
    </row>
    <row r="5103" spans="1:9" ht="14.5" x14ac:dyDescent="0.35">
      <c r="A5103" s="2">
        <v>2565714</v>
      </c>
      <c r="B5103" s="2" t="str">
        <f>"3328180107790033"</f>
        <v>3328180107790033</v>
      </c>
      <c r="C5103" s="2" t="s">
        <v>5657</v>
      </c>
      <c r="D5103" s="2" t="s">
        <v>17</v>
      </c>
      <c r="E5103" s="2" t="s">
        <v>11</v>
      </c>
      <c r="F5103" s="2" t="s">
        <v>18</v>
      </c>
      <c r="G5103" s="2" t="s">
        <v>19</v>
      </c>
      <c r="H5103" s="2" t="s">
        <v>5581</v>
      </c>
      <c r="I5103" s="2" t="s">
        <v>5593</v>
      </c>
    </row>
    <row r="5104" spans="1:9" ht="14.5" x14ac:dyDescent="0.35">
      <c r="A5104" s="2">
        <v>1983522</v>
      </c>
      <c r="B5104" s="2" t="str">
        <f>"3328180107930058"</f>
        <v>3328180107930058</v>
      </c>
      <c r="C5104" s="2" t="s">
        <v>5660</v>
      </c>
      <c r="D5104" s="2" t="s">
        <v>10</v>
      </c>
      <c r="E5104" s="2" t="s">
        <v>11</v>
      </c>
      <c r="F5104" s="2" t="s">
        <v>18</v>
      </c>
      <c r="G5104" s="2" t="s">
        <v>19</v>
      </c>
      <c r="H5104" s="2" t="s">
        <v>5581</v>
      </c>
      <c r="I5104" s="2" t="s">
        <v>5653</v>
      </c>
    </row>
    <row r="5105" spans="1:9" ht="14.5" x14ac:dyDescent="0.35">
      <c r="A5105" s="2">
        <v>412095</v>
      </c>
      <c r="B5105" s="2" t="str">
        <f>"3328180107930058"</f>
        <v>3328180107930058</v>
      </c>
      <c r="C5105" s="2" t="s">
        <v>5660</v>
      </c>
      <c r="D5105" s="2" t="s">
        <v>10</v>
      </c>
      <c r="E5105" s="2" t="s">
        <v>57</v>
      </c>
      <c r="F5105" s="2" t="s">
        <v>3068</v>
      </c>
      <c r="G5105" s="2" t="s">
        <v>5530</v>
      </c>
      <c r="H5105" s="2" t="s">
        <v>5531</v>
      </c>
      <c r="I5105" s="2" t="s">
        <v>5532</v>
      </c>
    </row>
    <row r="5106" spans="1:9" ht="14.5" x14ac:dyDescent="0.35">
      <c r="A5106" s="2">
        <v>42546</v>
      </c>
      <c r="B5106" s="2" t="str">
        <f>"3328180107980074"</f>
        <v>3328180107980074</v>
      </c>
      <c r="C5106" s="2" t="s">
        <v>5661</v>
      </c>
      <c r="D5106" s="2" t="s">
        <v>10</v>
      </c>
      <c r="E5106" s="2" t="s">
        <v>11</v>
      </c>
      <c r="F5106" s="2" t="s">
        <v>91</v>
      </c>
      <c r="G5106" s="2" t="s">
        <v>114</v>
      </c>
      <c r="H5106" s="2" t="s">
        <v>5662</v>
      </c>
      <c r="I5106" s="2" t="s">
        <v>5663</v>
      </c>
    </row>
    <row r="5107" spans="1:9" ht="14.5" x14ac:dyDescent="0.35">
      <c r="A5107" s="2">
        <v>2565964</v>
      </c>
      <c r="B5107" s="2" t="str">
        <f>"3328180107980074"</f>
        <v>3328180107980074</v>
      </c>
      <c r="C5107" s="2" t="s">
        <v>5664</v>
      </c>
      <c r="D5107" s="2" t="s">
        <v>17</v>
      </c>
      <c r="E5107" s="2" t="s">
        <v>11</v>
      </c>
      <c r="F5107" s="2" t="s">
        <v>18</v>
      </c>
      <c r="G5107" s="2" t="s">
        <v>19</v>
      </c>
      <c r="H5107" s="2" t="s">
        <v>5581</v>
      </c>
      <c r="I5107" s="2" t="s">
        <v>5593</v>
      </c>
    </row>
    <row r="5108" spans="1:9" ht="14.5" x14ac:dyDescent="0.35">
      <c r="A5108" s="2">
        <v>2566472</v>
      </c>
      <c r="B5108" s="2" t="str">
        <f>"3328180205050001"</f>
        <v>3328180205050001</v>
      </c>
      <c r="C5108" s="2" t="s">
        <v>5665</v>
      </c>
      <c r="D5108" s="2" t="s">
        <v>17</v>
      </c>
      <c r="E5108" s="2" t="s">
        <v>11</v>
      </c>
      <c r="F5108" s="2" t="s">
        <v>18</v>
      </c>
      <c r="G5108" s="2" t="s">
        <v>19</v>
      </c>
      <c r="H5108" s="2" t="s">
        <v>5581</v>
      </c>
      <c r="I5108" s="2" t="s">
        <v>5653</v>
      </c>
    </row>
    <row r="5109" spans="1:9" ht="14.5" x14ac:dyDescent="0.35">
      <c r="A5109" s="2">
        <v>1272715</v>
      </c>
      <c r="B5109" s="2" t="str">
        <f>"3328180205050001"</f>
        <v>3328180205050001</v>
      </c>
      <c r="C5109" s="2" t="s">
        <v>5666</v>
      </c>
      <c r="D5109" s="2" t="s">
        <v>10</v>
      </c>
      <c r="E5109" s="2" t="s">
        <v>11</v>
      </c>
      <c r="F5109" s="2" t="s">
        <v>18</v>
      </c>
      <c r="G5109" s="2" t="s">
        <v>1920</v>
      </c>
      <c r="H5109" s="2" t="s">
        <v>2330</v>
      </c>
      <c r="I5109" s="2" t="s">
        <v>5667</v>
      </c>
    </row>
    <row r="5110" spans="1:9" ht="14.5" x14ac:dyDescent="0.35">
      <c r="A5110" s="2">
        <v>1268028</v>
      </c>
      <c r="B5110" s="2" t="str">
        <f>"3328180704810004"</f>
        <v>3328180704810004</v>
      </c>
      <c r="C5110" s="2" t="s">
        <v>5668</v>
      </c>
      <c r="D5110" s="2" t="s">
        <v>10</v>
      </c>
      <c r="E5110" s="2" t="s">
        <v>11</v>
      </c>
      <c r="F5110" s="2" t="s">
        <v>50</v>
      </c>
      <c r="G5110" s="2" t="s">
        <v>86</v>
      </c>
      <c r="H5110" s="2" t="s">
        <v>87</v>
      </c>
      <c r="I5110" s="2" t="s">
        <v>87</v>
      </c>
    </row>
    <row r="5111" spans="1:9" ht="14.5" x14ac:dyDescent="0.35">
      <c r="A5111" s="2">
        <v>2565232</v>
      </c>
      <c r="B5111" s="2" t="str">
        <f>"3328180704810004"</f>
        <v>3328180704810004</v>
      </c>
      <c r="C5111" s="2" t="s">
        <v>5669</v>
      </c>
      <c r="D5111" s="2" t="s">
        <v>17</v>
      </c>
      <c r="E5111" s="2" t="s">
        <v>11</v>
      </c>
      <c r="F5111" s="2" t="s">
        <v>18</v>
      </c>
      <c r="G5111" s="2" t="s">
        <v>19</v>
      </c>
      <c r="H5111" s="2" t="s">
        <v>5581</v>
      </c>
      <c r="I5111" s="2" t="s">
        <v>5611</v>
      </c>
    </row>
    <row r="5112" spans="1:9" ht="14.5" x14ac:dyDescent="0.35">
      <c r="A5112" s="2">
        <v>1957852</v>
      </c>
      <c r="B5112" s="2" t="str">
        <f>"3328180908060004"</f>
        <v>3328180908060004</v>
      </c>
      <c r="C5112" s="2" t="s">
        <v>5670</v>
      </c>
      <c r="D5112" s="2" t="s">
        <v>10</v>
      </c>
      <c r="E5112" s="2" t="s">
        <v>11</v>
      </c>
      <c r="F5112" s="2" t="s">
        <v>18</v>
      </c>
      <c r="G5112" s="2" t="s">
        <v>19</v>
      </c>
      <c r="H5112" s="2" t="s">
        <v>5581</v>
      </c>
      <c r="I5112" s="2" t="s">
        <v>5593</v>
      </c>
    </row>
    <row r="5113" spans="1:9" ht="14.5" x14ac:dyDescent="0.35">
      <c r="A5113" s="2">
        <v>1392757</v>
      </c>
      <c r="B5113" s="2" t="str">
        <f>"3328180908060004"</f>
        <v>3328180908060004</v>
      </c>
      <c r="C5113" s="2" t="s">
        <v>5670</v>
      </c>
      <c r="D5113" s="2" t="s">
        <v>10</v>
      </c>
      <c r="E5113" s="2" t="s">
        <v>57</v>
      </c>
      <c r="F5113" s="2" t="s">
        <v>303</v>
      </c>
      <c r="G5113" s="2" t="s">
        <v>608</v>
      </c>
      <c r="H5113" s="2" t="s">
        <v>1384</v>
      </c>
      <c r="I5113" s="2" t="s">
        <v>1385</v>
      </c>
    </row>
    <row r="5114" spans="1:9" ht="14.5" x14ac:dyDescent="0.35">
      <c r="A5114" s="2">
        <v>2007603</v>
      </c>
      <c r="B5114" s="2" t="str">
        <f>"3328181004730004"</f>
        <v>3328181004730004</v>
      </c>
      <c r="C5114" s="2" t="s">
        <v>1379</v>
      </c>
      <c r="D5114" s="2" t="s">
        <v>10</v>
      </c>
      <c r="E5114" s="2" t="s">
        <v>11</v>
      </c>
      <c r="F5114" s="2" t="s">
        <v>18</v>
      </c>
      <c r="G5114" s="2" t="s">
        <v>19</v>
      </c>
      <c r="H5114" s="2" t="s">
        <v>5581</v>
      </c>
      <c r="I5114" s="2" t="s">
        <v>5609</v>
      </c>
    </row>
    <row r="5115" spans="1:9" ht="14.5" x14ac:dyDescent="0.35">
      <c r="A5115" s="2">
        <v>1434631</v>
      </c>
      <c r="B5115" s="2" t="str">
        <f>"3328181004730004"</f>
        <v>3328181004730004</v>
      </c>
      <c r="C5115" s="2" t="s">
        <v>1379</v>
      </c>
      <c r="D5115" s="2" t="s">
        <v>17</v>
      </c>
      <c r="E5115" s="2" t="s">
        <v>11</v>
      </c>
      <c r="F5115" s="2" t="s">
        <v>91</v>
      </c>
      <c r="G5115" s="2" t="s">
        <v>903</v>
      </c>
      <c r="H5115" s="2" t="s">
        <v>938</v>
      </c>
      <c r="I5115" s="2" t="s">
        <v>5671</v>
      </c>
    </row>
    <row r="5116" spans="1:9" ht="14.5" x14ac:dyDescent="0.35">
      <c r="A5116" s="2">
        <v>421489</v>
      </c>
      <c r="B5116" s="2" t="str">
        <f>"3328181006780002"</f>
        <v>3328181006780002</v>
      </c>
      <c r="C5116" s="2" t="s">
        <v>5672</v>
      </c>
      <c r="D5116" s="2" t="s">
        <v>17</v>
      </c>
      <c r="E5116" s="2" t="s">
        <v>11</v>
      </c>
      <c r="F5116" s="2" t="s">
        <v>18</v>
      </c>
      <c r="G5116" s="2" t="s">
        <v>268</v>
      </c>
      <c r="H5116" s="2" t="s">
        <v>371</v>
      </c>
      <c r="I5116" s="2" t="s">
        <v>497</v>
      </c>
    </row>
    <row r="5117" spans="1:9" ht="14.5" x14ac:dyDescent="0.35">
      <c r="A5117" s="2">
        <v>1980088</v>
      </c>
      <c r="B5117" s="2" t="str">
        <f>"3328181006780002"</f>
        <v>3328181006780002</v>
      </c>
      <c r="C5117" s="2" t="s">
        <v>1490</v>
      </c>
      <c r="D5117" s="2" t="s">
        <v>189</v>
      </c>
      <c r="E5117" s="2" t="s">
        <v>11</v>
      </c>
      <c r="F5117" s="2" t="s">
        <v>18</v>
      </c>
      <c r="G5117" s="2" t="s">
        <v>19</v>
      </c>
      <c r="H5117" s="2" t="s">
        <v>5581</v>
      </c>
      <c r="I5117" s="2" t="s">
        <v>5589</v>
      </c>
    </row>
    <row r="5118" spans="1:9" ht="14.5" x14ac:dyDescent="0.35">
      <c r="A5118" s="2">
        <v>313776</v>
      </c>
      <c r="B5118" s="2" t="str">
        <f>"3328181012810002"</f>
        <v>3328181012810002</v>
      </c>
      <c r="C5118" s="2" t="s">
        <v>5673</v>
      </c>
      <c r="D5118" s="2" t="s">
        <v>10</v>
      </c>
      <c r="E5118" s="2" t="s">
        <v>11</v>
      </c>
      <c r="F5118" s="2" t="s">
        <v>18</v>
      </c>
      <c r="G5118" s="2" t="s">
        <v>268</v>
      </c>
      <c r="H5118" s="2" t="s">
        <v>269</v>
      </c>
      <c r="I5118" s="2" t="s">
        <v>1662</v>
      </c>
    </row>
    <row r="5119" spans="1:9" ht="14.5" x14ac:dyDescent="0.35">
      <c r="A5119" s="2">
        <v>2566774</v>
      </c>
      <c r="B5119" s="2" t="str">
        <f>"3328181012810002"</f>
        <v>3328181012810002</v>
      </c>
      <c r="C5119" s="2" t="s">
        <v>5674</v>
      </c>
      <c r="D5119" s="2" t="s">
        <v>17</v>
      </c>
      <c r="E5119" s="2" t="s">
        <v>11</v>
      </c>
      <c r="F5119" s="2" t="s">
        <v>18</v>
      </c>
      <c r="G5119" s="2" t="s">
        <v>19</v>
      </c>
      <c r="H5119" s="2" t="s">
        <v>5581</v>
      </c>
      <c r="I5119" s="2" t="s">
        <v>5581</v>
      </c>
    </row>
    <row r="5120" spans="1:9" ht="14.5" x14ac:dyDescent="0.35">
      <c r="A5120" s="2">
        <v>1302852</v>
      </c>
      <c r="B5120" s="2" t="str">
        <f>"3328181109980004"</f>
        <v>3328181109980004</v>
      </c>
      <c r="C5120" s="2" t="s">
        <v>5675</v>
      </c>
      <c r="D5120" s="2" t="s">
        <v>10</v>
      </c>
      <c r="E5120" s="2" t="s">
        <v>11</v>
      </c>
      <c r="F5120" s="2" t="s">
        <v>91</v>
      </c>
      <c r="G5120" s="2" t="s">
        <v>92</v>
      </c>
      <c r="H5120" s="2" t="s">
        <v>5676</v>
      </c>
      <c r="I5120" s="2" t="s">
        <v>1050</v>
      </c>
    </row>
    <row r="5121" spans="1:9" ht="14.5" x14ac:dyDescent="0.35">
      <c r="A5121" s="2">
        <v>2565882</v>
      </c>
      <c r="B5121" s="2" t="str">
        <f>"3328181109980004"</f>
        <v>3328181109980004</v>
      </c>
      <c r="C5121" s="2" t="s">
        <v>5675</v>
      </c>
      <c r="D5121" s="2" t="s">
        <v>17</v>
      </c>
      <c r="E5121" s="2" t="s">
        <v>11</v>
      </c>
      <c r="F5121" s="2" t="s">
        <v>18</v>
      </c>
      <c r="G5121" s="2" t="s">
        <v>19</v>
      </c>
      <c r="H5121" s="2" t="s">
        <v>5581</v>
      </c>
      <c r="I5121" s="2" t="s">
        <v>5593</v>
      </c>
    </row>
    <row r="5122" spans="1:9" ht="14.5" x14ac:dyDescent="0.35">
      <c r="A5122" s="2">
        <v>1211259</v>
      </c>
      <c r="B5122" s="2" t="str">
        <f>"3328181211860003"</f>
        <v>3328181211860003</v>
      </c>
      <c r="C5122" s="2" t="s">
        <v>5677</v>
      </c>
      <c r="D5122" s="2" t="s">
        <v>10</v>
      </c>
      <c r="E5122" s="2" t="s">
        <v>11</v>
      </c>
      <c r="F5122" s="2" t="s">
        <v>18</v>
      </c>
      <c r="G5122" s="2" t="s">
        <v>264</v>
      </c>
      <c r="H5122" s="2" t="s">
        <v>265</v>
      </c>
      <c r="I5122" s="2" t="s">
        <v>906</v>
      </c>
    </row>
    <row r="5123" spans="1:9" ht="14.5" x14ac:dyDescent="0.35">
      <c r="A5123" s="2">
        <v>2566217</v>
      </c>
      <c r="B5123" s="2" t="str">
        <f>"3328181211860003"</f>
        <v>3328181211860003</v>
      </c>
      <c r="C5123" s="2" t="s">
        <v>5677</v>
      </c>
      <c r="D5123" s="2" t="s">
        <v>17</v>
      </c>
      <c r="E5123" s="2" t="s">
        <v>11</v>
      </c>
      <c r="F5123" s="2" t="s">
        <v>18</v>
      </c>
      <c r="G5123" s="2" t="s">
        <v>19</v>
      </c>
      <c r="H5123" s="2" t="s">
        <v>5581</v>
      </c>
      <c r="I5123" s="2" t="s">
        <v>5582</v>
      </c>
    </row>
    <row r="5124" spans="1:9" ht="14.5" x14ac:dyDescent="0.35">
      <c r="A5124" s="2">
        <v>1347011</v>
      </c>
      <c r="B5124" s="2" t="str">
        <f>"3328181501970001"</f>
        <v>3328181501970001</v>
      </c>
      <c r="C5124" s="2" t="s">
        <v>5678</v>
      </c>
      <c r="D5124" s="2" t="s">
        <v>10</v>
      </c>
      <c r="E5124" s="2" t="s">
        <v>11</v>
      </c>
      <c r="F5124" s="2" t="s">
        <v>18</v>
      </c>
      <c r="G5124" s="2" t="s">
        <v>264</v>
      </c>
      <c r="H5124" s="2" t="s">
        <v>265</v>
      </c>
      <c r="I5124" s="2" t="s">
        <v>2007</v>
      </c>
    </row>
    <row r="5125" spans="1:9" ht="14.5" x14ac:dyDescent="0.35">
      <c r="A5125" s="2">
        <v>2565576</v>
      </c>
      <c r="B5125" s="2" t="str">
        <f>"3328181501970001"</f>
        <v>3328181501970001</v>
      </c>
      <c r="C5125" s="2" t="s">
        <v>5679</v>
      </c>
      <c r="D5125" s="2" t="s">
        <v>17</v>
      </c>
      <c r="E5125" s="2" t="s">
        <v>11</v>
      </c>
      <c r="F5125" s="2" t="s">
        <v>18</v>
      </c>
      <c r="G5125" s="2" t="s">
        <v>19</v>
      </c>
      <c r="H5125" s="2" t="s">
        <v>5581</v>
      </c>
      <c r="I5125" s="2" t="s">
        <v>5634</v>
      </c>
    </row>
    <row r="5126" spans="1:9" ht="14.5" x14ac:dyDescent="0.35">
      <c r="A5126" s="2">
        <v>1967798</v>
      </c>
      <c r="B5126" s="2" t="str">
        <f>"3328181808900013"</f>
        <v>3328181808900013</v>
      </c>
      <c r="C5126" s="2" t="s">
        <v>5680</v>
      </c>
      <c r="D5126" s="2" t="s">
        <v>10</v>
      </c>
      <c r="E5126" s="2" t="s">
        <v>11</v>
      </c>
      <c r="F5126" s="2" t="s">
        <v>18</v>
      </c>
      <c r="G5126" s="2" t="s">
        <v>19</v>
      </c>
      <c r="H5126" s="2" t="s">
        <v>5581</v>
      </c>
      <c r="I5126" s="2" t="s">
        <v>5599</v>
      </c>
    </row>
    <row r="5127" spans="1:9" ht="14.5" x14ac:dyDescent="0.35">
      <c r="A5127" s="2">
        <v>1100921</v>
      </c>
      <c r="B5127" s="2" t="str">
        <f>"3328181808900013"</f>
        <v>3328181808900013</v>
      </c>
      <c r="C5127" s="2" t="s">
        <v>5680</v>
      </c>
      <c r="D5127" s="2" t="s">
        <v>17</v>
      </c>
      <c r="E5127" s="2" t="s">
        <v>11</v>
      </c>
      <c r="F5127" s="2" t="s">
        <v>18</v>
      </c>
      <c r="G5127" s="2" t="s">
        <v>171</v>
      </c>
      <c r="H5127" s="2" t="s">
        <v>5681</v>
      </c>
      <c r="I5127" s="2" t="s">
        <v>5682</v>
      </c>
    </row>
    <row r="5128" spans="1:9" ht="14.5" x14ac:dyDescent="0.35">
      <c r="A5128" s="2">
        <v>147295</v>
      </c>
      <c r="B5128" s="2" t="str">
        <f>"3328181909920001"</f>
        <v>3328181909920001</v>
      </c>
      <c r="C5128" s="2" t="s">
        <v>5683</v>
      </c>
      <c r="D5128" s="2" t="s">
        <v>10</v>
      </c>
      <c r="E5128" s="2" t="s">
        <v>11</v>
      </c>
      <c r="F5128" s="2" t="s">
        <v>232</v>
      </c>
      <c r="G5128" s="2" t="s">
        <v>3300</v>
      </c>
      <c r="H5128" s="2" t="s">
        <v>3301</v>
      </c>
      <c r="I5128" s="2" t="s">
        <v>5684</v>
      </c>
    </row>
    <row r="5129" spans="1:9" ht="14.5" x14ac:dyDescent="0.35">
      <c r="A5129" s="2">
        <v>2565644</v>
      </c>
      <c r="B5129" s="2" t="str">
        <f>"3328181909920001"</f>
        <v>3328181909920001</v>
      </c>
      <c r="C5129" s="2" t="s">
        <v>5683</v>
      </c>
      <c r="D5129" s="2" t="s">
        <v>17</v>
      </c>
      <c r="E5129" s="2" t="s">
        <v>11</v>
      </c>
      <c r="F5129" s="2" t="s">
        <v>18</v>
      </c>
      <c r="G5129" s="2" t="s">
        <v>19</v>
      </c>
      <c r="H5129" s="2" t="s">
        <v>5581</v>
      </c>
      <c r="I5129" s="2" t="s">
        <v>5634</v>
      </c>
    </row>
    <row r="5130" spans="1:9" ht="14.5" x14ac:dyDescent="0.35">
      <c r="A5130" s="2">
        <v>1978649</v>
      </c>
      <c r="B5130" s="2" t="str">
        <f>"3328182203960001"</f>
        <v>3328182203960001</v>
      </c>
      <c r="C5130" s="2" t="s">
        <v>5685</v>
      </c>
      <c r="D5130" s="2" t="s">
        <v>10</v>
      </c>
      <c r="E5130" s="2" t="s">
        <v>11</v>
      </c>
      <c r="F5130" s="2" t="s">
        <v>18</v>
      </c>
      <c r="G5130" s="2" t="s">
        <v>19</v>
      </c>
      <c r="H5130" s="2" t="s">
        <v>5581</v>
      </c>
      <c r="I5130" s="2" t="s">
        <v>5589</v>
      </c>
    </row>
    <row r="5131" spans="1:9" ht="14.5" x14ac:dyDescent="0.35">
      <c r="A5131" s="2">
        <v>422450</v>
      </c>
      <c r="B5131" s="2" t="str">
        <f>"3328182203960001"</f>
        <v>3328182203960001</v>
      </c>
      <c r="C5131" s="2" t="s">
        <v>5685</v>
      </c>
      <c r="D5131" s="2" t="s">
        <v>17</v>
      </c>
      <c r="E5131" s="2" t="s">
        <v>11</v>
      </c>
      <c r="F5131" s="2" t="s">
        <v>18</v>
      </c>
      <c r="G5131" s="2" t="s">
        <v>268</v>
      </c>
      <c r="H5131" s="2" t="s">
        <v>269</v>
      </c>
      <c r="I5131" s="2" t="s">
        <v>996</v>
      </c>
    </row>
    <row r="5132" spans="1:9" ht="14.5" x14ac:dyDescent="0.35">
      <c r="A5132" s="2">
        <v>256960</v>
      </c>
      <c r="B5132" s="2" t="str">
        <f>"3328182205030005"</f>
        <v>3328182205030005</v>
      </c>
      <c r="C5132" s="2" t="s">
        <v>5686</v>
      </c>
      <c r="D5132" s="2" t="s">
        <v>10</v>
      </c>
      <c r="E5132" s="2" t="s">
        <v>11</v>
      </c>
      <c r="F5132" s="2" t="s">
        <v>18</v>
      </c>
      <c r="G5132" s="2" t="s">
        <v>268</v>
      </c>
      <c r="H5132" s="2" t="s">
        <v>371</v>
      </c>
      <c r="I5132" s="2" t="s">
        <v>497</v>
      </c>
    </row>
    <row r="5133" spans="1:9" ht="14.5" x14ac:dyDescent="0.35">
      <c r="A5133" s="2">
        <v>2566019</v>
      </c>
      <c r="B5133" s="2" t="str">
        <f>"3328182205030005"</f>
        <v>3328182205030005</v>
      </c>
      <c r="C5133" s="2" t="s">
        <v>5687</v>
      </c>
      <c r="D5133" s="2" t="s">
        <v>17</v>
      </c>
      <c r="E5133" s="2" t="s">
        <v>11</v>
      </c>
      <c r="F5133" s="2" t="s">
        <v>18</v>
      </c>
      <c r="G5133" s="2" t="s">
        <v>19</v>
      </c>
      <c r="H5133" s="2" t="s">
        <v>5581</v>
      </c>
      <c r="I5133" s="2" t="s">
        <v>5599</v>
      </c>
    </row>
    <row r="5134" spans="1:9" ht="14.5" x14ac:dyDescent="0.35">
      <c r="A5134" s="2">
        <v>676758</v>
      </c>
      <c r="B5134" s="2" t="str">
        <f>"3328182207950005"</f>
        <v>3328182207950005</v>
      </c>
      <c r="C5134" s="2" t="s">
        <v>5688</v>
      </c>
      <c r="D5134" s="2" t="s">
        <v>10</v>
      </c>
      <c r="E5134" s="2" t="s">
        <v>11</v>
      </c>
      <c r="F5134" s="2" t="s">
        <v>811</v>
      </c>
      <c r="G5134" s="2" t="s">
        <v>812</v>
      </c>
      <c r="H5134" s="2" t="s">
        <v>5591</v>
      </c>
      <c r="I5134" s="2" t="s">
        <v>5592</v>
      </c>
    </row>
    <row r="5135" spans="1:9" ht="14.5" x14ac:dyDescent="0.35">
      <c r="A5135" s="2">
        <v>2565827</v>
      </c>
      <c r="B5135" s="2" t="str">
        <f>"3328182207950005"</f>
        <v>3328182207950005</v>
      </c>
      <c r="C5135" s="2" t="s">
        <v>5689</v>
      </c>
      <c r="D5135" s="2" t="s">
        <v>17</v>
      </c>
      <c r="E5135" s="2" t="s">
        <v>11</v>
      </c>
      <c r="F5135" s="2" t="s">
        <v>18</v>
      </c>
      <c r="G5135" s="2" t="s">
        <v>19</v>
      </c>
      <c r="H5135" s="2" t="s">
        <v>5581</v>
      </c>
      <c r="I5135" s="2" t="s">
        <v>5593</v>
      </c>
    </row>
    <row r="5136" spans="1:9" ht="14.5" x14ac:dyDescent="0.35">
      <c r="A5136" s="2">
        <v>268757</v>
      </c>
      <c r="B5136" s="2" t="str">
        <f>"3328182502900003"</f>
        <v>3328182502900003</v>
      </c>
      <c r="C5136" s="2" t="s">
        <v>5690</v>
      </c>
      <c r="D5136" s="2" t="s">
        <v>10</v>
      </c>
      <c r="E5136" s="2" t="s">
        <v>11</v>
      </c>
      <c r="F5136" s="2" t="s">
        <v>18</v>
      </c>
      <c r="G5136" s="2" t="s">
        <v>264</v>
      </c>
      <c r="H5136" s="2" t="s">
        <v>5691</v>
      </c>
      <c r="I5136" s="2" t="s">
        <v>5692</v>
      </c>
    </row>
    <row r="5137" spans="1:9" ht="14.5" x14ac:dyDescent="0.35">
      <c r="A5137" s="2">
        <v>2565859</v>
      </c>
      <c r="B5137" s="2" t="str">
        <f>"3328182502900003"</f>
        <v>3328182502900003</v>
      </c>
      <c r="C5137" s="2" t="s">
        <v>5690</v>
      </c>
      <c r="D5137" s="2" t="s">
        <v>17</v>
      </c>
      <c r="E5137" s="2" t="s">
        <v>11</v>
      </c>
      <c r="F5137" s="2" t="s">
        <v>18</v>
      </c>
      <c r="G5137" s="2" t="s">
        <v>19</v>
      </c>
      <c r="H5137" s="2" t="s">
        <v>5581</v>
      </c>
      <c r="I5137" s="2" t="s">
        <v>5593</v>
      </c>
    </row>
    <row r="5138" spans="1:9" ht="14.5" x14ac:dyDescent="0.35">
      <c r="A5138" s="2">
        <v>1034811</v>
      </c>
      <c r="B5138" s="2" t="str">
        <f>"3328182506800002"</f>
        <v>3328182506800002</v>
      </c>
      <c r="C5138" s="2" t="s">
        <v>5693</v>
      </c>
      <c r="D5138" s="2" t="s">
        <v>10</v>
      </c>
      <c r="E5138" s="2" t="s">
        <v>11</v>
      </c>
      <c r="F5138" s="2" t="s">
        <v>91</v>
      </c>
      <c r="G5138" s="2" t="s">
        <v>320</v>
      </c>
      <c r="H5138" s="2" t="s">
        <v>409</v>
      </c>
      <c r="I5138" s="2" t="s">
        <v>4860</v>
      </c>
    </row>
    <row r="5139" spans="1:9" ht="14.5" x14ac:dyDescent="0.35">
      <c r="A5139" s="2">
        <v>2566569</v>
      </c>
      <c r="B5139" s="2" t="str">
        <f>"3328182506800002"</f>
        <v>3328182506800002</v>
      </c>
      <c r="C5139" s="2" t="s">
        <v>5694</v>
      </c>
      <c r="D5139" s="2" t="s">
        <v>17</v>
      </c>
      <c r="E5139" s="2" t="s">
        <v>11</v>
      </c>
      <c r="F5139" s="2" t="s">
        <v>18</v>
      </c>
      <c r="G5139" s="2" t="s">
        <v>19</v>
      </c>
      <c r="H5139" s="2" t="s">
        <v>5581</v>
      </c>
      <c r="I5139" s="2" t="s">
        <v>5645</v>
      </c>
    </row>
    <row r="5140" spans="1:9" ht="14.5" x14ac:dyDescent="0.35">
      <c r="A5140" s="2">
        <v>1355616</v>
      </c>
      <c r="B5140" s="2" t="str">
        <f>"3328182507800002"</f>
        <v>3328182507800002</v>
      </c>
      <c r="C5140" s="2" t="s">
        <v>5695</v>
      </c>
      <c r="D5140" s="2" t="s">
        <v>10</v>
      </c>
      <c r="E5140" s="2" t="s">
        <v>11</v>
      </c>
      <c r="F5140" s="2" t="s">
        <v>50</v>
      </c>
      <c r="G5140" s="2" t="s">
        <v>58</v>
      </c>
      <c r="H5140" s="2" t="s">
        <v>417</v>
      </c>
      <c r="I5140" s="2" t="s">
        <v>1131</v>
      </c>
    </row>
    <row r="5141" spans="1:9" ht="14.5" x14ac:dyDescent="0.35">
      <c r="A5141" s="2">
        <v>2565705</v>
      </c>
      <c r="B5141" s="2" t="str">
        <f>"3328182507800002"</f>
        <v>3328182507800002</v>
      </c>
      <c r="C5141" s="2" t="s">
        <v>5695</v>
      </c>
      <c r="D5141" s="2" t="s">
        <v>17</v>
      </c>
      <c r="E5141" s="2" t="s">
        <v>11</v>
      </c>
      <c r="F5141" s="2" t="s">
        <v>18</v>
      </c>
      <c r="G5141" s="2" t="s">
        <v>19</v>
      </c>
      <c r="H5141" s="2" t="s">
        <v>5581</v>
      </c>
      <c r="I5141" s="2" t="s">
        <v>5593</v>
      </c>
    </row>
    <row r="5142" spans="1:9" ht="14.5" x14ac:dyDescent="0.35">
      <c r="A5142" s="2">
        <v>407408</v>
      </c>
      <c r="B5142" s="2" t="str">
        <f>"3328182604850005"</f>
        <v>3328182604850005</v>
      </c>
      <c r="C5142" s="2" t="s">
        <v>5696</v>
      </c>
      <c r="D5142" s="2" t="s">
        <v>10</v>
      </c>
      <c r="E5142" s="2" t="s">
        <v>11</v>
      </c>
      <c r="F5142" s="2" t="s">
        <v>18</v>
      </c>
      <c r="G5142" s="2" t="s">
        <v>268</v>
      </c>
      <c r="H5142" s="2" t="s">
        <v>448</v>
      </c>
      <c r="I5142" s="2" t="s">
        <v>448</v>
      </c>
    </row>
    <row r="5143" spans="1:9" ht="14.5" x14ac:dyDescent="0.35">
      <c r="A5143" s="2">
        <v>2566285</v>
      </c>
      <c r="B5143" s="2" t="str">
        <f>"3328182604850005"</f>
        <v>3328182604850005</v>
      </c>
      <c r="C5143" s="2" t="s">
        <v>5697</v>
      </c>
      <c r="D5143" s="2" t="s">
        <v>17</v>
      </c>
      <c r="E5143" s="2" t="s">
        <v>11</v>
      </c>
      <c r="F5143" s="2" t="s">
        <v>18</v>
      </c>
      <c r="G5143" s="2" t="s">
        <v>19</v>
      </c>
      <c r="H5143" s="2" t="s">
        <v>5581</v>
      </c>
      <c r="I5143" s="2" t="s">
        <v>5589</v>
      </c>
    </row>
    <row r="5144" spans="1:9" ht="14.5" x14ac:dyDescent="0.35">
      <c r="A5144" s="2">
        <v>1974666</v>
      </c>
      <c r="B5144" s="2" t="str">
        <f>"3328182709900003"</f>
        <v>3328182709900003</v>
      </c>
      <c r="C5144" s="2" t="s">
        <v>5698</v>
      </c>
      <c r="D5144" s="2" t="s">
        <v>10</v>
      </c>
      <c r="E5144" s="2" t="s">
        <v>11</v>
      </c>
      <c r="F5144" s="2" t="s">
        <v>18</v>
      </c>
      <c r="G5144" s="2" t="s">
        <v>19</v>
      </c>
      <c r="H5144" s="2" t="s">
        <v>5581</v>
      </c>
      <c r="I5144" s="2" t="s">
        <v>5582</v>
      </c>
    </row>
    <row r="5145" spans="1:9" ht="14.5" x14ac:dyDescent="0.35">
      <c r="A5145" s="2">
        <v>712530</v>
      </c>
      <c r="B5145" s="2" t="str">
        <f>"3328182709900003"</f>
        <v>3328182709900003</v>
      </c>
      <c r="C5145" s="2" t="s">
        <v>5699</v>
      </c>
      <c r="D5145" s="2" t="s">
        <v>17</v>
      </c>
      <c r="E5145" s="2" t="s">
        <v>11</v>
      </c>
      <c r="F5145" s="2" t="s">
        <v>12</v>
      </c>
      <c r="G5145" s="2" t="s">
        <v>1232</v>
      </c>
      <c r="H5145" s="2" t="s">
        <v>5583</v>
      </c>
      <c r="I5145" s="2" t="s">
        <v>5584</v>
      </c>
    </row>
    <row r="5146" spans="1:9" ht="14.5" x14ac:dyDescent="0.35">
      <c r="A5146" s="2">
        <v>1985915</v>
      </c>
      <c r="B5146" s="2" t="str">
        <f>"3328182904990001"</f>
        <v>3328182904990001</v>
      </c>
      <c r="C5146" s="2" t="s">
        <v>5700</v>
      </c>
      <c r="D5146" s="2" t="s">
        <v>10</v>
      </c>
      <c r="E5146" s="2" t="s">
        <v>11</v>
      </c>
      <c r="F5146" s="2" t="s">
        <v>18</v>
      </c>
      <c r="G5146" s="2" t="s">
        <v>19</v>
      </c>
      <c r="H5146" s="2" t="s">
        <v>5581</v>
      </c>
      <c r="I5146" s="2" t="s">
        <v>5653</v>
      </c>
    </row>
    <row r="5147" spans="1:9" ht="14.5" x14ac:dyDescent="0.35">
      <c r="A5147" s="2">
        <v>1351203</v>
      </c>
      <c r="B5147" s="2" t="str">
        <f>"3328182904990001"</f>
        <v>3328182904990001</v>
      </c>
      <c r="C5147" s="2" t="s">
        <v>5700</v>
      </c>
      <c r="D5147" s="2" t="s">
        <v>10</v>
      </c>
      <c r="E5147" s="2" t="s">
        <v>57</v>
      </c>
      <c r="F5147" s="2" t="s">
        <v>303</v>
      </c>
      <c r="G5147" s="2" t="s">
        <v>608</v>
      </c>
      <c r="H5147" s="2" t="s">
        <v>609</v>
      </c>
      <c r="I5147" s="2" t="s">
        <v>610</v>
      </c>
    </row>
    <row r="5148" spans="1:9" ht="14.5" x14ac:dyDescent="0.35">
      <c r="A5148" s="2">
        <v>1215493</v>
      </c>
      <c r="B5148" s="2" t="str">
        <f>"3328183107830001"</f>
        <v>3328183107830001</v>
      </c>
      <c r="C5148" s="2" t="s">
        <v>5701</v>
      </c>
      <c r="D5148" s="2" t="s">
        <v>10</v>
      </c>
      <c r="E5148" s="2" t="s">
        <v>11</v>
      </c>
      <c r="F5148" s="2" t="s">
        <v>18</v>
      </c>
      <c r="G5148" s="2" t="s">
        <v>264</v>
      </c>
      <c r="H5148" s="2" t="s">
        <v>265</v>
      </c>
      <c r="I5148" s="2" t="s">
        <v>1910</v>
      </c>
    </row>
    <row r="5149" spans="1:9" ht="14.5" x14ac:dyDescent="0.35">
      <c r="A5149" s="2">
        <v>2565911</v>
      </c>
      <c r="B5149" s="2" t="str">
        <f>"3328183107830001"</f>
        <v>3328183107830001</v>
      </c>
      <c r="C5149" s="2" t="s">
        <v>5701</v>
      </c>
      <c r="D5149" s="2" t="s">
        <v>17</v>
      </c>
      <c r="E5149" s="2" t="s">
        <v>11</v>
      </c>
      <c r="F5149" s="2" t="s">
        <v>18</v>
      </c>
      <c r="G5149" s="2" t="s">
        <v>19</v>
      </c>
      <c r="H5149" s="2" t="s">
        <v>5581</v>
      </c>
      <c r="I5149" s="2" t="s">
        <v>5593</v>
      </c>
    </row>
    <row r="5150" spans="1:9" ht="14.5" x14ac:dyDescent="0.35">
      <c r="A5150" s="2">
        <v>1962577</v>
      </c>
      <c r="B5150" s="2" t="str">
        <f>"3328184107870145"</f>
        <v>3328184107870145</v>
      </c>
      <c r="C5150" s="2" t="s">
        <v>5702</v>
      </c>
      <c r="D5150" s="2" t="s">
        <v>10</v>
      </c>
      <c r="E5150" s="2" t="s">
        <v>11</v>
      </c>
      <c r="F5150" s="2" t="s">
        <v>18</v>
      </c>
      <c r="G5150" s="2" t="s">
        <v>19</v>
      </c>
      <c r="H5150" s="2" t="s">
        <v>5581</v>
      </c>
      <c r="I5150" s="2" t="s">
        <v>5593</v>
      </c>
    </row>
    <row r="5151" spans="1:9" ht="14.5" x14ac:dyDescent="0.35">
      <c r="A5151" s="2">
        <v>1590453</v>
      </c>
      <c r="B5151" s="2" t="str">
        <f>"3328184107870145"</f>
        <v>3328184107870145</v>
      </c>
      <c r="C5151" s="2" t="s">
        <v>5702</v>
      </c>
      <c r="D5151" s="2" t="s">
        <v>17</v>
      </c>
      <c r="E5151" s="2" t="s">
        <v>11</v>
      </c>
      <c r="F5151" s="2" t="s">
        <v>18</v>
      </c>
      <c r="G5151" s="2" t="s">
        <v>1349</v>
      </c>
      <c r="H5151" s="2" t="s">
        <v>5643</v>
      </c>
      <c r="I5151" s="2" t="s">
        <v>1387</v>
      </c>
    </row>
    <row r="5152" spans="1:9" ht="14.5" x14ac:dyDescent="0.35">
      <c r="A5152" s="2">
        <v>1983217</v>
      </c>
      <c r="B5152" s="2" t="str">
        <f>"3328184202770003"</f>
        <v>3328184202770003</v>
      </c>
      <c r="C5152" s="2" t="s">
        <v>5703</v>
      </c>
      <c r="D5152" s="2" t="s">
        <v>10</v>
      </c>
      <c r="E5152" s="2" t="s">
        <v>11</v>
      </c>
      <c r="F5152" s="2" t="s">
        <v>18</v>
      </c>
      <c r="G5152" s="2" t="s">
        <v>19</v>
      </c>
      <c r="H5152" s="2" t="s">
        <v>5581</v>
      </c>
      <c r="I5152" s="2" t="s">
        <v>5653</v>
      </c>
    </row>
    <row r="5153" spans="1:9" ht="14.5" x14ac:dyDescent="0.35">
      <c r="A5153" s="2">
        <v>2104709</v>
      </c>
      <c r="B5153" s="2" t="str">
        <f>"3328184202770003"</f>
        <v>3328184202770003</v>
      </c>
      <c r="C5153" s="2" t="s">
        <v>5704</v>
      </c>
      <c r="D5153" s="2" t="s">
        <v>17</v>
      </c>
      <c r="E5153" s="2" t="s">
        <v>11</v>
      </c>
      <c r="F5153" s="2" t="s">
        <v>67</v>
      </c>
      <c r="G5153" s="2" t="s">
        <v>638</v>
      </c>
      <c r="H5153" s="2" t="s">
        <v>3820</v>
      </c>
      <c r="I5153" s="2" t="s">
        <v>3820</v>
      </c>
    </row>
    <row r="5154" spans="1:9" ht="14.5" x14ac:dyDescent="0.35">
      <c r="A5154" s="2">
        <v>208731</v>
      </c>
      <c r="B5154" s="2" t="str">
        <f>"3328184203040001"</f>
        <v>3328184203040001</v>
      </c>
      <c r="C5154" s="2" t="s">
        <v>5705</v>
      </c>
      <c r="D5154" s="2" t="s">
        <v>10</v>
      </c>
      <c r="E5154" s="2" t="s">
        <v>11</v>
      </c>
      <c r="F5154" s="2" t="s">
        <v>5706</v>
      </c>
      <c r="G5154" s="2" t="s">
        <v>5707</v>
      </c>
      <c r="H5154" s="2" t="s">
        <v>5707</v>
      </c>
      <c r="I5154" s="2" t="s">
        <v>5708</v>
      </c>
    </row>
    <row r="5155" spans="1:9" ht="14.5" x14ac:dyDescent="0.35">
      <c r="A5155" s="2">
        <v>2565537</v>
      </c>
      <c r="B5155" s="2" t="str">
        <f>"3328184203040001"</f>
        <v>3328184203040001</v>
      </c>
      <c r="C5155" s="2" t="s">
        <v>5705</v>
      </c>
      <c r="D5155" s="2" t="s">
        <v>17</v>
      </c>
      <c r="E5155" s="2" t="s">
        <v>11</v>
      </c>
      <c r="F5155" s="2" t="s">
        <v>18</v>
      </c>
      <c r="G5155" s="2" t="s">
        <v>19</v>
      </c>
      <c r="H5155" s="2" t="s">
        <v>5581</v>
      </c>
      <c r="I5155" s="2" t="s">
        <v>5634</v>
      </c>
    </row>
    <row r="5156" spans="1:9" ht="14.5" x14ac:dyDescent="0.35">
      <c r="A5156" s="2">
        <v>1951410</v>
      </c>
      <c r="B5156" s="2" t="str">
        <f>"3328184301930006"</f>
        <v>3328184301930006</v>
      </c>
      <c r="C5156" s="2" t="s">
        <v>5709</v>
      </c>
      <c r="D5156" s="2" t="s">
        <v>10</v>
      </c>
      <c r="E5156" s="2" t="s">
        <v>11</v>
      </c>
      <c r="F5156" s="2" t="s">
        <v>18</v>
      </c>
      <c r="G5156" s="2" t="s">
        <v>19</v>
      </c>
      <c r="H5156" s="2" t="s">
        <v>5581</v>
      </c>
      <c r="I5156" s="2" t="s">
        <v>5611</v>
      </c>
    </row>
    <row r="5157" spans="1:9" ht="14.5" x14ac:dyDescent="0.35">
      <c r="A5157" s="2">
        <v>342776</v>
      </c>
      <c r="B5157" s="2" t="str">
        <f>"3328184301930006"</f>
        <v>3328184301930006</v>
      </c>
      <c r="C5157" s="2" t="s">
        <v>5710</v>
      </c>
      <c r="D5157" s="2" t="s">
        <v>17</v>
      </c>
      <c r="E5157" s="2" t="s">
        <v>11</v>
      </c>
      <c r="F5157" s="2" t="s">
        <v>2820</v>
      </c>
      <c r="G5157" s="2" t="s">
        <v>3646</v>
      </c>
      <c r="H5157" s="2" t="s">
        <v>5711</v>
      </c>
      <c r="I5157" s="2" t="s">
        <v>5712</v>
      </c>
    </row>
    <row r="5158" spans="1:9" ht="14.5" x14ac:dyDescent="0.35">
      <c r="A5158" s="2">
        <v>158554</v>
      </c>
      <c r="B5158" s="2" t="str">
        <f>"3328184804950003"</f>
        <v>3328184804950003</v>
      </c>
      <c r="C5158" s="2" t="s">
        <v>5713</v>
      </c>
      <c r="D5158" s="2" t="s">
        <v>10</v>
      </c>
      <c r="E5158" s="2" t="s">
        <v>11</v>
      </c>
      <c r="F5158" s="2" t="s">
        <v>18</v>
      </c>
      <c r="G5158" s="2" t="s">
        <v>392</v>
      </c>
      <c r="H5158" s="2" t="s">
        <v>581</v>
      </c>
      <c r="I5158" s="2" t="s">
        <v>5714</v>
      </c>
    </row>
    <row r="5159" spans="1:9" ht="14.5" x14ac:dyDescent="0.35">
      <c r="A5159" s="2">
        <v>2565459</v>
      </c>
      <c r="B5159" s="2" t="str">
        <f>"3328184804950003"</f>
        <v>3328184804950003</v>
      </c>
      <c r="C5159" s="2" t="s">
        <v>5713</v>
      </c>
      <c r="D5159" s="2" t="s">
        <v>17</v>
      </c>
      <c r="E5159" s="2" t="s">
        <v>11</v>
      </c>
      <c r="F5159" s="2" t="s">
        <v>18</v>
      </c>
      <c r="G5159" s="2" t="s">
        <v>19</v>
      </c>
      <c r="H5159" s="2" t="s">
        <v>5581</v>
      </c>
      <c r="I5159" s="2" t="s">
        <v>5611</v>
      </c>
    </row>
    <row r="5160" spans="1:9" ht="14.5" x14ac:dyDescent="0.35">
      <c r="A5160" s="2">
        <v>1355617</v>
      </c>
      <c r="B5160" s="2" t="str">
        <f>"3328184905890003"</f>
        <v>3328184905890003</v>
      </c>
      <c r="C5160" s="2" t="s">
        <v>5715</v>
      </c>
      <c r="D5160" s="2" t="s">
        <v>10</v>
      </c>
      <c r="E5160" s="2" t="s">
        <v>11</v>
      </c>
      <c r="F5160" s="2" t="s">
        <v>50</v>
      </c>
      <c r="G5160" s="2" t="s">
        <v>58</v>
      </c>
      <c r="H5160" s="2" t="s">
        <v>417</v>
      </c>
      <c r="I5160" s="2" t="s">
        <v>1131</v>
      </c>
    </row>
    <row r="5161" spans="1:9" ht="14.5" x14ac:dyDescent="0.35">
      <c r="A5161" s="2">
        <v>2565706</v>
      </c>
      <c r="B5161" s="2" t="str">
        <f>"3328184905890003"</f>
        <v>3328184905890003</v>
      </c>
      <c r="C5161" s="2" t="s">
        <v>5715</v>
      </c>
      <c r="D5161" s="2" t="s">
        <v>17</v>
      </c>
      <c r="E5161" s="2" t="s">
        <v>11</v>
      </c>
      <c r="F5161" s="2" t="s">
        <v>18</v>
      </c>
      <c r="G5161" s="2" t="s">
        <v>19</v>
      </c>
      <c r="H5161" s="2" t="s">
        <v>5581</v>
      </c>
      <c r="I5161" s="2" t="s">
        <v>5593</v>
      </c>
    </row>
    <row r="5162" spans="1:9" ht="14.5" x14ac:dyDescent="0.35">
      <c r="A5162" s="2">
        <v>1978460</v>
      </c>
      <c r="B5162" s="2" t="str">
        <f>"3328184907730001"</f>
        <v>3328184907730001</v>
      </c>
      <c r="C5162" s="2" t="s">
        <v>5716</v>
      </c>
      <c r="D5162" s="2" t="s">
        <v>10</v>
      </c>
      <c r="E5162" s="2" t="s">
        <v>11</v>
      </c>
      <c r="F5162" s="2" t="s">
        <v>18</v>
      </c>
      <c r="G5162" s="2" t="s">
        <v>19</v>
      </c>
      <c r="H5162" s="2" t="s">
        <v>5581</v>
      </c>
      <c r="I5162" s="2" t="s">
        <v>5589</v>
      </c>
    </row>
    <row r="5163" spans="1:9" ht="14.5" x14ac:dyDescent="0.35">
      <c r="A5163" s="2">
        <v>2662255</v>
      </c>
      <c r="B5163" s="2" t="str">
        <f>"3328184907730001"</f>
        <v>3328184907730001</v>
      </c>
      <c r="C5163" s="2" t="s">
        <v>5716</v>
      </c>
      <c r="D5163" s="2" t="s">
        <v>10</v>
      </c>
      <c r="E5163" s="2" t="s">
        <v>57</v>
      </c>
      <c r="F5163" s="2" t="s">
        <v>18</v>
      </c>
      <c r="G5163" s="2" t="s">
        <v>199</v>
      </c>
      <c r="H5163" s="2" t="s">
        <v>208</v>
      </c>
      <c r="I5163" s="2" t="s">
        <v>209</v>
      </c>
    </row>
    <row r="5164" spans="1:9" ht="14.5" x14ac:dyDescent="0.35">
      <c r="A5164" s="2">
        <v>1214307</v>
      </c>
      <c r="B5164" s="2" t="str">
        <f>"3328185006980001"</f>
        <v>3328185006980001</v>
      </c>
      <c r="C5164" s="2" t="s">
        <v>5717</v>
      </c>
      <c r="D5164" s="2" t="s">
        <v>10</v>
      </c>
      <c r="E5164" s="2" t="s">
        <v>11</v>
      </c>
      <c r="F5164" s="2" t="s">
        <v>18</v>
      </c>
      <c r="G5164" s="2" t="s">
        <v>264</v>
      </c>
      <c r="H5164" s="2" t="s">
        <v>265</v>
      </c>
      <c r="I5164" s="2" t="s">
        <v>1910</v>
      </c>
    </row>
    <row r="5165" spans="1:9" ht="14.5" x14ac:dyDescent="0.35">
      <c r="A5165" s="2">
        <v>2565404</v>
      </c>
      <c r="B5165" s="2" t="str">
        <f>"3328185006980001"</f>
        <v>3328185006980001</v>
      </c>
      <c r="C5165" s="2" t="s">
        <v>5718</v>
      </c>
      <c r="D5165" s="2" t="s">
        <v>17</v>
      </c>
      <c r="E5165" s="2" t="s">
        <v>11</v>
      </c>
      <c r="F5165" s="2" t="s">
        <v>18</v>
      </c>
      <c r="G5165" s="2" t="s">
        <v>19</v>
      </c>
      <c r="H5165" s="2" t="s">
        <v>5581</v>
      </c>
      <c r="I5165" s="2" t="s">
        <v>5611</v>
      </c>
    </row>
    <row r="5166" spans="1:9" ht="14.5" x14ac:dyDescent="0.35">
      <c r="A5166" s="2">
        <v>1111941</v>
      </c>
      <c r="B5166" s="2" t="str">
        <f>"3328185006990004"</f>
        <v>3328185006990004</v>
      </c>
      <c r="C5166" s="2" t="s">
        <v>5719</v>
      </c>
      <c r="D5166" s="2" t="s">
        <v>10</v>
      </c>
      <c r="E5166" s="2" t="s">
        <v>11</v>
      </c>
      <c r="F5166" s="2" t="s">
        <v>954</v>
      </c>
      <c r="G5166" s="2" t="s">
        <v>1024</v>
      </c>
      <c r="H5166" s="2" t="s">
        <v>5720</v>
      </c>
      <c r="I5166" s="2" t="s">
        <v>5721</v>
      </c>
    </row>
    <row r="5167" spans="1:9" ht="14.5" x14ac:dyDescent="0.35">
      <c r="A5167" s="2">
        <v>2565774</v>
      </c>
      <c r="B5167" s="2" t="str">
        <f>"3328185006990004"</f>
        <v>3328185006990004</v>
      </c>
      <c r="C5167" s="2" t="s">
        <v>5722</v>
      </c>
      <c r="D5167" s="2" t="s">
        <v>17</v>
      </c>
      <c r="E5167" s="2" t="s">
        <v>11</v>
      </c>
      <c r="F5167" s="2" t="s">
        <v>18</v>
      </c>
      <c r="G5167" s="2" t="s">
        <v>19</v>
      </c>
      <c r="H5167" s="2" t="s">
        <v>5581</v>
      </c>
      <c r="I5167" s="2" t="s">
        <v>5593</v>
      </c>
    </row>
    <row r="5168" spans="1:9" ht="14.5" x14ac:dyDescent="0.35">
      <c r="A5168" s="2">
        <v>1950172</v>
      </c>
      <c r="B5168" s="2" t="str">
        <f>"3328185104050002"</f>
        <v>3328185104050002</v>
      </c>
      <c r="C5168" s="2" t="s">
        <v>5723</v>
      </c>
      <c r="D5168" s="2" t="s">
        <v>10</v>
      </c>
      <c r="E5168" s="2" t="s">
        <v>11</v>
      </c>
      <c r="F5168" s="2" t="s">
        <v>18</v>
      </c>
      <c r="G5168" s="2" t="s">
        <v>19</v>
      </c>
      <c r="H5168" s="2" t="s">
        <v>5581</v>
      </c>
      <c r="I5168" s="2" t="s">
        <v>5611</v>
      </c>
    </row>
    <row r="5169" spans="1:9" ht="14.5" x14ac:dyDescent="0.35">
      <c r="A5169" s="2">
        <v>1269827</v>
      </c>
      <c r="B5169" s="2" t="str">
        <f>"3328185104050002"</f>
        <v>3328185104050002</v>
      </c>
      <c r="C5169" s="2" t="s">
        <v>5723</v>
      </c>
      <c r="D5169" s="2" t="s">
        <v>17</v>
      </c>
      <c r="E5169" s="2" t="s">
        <v>57</v>
      </c>
      <c r="F5169" s="2" t="s">
        <v>303</v>
      </c>
      <c r="G5169" s="2" t="s">
        <v>5375</v>
      </c>
      <c r="H5169" s="2" t="s">
        <v>3561</v>
      </c>
      <c r="I5169" s="2" t="s">
        <v>5724</v>
      </c>
    </row>
    <row r="5170" spans="1:9" ht="14.5" x14ac:dyDescent="0.35">
      <c r="A5170" s="2">
        <v>1581770</v>
      </c>
      <c r="B5170" s="2" t="str">
        <f>"3328185212780002"</f>
        <v>3328185212780002</v>
      </c>
      <c r="C5170" s="2" t="s">
        <v>5725</v>
      </c>
      <c r="D5170" s="2" t="s">
        <v>10</v>
      </c>
      <c r="E5170" s="2" t="s">
        <v>11</v>
      </c>
      <c r="F5170" s="2" t="s">
        <v>91</v>
      </c>
      <c r="G5170" s="2" t="s">
        <v>159</v>
      </c>
      <c r="H5170" s="2" t="s">
        <v>685</v>
      </c>
      <c r="I5170" s="2" t="s">
        <v>1773</v>
      </c>
    </row>
    <row r="5171" spans="1:9" ht="14.5" x14ac:dyDescent="0.35">
      <c r="A5171" s="2">
        <v>2565913</v>
      </c>
      <c r="B5171" s="2" t="str">
        <f>"3328185212780002"</f>
        <v>3328185212780002</v>
      </c>
      <c r="C5171" s="2" t="s">
        <v>5725</v>
      </c>
      <c r="D5171" s="2" t="s">
        <v>17</v>
      </c>
      <c r="E5171" s="2" t="s">
        <v>11</v>
      </c>
      <c r="F5171" s="2" t="s">
        <v>18</v>
      </c>
      <c r="G5171" s="2" t="s">
        <v>19</v>
      </c>
      <c r="H5171" s="2" t="s">
        <v>5581</v>
      </c>
      <c r="I5171" s="2" t="s">
        <v>5593</v>
      </c>
    </row>
    <row r="5172" spans="1:9" ht="14.5" x14ac:dyDescent="0.35">
      <c r="A5172" s="2">
        <v>2670100</v>
      </c>
      <c r="B5172" s="2" t="str">
        <f>"3328185212850002"</f>
        <v>3328185212850002</v>
      </c>
      <c r="C5172" s="2" t="s">
        <v>5726</v>
      </c>
      <c r="D5172" s="2" t="s">
        <v>10</v>
      </c>
      <c r="E5172" s="2" t="s">
        <v>11</v>
      </c>
      <c r="F5172" s="2" t="s">
        <v>67</v>
      </c>
      <c r="G5172" s="2" t="s">
        <v>512</v>
      </c>
      <c r="H5172" s="2" t="s">
        <v>290</v>
      </c>
      <c r="I5172" s="2" t="s">
        <v>5727</v>
      </c>
    </row>
    <row r="5173" spans="1:9" ht="14.5" x14ac:dyDescent="0.35">
      <c r="A5173" s="2">
        <v>2566697</v>
      </c>
      <c r="B5173" s="2" t="str">
        <f>"3328185212850002"</f>
        <v>3328185212850002</v>
      </c>
      <c r="C5173" s="2" t="s">
        <v>5728</v>
      </c>
      <c r="D5173" s="2" t="s">
        <v>17</v>
      </c>
      <c r="E5173" s="2" t="s">
        <v>11</v>
      </c>
      <c r="F5173" s="2" t="s">
        <v>18</v>
      </c>
      <c r="G5173" s="2" t="s">
        <v>19</v>
      </c>
      <c r="H5173" s="2" t="s">
        <v>5581</v>
      </c>
      <c r="I5173" s="2" t="s">
        <v>5645</v>
      </c>
    </row>
    <row r="5174" spans="1:9" ht="14.5" x14ac:dyDescent="0.35">
      <c r="A5174" s="2">
        <v>1971545</v>
      </c>
      <c r="B5174" s="2" t="str">
        <f>"3328185307960004"</f>
        <v>3328185307960004</v>
      </c>
      <c r="C5174" s="2" t="s">
        <v>5729</v>
      </c>
      <c r="D5174" s="2" t="s">
        <v>189</v>
      </c>
      <c r="E5174" s="2" t="s">
        <v>11</v>
      </c>
      <c r="F5174" s="2" t="s">
        <v>18</v>
      </c>
      <c r="G5174" s="2" t="s">
        <v>19</v>
      </c>
      <c r="H5174" s="2" t="s">
        <v>5581</v>
      </c>
      <c r="I5174" s="2" t="s">
        <v>5582</v>
      </c>
    </row>
    <row r="5175" spans="1:9" ht="14.5" x14ac:dyDescent="0.35">
      <c r="A5175" s="2">
        <v>1683930</v>
      </c>
      <c r="B5175" s="2" t="str">
        <f>"3328185307960004"</f>
        <v>3328185307960004</v>
      </c>
      <c r="C5175" s="2" t="s">
        <v>5729</v>
      </c>
      <c r="D5175" s="2" t="s">
        <v>17</v>
      </c>
      <c r="E5175" s="2" t="s">
        <v>11</v>
      </c>
      <c r="F5175" s="2" t="s">
        <v>18</v>
      </c>
      <c r="G5175" s="2" t="s">
        <v>264</v>
      </c>
      <c r="H5175" s="2" t="s">
        <v>265</v>
      </c>
      <c r="I5175" s="2" t="s">
        <v>5730</v>
      </c>
    </row>
    <row r="5176" spans="1:9" ht="14.5" x14ac:dyDescent="0.35">
      <c r="A5176" s="2">
        <v>1236048</v>
      </c>
      <c r="B5176" s="2" t="str">
        <f>"3328185310870002"</f>
        <v>3328185310870002</v>
      </c>
      <c r="C5176" s="2" t="s">
        <v>5731</v>
      </c>
      <c r="D5176" s="2" t="s">
        <v>10</v>
      </c>
      <c r="E5176" s="2" t="s">
        <v>11</v>
      </c>
      <c r="F5176" s="2" t="s">
        <v>18</v>
      </c>
      <c r="G5176" s="2" t="s">
        <v>264</v>
      </c>
      <c r="H5176" s="2" t="s">
        <v>265</v>
      </c>
      <c r="I5176" s="2" t="s">
        <v>982</v>
      </c>
    </row>
    <row r="5177" spans="1:9" ht="14.5" x14ac:dyDescent="0.35">
      <c r="A5177" s="2">
        <v>2565707</v>
      </c>
      <c r="B5177" s="2" t="str">
        <f>"3328185310870002"</f>
        <v>3328185310870002</v>
      </c>
      <c r="C5177" s="2" t="s">
        <v>5731</v>
      </c>
      <c r="D5177" s="2" t="s">
        <v>17</v>
      </c>
      <c r="E5177" s="2" t="s">
        <v>11</v>
      </c>
      <c r="F5177" s="2" t="s">
        <v>18</v>
      </c>
      <c r="G5177" s="2" t="s">
        <v>19</v>
      </c>
      <c r="H5177" s="2" t="s">
        <v>5581</v>
      </c>
      <c r="I5177" s="2" t="s">
        <v>5593</v>
      </c>
    </row>
    <row r="5178" spans="1:9" ht="14.5" x14ac:dyDescent="0.35">
      <c r="A5178" s="2">
        <v>1958399</v>
      </c>
      <c r="B5178" s="2" t="str">
        <f>"3328185406790001"</f>
        <v>3328185406790001</v>
      </c>
      <c r="C5178" s="2" t="s">
        <v>5732</v>
      </c>
      <c r="D5178" s="2" t="s">
        <v>10</v>
      </c>
      <c r="E5178" s="2" t="s">
        <v>11</v>
      </c>
      <c r="F5178" s="2" t="s">
        <v>18</v>
      </c>
      <c r="G5178" s="2" t="s">
        <v>19</v>
      </c>
      <c r="H5178" s="2" t="s">
        <v>5581</v>
      </c>
      <c r="I5178" s="2" t="s">
        <v>5593</v>
      </c>
    </row>
    <row r="5179" spans="1:9" ht="14.5" x14ac:dyDescent="0.35">
      <c r="A5179" s="2">
        <v>2618367</v>
      </c>
      <c r="B5179" s="2" t="str">
        <f>"3328185406790001"</f>
        <v>3328185406790001</v>
      </c>
      <c r="C5179" s="2" t="s">
        <v>5733</v>
      </c>
      <c r="D5179" s="2" t="s">
        <v>10</v>
      </c>
      <c r="E5179" s="2" t="s">
        <v>57</v>
      </c>
      <c r="F5179" s="2" t="s">
        <v>18</v>
      </c>
      <c r="G5179" s="2" t="s">
        <v>1438</v>
      </c>
      <c r="H5179" s="2" t="s">
        <v>2976</v>
      </c>
      <c r="I5179" s="2" t="s">
        <v>2977</v>
      </c>
    </row>
    <row r="5180" spans="1:9" ht="14.5" x14ac:dyDescent="0.35">
      <c r="A5180" s="2">
        <v>1238720</v>
      </c>
      <c r="B5180" s="2" t="str">
        <f>"3328185508000001"</f>
        <v>3328185508000001</v>
      </c>
      <c r="C5180" s="2" t="s">
        <v>5734</v>
      </c>
      <c r="D5180" s="2" t="s">
        <v>10</v>
      </c>
      <c r="E5180" s="2" t="s">
        <v>11</v>
      </c>
      <c r="F5180" s="2" t="s">
        <v>50</v>
      </c>
      <c r="G5180" s="2" t="s">
        <v>72</v>
      </c>
      <c r="H5180" s="2" t="s">
        <v>803</v>
      </c>
      <c r="I5180" s="2" t="s">
        <v>2864</v>
      </c>
    </row>
    <row r="5181" spans="1:9" ht="14.5" x14ac:dyDescent="0.35">
      <c r="A5181" s="2">
        <v>2566035</v>
      </c>
      <c r="B5181" s="2" t="str">
        <f>"3328185508000001"</f>
        <v>3328185508000001</v>
      </c>
      <c r="C5181" s="2" t="s">
        <v>5735</v>
      </c>
      <c r="D5181" s="2" t="s">
        <v>17</v>
      </c>
      <c r="E5181" s="2" t="s">
        <v>11</v>
      </c>
      <c r="F5181" s="2" t="s">
        <v>18</v>
      </c>
      <c r="G5181" s="2" t="s">
        <v>19</v>
      </c>
      <c r="H5181" s="2" t="s">
        <v>5581</v>
      </c>
      <c r="I5181" s="2" t="s">
        <v>5599</v>
      </c>
    </row>
    <row r="5182" spans="1:9" ht="14.5" x14ac:dyDescent="0.35">
      <c r="A5182" s="2">
        <v>2565786</v>
      </c>
      <c r="B5182" s="2" t="str">
        <f>"3328185508000004"</f>
        <v>3328185508000004</v>
      </c>
      <c r="C5182" s="2" t="s">
        <v>5736</v>
      </c>
      <c r="D5182" s="2" t="s">
        <v>17</v>
      </c>
      <c r="E5182" s="2" t="s">
        <v>11</v>
      </c>
      <c r="F5182" s="2" t="s">
        <v>18</v>
      </c>
      <c r="G5182" s="2" t="s">
        <v>19</v>
      </c>
      <c r="H5182" s="2" t="s">
        <v>5581</v>
      </c>
      <c r="I5182" s="2" t="s">
        <v>5593</v>
      </c>
    </row>
    <row r="5183" spans="1:9" ht="14.5" x14ac:dyDescent="0.35">
      <c r="A5183" s="2">
        <v>1818327</v>
      </c>
      <c r="B5183" s="2" t="str">
        <f>"3328185508000004"</f>
        <v>3328185508000004</v>
      </c>
      <c r="C5183" s="2" t="s">
        <v>5737</v>
      </c>
      <c r="D5183" s="2" t="s">
        <v>10</v>
      </c>
      <c r="E5183" s="2" t="s">
        <v>11</v>
      </c>
      <c r="F5183" s="2" t="s">
        <v>50</v>
      </c>
      <c r="G5183" s="2" t="s">
        <v>58</v>
      </c>
      <c r="H5183" s="2" t="s">
        <v>97</v>
      </c>
      <c r="I5183" s="2" t="s">
        <v>97</v>
      </c>
    </row>
    <row r="5184" spans="1:9" ht="14.5" x14ac:dyDescent="0.35">
      <c r="A5184" s="2">
        <v>1214437</v>
      </c>
      <c r="B5184" s="2" t="str">
        <f>"3328185701830003"</f>
        <v>3328185701830003</v>
      </c>
      <c r="C5184" s="2" t="s">
        <v>450</v>
      </c>
      <c r="D5184" s="2" t="s">
        <v>10</v>
      </c>
      <c r="E5184" s="2" t="s">
        <v>11</v>
      </c>
      <c r="F5184" s="2" t="s">
        <v>18</v>
      </c>
      <c r="G5184" s="2" t="s">
        <v>264</v>
      </c>
      <c r="H5184" s="2" t="s">
        <v>265</v>
      </c>
      <c r="I5184" s="2" t="s">
        <v>1910</v>
      </c>
    </row>
    <row r="5185" spans="1:9" ht="14.5" x14ac:dyDescent="0.35">
      <c r="A5185" s="2">
        <v>2565884</v>
      </c>
      <c r="B5185" s="2" t="str">
        <f>"3328185701830003"</f>
        <v>3328185701830003</v>
      </c>
      <c r="C5185" s="2" t="s">
        <v>450</v>
      </c>
      <c r="D5185" s="2" t="s">
        <v>17</v>
      </c>
      <c r="E5185" s="2" t="s">
        <v>11</v>
      </c>
      <c r="F5185" s="2" t="s">
        <v>18</v>
      </c>
      <c r="G5185" s="2" t="s">
        <v>19</v>
      </c>
      <c r="H5185" s="2" t="s">
        <v>5581</v>
      </c>
      <c r="I5185" s="2" t="s">
        <v>5593</v>
      </c>
    </row>
    <row r="5186" spans="1:9" ht="14.5" x14ac:dyDescent="0.35">
      <c r="A5186" s="2">
        <v>1216939</v>
      </c>
      <c r="B5186" s="2" t="str">
        <f>"3328185712840003"</f>
        <v>3328185712840003</v>
      </c>
      <c r="C5186" s="2" t="s">
        <v>5738</v>
      </c>
      <c r="D5186" s="2" t="s">
        <v>10</v>
      </c>
      <c r="E5186" s="2" t="s">
        <v>11</v>
      </c>
      <c r="F5186" s="2" t="s">
        <v>50</v>
      </c>
      <c r="G5186" s="2" t="s">
        <v>72</v>
      </c>
      <c r="H5186" s="2" t="s">
        <v>803</v>
      </c>
      <c r="I5186" s="2" t="s">
        <v>2246</v>
      </c>
    </row>
    <row r="5187" spans="1:9" ht="14.5" x14ac:dyDescent="0.35">
      <c r="A5187" s="2">
        <v>2566872</v>
      </c>
      <c r="B5187" s="2" t="str">
        <f>"3328185712840003"</f>
        <v>3328185712840003</v>
      </c>
      <c r="C5187" s="2" t="s">
        <v>5738</v>
      </c>
      <c r="D5187" s="2" t="s">
        <v>17</v>
      </c>
      <c r="E5187" s="2" t="s">
        <v>11</v>
      </c>
      <c r="F5187" s="2" t="s">
        <v>18</v>
      </c>
      <c r="G5187" s="2" t="s">
        <v>19</v>
      </c>
      <c r="H5187" s="2" t="s">
        <v>5581</v>
      </c>
      <c r="I5187" s="2" t="s">
        <v>5581</v>
      </c>
    </row>
    <row r="5188" spans="1:9" ht="14.5" x14ac:dyDescent="0.35">
      <c r="A5188" s="2">
        <v>1051742</v>
      </c>
      <c r="B5188" s="2" t="str">
        <f>"3328185801050004"</f>
        <v>3328185801050004</v>
      </c>
      <c r="C5188" s="2" t="s">
        <v>5739</v>
      </c>
      <c r="D5188" s="2" t="s">
        <v>10</v>
      </c>
      <c r="E5188" s="2" t="s">
        <v>11</v>
      </c>
      <c r="F5188" s="2" t="s">
        <v>50</v>
      </c>
      <c r="G5188" s="2" t="s">
        <v>58</v>
      </c>
      <c r="H5188" s="2" t="s">
        <v>1747</v>
      </c>
      <c r="I5188" s="2" t="s">
        <v>5740</v>
      </c>
    </row>
    <row r="5189" spans="1:9" ht="14.5" x14ac:dyDescent="0.35">
      <c r="A5189" s="2">
        <v>2566622</v>
      </c>
      <c r="B5189" s="2" t="str">
        <f>"3328185801050004"</f>
        <v>3328185801050004</v>
      </c>
      <c r="C5189" s="2" t="s">
        <v>5741</v>
      </c>
      <c r="D5189" s="2" t="s">
        <v>17</v>
      </c>
      <c r="E5189" s="2" t="s">
        <v>11</v>
      </c>
      <c r="F5189" s="2" t="s">
        <v>18</v>
      </c>
      <c r="G5189" s="2" t="s">
        <v>19</v>
      </c>
      <c r="H5189" s="2" t="s">
        <v>5581</v>
      </c>
      <c r="I5189" s="2" t="s">
        <v>5645</v>
      </c>
    </row>
    <row r="5190" spans="1:9" ht="14.5" x14ac:dyDescent="0.35">
      <c r="A5190" s="2">
        <v>1961962</v>
      </c>
      <c r="B5190" s="2" t="str">
        <f>"3328186702060003"</f>
        <v>3328186702060003</v>
      </c>
      <c r="C5190" s="2" t="s">
        <v>5742</v>
      </c>
      <c r="D5190" s="2" t="s">
        <v>189</v>
      </c>
      <c r="E5190" s="2" t="s">
        <v>11</v>
      </c>
      <c r="F5190" s="2" t="s">
        <v>18</v>
      </c>
      <c r="G5190" s="2" t="s">
        <v>19</v>
      </c>
      <c r="H5190" s="2" t="s">
        <v>5581</v>
      </c>
      <c r="I5190" s="2" t="s">
        <v>5593</v>
      </c>
    </row>
    <row r="5191" spans="1:9" ht="14.5" x14ac:dyDescent="0.35">
      <c r="A5191" s="2">
        <v>1392829</v>
      </c>
      <c r="B5191" s="2" t="str">
        <f>"3328186702060003"</f>
        <v>3328186702060003</v>
      </c>
      <c r="C5191" s="2" t="s">
        <v>5742</v>
      </c>
      <c r="D5191" s="2" t="s">
        <v>10</v>
      </c>
      <c r="E5191" s="2" t="s">
        <v>57</v>
      </c>
      <c r="F5191" s="2" t="s">
        <v>303</v>
      </c>
      <c r="G5191" s="2" t="s">
        <v>608</v>
      </c>
      <c r="H5191" s="2" t="s">
        <v>1384</v>
      </c>
      <c r="I5191" s="2" t="s">
        <v>1385</v>
      </c>
    </row>
    <row r="5192" spans="1:9" ht="14.5" x14ac:dyDescent="0.35">
      <c r="A5192" s="2">
        <v>1977253</v>
      </c>
      <c r="B5192" s="2" t="str">
        <f>"3328187107720005"</f>
        <v>3328187107720005</v>
      </c>
      <c r="C5192" s="2" t="s">
        <v>5743</v>
      </c>
      <c r="D5192" s="2" t="s">
        <v>10</v>
      </c>
      <c r="E5192" s="2" t="s">
        <v>11</v>
      </c>
      <c r="F5192" s="2" t="s">
        <v>18</v>
      </c>
      <c r="G5192" s="2" t="s">
        <v>19</v>
      </c>
      <c r="H5192" s="2" t="s">
        <v>5581</v>
      </c>
      <c r="I5192" s="2" t="s">
        <v>5589</v>
      </c>
    </row>
    <row r="5193" spans="1:9" ht="14.5" x14ac:dyDescent="0.35">
      <c r="A5193" s="2">
        <v>2618371</v>
      </c>
      <c r="B5193" s="2" t="str">
        <f>"3328187107720005"</f>
        <v>3328187107720005</v>
      </c>
      <c r="C5193" s="2" t="s">
        <v>5744</v>
      </c>
      <c r="D5193" s="2" t="s">
        <v>10</v>
      </c>
      <c r="E5193" s="2" t="s">
        <v>57</v>
      </c>
      <c r="F5193" s="2" t="s">
        <v>18</v>
      </c>
      <c r="G5193" s="2" t="s">
        <v>1438</v>
      </c>
      <c r="H5193" s="2" t="s">
        <v>2976</v>
      </c>
      <c r="I5193" s="2" t="s">
        <v>2977</v>
      </c>
    </row>
    <row r="5194" spans="1:9" ht="14.5" x14ac:dyDescent="0.35">
      <c r="A5194" s="2">
        <v>428703</v>
      </c>
      <c r="B5194" s="2" t="str">
        <f>"3328187112840012"</f>
        <v>3328187112840012</v>
      </c>
      <c r="C5194" s="2" t="s">
        <v>5745</v>
      </c>
      <c r="D5194" s="2" t="s">
        <v>10</v>
      </c>
      <c r="E5194" s="2" t="s">
        <v>11</v>
      </c>
      <c r="F5194" s="2" t="s">
        <v>50</v>
      </c>
      <c r="G5194" s="2" t="s">
        <v>72</v>
      </c>
      <c r="H5194" s="2" t="s">
        <v>73</v>
      </c>
      <c r="I5194" s="2" t="s">
        <v>2242</v>
      </c>
    </row>
    <row r="5195" spans="1:9" ht="14.5" x14ac:dyDescent="0.35">
      <c r="A5195" s="2">
        <v>2566842</v>
      </c>
      <c r="B5195" s="2" t="str">
        <f>"3328187112840012"</f>
        <v>3328187112840012</v>
      </c>
      <c r="C5195" s="2" t="s">
        <v>5746</v>
      </c>
      <c r="D5195" s="2" t="s">
        <v>17</v>
      </c>
      <c r="E5195" s="2" t="s">
        <v>11</v>
      </c>
      <c r="F5195" s="2" t="s">
        <v>18</v>
      </c>
      <c r="G5195" s="2" t="s">
        <v>19</v>
      </c>
      <c r="H5195" s="2" t="s">
        <v>5581</v>
      </c>
      <c r="I5195" s="2" t="s">
        <v>5581</v>
      </c>
    </row>
    <row r="5196" spans="1:9" ht="14.5" x14ac:dyDescent="0.35">
      <c r="A5196" s="2">
        <v>1610933</v>
      </c>
      <c r="B5196" s="2" t="str">
        <f>"3329032008800004"</f>
        <v>3329032008800004</v>
      </c>
      <c r="C5196" s="2" t="s">
        <v>5747</v>
      </c>
      <c r="D5196" s="2" t="s">
        <v>17</v>
      </c>
      <c r="E5196" s="2" t="s">
        <v>11</v>
      </c>
      <c r="F5196" s="2" t="s">
        <v>18</v>
      </c>
      <c r="G5196" s="2" t="s">
        <v>264</v>
      </c>
      <c r="H5196" s="2" t="s">
        <v>461</v>
      </c>
      <c r="I5196" s="2" t="s">
        <v>1458</v>
      </c>
    </row>
    <row r="5197" spans="1:9" ht="14.5" x14ac:dyDescent="0.35">
      <c r="A5197" s="2">
        <v>2565776</v>
      </c>
      <c r="B5197" s="2" t="str">
        <f>"3329032008800004"</f>
        <v>3329032008800004</v>
      </c>
      <c r="C5197" s="2" t="s">
        <v>5747</v>
      </c>
      <c r="D5197" s="2" t="s">
        <v>17</v>
      </c>
      <c r="E5197" s="2" t="s">
        <v>11</v>
      </c>
      <c r="F5197" s="2" t="s">
        <v>18</v>
      </c>
      <c r="G5197" s="2" t="s">
        <v>19</v>
      </c>
      <c r="H5197" s="2" t="s">
        <v>5581</v>
      </c>
      <c r="I5197" s="2" t="s">
        <v>5593</v>
      </c>
    </row>
    <row r="5198" spans="1:9" ht="14.5" x14ac:dyDescent="0.35">
      <c r="A5198" s="2">
        <v>1978863</v>
      </c>
      <c r="B5198" s="2" t="str">
        <f>"3329050112570002"</f>
        <v>3329050112570002</v>
      </c>
      <c r="C5198" s="2" t="s">
        <v>3155</v>
      </c>
      <c r="D5198" s="2" t="s">
        <v>10</v>
      </c>
      <c r="E5198" s="2" t="s">
        <v>11</v>
      </c>
      <c r="F5198" s="2" t="s">
        <v>18</v>
      </c>
      <c r="G5198" s="2" t="s">
        <v>19</v>
      </c>
      <c r="H5198" s="2" t="s">
        <v>5581</v>
      </c>
      <c r="I5198" s="2" t="s">
        <v>5589</v>
      </c>
    </row>
    <row r="5199" spans="1:9" ht="14.5" x14ac:dyDescent="0.35">
      <c r="A5199" s="2">
        <v>1679656</v>
      </c>
      <c r="B5199" s="2" t="str">
        <f>"3329050112570002"</f>
        <v>3329050112570002</v>
      </c>
      <c r="C5199" s="2" t="s">
        <v>3155</v>
      </c>
      <c r="D5199" s="2" t="s">
        <v>17</v>
      </c>
      <c r="E5199" s="2" t="s">
        <v>11</v>
      </c>
      <c r="F5199" s="2" t="s">
        <v>18</v>
      </c>
      <c r="G5199" s="2" t="s">
        <v>264</v>
      </c>
      <c r="H5199" s="2" t="s">
        <v>289</v>
      </c>
      <c r="I5199" s="2" t="s">
        <v>5748</v>
      </c>
    </row>
    <row r="5200" spans="1:9" ht="14.5" x14ac:dyDescent="0.35">
      <c r="A5200" s="2">
        <v>247819</v>
      </c>
      <c r="B5200" s="2" t="str">
        <f>"3329064607980002"</f>
        <v>3329064607980002</v>
      </c>
      <c r="C5200" s="2" t="s">
        <v>5749</v>
      </c>
      <c r="D5200" s="2" t="s">
        <v>189</v>
      </c>
      <c r="E5200" s="2" t="s">
        <v>11</v>
      </c>
      <c r="F5200" s="2" t="s">
        <v>18</v>
      </c>
      <c r="G5200" s="2" t="s">
        <v>264</v>
      </c>
      <c r="H5200" s="2" t="s">
        <v>468</v>
      </c>
      <c r="I5200" s="2" t="s">
        <v>861</v>
      </c>
    </row>
    <row r="5201" spans="1:9" ht="14.5" x14ac:dyDescent="0.35">
      <c r="A5201" s="2">
        <v>2565784</v>
      </c>
      <c r="B5201" s="2" t="str">
        <f>"3329064607980002"</f>
        <v>3329064607980002</v>
      </c>
      <c r="C5201" s="2" t="s">
        <v>5750</v>
      </c>
      <c r="D5201" s="2" t="s">
        <v>17</v>
      </c>
      <c r="E5201" s="2" t="s">
        <v>11</v>
      </c>
      <c r="F5201" s="2" t="s">
        <v>18</v>
      </c>
      <c r="G5201" s="2" t="s">
        <v>19</v>
      </c>
      <c r="H5201" s="2" t="s">
        <v>5581</v>
      </c>
      <c r="I5201" s="2" t="s">
        <v>5593</v>
      </c>
    </row>
    <row r="5202" spans="1:9" ht="14.5" x14ac:dyDescent="0.35">
      <c r="A5202" s="2">
        <v>1381668</v>
      </c>
      <c r="B5202" s="2" t="str">
        <f>"3329070508910002"</f>
        <v>3329070508910002</v>
      </c>
      <c r="C5202" s="2" t="s">
        <v>5751</v>
      </c>
      <c r="D5202" s="2" t="s">
        <v>10</v>
      </c>
      <c r="E5202" s="2" t="s">
        <v>11</v>
      </c>
      <c r="F5202" s="2" t="s">
        <v>18</v>
      </c>
      <c r="G5202" s="2" t="s">
        <v>264</v>
      </c>
      <c r="H5202" s="2" t="s">
        <v>265</v>
      </c>
      <c r="I5202" s="2" t="s">
        <v>1628</v>
      </c>
    </row>
    <row r="5203" spans="1:9" ht="14.5" x14ac:dyDescent="0.35">
      <c r="A5203" s="2">
        <v>2565205</v>
      </c>
      <c r="B5203" s="2" t="str">
        <f>"3329070508910002"</f>
        <v>3329070508910002</v>
      </c>
      <c r="C5203" s="2" t="s">
        <v>5752</v>
      </c>
      <c r="D5203" s="2" t="s">
        <v>17</v>
      </c>
      <c r="E5203" s="2" t="s">
        <v>11</v>
      </c>
      <c r="F5203" s="2" t="s">
        <v>18</v>
      </c>
      <c r="G5203" s="2" t="s">
        <v>19</v>
      </c>
      <c r="H5203" s="2" t="s">
        <v>5581</v>
      </c>
      <c r="I5203" s="2" t="s">
        <v>5611</v>
      </c>
    </row>
    <row r="5204" spans="1:9" ht="14.5" x14ac:dyDescent="0.35">
      <c r="A5204" s="2">
        <v>1214710</v>
      </c>
      <c r="B5204" s="2" t="str">
        <f>"3329070606860001"</f>
        <v>3329070606860001</v>
      </c>
      <c r="C5204" s="2" t="s">
        <v>5753</v>
      </c>
      <c r="D5204" s="2" t="s">
        <v>10</v>
      </c>
      <c r="E5204" s="2" t="s">
        <v>11</v>
      </c>
      <c r="F5204" s="2" t="s">
        <v>18</v>
      </c>
      <c r="G5204" s="2" t="s">
        <v>264</v>
      </c>
      <c r="H5204" s="2" t="s">
        <v>265</v>
      </c>
      <c r="I5204" s="2" t="s">
        <v>1910</v>
      </c>
    </row>
    <row r="5205" spans="1:9" ht="14.5" x14ac:dyDescent="0.35">
      <c r="A5205" s="2">
        <v>2565792</v>
      </c>
      <c r="B5205" s="2" t="str">
        <f>"3329070606860001"</f>
        <v>3329070606860001</v>
      </c>
      <c r="C5205" s="2" t="s">
        <v>5753</v>
      </c>
      <c r="D5205" s="2" t="s">
        <v>17</v>
      </c>
      <c r="E5205" s="2" t="s">
        <v>11</v>
      </c>
      <c r="F5205" s="2" t="s">
        <v>18</v>
      </c>
      <c r="G5205" s="2" t="s">
        <v>19</v>
      </c>
      <c r="H5205" s="2" t="s">
        <v>5581</v>
      </c>
      <c r="I5205" s="2" t="s">
        <v>5593</v>
      </c>
    </row>
    <row r="5206" spans="1:9" ht="14.5" x14ac:dyDescent="0.35">
      <c r="A5206" s="2">
        <v>1383420</v>
      </c>
      <c r="B5206" s="2" t="str">
        <f>"3329070609960006"</f>
        <v>3329070609960006</v>
      </c>
      <c r="C5206" s="2" t="s">
        <v>5754</v>
      </c>
      <c r="D5206" s="2" t="s">
        <v>10</v>
      </c>
      <c r="E5206" s="2" t="s">
        <v>11</v>
      </c>
      <c r="F5206" s="2" t="s">
        <v>18</v>
      </c>
      <c r="G5206" s="2" t="s">
        <v>264</v>
      </c>
      <c r="H5206" s="2" t="s">
        <v>265</v>
      </c>
      <c r="I5206" s="2" t="s">
        <v>1628</v>
      </c>
    </row>
    <row r="5207" spans="1:9" ht="14.5" x14ac:dyDescent="0.35">
      <c r="A5207" s="2">
        <v>2565798</v>
      </c>
      <c r="B5207" s="2" t="str">
        <f>"3329070609960006"</f>
        <v>3329070609960006</v>
      </c>
      <c r="C5207" s="2" t="s">
        <v>5754</v>
      </c>
      <c r="D5207" s="2" t="s">
        <v>17</v>
      </c>
      <c r="E5207" s="2" t="s">
        <v>11</v>
      </c>
      <c r="F5207" s="2" t="s">
        <v>18</v>
      </c>
      <c r="G5207" s="2" t="s">
        <v>19</v>
      </c>
      <c r="H5207" s="2" t="s">
        <v>5581</v>
      </c>
      <c r="I5207" s="2" t="s">
        <v>5593</v>
      </c>
    </row>
    <row r="5208" spans="1:9" ht="14.5" x14ac:dyDescent="0.35">
      <c r="A5208" s="2">
        <v>1213871</v>
      </c>
      <c r="B5208" s="2" t="str">
        <f>"3329070903750001"</f>
        <v>3329070903750001</v>
      </c>
      <c r="C5208" s="2" t="s">
        <v>5755</v>
      </c>
      <c r="D5208" s="2" t="s">
        <v>10</v>
      </c>
      <c r="E5208" s="2" t="s">
        <v>11</v>
      </c>
      <c r="F5208" s="2" t="s">
        <v>18</v>
      </c>
      <c r="G5208" s="2" t="s">
        <v>264</v>
      </c>
      <c r="H5208" s="2" t="s">
        <v>265</v>
      </c>
      <c r="I5208" s="2" t="s">
        <v>1910</v>
      </c>
    </row>
    <row r="5209" spans="1:9" ht="14.5" x14ac:dyDescent="0.35">
      <c r="A5209" s="2">
        <v>2566739</v>
      </c>
      <c r="B5209" s="2" t="str">
        <f>"3329070903750001"</f>
        <v>3329070903750001</v>
      </c>
      <c r="C5209" s="2" t="s">
        <v>5756</v>
      </c>
      <c r="D5209" s="2" t="s">
        <v>17</v>
      </c>
      <c r="E5209" s="2" t="s">
        <v>11</v>
      </c>
      <c r="F5209" s="2" t="s">
        <v>18</v>
      </c>
      <c r="G5209" s="2" t="s">
        <v>19</v>
      </c>
      <c r="H5209" s="2" t="s">
        <v>5581</v>
      </c>
      <c r="I5209" s="2" t="s">
        <v>5581</v>
      </c>
    </row>
    <row r="5210" spans="1:9" ht="14.5" x14ac:dyDescent="0.35">
      <c r="A5210" s="2">
        <v>1216502</v>
      </c>
      <c r="B5210" s="2" t="str">
        <f>"3329070911980001"</f>
        <v>3329070911980001</v>
      </c>
      <c r="C5210" s="2" t="s">
        <v>5757</v>
      </c>
      <c r="D5210" s="2" t="s">
        <v>10</v>
      </c>
      <c r="E5210" s="2" t="s">
        <v>11</v>
      </c>
      <c r="F5210" s="2" t="s">
        <v>18</v>
      </c>
      <c r="G5210" s="2" t="s">
        <v>264</v>
      </c>
      <c r="H5210" s="2" t="s">
        <v>265</v>
      </c>
      <c r="I5210" s="2" t="s">
        <v>863</v>
      </c>
    </row>
    <row r="5211" spans="1:9" ht="14.5" x14ac:dyDescent="0.35">
      <c r="A5211" s="2">
        <v>2565940</v>
      </c>
      <c r="B5211" s="2" t="str">
        <f>"3329070911980001"</f>
        <v>3329070911980001</v>
      </c>
      <c r="C5211" s="2" t="s">
        <v>5757</v>
      </c>
      <c r="D5211" s="2" t="s">
        <v>17</v>
      </c>
      <c r="E5211" s="2" t="s">
        <v>11</v>
      </c>
      <c r="F5211" s="2" t="s">
        <v>18</v>
      </c>
      <c r="G5211" s="2" t="s">
        <v>19</v>
      </c>
      <c r="H5211" s="2" t="s">
        <v>5581</v>
      </c>
      <c r="I5211" s="2" t="s">
        <v>5593</v>
      </c>
    </row>
    <row r="5212" spans="1:9" ht="14.5" x14ac:dyDescent="0.35">
      <c r="A5212" s="2">
        <v>1959891</v>
      </c>
      <c r="B5212" s="2" t="str">
        <f>"3329072101730004"</f>
        <v>3329072101730004</v>
      </c>
      <c r="C5212" s="2" t="s">
        <v>458</v>
      </c>
      <c r="D5212" s="2" t="s">
        <v>10</v>
      </c>
      <c r="E5212" s="2" t="s">
        <v>11</v>
      </c>
      <c r="F5212" s="2" t="s">
        <v>18</v>
      </c>
      <c r="G5212" s="2" t="s">
        <v>19</v>
      </c>
      <c r="H5212" s="2" t="s">
        <v>5581</v>
      </c>
      <c r="I5212" s="2" t="s">
        <v>5593</v>
      </c>
    </row>
    <row r="5213" spans="1:9" ht="14.5" x14ac:dyDescent="0.35">
      <c r="A5213" s="2">
        <v>1694878</v>
      </c>
      <c r="B5213" s="2" t="str">
        <f>"3329072101730004"</f>
        <v>3329072101730004</v>
      </c>
      <c r="C5213" s="2" t="s">
        <v>458</v>
      </c>
      <c r="D5213" s="2" t="s">
        <v>17</v>
      </c>
      <c r="E5213" s="2" t="s">
        <v>11</v>
      </c>
      <c r="F5213" s="2" t="s">
        <v>18</v>
      </c>
      <c r="G5213" s="2" t="s">
        <v>264</v>
      </c>
      <c r="H5213" s="2" t="s">
        <v>265</v>
      </c>
      <c r="I5213" s="2" t="s">
        <v>1598</v>
      </c>
    </row>
    <row r="5214" spans="1:9" ht="14.5" x14ac:dyDescent="0.35">
      <c r="A5214" s="2">
        <v>2009092</v>
      </c>
      <c r="B5214" s="2" t="str">
        <f>"3329072104860003"</f>
        <v>3329072104860003</v>
      </c>
      <c r="C5214" s="2" t="s">
        <v>5758</v>
      </c>
      <c r="D5214" s="2" t="s">
        <v>10</v>
      </c>
      <c r="E5214" s="2" t="s">
        <v>11</v>
      </c>
      <c r="F5214" s="2" t="s">
        <v>18</v>
      </c>
      <c r="G5214" s="2" t="s">
        <v>19</v>
      </c>
      <c r="H5214" s="2" t="s">
        <v>5581</v>
      </c>
      <c r="I5214" s="2" t="s">
        <v>5609</v>
      </c>
    </row>
    <row r="5215" spans="1:9" ht="14.5" x14ac:dyDescent="0.35">
      <c r="A5215" s="2">
        <v>1685760</v>
      </c>
      <c r="B5215" s="2" t="str">
        <f>"3329072104860003"</f>
        <v>3329072104860003</v>
      </c>
      <c r="C5215" s="2" t="s">
        <v>5759</v>
      </c>
      <c r="D5215" s="2" t="s">
        <v>17</v>
      </c>
      <c r="E5215" s="2" t="s">
        <v>11</v>
      </c>
      <c r="F5215" s="2" t="s">
        <v>18</v>
      </c>
      <c r="G5215" s="2" t="s">
        <v>264</v>
      </c>
      <c r="H5215" s="2" t="s">
        <v>265</v>
      </c>
      <c r="I5215" s="2" t="s">
        <v>3944</v>
      </c>
    </row>
    <row r="5216" spans="1:9" ht="14.5" x14ac:dyDescent="0.35">
      <c r="A5216" s="2">
        <v>1236049</v>
      </c>
      <c r="B5216" s="2" t="str">
        <f>"3329072302880002"</f>
        <v>3329072302880002</v>
      </c>
      <c r="C5216" s="2" t="s">
        <v>5760</v>
      </c>
      <c r="D5216" s="2" t="s">
        <v>10</v>
      </c>
      <c r="E5216" s="2" t="s">
        <v>11</v>
      </c>
      <c r="F5216" s="2" t="s">
        <v>18</v>
      </c>
      <c r="G5216" s="2" t="s">
        <v>264</v>
      </c>
      <c r="H5216" s="2" t="s">
        <v>265</v>
      </c>
      <c r="I5216" s="2" t="s">
        <v>982</v>
      </c>
    </row>
    <row r="5217" spans="1:9" ht="14.5" x14ac:dyDescent="0.35">
      <c r="A5217" s="2">
        <v>2565708</v>
      </c>
      <c r="B5217" s="2" t="str">
        <f>"3329072302880002"</f>
        <v>3329072302880002</v>
      </c>
      <c r="C5217" s="2" t="s">
        <v>5760</v>
      </c>
      <c r="D5217" s="2" t="s">
        <v>17</v>
      </c>
      <c r="E5217" s="2" t="s">
        <v>11</v>
      </c>
      <c r="F5217" s="2" t="s">
        <v>18</v>
      </c>
      <c r="G5217" s="2" t="s">
        <v>19</v>
      </c>
      <c r="H5217" s="2" t="s">
        <v>5581</v>
      </c>
      <c r="I5217" s="2" t="s">
        <v>5593</v>
      </c>
    </row>
    <row r="5218" spans="1:9" ht="14.5" x14ac:dyDescent="0.35">
      <c r="A5218" s="2">
        <v>1326734</v>
      </c>
      <c r="B5218" s="2" t="str">
        <f>"3329072701800003"</f>
        <v>3329072701800003</v>
      </c>
      <c r="C5218" s="2" t="s">
        <v>5761</v>
      </c>
      <c r="D5218" s="2" t="s">
        <v>10</v>
      </c>
      <c r="E5218" s="2" t="s">
        <v>11</v>
      </c>
      <c r="F5218" s="2" t="s">
        <v>18</v>
      </c>
      <c r="G5218" s="2" t="s">
        <v>264</v>
      </c>
      <c r="H5218" s="2" t="s">
        <v>265</v>
      </c>
      <c r="I5218" s="2" t="s">
        <v>1878</v>
      </c>
    </row>
    <row r="5219" spans="1:9" ht="14.5" x14ac:dyDescent="0.35">
      <c r="A5219" s="2">
        <v>2565966</v>
      </c>
      <c r="B5219" s="2" t="str">
        <f>"3329072701800003"</f>
        <v>3329072701800003</v>
      </c>
      <c r="C5219" s="2" t="s">
        <v>5761</v>
      </c>
      <c r="D5219" s="2" t="s">
        <v>17</v>
      </c>
      <c r="E5219" s="2" t="s">
        <v>11</v>
      </c>
      <c r="F5219" s="2" t="s">
        <v>18</v>
      </c>
      <c r="G5219" s="2" t="s">
        <v>19</v>
      </c>
      <c r="H5219" s="2" t="s">
        <v>5581</v>
      </c>
      <c r="I5219" s="2" t="s">
        <v>5593</v>
      </c>
    </row>
    <row r="5220" spans="1:9" ht="14.5" x14ac:dyDescent="0.35">
      <c r="A5220" s="2">
        <v>1346864</v>
      </c>
      <c r="B5220" s="2" t="str">
        <f>"3329073110030001"</f>
        <v>3329073110030001</v>
      </c>
      <c r="C5220" s="2" t="s">
        <v>5762</v>
      </c>
      <c r="D5220" s="2" t="s">
        <v>10</v>
      </c>
      <c r="E5220" s="2" t="s">
        <v>11</v>
      </c>
      <c r="F5220" s="2" t="s">
        <v>18</v>
      </c>
      <c r="G5220" s="2" t="s">
        <v>264</v>
      </c>
      <c r="H5220" s="2" t="s">
        <v>265</v>
      </c>
      <c r="I5220" s="2" t="s">
        <v>2007</v>
      </c>
    </row>
    <row r="5221" spans="1:9" ht="14.5" x14ac:dyDescent="0.35">
      <c r="A5221" s="2">
        <v>2565535</v>
      </c>
      <c r="B5221" s="2" t="str">
        <f>"3329073110030001"</f>
        <v>3329073110030001</v>
      </c>
      <c r="C5221" s="2" t="s">
        <v>5762</v>
      </c>
      <c r="D5221" s="2" t="s">
        <v>17</v>
      </c>
      <c r="E5221" s="2" t="s">
        <v>11</v>
      </c>
      <c r="F5221" s="2" t="s">
        <v>18</v>
      </c>
      <c r="G5221" s="2" t="s">
        <v>19</v>
      </c>
      <c r="H5221" s="2" t="s">
        <v>5581</v>
      </c>
      <c r="I5221" s="2" t="s">
        <v>5634</v>
      </c>
    </row>
    <row r="5222" spans="1:9" ht="14.5" x14ac:dyDescent="0.35">
      <c r="A5222" s="2">
        <v>1211258</v>
      </c>
      <c r="B5222" s="2" t="str">
        <f>"3329075109900001"</f>
        <v>3329075109900001</v>
      </c>
      <c r="C5222" s="2" t="s">
        <v>5763</v>
      </c>
      <c r="D5222" s="2" t="s">
        <v>10</v>
      </c>
      <c r="E5222" s="2" t="s">
        <v>11</v>
      </c>
      <c r="F5222" s="2" t="s">
        <v>18</v>
      </c>
      <c r="G5222" s="2" t="s">
        <v>264</v>
      </c>
      <c r="H5222" s="2" t="s">
        <v>265</v>
      </c>
      <c r="I5222" s="2" t="s">
        <v>906</v>
      </c>
    </row>
    <row r="5223" spans="1:9" ht="14.5" x14ac:dyDescent="0.35">
      <c r="A5223" s="2">
        <v>2566218</v>
      </c>
      <c r="B5223" s="2" t="str">
        <f>"3329075109900001"</f>
        <v>3329075109900001</v>
      </c>
      <c r="C5223" s="2" t="s">
        <v>5763</v>
      </c>
      <c r="D5223" s="2" t="s">
        <v>17</v>
      </c>
      <c r="E5223" s="2" t="s">
        <v>11</v>
      </c>
      <c r="F5223" s="2" t="s">
        <v>18</v>
      </c>
      <c r="G5223" s="2" t="s">
        <v>19</v>
      </c>
      <c r="H5223" s="2" t="s">
        <v>5581</v>
      </c>
      <c r="I5223" s="2" t="s">
        <v>5582</v>
      </c>
    </row>
    <row r="5224" spans="1:9" ht="14.5" x14ac:dyDescent="0.35">
      <c r="A5224" s="2">
        <v>1346868</v>
      </c>
      <c r="B5224" s="2" t="str">
        <f>"3329075303010001"</f>
        <v>3329075303010001</v>
      </c>
      <c r="C5224" s="2" t="s">
        <v>5764</v>
      </c>
      <c r="D5224" s="2" t="s">
        <v>10</v>
      </c>
      <c r="E5224" s="2" t="s">
        <v>11</v>
      </c>
      <c r="F5224" s="2" t="s">
        <v>18</v>
      </c>
      <c r="G5224" s="2" t="s">
        <v>264</v>
      </c>
      <c r="H5224" s="2" t="s">
        <v>265</v>
      </c>
      <c r="I5224" s="2" t="s">
        <v>2007</v>
      </c>
    </row>
    <row r="5225" spans="1:9" ht="14.5" x14ac:dyDescent="0.35">
      <c r="A5225" s="2">
        <v>2565534</v>
      </c>
      <c r="B5225" s="2" t="str">
        <f>"3329075303010001"</f>
        <v>3329075303010001</v>
      </c>
      <c r="C5225" s="2" t="s">
        <v>5764</v>
      </c>
      <c r="D5225" s="2" t="s">
        <v>17</v>
      </c>
      <c r="E5225" s="2" t="s">
        <v>11</v>
      </c>
      <c r="F5225" s="2" t="s">
        <v>18</v>
      </c>
      <c r="G5225" s="2" t="s">
        <v>19</v>
      </c>
      <c r="H5225" s="2" t="s">
        <v>5581</v>
      </c>
      <c r="I5225" s="2" t="s">
        <v>5634</v>
      </c>
    </row>
    <row r="5226" spans="1:9" ht="14.5" x14ac:dyDescent="0.35">
      <c r="A5226" s="2">
        <v>1982717</v>
      </c>
      <c r="B5226" s="2" t="str">
        <f>"3329092002040004"</f>
        <v>3329092002040004</v>
      </c>
      <c r="C5226" s="2" t="s">
        <v>5765</v>
      </c>
      <c r="D5226" s="2" t="s">
        <v>10</v>
      </c>
      <c r="E5226" s="2" t="s">
        <v>11</v>
      </c>
      <c r="F5226" s="2" t="s">
        <v>18</v>
      </c>
      <c r="G5226" s="2" t="s">
        <v>19</v>
      </c>
      <c r="H5226" s="2" t="s">
        <v>5581</v>
      </c>
      <c r="I5226" s="2" t="s">
        <v>5589</v>
      </c>
    </row>
    <row r="5227" spans="1:9" ht="14.5" x14ac:dyDescent="0.35">
      <c r="A5227" s="2">
        <v>1661115</v>
      </c>
      <c r="B5227" s="2" t="str">
        <f>"3329092002040004"</f>
        <v>3329092002040004</v>
      </c>
      <c r="C5227" s="2" t="s">
        <v>5765</v>
      </c>
      <c r="D5227" s="2" t="s">
        <v>17</v>
      </c>
      <c r="E5227" s="2" t="s">
        <v>11</v>
      </c>
      <c r="F5227" s="2" t="s">
        <v>18</v>
      </c>
      <c r="G5227" s="2" t="s">
        <v>264</v>
      </c>
      <c r="H5227" s="2" t="s">
        <v>264</v>
      </c>
      <c r="I5227" s="2" t="s">
        <v>5766</v>
      </c>
    </row>
    <row r="5228" spans="1:9" ht="14.5" x14ac:dyDescent="0.35">
      <c r="A5228" s="2">
        <v>2566121</v>
      </c>
      <c r="B5228" s="2" t="str">
        <f>"3329094101020002"</f>
        <v>3329094101020002</v>
      </c>
      <c r="C5228" s="2" t="s">
        <v>5767</v>
      </c>
      <c r="D5228" s="2" t="s">
        <v>17</v>
      </c>
      <c r="E5228" s="2" t="s">
        <v>11</v>
      </c>
      <c r="F5228" s="2" t="s">
        <v>18</v>
      </c>
      <c r="G5228" s="2" t="s">
        <v>19</v>
      </c>
      <c r="H5228" s="2" t="s">
        <v>5581</v>
      </c>
      <c r="I5228" s="2" t="s">
        <v>5582</v>
      </c>
    </row>
    <row r="5229" spans="1:9" ht="14.5" x14ac:dyDescent="0.35">
      <c r="A5229" s="2">
        <v>1661229</v>
      </c>
      <c r="B5229" s="2" t="str">
        <f>"3329094101020002"</f>
        <v>3329094101020002</v>
      </c>
      <c r="C5229" s="2" t="s">
        <v>5768</v>
      </c>
      <c r="D5229" s="2" t="s">
        <v>17</v>
      </c>
      <c r="E5229" s="2" t="s">
        <v>11</v>
      </c>
      <c r="F5229" s="2" t="s">
        <v>18</v>
      </c>
      <c r="G5229" s="2" t="s">
        <v>264</v>
      </c>
      <c r="H5229" s="2" t="s">
        <v>264</v>
      </c>
      <c r="I5229" s="2" t="s">
        <v>5766</v>
      </c>
    </row>
    <row r="5230" spans="1:9" ht="14.5" x14ac:dyDescent="0.35">
      <c r="A5230" s="2">
        <v>2004731</v>
      </c>
      <c r="B5230" s="2" t="str">
        <f>"3329094612950009"</f>
        <v>3329094612950009</v>
      </c>
      <c r="C5230" s="2" t="s">
        <v>5769</v>
      </c>
      <c r="D5230" s="2" t="s">
        <v>10</v>
      </c>
      <c r="E5230" s="2" t="s">
        <v>11</v>
      </c>
      <c r="F5230" s="2" t="s">
        <v>18</v>
      </c>
      <c r="G5230" s="2" t="s">
        <v>19</v>
      </c>
      <c r="H5230" s="2" t="s">
        <v>5581</v>
      </c>
      <c r="I5230" s="2" t="s">
        <v>5581</v>
      </c>
    </row>
    <row r="5231" spans="1:9" ht="14.5" x14ac:dyDescent="0.35">
      <c r="A5231" s="2">
        <v>1610267</v>
      </c>
      <c r="B5231" s="2" t="str">
        <f>"3329094612950009"</f>
        <v>3329094612950009</v>
      </c>
      <c r="C5231" s="2" t="s">
        <v>5770</v>
      </c>
      <c r="D5231" s="2" t="s">
        <v>17</v>
      </c>
      <c r="E5231" s="2" t="s">
        <v>11</v>
      </c>
      <c r="F5231" s="2" t="s">
        <v>18</v>
      </c>
      <c r="G5231" s="2" t="s">
        <v>264</v>
      </c>
      <c r="H5231" s="2" t="s">
        <v>264</v>
      </c>
      <c r="I5231" s="2" t="s">
        <v>2004</v>
      </c>
    </row>
    <row r="5232" spans="1:9" ht="14.5" x14ac:dyDescent="0.35">
      <c r="A5232" s="2">
        <v>834815</v>
      </c>
      <c r="B5232" s="2" t="str">
        <f>"3329095605990009"</f>
        <v>3329095605990009</v>
      </c>
      <c r="C5232" s="2" t="s">
        <v>5771</v>
      </c>
      <c r="D5232" s="2" t="s">
        <v>189</v>
      </c>
      <c r="E5232" s="2" t="s">
        <v>11</v>
      </c>
      <c r="F5232" s="2" t="s">
        <v>18</v>
      </c>
      <c r="G5232" s="2" t="s">
        <v>264</v>
      </c>
      <c r="H5232" s="2" t="s">
        <v>264</v>
      </c>
      <c r="I5232" s="2" t="s">
        <v>264</v>
      </c>
    </row>
    <row r="5233" spans="1:9" ht="14.5" x14ac:dyDescent="0.35">
      <c r="A5233" s="2">
        <v>2565748</v>
      </c>
      <c r="B5233" s="2" t="str">
        <f>"3329095605990009"</f>
        <v>3329095605990009</v>
      </c>
      <c r="C5233" s="2" t="s">
        <v>5771</v>
      </c>
      <c r="D5233" s="2" t="s">
        <v>17</v>
      </c>
      <c r="E5233" s="2" t="s">
        <v>11</v>
      </c>
      <c r="F5233" s="2" t="s">
        <v>18</v>
      </c>
      <c r="G5233" s="2" t="s">
        <v>19</v>
      </c>
      <c r="H5233" s="2" t="s">
        <v>5581</v>
      </c>
      <c r="I5233" s="2" t="s">
        <v>5593</v>
      </c>
    </row>
    <row r="5234" spans="1:9" ht="14.5" x14ac:dyDescent="0.35">
      <c r="A5234" s="2">
        <v>68258</v>
      </c>
      <c r="B5234" s="2" t="str">
        <f>"3329142610790004"</f>
        <v>3329142610790004</v>
      </c>
      <c r="C5234" s="2" t="s">
        <v>5772</v>
      </c>
      <c r="D5234" s="2" t="s">
        <v>10</v>
      </c>
      <c r="E5234" s="2" t="s">
        <v>11</v>
      </c>
      <c r="F5234" s="2" t="s">
        <v>18</v>
      </c>
      <c r="G5234" s="2" t="s">
        <v>264</v>
      </c>
      <c r="H5234" s="2" t="s">
        <v>477</v>
      </c>
      <c r="I5234" s="2" t="s">
        <v>5773</v>
      </c>
    </row>
    <row r="5235" spans="1:9" ht="14.5" x14ac:dyDescent="0.35">
      <c r="A5235" s="2">
        <v>2565994</v>
      </c>
      <c r="B5235" s="2" t="str">
        <f>"3329142610790004"</f>
        <v>3329142610790004</v>
      </c>
      <c r="C5235" s="2" t="s">
        <v>5774</v>
      </c>
      <c r="D5235" s="2" t="s">
        <v>17</v>
      </c>
      <c r="E5235" s="2" t="s">
        <v>11</v>
      </c>
      <c r="F5235" s="2" t="s">
        <v>18</v>
      </c>
      <c r="G5235" s="2" t="s">
        <v>19</v>
      </c>
      <c r="H5235" s="2" t="s">
        <v>5581</v>
      </c>
      <c r="I5235" s="2" t="s">
        <v>5599</v>
      </c>
    </row>
    <row r="5236" spans="1:9" ht="14.5" x14ac:dyDescent="0.35">
      <c r="A5236" s="2">
        <v>1560606</v>
      </c>
      <c r="B5236" s="2" t="str">
        <f>"3329156711980001"</f>
        <v>3329156711980001</v>
      </c>
      <c r="C5236" s="2" t="s">
        <v>5775</v>
      </c>
      <c r="D5236" s="2" t="s">
        <v>10</v>
      </c>
      <c r="E5236" s="2" t="s">
        <v>11</v>
      </c>
      <c r="F5236" s="2" t="s">
        <v>18</v>
      </c>
      <c r="G5236" s="2" t="s">
        <v>264</v>
      </c>
      <c r="H5236" s="2" t="s">
        <v>330</v>
      </c>
      <c r="I5236" s="2" t="s">
        <v>330</v>
      </c>
    </row>
    <row r="5237" spans="1:9" ht="14.5" x14ac:dyDescent="0.35">
      <c r="A5237" s="2">
        <v>2566084</v>
      </c>
      <c r="B5237" s="2" t="str">
        <f>"3329156711980001"</f>
        <v>3329156711980001</v>
      </c>
      <c r="C5237" s="2" t="s">
        <v>5775</v>
      </c>
      <c r="D5237" s="2" t="s">
        <v>17</v>
      </c>
      <c r="E5237" s="2" t="s">
        <v>11</v>
      </c>
      <c r="F5237" s="2" t="s">
        <v>18</v>
      </c>
      <c r="G5237" s="2" t="s">
        <v>19</v>
      </c>
      <c r="H5237" s="2" t="s">
        <v>5581</v>
      </c>
      <c r="I5237" s="2" t="s">
        <v>5599</v>
      </c>
    </row>
    <row r="5238" spans="1:9" ht="14.5" x14ac:dyDescent="0.35">
      <c r="A5238" s="2">
        <v>1967490</v>
      </c>
      <c r="B5238" s="2" t="str">
        <f>"3375011306980003"</f>
        <v>3375011306980003</v>
      </c>
      <c r="C5238" s="2" t="s">
        <v>5776</v>
      </c>
      <c r="D5238" s="2" t="s">
        <v>10</v>
      </c>
      <c r="E5238" s="2" t="s">
        <v>11</v>
      </c>
      <c r="F5238" s="2" t="s">
        <v>18</v>
      </c>
      <c r="G5238" s="2" t="s">
        <v>19</v>
      </c>
      <c r="H5238" s="2" t="s">
        <v>5581</v>
      </c>
      <c r="I5238" s="2" t="s">
        <v>5599</v>
      </c>
    </row>
    <row r="5239" spans="1:9" ht="14.5" x14ac:dyDescent="0.35">
      <c r="A5239" s="2">
        <v>494088</v>
      </c>
      <c r="B5239" s="2" t="str">
        <f>"3375011306980003"</f>
        <v>3375011306980003</v>
      </c>
      <c r="C5239" s="2" t="s">
        <v>5776</v>
      </c>
      <c r="D5239" s="2" t="s">
        <v>17</v>
      </c>
      <c r="E5239" s="2" t="s">
        <v>11</v>
      </c>
      <c r="F5239" s="2" t="s">
        <v>18</v>
      </c>
      <c r="G5239" s="2" t="s">
        <v>2753</v>
      </c>
      <c r="H5239" s="2" t="s">
        <v>5777</v>
      </c>
      <c r="I5239" s="2" t="s">
        <v>5778</v>
      </c>
    </row>
    <row r="5240" spans="1:9" ht="14.5" x14ac:dyDescent="0.35">
      <c r="A5240" s="2">
        <v>1967492</v>
      </c>
      <c r="B5240" s="2" t="str">
        <f>"3375011312000003"</f>
        <v>3375011312000003</v>
      </c>
      <c r="C5240" s="2" t="s">
        <v>5779</v>
      </c>
      <c r="D5240" s="2" t="s">
        <v>10</v>
      </c>
      <c r="E5240" s="2" t="s">
        <v>11</v>
      </c>
      <c r="F5240" s="2" t="s">
        <v>18</v>
      </c>
      <c r="G5240" s="2" t="s">
        <v>19</v>
      </c>
      <c r="H5240" s="2" t="s">
        <v>5581</v>
      </c>
      <c r="I5240" s="2" t="s">
        <v>5599</v>
      </c>
    </row>
    <row r="5241" spans="1:9" ht="14.5" x14ac:dyDescent="0.35">
      <c r="A5241" s="2">
        <v>494089</v>
      </c>
      <c r="B5241" s="2" t="str">
        <f>"3375011312000003"</f>
        <v>3375011312000003</v>
      </c>
      <c r="C5241" s="2" t="s">
        <v>5779</v>
      </c>
      <c r="D5241" s="2" t="s">
        <v>17</v>
      </c>
      <c r="E5241" s="2" t="s">
        <v>11</v>
      </c>
      <c r="F5241" s="2" t="s">
        <v>18</v>
      </c>
      <c r="G5241" s="2" t="s">
        <v>2753</v>
      </c>
      <c r="H5241" s="2" t="s">
        <v>5777</v>
      </c>
      <c r="I5241" s="2" t="s">
        <v>5778</v>
      </c>
    </row>
    <row r="5242" spans="1:9" ht="14.5" x14ac:dyDescent="0.35">
      <c r="A5242" s="2">
        <v>1967494</v>
      </c>
      <c r="B5242" s="2" t="str">
        <f>"3375012203030006"</f>
        <v>3375012203030006</v>
      </c>
      <c r="C5242" s="2" t="s">
        <v>5780</v>
      </c>
      <c r="D5242" s="2" t="s">
        <v>10</v>
      </c>
      <c r="E5242" s="2" t="s">
        <v>11</v>
      </c>
      <c r="F5242" s="2" t="s">
        <v>18</v>
      </c>
      <c r="G5242" s="2" t="s">
        <v>19</v>
      </c>
      <c r="H5242" s="2" t="s">
        <v>5581</v>
      </c>
      <c r="I5242" s="2" t="s">
        <v>5599</v>
      </c>
    </row>
    <row r="5243" spans="1:9" ht="14.5" x14ac:dyDescent="0.35">
      <c r="A5243" s="2">
        <v>494090</v>
      </c>
      <c r="B5243" s="2" t="str">
        <f>"3375012203030006"</f>
        <v>3375012203030006</v>
      </c>
      <c r="C5243" s="2" t="s">
        <v>5780</v>
      </c>
      <c r="D5243" s="2" t="s">
        <v>17</v>
      </c>
      <c r="E5243" s="2" t="s">
        <v>11</v>
      </c>
      <c r="F5243" s="2" t="s">
        <v>18</v>
      </c>
      <c r="G5243" s="2" t="s">
        <v>2753</v>
      </c>
      <c r="H5243" s="2" t="s">
        <v>5777</v>
      </c>
      <c r="I5243" s="2" t="s">
        <v>5778</v>
      </c>
    </row>
    <row r="5244" spans="1:9" ht="14.5" x14ac:dyDescent="0.35">
      <c r="A5244" s="2">
        <v>494091</v>
      </c>
      <c r="B5244" s="2" t="str">
        <f>"3375014308060004"</f>
        <v>3375014308060004</v>
      </c>
      <c r="C5244" s="2" t="s">
        <v>5781</v>
      </c>
      <c r="D5244" s="2" t="s">
        <v>17</v>
      </c>
      <c r="E5244" s="2" t="s">
        <v>11</v>
      </c>
      <c r="F5244" s="2" t="s">
        <v>18</v>
      </c>
      <c r="G5244" s="2" t="s">
        <v>2753</v>
      </c>
      <c r="H5244" s="2" t="s">
        <v>5777</v>
      </c>
      <c r="I5244" s="2" t="s">
        <v>5778</v>
      </c>
    </row>
    <row r="5245" spans="1:9" ht="14.5" x14ac:dyDescent="0.35">
      <c r="A5245" s="2">
        <v>1967491</v>
      </c>
      <c r="B5245" s="2" t="str">
        <f>"3375014308060004"</f>
        <v>3375014308060004</v>
      </c>
      <c r="C5245" s="2" t="s">
        <v>5781</v>
      </c>
      <c r="D5245" s="2" t="s">
        <v>189</v>
      </c>
      <c r="E5245" s="2" t="s">
        <v>11</v>
      </c>
      <c r="F5245" s="2" t="s">
        <v>18</v>
      </c>
      <c r="G5245" s="2" t="s">
        <v>19</v>
      </c>
      <c r="H5245" s="2" t="s">
        <v>5581</v>
      </c>
      <c r="I5245" s="2" t="s">
        <v>5599</v>
      </c>
    </row>
    <row r="5246" spans="1:9" ht="14.5" x14ac:dyDescent="0.35">
      <c r="A5246" s="2">
        <v>209968</v>
      </c>
      <c r="B5246" s="2" t="str">
        <f>"3376015503960002"</f>
        <v>3376015503960002</v>
      </c>
      <c r="C5246" s="2" t="s">
        <v>5782</v>
      </c>
      <c r="D5246" s="2" t="s">
        <v>10</v>
      </c>
      <c r="E5246" s="2" t="s">
        <v>11</v>
      </c>
      <c r="F5246" s="2" t="s">
        <v>18</v>
      </c>
      <c r="G5246" s="2" t="s">
        <v>268</v>
      </c>
      <c r="H5246" s="2" t="s">
        <v>371</v>
      </c>
      <c r="I5246" s="2" t="s">
        <v>2772</v>
      </c>
    </row>
    <row r="5247" spans="1:9" ht="14.5" x14ac:dyDescent="0.35">
      <c r="A5247" s="2">
        <v>2566609</v>
      </c>
      <c r="B5247" s="2" t="str">
        <f>"3376015503960002"</f>
        <v>3376015503960002</v>
      </c>
      <c r="C5247" s="2" t="s">
        <v>5783</v>
      </c>
      <c r="D5247" s="2" t="s">
        <v>17</v>
      </c>
      <c r="E5247" s="2" t="s">
        <v>11</v>
      </c>
      <c r="F5247" s="2" t="s">
        <v>18</v>
      </c>
      <c r="G5247" s="2" t="s">
        <v>19</v>
      </c>
      <c r="H5247" s="2" t="s">
        <v>5581</v>
      </c>
      <c r="I5247" s="2" t="s">
        <v>5645</v>
      </c>
    </row>
    <row r="5248" spans="1:9" ht="14.5" x14ac:dyDescent="0.35">
      <c r="A5248" s="2">
        <v>239835</v>
      </c>
      <c r="B5248" s="2" t="str">
        <f>"3376022109980001"</f>
        <v>3376022109980001</v>
      </c>
      <c r="C5248" s="2" t="s">
        <v>5784</v>
      </c>
      <c r="D5248" s="2" t="s">
        <v>10</v>
      </c>
      <c r="E5248" s="2" t="s">
        <v>11</v>
      </c>
      <c r="F5248" s="2" t="s">
        <v>18</v>
      </c>
      <c r="G5248" s="2" t="s">
        <v>268</v>
      </c>
      <c r="H5248" s="2" t="s">
        <v>371</v>
      </c>
      <c r="I5248" s="2" t="s">
        <v>372</v>
      </c>
    </row>
    <row r="5249" spans="1:9" ht="14.5" x14ac:dyDescent="0.35">
      <c r="A5249" s="2">
        <v>2566847</v>
      </c>
      <c r="B5249" s="2" t="str">
        <f>"3376022109980001"</f>
        <v>3376022109980001</v>
      </c>
      <c r="C5249" s="2" t="s">
        <v>5784</v>
      </c>
      <c r="D5249" s="2" t="s">
        <v>17</v>
      </c>
      <c r="E5249" s="2" t="s">
        <v>11</v>
      </c>
      <c r="F5249" s="2" t="s">
        <v>18</v>
      </c>
      <c r="G5249" s="2" t="s">
        <v>19</v>
      </c>
      <c r="H5249" s="2" t="s">
        <v>5581</v>
      </c>
      <c r="I5249" s="2" t="s">
        <v>5581</v>
      </c>
    </row>
    <row r="5250" spans="1:9" ht="14.5" x14ac:dyDescent="0.35">
      <c r="A5250" s="2">
        <v>224720</v>
      </c>
      <c r="B5250" s="2" t="str">
        <f>"3376026301980003"</f>
        <v>3376026301980003</v>
      </c>
      <c r="C5250" s="2" t="s">
        <v>5785</v>
      </c>
      <c r="D5250" s="2" t="s">
        <v>10</v>
      </c>
      <c r="E5250" s="2" t="s">
        <v>11</v>
      </c>
      <c r="F5250" s="2" t="s">
        <v>18</v>
      </c>
      <c r="G5250" s="2" t="s">
        <v>268</v>
      </c>
      <c r="H5250" s="2" t="s">
        <v>371</v>
      </c>
      <c r="I5250" s="2" t="s">
        <v>2346</v>
      </c>
    </row>
    <row r="5251" spans="1:9" ht="14.5" x14ac:dyDescent="0.35">
      <c r="A5251" s="2">
        <v>2566890</v>
      </c>
      <c r="B5251" s="2" t="str">
        <f>"3376026301980003"</f>
        <v>3376026301980003</v>
      </c>
      <c r="C5251" s="2" t="s">
        <v>5785</v>
      </c>
      <c r="D5251" s="2" t="s">
        <v>17</v>
      </c>
      <c r="E5251" s="2" t="s">
        <v>11</v>
      </c>
      <c r="F5251" s="2" t="s">
        <v>18</v>
      </c>
      <c r="G5251" s="2" t="s">
        <v>19</v>
      </c>
      <c r="H5251" s="2" t="s">
        <v>5581</v>
      </c>
      <c r="I5251" s="2" t="s">
        <v>5581</v>
      </c>
    </row>
    <row r="5252" spans="1:9" ht="14.5" x14ac:dyDescent="0.35">
      <c r="A5252" s="2">
        <v>349778</v>
      </c>
      <c r="B5252" s="2" t="str">
        <f>"3376032801030001"</f>
        <v>3376032801030001</v>
      </c>
      <c r="C5252" s="2" t="s">
        <v>5786</v>
      </c>
      <c r="D5252" s="2" t="s">
        <v>10</v>
      </c>
      <c r="E5252" s="2" t="s">
        <v>11</v>
      </c>
      <c r="F5252" s="2" t="s">
        <v>18</v>
      </c>
      <c r="G5252" s="2" t="s">
        <v>268</v>
      </c>
      <c r="H5252" s="2" t="s">
        <v>269</v>
      </c>
      <c r="I5252" s="2" t="s">
        <v>270</v>
      </c>
    </row>
    <row r="5253" spans="1:9" ht="14.5" x14ac:dyDescent="0.35">
      <c r="A5253" s="2">
        <v>2566920</v>
      </c>
      <c r="B5253" s="2" t="str">
        <f>"3376032801030001"</f>
        <v>3376032801030001</v>
      </c>
      <c r="C5253" s="2" t="s">
        <v>5787</v>
      </c>
      <c r="D5253" s="2" t="s">
        <v>17</v>
      </c>
      <c r="E5253" s="2" t="s">
        <v>11</v>
      </c>
      <c r="F5253" s="2" t="s">
        <v>18</v>
      </c>
      <c r="G5253" s="2" t="s">
        <v>19</v>
      </c>
      <c r="H5253" s="2" t="s">
        <v>5581</v>
      </c>
      <c r="I5253" s="2" t="s">
        <v>5581</v>
      </c>
    </row>
    <row r="5254" spans="1:9" ht="14.5" x14ac:dyDescent="0.35">
      <c r="A5254" s="2">
        <v>349777</v>
      </c>
      <c r="B5254" s="2" t="str">
        <f>"3376036407060001"</f>
        <v>3376036407060001</v>
      </c>
      <c r="C5254" s="2" t="s">
        <v>5788</v>
      </c>
      <c r="D5254" s="2" t="s">
        <v>10</v>
      </c>
      <c r="E5254" s="2" t="s">
        <v>11</v>
      </c>
      <c r="F5254" s="2" t="s">
        <v>18</v>
      </c>
      <c r="G5254" s="2" t="s">
        <v>268</v>
      </c>
      <c r="H5254" s="2" t="s">
        <v>269</v>
      </c>
      <c r="I5254" s="2" t="s">
        <v>270</v>
      </c>
    </row>
    <row r="5255" spans="1:9" ht="14.5" x14ac:dyDescent="0.35">
      <c r="A5255" s="2">
        <v>2566921</v>
      </c>
      <c r="B5255" s="2" t="str">
        <f>"3376036407060001"</f>
        <v>3376036407060001</v>
      </c>
      <c r="C5255" s="2" t="s">
        <v>5788</v>
      </c>
      <c r="D5255" s="2" t="s">
        <v>17</v>
      </c>
      <c r="E5255" s="2" t="s">
        <v>11</v>
      </c>
      <c r="F5255" s="2" t="s">
        <v>18</v>
      </c>
      <c r="G5255" s="2" t="s">
        <v>19</v>
      </c>
      <c r="H5255" s="2" t="s">
        <v>5581</v>
      </c>
      <c r="I5255" s="2" t="s">
        <v>5581</v>
      </c>
    </row>
    <row r="5256" spans="1:9" ht="14.5" x14ac:dyDescent="0.35">
      <c r="A5256" s="2">
        <v>901348</v>
      </c>
      <c r="B5256" s="2" t="str">
        <f>"3501042905880006"</f>
        <v>3501042905880006</v>
      </c>
      <c r="C5256" s="2" t="s">
        <v>5789</v>
      </c>
      <c r="D5256" s="2" t="s">
        <v>10</v>
      </c>
      <c r="E5256" s="2" t="s">
        <v>11</v>
      </c>
      <c r="F5256" s="2" t="s">
        <v>303</v>
      </c>
      <c r="G5256" s="2" t="s">
        <v>1855</v>
      </c>
      <c r="H5256" s="2" t="s">
        <v>1855</v>
      </c>
      <c r="I5256" s="2" t="s">
        <v>5790</v>
      </c>
    </row>
    <row r="5257" spans="1:9" ht="14.5" x14ac:dyDescent="0.35">
      <c r="A5257" s="2">
        <v>2566594</v>
      </c>
      <c r="B5257" s="2" t="str">
        <f>"3501042905880006"</f>
        <v>3501042905880006</v>
      </c>
      <c r="C5257" s="2" t="s">
        <v>5789</v>
      </c>
      <c r="D5257" s="2" t="s">
        <v>17</v>
      </c>
      <c r="E5257" s="2" t="s">
        <v>11</v>
      </c>
      <c r="F5257" s="2" t="s">
        <v>18</v>
      </c>
      <c r="G5257" s="2" t="s">
        <v>19</v>
      </c>
      <c r="H5257" s="2" t="s">
        <v>5581</v>
      </c>
      <c r="I5257" s="2" t="s">
        <v>5645</v>
      </c>
    </row>
    <row r="5258" spans="1:9" ht="14.5" x14ac:dyDescent="0.35">
      <c r="A5258" s="2">
        <v>106819</v>
      </c>
      <c r="B5258" s="2" t="str">
        <f>"3603175307740001"</f>
        <v>3603175307740001</v>
      </c>
      <c r="C5258" s="2" t="s">
        <v>5791</v>
      </c>
      <c r="D5258" s="2" t="s">
        <v>10</v>
      </c>
      <c r="E5258" s="2" t="s">
        <v>11</v>
      </c>
      <c r="F5258" s="2" t="s">
        <v>67</v>
      </c>
      <c r="G5258" s="2" t="s">
        <v>791</v>
      </c>
      <c r="H5258" s="2" t="s">
        <v>1410</v>
      </c>
      <c r="I5258" s="2" t="s">
        <v>1685</v>
      </c>
    </row>
    <row r="5259" spans="1:9" ht="14.5" x14ac:dyDescent="0.35">
      <c r="A5259" s="2">
        <v>2566261</v>
      </c>
      <c r="B5259" s="2" t="str">
        <f>"3603175307740001"</f>
        <v>3603175307740001</v>
      </c>
      <c r="C5259" s="2" t="s">
        <v>5792</v>
      </c>
      <c r="D5259" s="2" t="s">
        <v>17</v>
      </c>
      <c r="E5259" s="2" t="s">
        <v>11</v>
      </c>
      <c r="F5259" s="2" t="s">
        <v>18</v>
      </c>
      <c r="G5259" s="2" t="s">
        <v>19</v>
      </c>
      <c r="H5259" s="2" t="s">
        <v>5581</v>
      </c>
      <c r="I5259" s="2" t="s">
        <v>5589</v>
      </c>
    </row>
    <row r="5260" spans="1:9" ht="14.5" x14ac:dyDescent="0.35">
      <c r="A5260" s="2">
        <v>1645264</v>
      </c>
      <c r="B5260" s="2" t="str">
        <f>"3674031310720010"</f>
        <v>3674031310720010</v>
      </c>
      <c r="C5260" s="2" t="s">
        <v>5793</v>
      </c>
      <c r="D5260" s="2" t="s">
        <v>10</v>
      </c>
      <c r="E5260" s="2" t="s">
        <v>11</v>
      </c>
      <c r="F5260" s="2" t="s">
        <v>67</v>
      </c>
      <c r="G5260" s="2" t="s">
        <v>68</v>
      </c>
      <c r="H5260" s="2" t="s">
        <v>2924</v>
      </c>
      <c r="I5260" s="2" t="s">
        <v>3004</v>
      </c>
    </row>
    <row r="5261" spans="1:9" ht="14.5" x14ac:dyDescent="0.35">
      <c r="A5261" s="2">
        <v>2565811</v>
      </c>
      <c r="B5261" s="2" t="str">
        <f>"3674031310720010"</f>
        <v>3674031310720010</v>
      </c>
      <c r="C5261" s="2" t="s">
        <v>5793</v>
      </c>
      <c r="D5261" s="2" t="s">
        <v>17</v>
      </c>
      <c r="E5261" s="2" t="s">
        <v>11</v>
      </c>
      <c r="F5261" s="2" t="s">
        <v>18</v>
      </c>
      <c r="G5261" s="2" t="s">
        <v>19</v>
      </c>
      <c r="H5261" s="2" t="s">
        <v>5581</v>
      </c>
      <c r="I5261" s="2" t="s">
        <v>5593</v>
      </c>
    </row>
    <row r="5262" spans="1:9" ht="14.5" x14ac:dyDescent="0.35">
      <c r="A5262" s="2">
        <v>1645263</v>
      </c>
      <c r="B5262" s="2" t="str">
        <f>"3674034708740010"</f>
        <v>3674034708740010</v>
      </c>
      <c r="C5262" s="2" t="s">
        <v>5794</v>
      </c>
      <c r="D5262" s="2" t="s">
        <v>10</v>
      </c>
      <c r="E5262" s="2" t="s">
        <v>11</v>
      </c>
      <c r="F5262" s="2" t="s">
        <v>67</v>
      </c>
      <c r="G5262" s="2" t="s">
        <v>68</v>
      </c>
      <c r="H5262" s="2" t="s">
        <v>2924</v>
      </c>
      <c r="I5262" s="2" t="s">
        <v>3004</v>
      </c>
    </row>
    <row r="5263" spans="1:9" ht="14.5" x14ac:dyDescent="0.35">
      <c r="A5263" s="2">
        <v>2565812</v>
      </c>
      <c r="B5263" s="2" t="str">
        <f>"3674034708740010"</f>
        <v>3674034708740010</v>
      </c>
      <c r="C5263" s="2" t="s">
        <v>5794</v>
      </c>
      <c r="D5263" s="2" t="s">
        <v>17</v>
      </c>
      <c r="E5263" s="2" t="s">
        <v>11</v>
      </c>
      <c r="F5263" s="2" t="s">
        <v>18</v>
      </c>
      <c r="G5263" s="2" t="s">
        <v>19</v>
      </c>
      <c r="H5263" s="2" t="s">
        <v>5581</v>
      </c>
      <c r="I5263" s="2" t="s">
        <v>5593</v>
      </c>
    </row>
    <row r="5264" spans="1:9" ht="14.5" x14ac:dyDescent="0.35">
      <c r="A5264" s="2">
        <v>2565814</v>
      </c>
      <c r="B5264" s="2" t="str">
        <f>"6106037012930002"</f>
        <v>6106037012930002</v>
      </c>
      <c r="C5264" s="2" t="s">
        <v>5795</v>
      </c>
      <c r="D5264" s="2" t="s">
        <v>17</v>
      </c>
      <c r="E5264" s="2" t="s">
        <v>11</v>
      </c>
      <c r="F5264" s="2" t="s">
        <v>18</v>
      </c>
      <c r="G5264" s="2" t="s">
        <v>19</v>
      </c>
      <c r="H5264" s="2" t="s">
        <v>5581</v>
      </c>
      <c r="I5264" s="2" t="s">
        <v>5593</v>
      </c>
    </row>
    <row r="5265" spans="1:9" ht="14.5" x14ac:dyDescent="0.35">
      <c r="A5265" s="2">
        <v>59911</v>
      </c>
      <c r="B5265" s="2" t="str">
        <f>"6106037012930002"</f>
        <v>6106037012930002</v>
      </c>
      <c r="C5265" s="2" t="s">
        <v>5795</v>
      </c>
      <c r="D5265" s="2" t="s">
        <v>10</v>
      </c>
      <c r="E5265" s="2" t="s">
        <v>11</v>
      </c>
      <c r="F5265" s="2" t="s">
        <v>516</v>
      </c>
      <c r="G5265" s="2" t="s">
        <v>5613</v>
      </c>
      <c r="H5265" s="2" t="s">
        <v>5614</v>
      </c>
      <c r="I5265" s="2" t="s">
        <v>5615</v>
      </c>
    </row>
    <row r="5266" spans="1:9" ht="14.5" x14ac:dyDescent="0.35">
      <c r="A5266" s="2">
        <v>140106</v>
      </c>
      <c r="B5266" s="2" t="str">
        <f>"6403062711850001"</f>
        <v>6403062711850001</v>
      </c>
      <c r="C5266" s="2" t="s">
        <v>5796</v>
      </c>
      <c r="D5266" s="2" t="s">
        <v>10</v>
      </c>
      <c r="E5266" s="2" t="s">
        <v>11</v>
      </c>
      <c r="F5266" s="2" t="s">
        <v>232</v>
      </c>
      <c r="G5266" s="2" t="s">
        <v>642</v>
      </c>
      <c r="H5266" s="2" t="s">
        <v>2600</v>
      </c>
      <c r="I5266" s="2" t="s">
        <v>2601</v>
      </c>
    </row>
    <row r="5267" spans="1:9" ht="14.5" x14ac:dyDescent="0.35">
      <c r="A5267" s="2">
        <v>2566007</v>
      </c>
      <c r="B5267" s="2" t="str">
        <f>"6403062711850001"</f>
        <v>6403062711850001</v>
      </c>
      <c r="C5267" s="2" t="s">
        <v>5796</v>
      </c>
      <c r="D5267" s="2" t="s">
        <v>17</v>
      </c>
      <c r="E5267" s="2" t="s">
        <v>11</v>
      </c>
      <c r="F5267" s="2" t="s">
        <v>18</v>
      </c>
      <c r="G5267" s="2" t="s">
        <v>19</v>
      </c>
      <c r="H5267" s="2" t="s">
        <v>5581</v>
      </c>
      <c r="I5267" s="2" t="s">
        <v>5599</v>
      </c>
    </row>
    <row r="5268" spans="1:9" ht="14.5" x14ac:dyDescent="0.35">
      <c r="A5268" s="2">
        <v>1111947</v>
      </c>
      <c r="B5268" s="2" t="str">
        <f>"7371102411920009"</f>
        <v>7371102411920009</v>
      </c>
      <c r="C5268" s="2" t="s">
        <v>2757</v>
      </c>
      <c r="D5268" s="2" t="s">
        <v>10</v>
      </c>
      <c r="E5268" s="2" t="s">
        <v>11</v>
      </c>
      <c r="F5268" s="2" t="s">
        <v>954</v>
      </c>
      <c r="G5268" s="2" t="s">
        <v>1024</v>
      </c>
      <c r="H5268" s="2" t="s">
        <v>5720</v>
      </c>
      <c r="I5268" s="2" t="s">
        <v>5721</v>
      </c>
    </row>
    <row r="5269" spans="1:9" ht="14.5" x14ac:dyDescent="0.35">
      <c r="A5269" s="2">
        <v>2565773</v>
      </c>
      <c r="B5269" s="2" t="str">
        <f>"7371102411920009"</f>
        <v>7371102411920009</v>
      </c>
      <c r="C5269" s="2" t="s">
        <v>4394</v>
      </c>
      <c r="D5269" s="2" t="s">
        <v>17</v>
      </c>
      <c r="E5269" s="2" t="s">
        <v>11</v>
      </c>
      <c r="F5269" s="2" t="s">
        <v>18</v>
      </c>
      <c r="G5269" s="2" t="s">
        <v>19</v>
      </c>
      <c r="H5269" s="2" t="s">
        <v>5581</v>
      </c>
      <c r="I5269" s="2" t="s">
        <v>5593</v>
      </c>
    </row>
    <row r="5270" spans="1:9" ht="14.5" x14ac:dyDescent="0.35">
      <c r="A5270" s="2">
        <v>238099</v>
      </c>
      <c r="B5270" s="2" t="str">
        <f>"7373095605950001"</f>
        <v>7373095605950001</v>
      </c>
      <c r="C5270" s="2" t="s">
        <v>5797</v>
      </c>
      <c r="D5270" s="2" t="s">
        <v>10</v>
      </c>
      <c r="E5270" s="2" t="s">
        <v>11</v>
      </c>
      <c r="F5270" s="2" t="s">
        <v>954</v>
      </c>
      <c r="G5270" s="2" t="s">
        <v>5798</v>
      </c>
      <c r="H5270" s="2" t="s">
        <v>5799</v>
      </c>
      <c r="I5270" s="2" t="s">
        <v>5800</v>
      </c>
    </row>
    <row r="5271" spans="1:9" ht="14.5" x14ac:dyDescent="0.35">
      <c r="A5271" s="2">
        <v>2565694</v>
      </c>
      <c r="B5271" s="2" t="str">
        <f>"7373095605950001"</f>
        <v>7373095605950001</v>
      </c>
      <c r="C5271" s="2" t="s">
        <v>5801</v>
      </c>
      <c r="D5271" s="2" t="s">
        <v>17</v>
      </c>
      <c r="E5271" s="2" t="s">
        <v>11</v>
      </c>
      <c r="F5271" s="2" t="s">
        <v>18</v>
      </c>
      <c r="G5271" s="2" t="s">
        <v>19</v>
      </c>
      <c r="H5271" s="2" t="s">
        <v>5581</v>
      </c>
      <c r="I5271" s="2" t="s">
        <v>5634</v>
      </c>
    </row>
  </sheetData>
  <pageMargins left="0.75" right="0.75" top="1" bottom="1" header="0.5" footer="0.5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09BA-0BFB-44F2-BDFE-74C6A6BB7325}">
  <sheetPr filterMode="1"/>
  <dimension ref="A1:L3001"/>
  <sheetViews>
    <sheetView topLeftCell="F2781" workbookViewId="0">
      <selection sqref="A1:L3001"/>
    </sheetView>
  </sheetViews>
  <sheetFormatPr defaultRowHeight="14.5" x14ac:dyDescent="0.35"/>
  <cols>
    <col min="1" max="1" width="9" bestFit="1" customWidth="1"/>
    <col min="2" max="2" width="15.453125" bestFit="1" customWidth="1"/>
    <col min="3" max="3" width="52.81640625" bestFit="1" customWidth="1"/>
    <col min="4" max="4" width="10.08984375" bestFit="1" customWidth="1"/>
    <col min="5" max="5" width="12.7265625" bestFit="1" customWidth="1"/>
    <col min="6" max="6" width="26.453125" bestFit="1" customWidth="1"/>
    <col min="7" max="7" width="26" bestFit="1" customWidth="1"/>
    <col min="8" max="8" width="20.7265625" bestFit="1" customWidth="1"/>
    <col min="9" max="9" width="26.90625" bestFit="1" customWidth="1"/>
    <col min="10" max="10" width="24.453125" bestFit="1" customWidth="1"/>
    <col min="11" max="11" width="29.08984375" bestFit="1" customWidth="1"/>
    <col min="12" max="12" width="13.1796875" bestFit="1" customWidth="1"/>
  </cols>
  <sheetData>
    <row r="1" spans="1:12" ht="26" x14ac:dyDescent="0.3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12" t="s">
        <v>5802</v>
      </c>
      <c r="K1" s="12" t="s">
        <v>5803</v>
      </c>
      <c r="L1" s="12" t="s">
        <v>5804</v>
      </c>
    </row>
    <row r="2" spans="1:12" hidden="1" x14ac:dyDescent="0.35">
      <c r="A2" s="6">
        <v>37603</v>
      </c>
      <c r="B2" s="7" t="str">
        <f>"1302082409780002"</f>
        <v>1302082409780002</v>
      </c>
      <c r="C2" s="7" t="s">
        <v>9</v>
      </c>
      <c r="D2" s="7" t="s">
        <v>10</v>
      </c>
      <c r="E2" s="7" t="s">
        <v>11</v>
      </c>
      <c r="F2" s="7" t="s">
        <v>12</v>
      </c>
      <c r="G2" s="7" t="s">
        <v>13</v>
      </c>
      <c r="H2" s="7" t="s">
        <v>14</v>
      </c>
      <c r="I2" s="8" t="s">
        <v>15</v>
      </c>
    </row>
    <row r="3" spans="1:12" hidden="1" x14ac:dyDescent="0.35">
      <c r="A3" s="13">
        <v>1683527</v>
      </c>
      <c r="B3" s="14" t="str">
        <f>"1505021401740001"</f>
        <v>1505021401740001</v>
      </c>
      <c r="C3" s="14" t="s">
        <v>22</v>
      </c>
      <c r="D3" s="14" t="s">
        <v>10</v>
      </c>
      <c r="E3" s="14" t="s">
        <v>11</v>
      </c>
      <c r="F3" s="14" t="s">
        <v>18</v>
      </c>
      <c r="G3" s="14" t="s">
        <v>19</v>
      </c>
      <c r="H3" s="14" t="s">
        <v>20</v>
      </c>
      <c r="I3" s="15" t="s">
        <v>23</v>
      </c>
      <c r="J3" s="16" t="str">
        <f>VLOOKUP(B3,baru!$B$2:$I$2271,4,FALSE)</f>
        <v>Reguler</v>
      </c>
      <c r="K3" s="16" t="str">
        <f>VLOOKUP(B3,baru!$B$2:$I$2271,5,FALSE)</f>
        <v>JAMBI</v>
      </c>
      <c r="L3" s="16" t="str">
        <f>VLOOKUP(B3,baru!$B$2:$I$2271,6,FALSE)</f>
        <v>MUARO JAMBI</v>
      </c>
    </row>
    <row r="4" spans="1:12" hidden="1" x14ac:dyDescent="0.35">
      <c r="A4" s="13">
        <v>1683529</v>
      </c>
      <c r="B4" s="14" t="str">
        <f>"1505022105040003"</f>
        <v>1505022105040003</v>
      </c>
      <c r="C4" s="14" t="s">
        <v>28</v>
      </c>
      <c r="D4" s="14" t="s">
        <v>10</v>
      </c>
      <c r="E4" s="14" t="s">
        <v>11</v>
      </c>
      <c r="F4" s="14" t="s">
        <v>18</v>
      </c>
      <c r="G4" s="14" t="s">
        <v>19</v>
      </c>
      <c r="H4" s="14" t="s">
        <v>20</v>
      </c>
      <c r="I4" s="15" t="s">
        <v>23</v>
      </c>
      <c r="J4" s="16" t="str">
        <f>VLOOKUP(B4,baru!$B$2:$I$2271,4,FALSE)</f>
        <v>Reguler</v>
      </c>
      <c r="K4" s="16" t="str">
        <f>VLOOKUP(B4,baru!$B$2:$I$2271,5,FALSE)</f>
        <v>JAMBI</v>
      </c>
      <c r="L4" s="16" t="str">
        <f>VLOOKUP(B4,baru!$B$2:$I$2271,6,FALSE)</f>
        <v>MUARO JAMBI</v>
      </c>
    </row>
    <row r="5" spans="1:12" hidden="1" x14ac:dyDescent="0.35">
      <c r="A5" s="13">
        <v>1683531</v>
      </c>
      <c r="B5" s="14" t="str">
        <f>"1505024409770002"</f>
        <v>1505024409770002</v>
      </c>
      <c r="C5" s="14" t="s">
        <v>30</v>
      </c>
      <c r="D5" s="14" t="s">
        <v>10</v>
      </c>
      <c r="E5" s="14" t="s">
        <v>11</v>
      </c>
      <c r="F5" s="14" t="s">
        <v>18</v>
      </c>
      <c r="G5" s="14" t="s">
        <v>19</v>
      </c>
      <c r="H5" s="14" t="s">
        <v>20</v>
      </c>
      <c r="I5" s="15" t="s">
        <v>23</v>
      </c>
      <c r="J5" s="16" t="str">
        <f>VLOOKUP(B5,baru!$B$2:$I$2271,4,FALSE)</f>
        <v>Reguler</v>
      </c>
      <c r="K5" s="16" t="str">
        <f>VLOOKUP(B5,baru!$B$2:$I$2271,5,FALSE)</f>
        <v>JAMBI</v>
      </c>
      <c r="L5" s="16" t="str">
        <f>VLOOKUP(B5,baru!$B$2:$I$2271,6,FALSE)</f>
        <v>MUARO JAMBI</v>
      </c>
    </row>
    <row r="6" spans="1:12" hidden="1" x14ac:dyDescent="0.35">
      <c r="A6" s="6">
        <v>25116</v>
      </c>
      <c r="B6" s="7" t="str">
        <f>"1608021512920001"</f>
        <v>1608021512920001</v>
      </c>
      <c r="C6" s="7" t="s">
        <v>32</v>
      </c>
      <c r="D6" s="7" t="s">
        <v>10</v>
      </c>
      <c r="E6" s="7" t="s">
        <v>11</v>
      </c>
      <c r="F6" s="7" t="s">
        <v>33</v>
      </c>
      <c r="G6" s="7" t="s">
        <v>34</v>
      </c>
      <c r="H6" s="7" t="s">
        <v>35</v>
      </c>
      <c r="I6" s="8" t="s">
        <v>36</v>
      </c>
    </row>
    <row r="7" spans="1:12" hidden="1" x14ac:dyDescent="0.35">
      <c r="A7" s="6">
        <v>324976</v>
      </c>
      <c r="B7" s="7" t="str">
        <f>"1611014403990002"</f>
        <v>1611014403990002</v>
      </c>
      <c r="C7" s="7" t="s">
        <v>38</v>
      </c>
      <c r="D7" s="7" t="s">
        <v>10</v>
      </c>
      <c r="E7" s="7" t="s">
        <v>11</v>
      </c>
      <c r="F7" s="7" t="s">
        <v>33</v>
      </c>
      <c r="G7" s="7" t="s">
        <v>39</v>
      </c>
      <c r="H7" s="7" t="s">
        <v>40</v>
      </c>
      <c r="I7" s="8" t="s">
        <v>41</v>
      </c>
    </row>
    <row r="8" spans="1:12" hidden="1" x14ac:dyDescent="0.35">
      <c r="A8" s="6">
        <v>448769</v>
      </c>
      <c r="B8" s="7" t="str">
        <f>"1806040804030001"</f>
        <v>1806040804030001</v>
      </c>
      <c r="C8" s="7" t="s">
        <v>43</v>
      </c>
      <c r="D8" s="7" t="s">
        <v>10</v>
      </c>
      <c r="E8" s="7" t="s">
        <v>11</v>
      </c>
      <c r="F8" s="7" t="s">
        <v>44</v>
      </c>
      <c r="G8" s="7" t="s">
        <v>45</v>
      </c>
      <c r="H8" s="7" t="s">
        <v>46</v>
      </c>
      <c r="I8" s="8" t="s">
        <v>47</v>
      </c>
    </row>
    <row r="9" spans="1:12" hidden="1" x14ac:dyDescent="0.35">
      <c r="A9" s="6">
        <v>1083242</v>
      </c>
      <c r="B9" s="7" t="str">
        <f>"3172012309780004"</f>
        <v>3172012309780004</v>
      </c>
      <c r="C9" s="7" t="s">
        <v>49</v>
      </c>
      <c r="D9" s="7" t="s">
        <v>10</v>
      </c>
      <c r="E9" s="7" t="s">
        <v>11</v>
      </c>
      <c r="F9" s="7" t="s">
        <v>50</v>
      </c>
      <c r="G9" s="7" t="s">
        <v>51</v>
      </c>
      <c r="H9" s="7" t="s">
        <v>52</v>
      </c>
      <c r="I9" s="8" t="s">
        <v>52</v>
      </c>
    </row>
    <row r="10" spans="1:12" hidden="1" x14ac:dyDescent="0.35">
      <c r="A10" s="6">
        <v>2416009</v>
      </c>
      <c r="B10" s="7" t="str">
        <f>"3172020301930002"</f>
        <v>3172020301930002</v>
      </c>
      <c r="C10" s="7" t="s">
        <v>54</v>
      </c>
      <c r="D10" s="7" t="s">
        <v>10</v>
      </c>
      <c r="E10" s="7" t="s">
        <v>11</v>
      </c>
      <c r="F10" s="7" t="s">
        <v>18</v>
      </c>
      <c r="G10" s="7" t="s">
        <v>19</v>
      </c>
      <c r="H10" s="7" t="s">
        <v>20</v>
      </c>
      <c r="I10" s="8" t="s">
        <v>55</v>
      </c>
      <c r="J10" t="e">
        <f>VLOOKUP(B10,baru!$B$2:$I$2271,4,FALSE)</f>
        <v>#N/A</v>
      </c>
      <c r="K10" t="e">
        <f>VLOOKUP(B10,baru!$B$2:$I$2271,5,FALSE)</f>
        <v>#N/A</v>
      </c>
      <c r="L10" t="e">
        <f>VLOOKUP(B10,baru!$B$2:$I$2271,6,FALSE)</f>
        <v>#N/A</v>
      </c>
    </row>
    <row r="11" spans="1:12" hidden="1" x14ac:dyDescent="0.35">
      <c r="A11" s="6">
        <v>2422122</v>
      </c>
      <c r="B11" s="7" t="str">
        <f>"3172020301930002"</f>
        <v>3172020301930002</v>
      </c>
      <c r="C11" s="7" t="s">
        <v>56</v>
      </c>
      <c r="D11" s="7" t="s">
        <v>10</v>
      </c>
      <c r="E11" s="7" t="s">
        <v>57</v>
      </c>
      <c r="F11" s="7" t="s">
        <v>50</v>
      </c>
      <c r="G11" s="7" t="s">
        <v>58</v>
      </c>
      <c r="H11" s="7" t="s">
        <v>59</v>
      </c>
      <c r="I11" s="8" t="s">
        <v>60</v>
      </c>
    </row>
    <row r="12" spans="1:12" hidden="1" x14ac:dyDescent="0.35">
      <c r="A12" s="6">
        <v>137131</v>
      </c>
      <c r="B12" s="7" t="str">
        <f>"3172025406860006"</f>
        <v>3172025406860006</v>
      </c>
      <c r="C12" s="7" t="s">
        <v>61</v>
      </c>
      <c r="D12" s="7" t="s">
        <v>10</v>
      </c>
      <c r="E12" s="7" t="s">
        <v>11</v>
      </c>
      <c r="F12" s="7" t="s">
        <v>50</v>
      </c>
      <c r="G12" s="7" t="s">
        <v>51</v>
      </c>
      <c r="H12" s="7" t="s">
        <v>62</v>
      </c>
      <c r="I12" s="8" t="s">
        <v>63</v>
      </c>
    </row>
    <row r="13" spans="1:12" hidden="1" x14ac:dyDescent="0.35">
      <c r="A13" s="6">
        <v>1140937</v>
      </c>
      <c r="B13" s="7" t="str">
        <f>"3172032506861001"</f>
        <v>3172032506861001</v>
      </c>
      <c r="C13" s="7" t="s">
        <v>66</v>
      </c>
      <c r="D13" s="7" t="s">
        <v>10</v>
      </c>
      <c r="E13" s="7" t="s">
        <v>11</v>
      </c>
      <c r="F13" s="7" t="s">
        <v>67</v>
      </c>
      <c r="G13" s="7" t="s">
        <v>68</v>
      </c>
      <c r="H13" s="7" t="s">
        <v>69</v>
      </c>
      <c r="I13" s="8" t="s">
        <v>69</v>
      </c>
    </row>
    <row r="14" spans="1:12" hidden="1" x14ac:dyDescent="0.35">
      <c r="A14" s="6">
        <v>802404</v>
      </c>
      <c r="B14" s="7" t="str">
        <f>"3172041510740005"</f>
        <v>3172041510740005</v>
      </c>
      <c r="C14" s="7" t="s">
        <v>71</v>
      </c>
      <c r="D14" s="7" t="s">
        <v>10</v>
      </c>
      <c r="E14" s="7" t="s">
        <v>11</v>
      </c>
      <c r="F14" s="7" t="s">
        <v>50</v>
      </c>
      <c r="G14" s="7" t="s">
        <v>72</v>
      </c>
      <c r="H14" s="7" t="s">
        <v>73</v>
      </c>
      <c r="I14" s="8" t="s">
        <v>74</v>
      </c>
    </row>
    <row r="15" spans="1:12" hidden="1" x14ac:dyDescent="0.35">
      <c r="A15" s="6">
        <v>961829</v>
      </c>
      <c r="B15" s="7" t="str">
        <f>"3172045005810029"</f>
        <v>3172045005810029</v>
      </c>
      <c r="C15" s="7" t="s">
        <v>80</v>
      </c>
      <c r="D15" s="7" t="s">
        <v>10</v>
      </c>
      <c r="E15" s="7" t="s">
        <v>11</v>
      </c>
      <c r="F15" s="7" t="s">
        <v>50</v>
      </c>
      <c r="G15" s="7" t="s">
        <v>51</v>
      </c>
      <c r="H15" s="7" t="s">
        <v>78</v>
      </c>
      <c r="I15" s="8" t="s">
        <v>81</v>
      </c>
    </row>
    <row r="16" spans="1:12" hidden="1" x14ac:dyDescent="0.35">
      <c r="A16" s="6">
        <v>1218495</v>
      </c>
      <c r="B16" s="7" t="str">
        <f>"3172046808850023"</f>
        <v>3172046808850023</v>
      </c>
      <c r="C16" s="7" t="s">
        <v>83</v>
      </c>
      <c r="D16" s="7" t="s">
        <v>10</v>
      </c>
      <c r="E16" s="7" t="s">
        <v>11</v>
      </c>
      <c r="F16" s="7" t="s">
        <v>50</v>
      </c>
      <c r="G16" s="7" t="s">
        <v>51</v>
      </c>
      <c r="H16" s="7" t="s">
        <v>78</v>
      </c>
      <c r="I16" s="8" t="s">
        <v>84</v>
      </c>
    </row>
    <row r="17" spans="1:9" hidden="1" x14ac:dyDescent="0.35">
      <c r="A17" s="6">
        <v>981954</v>
      </c>
      <c r="B17" s="7" t="str">
        <f>"3173060906770010"</f>
        <v>3173060906770010</v>
      </c>
      <c r="C17" s="7" t="s">
        <v>85</v>
      </c>
      <c r="D17" s="7" t="s">
        <v>10</v>
      </c>
      <c r="E17" s="7" t="s">
        <v>11</v>
      </c>
      <c r="F17" s="7" t="s">
        <v>50</v>
      </c>
      <c r="G17" s="7" t="s">
        <v>86</v>
      </c>
      <c r="H17" s="7" t="s">
        <v>87</v>
      </c>
      <c r="I17" s="8" t="s">
        <v>88</v>
      </c>
    </row>
    <row r="18" spans="1:9" hidden="1" x14ac:dyDescent="0.35">
      <c r="A18" s="6">
        <v>981953</v>
      </c>
      <c r="B18" s="7" t="str">
        <f>"3173065207760013"</f>
        <v>3173065207760013</v>
      </c>
      <c r="C18" s="7" t="s">
        <v>89</v>
      </c>
      <c r="D18" s="7" t="s">
        <v>10</v>
      </c>
      <c r="E18" s="7" t="s">
        <v>11</v>
      </c>
      <c r="F18" s="7" t="s">
        <v>50</v>
      </c>
      <c r="G18" s="7" t="s">
        <v>86</v>
      </c>
      <c r="H18" s="7" t="s">
        <v>87</v>
      </c>
      <c r="I18" s="8" t="s">
        <v>88</v>
      </c>
    </row>
    <row r="19" spans="1:9" hidden="1" x14ac:dyDescent="0.35">
      <c r="A19" s="6">
        <v>2366606</v>
      </c>
      <c r="B19" s="7" t="str">
        <f>"3175021206850013"</f>
        <v>3175021206850013</v>
      </c>
      <c r="C19" s="7" t="s">
        <v>90</v>
      </c>
      <c r="D19" s="7" t="s">
        <v>10</v>
      </c>
      <c r="E19" s="7" t="s">
        <v>11</v>
      </c>
      <c r="F19" s="7" t="s">
        <v>91</v>
      </c>
      <c r="G19" s="7" t="s">
        <v>92</v>
      </c>
      <c r="H19" s="7" t="s">
        <v>93</v>
      </c>
      <c r="I19" s="8" t="s">
        <v>94</v>
      </c>
    </row>
    <row r="20" spans="1:9" hidden="1" x14ac:dyDescent="0.35">
      <c r="A20" s="6">
        <v>841426</v>
      </c>
      <c r="B20" s="7" t="str">
        <f>"3175047003770002"</f>
        <v>3175047003770002</v>
      </c>
      <c r="C20" s="7" t="s">
        <v>96</v>
      </c>
      <c r="D20" s="7" t="s">
        <v>10</v>
      </c>
      <c r="E20" s="7" t="s">
        <v>11</v>
      </c>
      <c r="F20" s="7" t="s">
        <v>50</v>
      </c>
      <c r="G20" s="7" t="s">
        <v>58</v>
      </c>
      <c r="H20" s="7" t="s">
        <v>97</v>
      </c>
      <c r="I20" s="8" t="s">
        <v>98</v>
      </c>
    </row>
    <row r="21" spans="1:9" hidden="1" x14ac:dyDescent="0.35">
      <c r="A21" s="6">
        <v>2176949</v>
      </c>
      <c r="B21" s="7" t="str">
        <f>"3202052406000002"</f>
        <v>3202052406000002</v>
      </c>
      <c r="C21" s="7" t="s">
        <v>100</v>
      </c>
      <c r="D21" s="7" t="s">
        <v>10</v>
      </c>
      <c r="E21" s="7" t="s">
        <v>11</v>
      </c>
      <c r="F21" s="7" t="s">
        <v>91</v>
      </c>
      <c r="G21" s="7" t="s">
        <v>101</v>
      </c>
      <c r="H21" s="7" t="s">
        <v>102</v>
      </c>
      <c r="I21" s="8" t="s">
        <v>102</v>
      </c>
    </row>
    <row r="22" spans="1:9" hidden="1" x14ac:dyDescent="0.35">
      <c r="A22" s="6">
        <v>354962</v>
      </c>
      <c r="B22" s="7" t="str">
        <f>"3205021503010002"</f>
        <v>3205021503010002</v>
      </c>
      <c r="C22" s="7" t="s">
        <v>104</v>
      </c>
      <c r="D22" s="7" t="s">
        <v>10</v>
      </c>
      <c r="E22" s="7" t="s">
        <v>11</v>
      </c>
      <c r="F22" s="7" t="s">
        <v>91</v>
      </c>
      <c r="G22" s="7" t="s">
        <v>92</v>
      </c>
      <c r="H22" s="7" t="s">
        <v>105</v>
      </c>
      <c r="I22" s="8" t="s">
        <v>106</v>
      </c>
    </row>
    <row r="23" spans="1:9" hidden="1" x14ac:dyDescent="0.35">
      <c r="A23" s="6">
        <v>772141</v>
      </c>
      <c r="B23" s="7" t="str">
        <f>"3208072810880005"</f>
        <v>3208072810880005</v>
      </c>
      <c r="C23" s="7" t="s">
        <v>108</v>
      </c>
      <c r="D23" s="7" t="s">
        <v>10</v>
      </c>
      <c r="E23" s="7" t="s">
        <v>11</v>
      </c>
      <c r="F23" s="7" t="s">
        <v>91</v>
      </c>
      <c r="G23" s="7" t="s">
        <v>109</v>
      </c>
      <c r="H23" s="7" t="s">
        <v>110</v>
      </c>
      <c r="I23" s="8" t="s">
        <v>111</v>
      </c>
    </row>
    <row r="24" spans="1:9" hidden="1" x14ac:dyDescent="0.35">
      <c r="A24" s="6">
        <v>247545</v>
      </c>
      <c r="B24" s="7" t="str">
        <f>"3212102001860003"</f>
        <v>3212102001860003</v>
      </c>
      <c r="C24" s="7" t="s">
        <v>113</v>
      </c>
      <c r="D24" s="7" t="s">
        <v>10</v>
      </c>
      <c r="E24" s="7" t="s">
        <v>11</v>
      </c>
      <c r="F24" s="7" t="s">
        <v>91</v>
      </c>
      <c r="G24" s="7" t="s">
        <v>114</v>
      </c>
      <c r="H24" s="7" t="s">
        <v>115</v>
      </c>
      <c r="I24" s="8" t="s">
        <v>116</v>
      </c>
    </row>
    <row r="25" spans="1:9" hidden="1" x14ac:dyDescent="0.35">
      <c r="A25" s="6">
        <v>92679</v>
      </c>
      <c r="B25" s="7" t="str">
        <f>"3214100607050002"</f>
        <v>3214100607050002</v>
      </c>
      <c r="C25" s="7" t="s">
        <v>118</v>
      </c>
      <c r="D25" s="7" t="s">
        <v>10</v>
      </c>
      <c r="E25" s="7" t="s">
        <v>11</v>
      </c>
      <c r="F25" s="7" t="s">
        <v>91</v>
      </c>
      <c r="G25" s="7" t="s">
        <v>119</v>
      </c>
      <c r="H25" s="7" t="s">
        <v>120</v>
      </c>
      <c r="I25" s="8" t="s">
        <v>121</v>
      </c>
    </row>
    <row r="26" spans="1:9" hidden="1" x14ac:dyDescent="0.35">
      <c r="A26" s="6">
        <v>1510292</v>
      </c>
      <c r="B26" s="7" t="str">
        <f>"3216017012940004"</f>
        <v>3216017012940004</v>
      </c>
      <c r="C26" s="7" t="s">
        <v>123</v>
      </c>
      <c r="D26" s="7" t="s">
        <v>10</v>
      </c>
      <c r="E26" s="7" t="s">
        <v>11</v>
      </c>
      <c r="F26" s="7" t="s">
        <v>91</v>
      </c>
      <c r="G26" s="7" t="s">
        <v>92</v>
      </c>
      <c r="H26" s="7" t="s">
        <v>124</v>
      </c>
      <c r="I26" s="8" t="s">
        <v>125</v>
      </c>
    </row>
    <row r="27" spans="1:9" hidden="1" x14ac:dyDescent="0.35">
      <c r="A27" s="6">
        <v>1045851</v>
      </c>
      <c r="B27" s="7" t="str">
        <f>"3216092606780008"</f>
        <v>3216092606780008</v>
      </c>
      <c r="C27" s="7" t="s">
        <v>127</v>
      </c>
      <c r="D27" s="7" t="s">
        <v>10</v>
      </c>
      <c r="E27" s="7" t="s">
        <v>11</v>
      </c>
      <c r="F27" s="7" t="s">
        <v>91</v>
      </c>
      <c r="G27" s="7" t="s">
        <v>92</v>
      </c>
      <c r="H27" s="7" t="s">
        <v>128</v>
      </c>
      <c r="I27" s="8" t="s">
        <v>129</v>
      </c>
    </row>
    <row r="28" spans="1:9" hidden="1" x14ac:dyDescent="0.35">
      <c r="A28" s="6">
        <v>1045852</v>
      </c>
      <c r="B28" s="7" t="str">
        <f>"3216096010050006"</f>
        <v>3216096010050006</v>
      </c>
      <c r="C28" s="7" t="s">
        <v>132</v>
      </c>
      <c r="D28" s="7" t="s">
        <v>10</v>
      </c>
      <c r="E28" s="7" t="s">
        <v>11</v>
      </c>
      <c r="F28" s="7" t="s">
        <v>91</v>
      </c>
      <c r="G28" s="7" t="s">
        <v>92</v>
      </c>
      <c r="H28" s="7" t="s">
        <v>128</v>
      </c>
      <c r="I28" s="8" t="s">
        <v>129</v>
      </c>
    </row>
    <row r="29" spans="1:9" hidden="1" x14ac:dyDescent="0.35">
      <c r="A29" s="6">
        <v>1045853</v>
      </c>
      <c r="B29" s="7" t="str">
        <f>"3216096402820007"</f>
        <v>3216096402820007</v>
      </c>
      <c r="C29" s="7" t="s">
        <v>134</v>
      </c>
      <c r="D29" s="7" t="s">
        <v>10</v>
      </c>
      <c r="E29" s="7" t="s">
        <v>11</v>
      </c>
      <c r="F29" s="7" t="s">
        <v>91</v>
      </c>
      <c r="G29" s="7" t="s">
        <v>92</v>
      </c>
      <c r="H29" s="7" t="s">
        <v>128</v>
      </c>
      <c r="I29" s="8" t="s">
        <v>129</v>
      </c>
    </row>
    <row r="30" spans="1:9" hidden="1" x14ac:dyDescent="0.35">
      <c r="A30" s="6">
        <v>1085168</v>
      </c>
      <c r="B30" s="7" t="str">
        <f>"3217031511830008"</f>
        <v>3217031511830008</v>
      </c>
      <c r="C30" s="7" t="s">
        <v>136</v>
      </c>
      <c r="D30" s="7" t="s">
        <v>10</v>
      </c>
      <c r="E30" s="7" t="s">
        <v>11</v>
      </c>
      <c r="F30" s="7" t="s">
        <v>91</v>
      </c>
      <c r="G30" s="7" t="s">
        <v>137</v>
      </c>
      <c r="H30" s="7" t="s">
        <v>138</v>
      </c>
      <c r="I30" s="8" t="s">
        <v>139</v>
      </c>
    </row>
    <row r="31" spans="1:9" hidden="1" x14ac:dyDescent="0.35">
      <c r="A31" s="6">
        <v>532233</v>
      </c>
      <c r="B31" s="7" t="str">
        <f>"3217081207630011"</f>
        <v>3217081207630011</v>
      </c>
      <c r="C31" s="7" t="s">
        <v>141</v>
      </c>
      <c r="D31" s="7" t="s">
        <v>10</v>
      </c>
      <c r="E31" s="7" t="s">
        <v>11</v>
      </c>
      <c r="F31" s="7" t="s">
        <v>91</v>
      </c>
      <c r="G31" s="7" t="s">
        <v>137</v>
      </c>
      <c r="H31" s="7" t="s">
        <v>142</v>
      </c>
      <c r="I31" s="8" t="s">
        <v>143</v>
      </c>
    </row>
    <row r="32" spans="1:9" hidden="1" x14ac:dyDescent="0.35">
      <c r="A32" s="6">
        <v>532064</v>
      </c>
      <c r="B32" s="7" t="str">
        <f>"3217084309020010"</f>
        <v>3217084309020010</v>
      </c>
      <c r="C32" s="7" t="s">
        <v>146</v>
      </c>
      <c r="D32" s="7" t="s">
        <v>10</v>
      </c>
      <c r="E32" s="7" t="s">
        <v>11</v>
      </c>
      <c r="F32" s="7" t="s">
        <v>91</v>
      </c>
      <c r="G32" s="7" t="s">
        <v>137</v>
      </c>
      <c r="H32" s="7" t="s">
        <v>142</v>
      </c>
      <c r="I32" s="8" t="s">
        <v>143</v>
      </c>
    </row>
    <row r="33" spans="1:12" hidden="1" x14ac:dyDescent="0.35">
      <c r="A33" s="6">
        <v>1676218</v>
      </c>
      <c r="B33" s="7" t="str">
        <f>"3273010310960004"</f>
        <v>3273010310960004</v>
      </c>
      <c r="C33" s="7" t="s">
        <v>148</v>
      </c>
      <c r="D33" s="7" t="s">
        <v>10</v>
      </c>
      <c r="E33" s="7" t="s">
        <v>11</v>
      </c>
      <c r="F33" s="7" t="s">
        <v>91</v>
      </c>
      <c r="G33" s="7" t="s">
        <v>149</v>
      </c>
      <c r="H33" s="7" t="s">
        <v>150</v>
      </c>
      <c r="I33" s="8" t="s">
        <v>151</v>
      </c>
    </row>
    <row r="34" spans="1:12" hidden="1" x14ac:dyDescent="0.35">
      <c r="A34" s="6">
        <v>1676220</v>
      </c>
      <c r="B34" s="7" t="str">
        <f>"3273013112740007"</f>
        <v>3273013112740007</v>
      </c>
      <c r="C34" s="7" t="s">
        <v>152</v>
      </c>
      <c r="D34" s="7" t="s">
        <v>10</v>
      </c>
      <c r="E34" s="7" t="s">
        <v>11</v>
      </c>
      <c r="F34" s="7" t="s">
        <v>91</v>
      </c>
      <c r="G34" s="7" t="s">
        <v>149</v>
      </c>
      <c r="H34" s="7" t="s">
        <v>150</v>
      </c>
      <c r="I34" s="8" t="s">
        <v>151</v>
      </c>
    </row>
    <row r="35" spans="1:12" hidden="1" x14ac:dyDescent="0.35">
      <c r="A35" s="6">
        <v>1676219</v>
      </c>
      <c r="B35" s="7" t="str">
        <f>"3273014501790007"</f>
        <v>3273014501790007</v>
      </c>
      <c r="C35" s="7" t="s">
        <v>153</v>
      </c>
      <c r="D35" s="7" t="s">
        <v>10</v>
      </c>
      <c r="E35" s="7" t="s">
        <v>11</v>
      </c>
      <c r="F35" s="7" t="s">
        <v>91</v>
      </c>
      <c r="G35" s="7" t="s">
        <v>149</v>
      </c>
      <c r="H35" s="7" t="s">
        <v>150</v>
      </c>
      <c r="I35" s="8" t="s">
        <v>151</v>
      </c>
    </row>
    <row r="36" spans="1:12" hidden="1" x14ac:dyDescent="0.35">
      <c r="A36" s="6">
        <v>46729</v>
      </c>
      <c r="B36" s="7" t="str">
        <f>"3274015212990006"</f>
        <v>3274015212990006</v>
      </c>
      <c r="C36" s="7" t="s">
        <v>154</v>
      </c>
      <c r="D36" s="7" t="s">
        <v>10</v>
      </c>
      <c r="E36" s="7" t="s">
        <v>11</v>
      </c>
      <c r="F36" s="7" t="s">
        <v>91</v>
      </c>
      <c r="G36" s="7" t="s">
        <v>155</v>
      </c>
      <c r="H36" s="7" t="s">
        <v>156</v>
      </c>
      <c r="I36" s="8" t="s">
        <v>157</v>
      </c>
    </row>
    <row r="37" spans="1:12" hidden="1" x14ac:dyDescent="0.35">
      <c r="A37" s="6">
        <v>1349001</v>
      </c>
      <c r="B37" s="7" t="str">
        <f>"3275054108930011"</f>
        <v>3275054108930011</v>
      </c>
      <c r="C37" s="7" t="s">
        <v>158</v>
      </c>
      <c r="D37" s="7" t="s">
        <v>10</v>
      </c>
      <c r="E37" s="7" t="s">
        <v>11</v>
      </c>
      <c r="F37" s="7" t="s">
        <v>91</v>
      </c>
      <c r="G37" s="7" t="s">
        <v>159</v>
      </c>
      <c r="H37" s="7" t="s">
        <v>160</v>
      </c>
      <c r="I37" s="8" t="s">
        <v>161</v>
      </c>
    </row>
    <row r="38" spans="1:12" hidden="1" x14ac:dyDescent="0.35">
      <c r="A38" s="13">
        <v>1531164</v>
      </c>
      <c r="B38" s="14" t="str">
        <f>"3301021404830009"</f>
        <v>3301021404830009</v>
      </c>
      <c r="C38" s="14" t="s">
        <v>162</v>
      </c>
      <c r="D38" s="14" t="s">
        <v>10</v>
      </c>
      <c r="E38" s="14" t="s">
        <v>11</v>
      </c>
      <c r="F38" s="14" t="s">
        <v>18</v>
      </c>
      <c r="G38" s="14" t="s">
        <v>19</v>
      </c>
      <c r="H38" s="14" t="s">
        <v>20</v>
      </c>
      <c r="I38" s="15" t="s">
        <v>21</v>
      </c>
      <c r="J38" s="16" t="str">
        <f>VLOOKUP(B38,baru!$B$2:$I$2271,4,FALSE)</f>
        <v>Reguler</v>
      </c>
      <c r="K38" s="16" t="str">
        <f>VLOOKUP(B38,baru!$B$2:$I$2271,5,FALSE)</f>
        <v>JAWA TENGAH</v>
      </c>
      <c r="L38" s="16" t="str">
        <f>VLOOKUP(B38,baru!$B$2:$I$2271,6,FALSE)</f>
        <v>CILACAP</v>
      </c>
    </row>
    <row r="39" spans="1:12" hidden="1" x14ac:dyDescent="0.35">
      <c r="A39" s="6">
        <v>835894</v>
      </c>
      <c r="B39" s="7" t="str">
        <f>"3305064806990005"</f>
        <v>3305064806990005</v>
      </c>
      <c r="C39" s="7" t="s">
        <v>170</v>
      </c>
      <c r="D39" s="7" t="s">
        <v>10</v>
      </c>
      <c r="E39" s="7" t="s">
        <v>11</v>
      </c>
      <c r="F39" s="7" t="s">
        <v>18</v>
      </c>
      <c r="G39" s="7" t="s">
        <v>171</v>
      </c>
      <c r="H39" s="7" t="s">
        <v>172</v>
      </c>
      <c r="I39" s="8" t="s">
        <v>173</v>
      </c>
    </row>
    <row r="40" spans="1:12" hidden="1" x14ac:dyDescent="0.35">
      <c r="A40" s="13">
        <v>1465633</v>
      </c>
      <c r="B40" s="14" t="str">
        <f>"3315023112020009"</f>
        <v>3315023112020009</v>
      </c>
      <c r="C40" s="14" t="s">
        <v>174</v>
      </c>
      <c r="D40" s="14" t="s">
        <v>10</v>
      </c>
      <c r="E40" s="14" t="s">
        <v>11</v>
      </c>
      <c r="F40" s="14" t="s">
        <v>18</v>
      </c>
      <c r="G40" s="14" t="s">
        <v>19</v>
      </c>
      <c r="H40" s="14" t="s">
        <v>20</v>
      </c>
      <c r="I40" s="15" t="s">
        <v>145</v>
      </c>
      <c r="J40" s="16" t="str">
        <f>VLOOKUP(B40,baru!$B$2:$I$2271,4,FALSE)</f>
        <v>Reguler</v>
      </c>
      <c r="K40" s="16" t="str">
        <f>VLOOKUP(B40,baru!$B$2:$I$2271,5,FALSE)</f>
        <v>JAWA TENGAH</v>
      </c>
      <c r="L40" s="16" t="str">
        <f>VLOOKUP(B40,baru!$B$2:$I$2271,6,FALSE)</f>
        <v>CILACAP</v>
      </c>
    </row>
    <row r="41" spans="1:12" hidden="1" x14ac:dyDescent="0.35">
      <c r="A41" s="6">
        <v>2060341</v>
      </c>
      <c r="B41" s="7" t="str">
        <f>"3317046107900001"</f>
        <v>3317046107900001</v>
      </c>
      <c r="C41" s="7" t="s">
        <v>178</v>
      </c>
      <c r="D41" s="7" t="s">
        <v>10</v>
      </c>
      <c r="E41" s="7" t="s">
        <v>11</v>
      </c>
      <c r="F41" s="7" t="s">
        <v>18</v>
      </c>
      <c r="G41" s="7" t="s">
        <v>19</v>
      </c>
      <c r="H41" s="7" t="s">
        <v>20</v>
      </c>
      <c r="I41" s="8" t="s">
        <v>20</v>
      </c>
      <c r="J41" t="e">
        <f>VLOOKUP(B41,baru!$B$2:$I$2271,4,FALSE)</f>
        <v>#N/A</v>
      </c>
      <c r="K41" t="e">
        <f>VLOOKUP(B41,baru!$B$2:$I$2271,5,FALSE)</f>
        <v>#N/A</v>
      </c>
      <c r="L41" t="e">
        <f>VLOOKUP(B41,baru!$B$2:$I$2271,6,FALSE)</f>
        <v>#N/A</v>
      </c>
    </row>
    <row r="42" spans="1:12" hidden="1" x14ac:dyDescent="0.35">
      <c r="A42" s="6">
        <v>1175129</v>
      </c>
      <c r="B42" s="7" t="str">
        <f>"3317046107900001"</f>
        <v>3317046107900001</v>
      </c>
      <c r="C42" s="7" t="s">
        <v>179</v>
      </c>
      <c r="D42" s="7" t="s">
        <v>10</v>
      </c>
      <c r="E42" s="7" t="s">
        <v>11</v>
      </c>
      <c r="F42" s="7" t="s">
        <v>18</v>
      </c>
      <c r="G42" s="7" t="s">
        <v>180</v>
      </c>
      <c r="H42" s="7" t="s">
        <v>181</v>
      </c>
      <c r="I42" s="8" t="s">
        <v>182</v>
      </c>
    </row>
    <row r="43" spans="1:12" hidden="1" x14ac:dyDescent="0.35">
      <c r="A43" s="6">
        <v>1037183</v>
      </c>
      <c r="B43" s="7" t="str">
        <f>"3324104412020002"</f>
        <v>3324104412020002</v>
      </c>
      <c r="C43" s="7" t="s">
        <v>183</v>
      </c>
      <c r="D43" s="7" t="s">
        <v>10</v>
      </c>
      <c r="E43" s="7" t="s">
        <v>11</v>
      </c>
      <c r="F43" s="7" t="s">
        <v>18</v>
      </c>
      <c r="G43" s="7" t="s">
        <v>184</v>
      </c>
      <c r="H43" s="7" t="s">
        <v>185</v>
      </c>
      <c r="I43" s="8" t="s">
        <v>186</v>
      </c>
    </row>
    <row r="44" spans="1:12" x14ac:dyDescent="0.35">
      <c r="A44" s="6">
        <v>537927</v>
      </c>
      <c r="B44" s="7" t="str">
        <f>"3325097005970001"</f>
        <v>3325097005970001</v>
      </c>
      <c r="C44" s="7" t="s">
        <v>188</v>
      </c>
      <c r="D44" s="7" t="s">
        <v>189</v>
      </c>
      <c r="E44" s="7" t="s">
        <v>11</v>
      </c>
      <c r="F44" s="7" t="s">
        <v>18</v>
      </c>
      <c r="G44" s="7" t="s">
        <v>190</v>
      </c>
      <c r="H44" s="7" t="s">
        <v>191</v>
      </c>
      <c r="I44" s="8" t="s">
        <v>192</v>
      </c>
    </row>
    <row r="45" spans="1:12" hidden="1" x14ac:dyDescent="0.35">
      <c r="A45" s="13">
        <v>2058305</v>
      </c>
      <c r="B45" s="14" t="str">
        <f>"3326094308770002"</f>
        <v>3326094308770002</v>
      </c>
      <c r="C45" s="14" t="s">
        <v>193</v>
      </c>
      <c r="D45" s="14" t="s">
        <v>10</v>
      </c>
      <c r="E45" s="14" t="s">
        <v>11</v>
      </c>
      <c r="F45" s="14" t="s">
        <v>18</v>
      </c>
      <c r="G45" s="14" t="s">
        <v>19</v>
      </c>
      <c r="H45" s="14" t="s">
        <v>20</v>
      </c>
      <c r="I45" s="15" t="s">
        <v>20</v>
      </c>
      <c r="J45" s="16" t="str">
        <f>VLOOKUP(B45,baru!$B$2:$I$2271,4,FALSE)</f>
        <v>Reguler</v>
      </c>
      <c r="K45" s="16" t="str">
        <f>VLOOKUP(B45,baru!$B$2:$I$2271,5,FALSE)</f>
        <v>JAWA TENGAH</v>
      </c>
      <c r="L45" s="16" t="str">
        <f>VLOOKUP(B45,baru!$B$2:$I$2271,6,FALSE)</f>
        <v>PEKALONGAN</v>
      </c>
    </row>
    <row r="46" spans="1:12" hidden="1" x14ac:dyDescent="0.35">
      <c r="A46" s="13">
        <v>2411174</v>
      </c>
      <c r="B46" s="14" t="str">
        <f>"3327103005870001"</f>
        <v>3327103005870001</v>
      </c>
      <c r="C46" s="14" t="s">
        <v>198</v>
      </c>
      <c r="D46" s="14" t="s">
        <v>10</v>
      </c>
      <c r="E46" s="14" t="s">
        <v>11</v>
      </c>
      <c r="F46" s="14" t="s">
        <v>18</v>
      </c>
      <c r="G46" s="14" t="s">
        <v>19</v>
      </c>
      <c r="H46" s="14" t="s">
        <v>20</v>
      </c>
      <c r="I46" s="15" t="s">
        <v>55</v>
      </c>
      <c r="J46" s="16" t="str">
        <f>VLOOKUP(B46,baru!$B$2:$I$2271,4,FALSE)</f>
        <v>Reguler</v>
      </c>
      <c r="K46" s="16" t="str">
        <f>VLOOKUP(B46,baru!$B$2:$I$2271,5,FALSE)</f>
        <v>JAWA TENGAH</v>
      </c>
      <c r="L46" s="16" t="str">
        <f>VLOOKUP(B46,baru!$B$2:$I$2271,6,FALSE)</f>
        <v>PEMALANG</v>
      </c>
    </row>
    <row r="47" spans="1:12" hidden="1" x14ac:dyDescent="0.35">
      <c r="A47" s="6">
        <v>1838050</v>
      </c>
      <c r="B47" s="7" t="str">
        <f>"3327141304900002"</f>
        <v>3327141304900002</v>
      </c>
      <c r="C47" s="7" t="s">
        <v>202</v>
      </c>
      <c r="D47" s="7" t="s">
        <v>10</v>
      </c>
      <c r="E47" s="7" t="s">
        <v>11</v>
      </c>
      <c r="F47" s="7" t="s">
        <v>18</v>
      </c>
      <c r="G47" s="7" t="s">
        <v>199</v>
      </c>
      <c r="H47" s="7" t="s">
        <v>203</v>
      </c>
      <c r="I47" s="8" t="s">
        <v>203</v>
      </c>
    </row>
    <row r="48" spans="1:12" hidden="1" x14ac:dyDescent="0.35">
      <c r="A48" s="13">
        <v>2057049</v>
      </c>
      <c r="B48" s="14" t="str">
        <f>"3328010107810080"</f>
        <v>3328010107810080</v>
      </c>
      <c r="C48" s="14" t="s">
        <v>204</v>
      </c>
      <c r="D48" s="14" t="s">
        <v>10</v>
      </c>
      <c r="E48" s="14" t="s">
        <v>11</v>
      </c>
      <c r="F48" s="14" t="s">
        <v>18</v>
      </c>
      <c r="G48" s="14" t="s">
        <v>19</v>
      </c>
      <c r="H48" s="14" t="s">
        <v>20</v>
      </c>
      <c r="I48" s="15" t="s">
        <v>20</v>
      </c>
      <c r="J48" s="16" t="str">
        <f>VLOOKUP(B48,baru!$B$2:$I$2271,4,FALSE)</f>
        <v>Reguler</v>
      </c>
      <c r="K48" s="16" t="str">
        <f>VLOOKUP(B48,baru!$B$2:$I$2271,5,FALSE)</f>
        <v>DKI JAKARTA</v>
      </c>
      <c r="L48" s="16" t="str">
        <f>VLOOKUP(B48,baru!$B$2:$I$2271,6,FALSE)</f>
        <v>KOTA JAKARTA BARAT</v>
      </c>
    </row>
    <row r="49" spans="1:12" hidden="1" x14ac:dyDescent="0.35">
      <c r="A49" s="6">
        <v>2063387</v>
      </c>
      <c r="B49" s="7" t="str">
        <f>"3328010107870203"</f>
        <v>3328010107870203</v>
      </c>
      <c r="C49" s="7" t="s">
        <v>207</v>
      </c>
      <c r="D49" s="7" t="s">
        <v>10</v>
      </c>
      <c r="E49" s="7" t="s">
        <v>11</v>
      </c>
      <c r="F49" s="7" t="s">
        <v>18</v>
      </c>
      <c r="G49" s="7" t="s">
        <v>19</v>
      </c>
      <c r="H49" s="7" t="s">
        <v>20</v>
      </c>
      <c r="I49" s="8" t="s">
        <v>20</v>
      </c>
      <c r="J49" t="e">
        <f>VLOOKUP(B49,baru!$B$2:$I$2271,4,FALSE)</f>
        <v>#N/A</v>
      </c>
      <c r="K49" t="e">
        <f>VLOOKUP(B49,baru!$B$2:$I$2271,5,FALSE)</f>
        <v>#N/A</v>
      </c>
      <c r="L49" t="e">
        <f>VLOOKUP(B49,baru!$B$2:$I$2271,6,FALSE)</f>
        <v>#N/A</v>
      </c>
    </row>
    <row r="50" spans="1:12" hidden="1" x14ac:dyDescent="0.35">
      <c r="A50" s="6">
        <v>2662156</v>
      </c>
      <c r="B50" s="7" t="str">
        <f>"3328010107870203"</f>
        <v>3328010107870203</v>
      </c>
      <c r="C50" s="7" t="s">
        <v>207</v>
      </c>
      <c r="D50" s="7" t="s">
        <v>10</v>
      </c>
      <c r="E50" s="7" t="s">
        <v>57</v>
      </c>
      <c r="F50" s="7" t="s">
        <v>18</v>
      </c>
      <c r="G50" s="7" t="s">
        <v>199</v>
      </c>
      <c r="H50" s="7" t="s">
        <v>208</v>
      </c>
      <c r="I50" s="8" t="s">
        <v>209</v>
      </c>
    </row>
    <row r="51" spans="1:12" hidden="1" x14ac:dyDescent="0.35">
      <c r="A51" s="6">
        <v>60946</v>
      </c>
      <c r="B51" s="7" t="str">
        <f>"3328010108490002"</f>
        <v>3328010108490002</v>
      </c>
      <c r="C51" s="7" t="s">
        <v>210</v>
      </c>
      <c r="D51" s="7" t="s">
        <v>10</v>
      </c>
      <c r="E51" s="7" t="s">
        <v>11</v>
      </c>
      <c r="F51" s="7" t="s">
        <v>211</v>
      </c>
      <c r="G51" s="7" t="s">
        <v>212</v>
      </c>
      <c r="H51" s="7" t="s">
        <v>213</v>
      </c>
      <c r="I51" s="8" t="s">
        <v>214</v>
      </c>
    </row>
    <row r="52" spans="1:12" hidden="1" x14ac:dyDescent="0.35">
      <c r="A52" s="13">
        <v>2067555</v>
      </c>
      <c r="B52" s="14" t="str">
        <f>"3328010112900007"</f>
        <v>3328010112900007</v>
      </c>
      <c r="C52" s="14" t="s">
        <v>216</v>
      </c>
      <c r="D52" s="14" t="s">
        <v>10</v>
      </c>
      <c r="E52" s="14" t="s">
        <v>11</v>
      </c>
      <c r="F52" s="14" t="s">
        <v>18</v>
      </c>
      <c r="G52" s="14" t="s">
        <v>19</v>
      </c>
      <c r="H52" s="14" t="s">
        <v>20</v>
      </c>
      <c r="I52" s="15" t="s">
        <v>37</v>
      </c>
      <c r="J52" s="16" t="str">
        <f>VLOOKUP(B52,baru!$B$2:$I$2271,4,FALSE)</f>
        <v>Reguler</v>
      </c>
      <c r="K52" s="16" t="str">
        <f>VLOOKUP(B52,baru!$B$2:$I$2271,5,FALSE)</f>
        <v>JAWA BARAT</v>
      </c>
      <c r="L52" s="16" t="str">
        <f>VLOOKUP(B52,baru!$B$2:$I$2271,6,FALSE)</f>
        <v>BANDUNG BARAT</v>
      </c>
    </row>
    <row r="53" spans="1:12" hidden="1" x14ac:dyDescent="0.35">
      <c r="A53" s="6">
        <v>409953</v>
      </c>
      <c r="B53" s="7" t="str">
        <f>"3328010304840003"</f>
        <v>3328010304840003</v>
      </c>
      <c r="C53" s="7" t="s">
        <v>220</v>
      </c>
      <c r="D53" s="7" t="s">
        <v>10</v>
      </c>
      <c r="E53" s="7" t="s">
        <v>11</v>
      </c>
      <c r="F53" s="7" t="s">
        <v>91</v>
      </c>
      <c r="G53" s="7" t="s">
        <v>221</v>
      </c>
      <c r="H53" s="7" t="s">
        <v>222</v>
      </c>
      <c r="I53" s="8" t="s">
        <v>222</v>
      </c>
    </row>
    <row r="54" spans="1:12" hidden="1" x14ac:dyDescent="0.35">
      <c r="A54" s="13">
        <v>1469913</v>
      </c>
      <c r="B54" s="14" t="str">
        <f>"3328010305910006"</f>
        <v>3328010305910006</v>
      </c>
      <c r="C54" s="14" t="s">
        <v>224</v>
      </c>
      <c r="D54" s="14" t="s">
        <v>10</v>
      </c>
      <c r="E54" s="14" t="s">
        <v>11</v>
      </c>
      <c r="F54" s="14" t="s">
        <v>18</v>
      </c>
      <c r="G54" s="14" t="s">
        <v>19</v>
      </c>
      <c r="H54" s="14" t="s">
        <v>20</v>
      </c>
      <c r="I54" s="15" t="s">
        <v>145</v>
      </c>
      <c r="J54" s="16" t="str">
        <f>VLOOKUP(B54,baru!$B$2:$I$2271,4,FALSE)</f>
        <v>Reguler</v>
      </c>
      <c r="K54" s="16" t="str">
        <f>VLOOKUP(B54,baru!$B$2:$I$2271,5,FALSE)</f>
        <v>KEPULAUAN BANGKA BELITUNG</v>
      </c>
      <c r="L54" s="16" t="str">
        <f>VLOOKUP(B54,baru!$B$2:$I$2271,6,FALSE)</f>
        <v>BANGKA</v>
      </c>
    </row>
    <row r="55" spans="1:12" hidden="1" x14ac:dyDescent="0.35">
      <c r="A55" s="6">
        <v>981017</v>
      </c>
      <c r="B55" s="7" t="str">
        <f>"3328010309900004"</f>
        <v>3328010309900004</v>
      </c>
      <c r="C55" s="7" t="s">
        <v>229</v>
      </c>
      <c r="D55" s="7" t="s">
        <v>10</v>
      </c>
      <c r="E55" s="7" t="s">
        <v>11</v>
      </c>
      <c r="F55" s="7" t="s">
        <v>50</v>
      </c>
      <c r="G55" s="7" t="s">
        <v>51</v>
      </c>
      <c r="H55" s="7" t="s">
        <v>78</v>
      </c>
      <c r="I55" s="8" t="s">
        <v>81</v>
      </c>
    </row>
    <row r="56" spans="1:12" hidden="1" x14ac:dyDescent="0.35">
      <c r="A56" s="6">
        <v>505097</v>
      </c>
      <c r="B56" s="7" t="str">
        <f>"3328010603030006"</f>
        <v>3328010603030006</v>
      </c>
      <c r="C56" s="7" t="s">
        <v>231</v>
      </c>
      <c r="D56" s="7" t="s">
        <v>10</v>
      </c>
      <c r="E56" s="7" t="s">
        <v>11</v>
      </c>
      <c r="F56" s="7" t="s">
        <v>232</v>
      </c>
      <c r="G56" s="7" t="s">
        <v>233</v>
      </c>
      <c r="H56" s="7" t="s">
        <v>234</v>
      </c>
      <c r="I56" s="8" t="s">
        <v>235</v>
      </c>
    </row>
    <row r="57" spans="1:12" hidden="1" x14ac:dyDescent="0.35">
      <c r="A57" s="6">
        <v>354549</v>
      </c>
      <c r="B57" s="7" t="str">
        <f>"3328010605750002"</f>
        <v>3328010605750002</v>
      </c>
      <c r="C57" s="7" t="s">
        <v>236</v>
      </c>
      <c r="D57" s="7" t="s">
        <v>10</v>
      </c>
      <c r="E57" s="7" t="s">
        <v>11</v>
      </c>
      <c r="F57" s="7" t="s">
        <v>91</v>
      </c>
      <c r="G57" s="7" t="s">
        <v>92</v>
      </c>
      <c r="H57" s="7" t="s">
        <v>237</v>
      </c>
      <c r="I57" s="8" t="s">
        <v>150</v>
      </c>
    </row>
    <row r="58" spans="1:12" hidden="1" x14ac:dyDescent="0.35">
      <c r="A58" s="6">
        <v>363417</v>
      </c>
      <c r="B58" s="7" t="str">
        <f>"3328010605920007"</f>
        <v>3328010605920007</v>
      </c>
      <c r="C58" s="7" t="s">
        <v>239</v>
      </c>
      <c r="D58" s="7" t="s">
        <v>10</v>
      </c>
      <c r="E58" s="7" t="s">
        <v>11</v>
      </c>
      <c r="F58" s="7" t="s">
        <v>240</v>
      </c>
      <c r="G58" s="7" t="s">
        <v>241</v>
      </c>
      <c r="H58" s="7" t="s">
        <v>242</v>
      </c>
      <c r="I58" s="8" t="s">
        <v>243</v>
      </c>
    </row>
    <row r="59" spans="1:12" hidden="1" x14ac:dyDescent="0.35">
      <c r="A59" s="6">
        <v>165725</v>
      </c>
      <c r="B59" s="7" t="str">
        <f>"3328010608800006"</f>
        <v>3328010608800006</v>
      </c>
      <c r="C59" s="7" t="s">
        <v>245</v>
      </c>
      <c r="D59" s="7" t="s">
        <v>10</v>
      </c>
      <c r="E59" s="7" t="s">
        <v>11</v>
      </c>
      <c r="F59" s="7" t="s">
        <v>50</v>
      </c>
      <c r="G59" s="7" t="s">
        <v>72</v>
      </c>
      <c r="H59" s="7" t="s">
        <v>246</v>
      </c>
      <c r="I59" s="8" t="s">
        <v>247</v>
      </c>
    </row>
    <row r="60" spans="1:12" hidden="1" x14ac:dyDescent="0.35">
      <c r="A60" s="13">
        <v>1466667</v>
      </c>
      <c r="B60" s="14" t="str">
        <f>"3328010703040001"</f>
        <v>3328010703040001</v>
      </c>
      <c r="C60" s="14" t="s">
        <v>249</v>
      </c>
      <c r="D60" s="14" t="s">
        <v>10</v>
      </c>
      <c r="E60" s="14" t="s">
        <v>11</v>
      </c>
      <c r="F60" s="14" t="s">
        <v>18</v>
      </c>
      <c r="G60" s="14" t="s">
        <v>19</v>
      </c>
      <c r="H60" s="14" t="s">
        <v>20</v>
      </c>
      <c r="I60" s="15" t="s">
        <v>145</v>
      </c>
      <c r="J60" s="16" t="str">
        <f>VLOOKUP(B60,baru!$B$2:$I$2271,4,FALSE)</f>
        <v>Reguler</v>
      </c>
      <c r="K60" s="16" t="str">
        <f>VLOOKUP(B60,baru!$B$2:$I$2271,5,FALSE)</f>
        <v>JAWA TENGAH</v>
      </c>
      <c r="L60" s="16" t="str">
        <f>VLOOKUP(B60,baru!$B$2:$I$2271,6,FALSE)</f>
        <v>TEGAL</v>
      </c>
    </row>
    <row r="61" spans="1:12" hidden="1" x14ac:dyDescent="0.35">
      <c r="A61" s="6">
        <v>259383</v>
      </c>
      <c r="B61" s="7" t="str">
        <f>"3328010704870014"</f>
        <v>3328010704870014</v>
      </c>
      <c r="C61" s="7" t="s">
        <v>253</v>
      </c>
      <c r="D61" s="7" t="s">
        <v>10</v>
      </c>
      <c r="E61" s="7" t="s">
        <v>11</v>
      </c>
      <c r="F61" s="7" t="s">
        <v>44</v>
      </c>
      <c r="G61" s="7" t="s">
        <v>254</v>
      </c>
      <c r="H61" s="7" t="s">
        <v>255</v>
      </c>
      <c r="I61" s="8" t="s">
        <v>256</v>
      </c>
    </row>
    <row r="62" spans="1:12" hidden="1" x14ac:dyDescent="0.35">
      <c r="A62" s="6">
        <v>1447426</v>
      </c>
      <c r="B62" s="7" t="str">
        <f>"3328010711810002"</f>
        <v>3328010711810002</v>
      </c>
      <c r="C62" s="7" t="s">
        <v>257</v>
      </c>
      <c r="D62" s="7" t="s">
        <v>10</v>
      </c>
      <c r="E62" s="7" t="s">
        <v>11</v>
      </c>
      <c r="F62" s="7" t="s">
        <v>18</v>
      </c>
      <c r="G62" s="7" t="s">
        <v>19</v>
      </c>
      <c r="H62" s="7" t="s">
        <v>20</v>
      </c>
      <c r="I62" s="8" t="s">
        <v>53</v>
      </c>
      <c r="J62" t="e">
        <f>VLOOKUP(B62,baru!$B$2:$I$2271,4,FALSE)</f>
        <v>#N/A</v>
      </c>
      <c r="K62" t="e">
        <f>VLOOKUP(B62,baru!$B$2:$I$2271,5,FALSE)</f>
        <v>#N/A</v>
      </c>
      <c r="L62" t="e">
        <f>VLOOKUP(B62,baru!$B$2:$I$2271,6,FALSE)</f>
        <v>#N/A</v>
      </c>
    </row>
    <row r="63" spans="1:12" hidden="1" x14ac:dyDescent="0.35">
      <c r="A63" s="6">
        <v>2419007</v>
      </c>
      <c r="B63" s="7" t="str">
        <f>"3328010711810002"</f>
        <v>3328010711810002</v>
      </c>
      <c r="C63" s="7" t="s">
        <v>258</v>
      </c>
      <c r="D63" s="7" t="s">
        <v>10</v>
      </c>
      <c r="E63" s="7" t="s">
        <v>57</v>
      </c>
      <c r="F63" s="7" t="s">
        <v>50</v>
      </c>
      <c r="G63" s="7" t="s">
        <v>58</v>
      </c>
      <c r="H63" s="7" t="s">
        <v>59</v>
      </c>
      <c r="I63" s="8" t="s">
        <v>60</v>
      </c>
    </row>
    <row r="64" spans="1:12" hidden="1" x14ac:dyDescent="0.35">
      <c r="A64" s="6">
        <v>2005369</v>
      </c>
      <c r="B64" s="7" t="str">
        <f>"3328010909850005"</f>
        <v>3328010909850005</v>
      </c>
      <c r="C64" s="7" t="s">
        <v>259</v>
      </c>
      <c r="D64" s="7" t="s">
        <v>10</v>
      </c>
      <c r="E64" s="7" t="s">
        <v>11</v>
      </c>
      <c r="F64" s="7" t="s">
        <v>50</v>
      </c>
      <c r="G64" s="7" t="s">
        <v>58</v>
      </c>
      <c r="H64" s="7" t="s">
        <v>260</v>
      </c>
      <c r="I64" s="8" t="s">
        <v>261</v>
      </c>
    </row>
    <row r="65" spans="1:12" hidden="1" x14ac:dyDescent="0.35">
      <c r="A65" s="13">
        <v>1460690</v>
      </c>
      <c r="B65" s="14" t="str">
        <f>"3328011103880005"</f>
        <v>3328011103880005</v>
      </c>
      <c r="C65" s="14" t="s">
        <v>262</v>
      </c>
      <c r="D65" s="14" t="s">
        <v>10</v>
      </c>
      <c r="E65" s="14" t="s">
        <v>11</v>
      </c>
      <c r="F65" s="14" t="s">
        <v>18</v>
      </c>
      <c r="G65" s="14" t="s">
        <v>19</v>
      </c>
      <c r="H65" s="14" t="s">
        <v>20</v>
      </c>
      <c r="I65" s="15" t="s">
        <v>65</v>
      </c>
      <c r="J65" s="16" t="str">
        <f>VLOOKUP(B65,baru!$B$2:$I$2271,4,FALSE)</f>
        <v>Reguler</v>
      </c>
      <c r="K65" s="16" t="str">
        <f>VLOOKUP(B65,baru!$B$2:$I$2271,5,FALSE)</f>
        <v>JAWA TENGAH</v>
      </c>
      <c r="L65" s="16" t="str">
        <f>VLOOKUP(B65,baru!$B$2:$I$2271,6,FALSE)</f>
        <v>BREBES</v>
      </c>
    </row>
    <row r="66" spans="1:12" x14ac:dyDescent="0.35">
      <c r="A66" s="13">
        <v>1452269</v>
      </c>
      <c r="B66" s="14" t="str">
        <f>"3328011209950006"</f>
        <v>3328011209950006</v>
      </c>
      <c r="C66" s="14" t="s">
        <v>271</v>
      </c>
      <c r="D66" s="14" t="s">
        <v>189</v>
      </c>
      <c r="E66" s="14" t="s">
        <v>11</v>
      </c>
      <c r="F66" s="14" t="s">
        <v>18</v>
      </c>
      <c r="G66" s="14" t="s">
        <v>19</v>
      </c>
      <c r="H66" s="14" t="s">
        <v>20</v>
      </c>
      <c r="I66" s="15" t="s">
        <v>53</v>
      </c>
      <c r="J66" s="16" t="str">
        <f>VLOOKUP(B66,baru!$B$2:$I$2271,4,FALSE)</f>
        <v>Reguler</v>
      </c>
      <c r="K66" s="16" t="str">
        <f>VLOOKUP(B66,baru!$B$2:$I$2271,5,FALSE)</f>
        <v>JAWA TENGAH</v>
      </c>
      <c r="L66" s="16" t="str">
        <f>VLOOKUP(B66,baru!$B$2:$I$2271,6,FALSE)</f>
        <v>KOTA TEGAL</v>
      </c>
    </row>
    <row r="67" spans="1:12" hidden="1" x14ac:dyDescent="0.35">
      <c r="A67" s="13">
        <v>1531152</v>
      </c>
      <c r="B67" s="14" t="str">
        <f>"3328011210850007"</f>
        <v>3328011210850007</v>
      </c>
      <c r="C67" s="14" t="s">
        <v>272</v>
      </c>
      <c r="D67" s="14" t="s">
        <v>10</v>
      </c>
      <c r="E67" s="14" t="s">
        <v>11</v>
      </c>
      <c r="F67" s="14" t="s">
        <v>18</v>
      </c>
      <c r="G67" s="14" t="s">
        <v>19</v>
      </c>
      <c r="H67" s="14" t="s">
        <v>20</v>
      </c>
      <c r="I67" s="15" t="s">
        <v>21</v>
      </c>
      <c r="J67" s="16" t="str">
        <f>VLOOKUP(B67,baru!$B$2:$I$2271,4,FALSE)</f>
        <v>Reguler</v>
      </c>
      <c r="K67" s="16" t="str">
        <f>VLOOKUP(B67,baru!$B$2:$I$2271,5,FALSE)</f>
        <v>JAWA TENGAH</v>
      </c>
      <c r="L67" s="16" t="str">
        <f>VLOOKUP(B67,baru!$B$2:$I$2271,6,FALSE)</f>
        <v>BREBES</v>
      </c>
    </row>
    <row r="68" spans="1:12" hidden="1" x14ac:dyDescent="0.35">
      <c r="A68" s="6">
        <v>1459696</v>
      </c>
      <c r="B68" s="7" t="str">
        <f>"3328011212790011"</f>
        <v>3328011212790011</v>
      </c>
      <c r="C68" s="7" t="s">
        <v>275</v>
      </c>
      <c r="D68" s="7" t="s">
        <v>10</v>
      </c>
      <c r="E68" s="7" t="s">
        <v>11</v>
      </c>
      <c r="F68" s="7" t="s">
        <v>18</v>
      </c>
      <c r="G68" s="7" t="s">
        <v>19</v>
      </c>
      <c r="H68" s="7" t="s">
        <v>20</v>
      </c>
      <c r="I68" s="8" t="s">
        <v>76</v>
      </c>
      <c r="J68" t="e">
        <f>VLOOKUP(B68,baru!$B$2:$I$2271,4,FALSE)</f>
        <v>#N/A</v>
      </c>
      <c r="K68" t="e">
        <f>VLOOKUP(B68,baru!$B$2:$I$2271,5,FALSE)</f>
        <v>#N/A</v>
      </c>
      <c r="L68" t="e">
        <f>VLOOKUP(B68,baru!$B$2:$I$2271,6,FALSE)</f>
        <v>#N/A</v>
      </c>
    </row>
    <row r="69" spans="1:12" hidden="1" x14ac:dyDescent="0.35">
      <c r="A69" s="6">
        <v>423828</v>
      </c>
      <c r="B69" s="7" t="str">
        <f>"3328011212790011"</f>
        <v>3328011212790011</v>
      </c>
      <c r="C69" s="7" t="s">
        <v>276</v>
      </c>
      <c r="D69" s="7" t="s">
        <v>10</v>
      </c>
      <c r="E69" s="7" t="s">
        <v>57</v>
      </c>
      <c r="F69" s="7" t="s">
        <v>18</v>
      </c>
      <c r="G69" s="7" t="s">
        <v>268</v>
      </c>
      <c r="H69" s="7" t="s">
        <v>277</v>
      </c>
      <c r="I69" s="8" t="s">
        <v>278</v>
      </c>
    </row>
    <row r="70" spans="1:12" hidden="1" x14ac:dyDescent="0.35">
      <c r="A70" s="6">
        <v>633126</v>
      </c>
      <c r="B70" s="7" t="str">
        <f>"3328011402030003"</f>
        <v>3328011402030003</v>
      </c>
      <c r="C70" s="7" t="s">
        <v>279</v>
      </c>
      <c r="D70" s="7" t="s">
        <v>10</v>
      </c>
      <c r="E70" s="7" t="s">
        <v>11</v>
      </c>
      <c r="F70" s="7" t="s">
        <v>50</v>
      </c>
      <c r="G70" s="7" t="s">
        <v>280</v>
      </c>
      <c r="H70" s="7" t="s">
        <v>281</v>
      </c>
      <c r="I70" s="8" t="s">
        <v>282</v>
      </c>
    </row>
    <row r="71" spans="1:12" hidden="1" x14ac:dyDescent="0.35">
      <c r="A71" s="6">
        <v>1357276</v>
      </c>
      <c r="B71" s="7" t="str">
        <f>"3328011502550003"</f>
        <v>3328011502550003</v>
      </c>
      <c r="C71" s="7" t="s">
        <v>283</v>
      </c>
      <c r="D71" s="7" t="s">
        <v>10</v>
      </c>
      <c r="E71" s="7" t="s">
        <v>11</v>
      </c>
      <c r="F71" s="7" t="s">
        <v>50</v>
      </c>
      <c r="G71" s="7" t="s">
        <v>51</v>
      </c>
      <c r="H71" s="7" t="s">
        <v>284</v>
      </c>
      <c r="I71" s="8" t="s">
        <v>285</v>
      </c>
    </row>
    <row r="72" spans="1:12" hidden="1" x14ac:dyDescent="0.35">
      <c r="A72" s="6">
        <v>2097809</v>
      </c>
      <c r="B72" s="7" t="str">
        <f>"3328011503730004"</f>
        <v>3328011503730004</v>
      </c>
      <c r="C72" s="7" t="s">
        <v>286</v>
      </c>
      <c r="D72" s="7" t="s">
        <v>10</v>
      </c>
      <c r="E72" s="7" t="s">
        <v>11</v>
      </c>
      <c r="F72" s="7" t="s">
        <v>91</v>
      </c>
      <c r="G72" s="7" t="s">
        <v>92</v>
      </c>
      <c r="H72" s="7" t="s">
        <v>287</v>
      </c>
      <c r="I72" s="8" t="s">
        <v>248</v>
      </c>
    </row>
    <row r="73" spans="1:12" hidden="1" x14ac:dyDescent="0.35">
      <c r="A73" s="13">
        <v>1931531</v>
      </c>
      <c r="B73" s="14" t="str">
        <f>"3328011503930008"</f>
        <v>3328011503930008</v>
      </c>
      <c r="C73" s="14" t="s">
        <v>288</v>
      </c>
      <c r="D73" s="14" t="s">
        <v>10</v>
      </c>
      <c r="E73" s="14" t="s">
        <v>11</v>
      </c>
      <c r="F73" s="14" t="s">
        <v>18</v>
      </c>
      <c r="G73" s="14" t="s">
        <v>19</v>
      </c>
      <c r="H73" s="14" t="s">
        <v>20</v>
      </c>
      <c r="I73" s="15" t="s">
        <v>48</v>
      </c>
      <c r="J73" s="16" t="str">
        <f>VLOOKUP(B73,baru!$B$2:$I$2271,4,FALSE)</f>
        <v>Reguler</v>
      </c>
      <c r="K73" s="16" t="str">
        <f>VLOOKUP(B73,baru!$B$2:$I$2271,5,FALSE)</f>
        <v>JAWA TENGAH</v>
      </c>
      <c r="L73" s="16" t="str">
        <f>VLOOKUP(B73,baru!$B$2:$I$2271,6,FALSE)</f>
        <v>BREBES</v>
      </c>
    </row>
    <row r="74" spans="1:12" hidden="1" x14ac:dyDescent="0.35">
      <c r="A74" s="13">
        <v>1677528</v>
      </c>
      <c r="B74" s="14" t="str">
        <f>"3328011511980004"</f>
        <v>3328011511980004</v>
      </c>
      <c r="C74" s="14" t="s">
        <v>291</v>
      </c>
      <c r="D74" s="14" t="s">
        <v>10</v>
      </c>
      <c r="E74" s="14" t="s">
        <v>11</v>
      </c>
      <c r="F74" s="14" t="s">
        <v>18</v>
      </c>
      <c r="G74" s="14" t="s">
        <v>19</v>
      </c>
      <c r="H74" s="14" t="s">
        <v>20</v>
      </c>
      <c r="I74" s="15" t="s">
        <v>23</v>
      </c>
      <c r="J74" s="16" t="str">
        <f>VLOOKUP(B74,baru!$B$2:$I$2271,4,FALSE)</f>
        <v>Reguler</v>
      </c>
      <c r="K74" s="16" t="str">
        <f>VLOOKUP(B74,baru!$B$2:$I$2271,5,FALSE)</f>
        <v>JAWA TENGAH</v>
      </c>
      <c r="L74" s="16" t="str">
        <f>VLOOKUP(B74,baru!$B$2:$I$2271,6,FALSE)</f>
        <v>CILACAP</v>
      </c>
    </row>
    <row r="75" spans="1:12" hidden="1" x14ac:dyDescent="0.35">
      <c r="A75" s="6">
        <v>2242485</v>
      </c>
      <c r="B75" s="7" t="str">
        <f>"3328011601860003"</f>
        <v>3328011601860003</v>
      </c>
      <c r="C75" s="7" t="s">
        <v>294</v>
      </c>
      <c r="D75" s="7" t="s">
        <v>10</v>
      </c>
      <c r="E75" s="7" t="s">
        <v>11</v>
      </c>
      <c r="F75" s="7" t="s">
        <v>18</v>
      </c>
      <c r="G75" s="7" t="s">
        <v>199</v>
      </c>
      <c r="H75" s="7" t="s">
        <v>200</v>
      </c>
      <c r="I75" s="8" t="s">
        <v>295</v>
      </c>
    </row>
    <row r="76" spans="1:12" hidden="1" x14ac:dyDescent="0.35">
      <c r="A76" s="6">
        <v>129361</v>
      </c>
      <c r="B76" s="7" t="str">
        <f>"3328011704050003"</f>
        <v>3328011704050003</v>
      </c>
      <c r="C76" s="7" t="s">
        <v>297</v>
      </c>
      <c r="D76" s="7" t="s">
        <v>10</v>
      </c>
      <c r="E76" s="7" t="s">
        <v>11</v>
      </c>
      <c r="F76" s="7" t="s">
        <v>18</v>
      </c>
      <c r="G76" s="7" t="s">
        <v>298</v>
      </c>
      <c r="H76" s="7" t="s">
        <v>299</v>
      </c>
      <c r="I76" s="8" t="s">
        <v>300</v>
      </c>
    </row>
    <row r="77" spans="1:12" hidden="1" x14ac:dyDescent="0.35">
      <c r="A77" s="13">
        <v>1446587</v>
      </c>
      <c r="B77" s="14" t="str">
        <f>"3328011705820008"</f>
        <v>3328011705820008</v>
      </c>
      <c r="C77" s="14" t="s">
        <v>302</v>
      </c>
      <c r="D77" s="14" t="s">
        <v>10</v>
      </c>
      <c r="E77" s="14" t="s">
        <v>11</v>
      </c>
      <c r="F77" s="14" t="s">
        <v>18</v>
      </c>
      <c r="G77" s="14" t="s">
        <v>19</v>
      </c>
      <c r="H77" s="14" t="s">
        <v>20</v>
      </c>
      <c r="I77" s="15" t="s">
        <v>53</v>
      </c>
      <c r="J77" s="16" t="str">
        <f>VLOOKUP(B77,baru!$B$2:$I$2271,4,FALSE)</f>
        <v>Reguler</v>
      </c>
      <c r="K77" s="16" t="str">
        <f>VLOOKUP(B77,baru!$B$2:$I$2271,5,FALSE)</f>
        <v>JAWA TIMUR</v>
      </c>
      <c r="L77" s="16" t="str">
        <f>VLOOKUP(B77,baru!$B$2:$I$2271,6,FALSE)</f>
        <v>NGAWI</v>
      </c>
    </row>
    <row r="78" spans="1:12" hidden="1" x14ac:dyDescent="0.35">
      <c r="A78" s="13">
        <v>1679564</v>
      </c>
      <c r="B78" s="14" t="str">
        <f>"3328011707960003"</f>
        <v>3328011707960003</v>
      </c>
      <c r="C78" s="14" t="s">
        <v>306</v>
      </c>
      <c r="D78" s="14" t="s">
        <v>10</v>
      </c>
      <c r="E78" s="14" t="s">
        <v>11</v>
      </c>
      <c r="F78" s="14" t="s">
        <v>18</v>
      </c>
      <c r="G78" s="14" t="s">
        <v>19</v>
      </c>
      <c r="H78" s="14" t="s">
        <v>20</v>
      </c>
      <c r="I78" s="15" t="s">
        <v>23</v>
      </c>
      <c r="J78" s="16" t="str">
        <f>VLOOKUP(B78,baru!$B$2:$I$2271,4,FALSE)</f>
        <v>Reguler</v>
      </c>
      <c r="K78" s="16" t="str">
        <f>VLOOKUP(B78,baru!$B$2:$I$2271,5,FALSE)</f>
        <v>JAWA TENGAH</v>
      </c>
      <c r="L78" s="16" t="str">
        <f>VLOOKUP(B78,baru!$B$2:$I$2271,6,FALSE)</f>
        <v>PEKALONGAN</v>
      </c>
    </row>
    <row r="79" spans="1:12" hidden="1" x14ac:dyDescent="0.35">
      <c r="A79" s="6">
        <v>356872</v>
      </c>
      <c r="B79" s="7" t="str">
        <f>"3328011712850002"</f>
        <v>3328011712850002</v>
      </c>
      <c r="C79" s="7" t="s">
        <v>259</v>
      </c>
      <c r="D79" s="7" t="s">
        <v>10</v>
      </c>
      <c r="E79" s="7" t="s">
        <v>11</v>
      </c>
      <c r="F79" s="7" t="s">
        <v>18</v>
      </c>
      <c r="G79" s="7" t="s">
        <v>268</v>
      </c>
      <c r="H79" s="7" t="s">
        <v>269</v>
      </c>
      <c r="I79" s="8" t="s">
        <v>270</v>
      </c>
    </row>
    <row r="80" spans="1:12" x14ac:dyDescent="0.35">
      <c r="A80" s="6">
        <v>404237</v>
      </c>
      <c r="B80" s="7" t="str">
        <f>"3328011810970005"</f>
        <v>3328011810970005</v>
      </c>
      <c r="C80" s="7" t="s">
        <v>309</v>
      </c>
      <c r="D80" s="7" t="s">
        <v>189</v>
      </c>
      <c r="E80" s="7" t="s">
        <v>11</v>
      </c>
      <c r="F80" s="7" t="s">
        <v>18</v>
      </c>
      <c r="G80" s="7" t="s">
        <v>190</v>
      </c>
      <c r="H80" s="7" t="s">
        <v>310</v>
      </c>
      <c r="I80" s="8" t="s">
        <v>311</v>
      </c>
    </row>
    <row r="81" spans="1:12" hidden="1" x14ac:dyDescent="0.35">
      <c r="A81" s="13">
        <v>1445479</v>
      </c>
      <c r="B81" s="14" t="str">
        <f>"3328012109870002"</f>
        <v>3328012109870002</v>
      </c>
      <c r="C81" s="14" t="s">
        <v>314</v>
      </c>
      <c r="D81" s="14" t="s">
        <v>10</v>
      </c>
      <c r="E81" s="14" t="s">
        <v>11</v>
      </c>
      <c r="F81" s="14" t="s">
        <v>18</v>
      </c>
      <c r="G81" s="14" t="s">
        <v>19</v>
      </c>
      <c r="H81" s="14" t="s">
        <v>20</v>
      </c>
      <c r="I81" s="15" t="s">
        <v>53</v>
      </c>
      <c r="J81" s="16" t="str">
        <f>VLOOKUP(B81,baru!$B$2:$I$2271,4,FALSE)</f>
        <v>Reguler</v>
      </c>
      <c r="K81" s="16" t="str">
        <f>VLOOKUP(B81,baru!$B$2:$I$2271,5,FALSE)</f>
        <v>DKI JAKARTA</v>
      </c>
      <c r="L81" s="16" t="str">
        <f>VLOOKUP(B81,baru!$B$2:$I$2271,6,FALSE)</f>
        <v>KOTA JAKARTA TIMUR</v>
      </c>
    </row>
    <row r="82" spans="1:12" hidden="1" x14ac:dyDescent="0.35">
      <c r="A82" s="13">
        <v>1529288</v>
      </c>
      <c r="B82" s="14" t="str">
        <f>"3328012204990007"</f>
        <v>3328012204990007</v>
      </c>
      <c r="C82" s="14" t="s">
        <v>318</v>
      </c>
      <c r="D82" s="14" t="s">
        <v>10</v>
      </c>
      <c r="E82" s="14" t="s">
        <v>11</v>
      </c>
      <c r="F82" s="14" t="s">
        <v>18</v>
      </c>
      <c r="G82" s="14" t="s">
        <v>19</v>
      </c>
      <c r="H82" s="14" t="s">
        <v>20</v>
      </c>
      <c r="I82" s="15" t="s">
        <v>21</v>
      </c>
      <c r="J82" s="16" t="str">
        <f>VLOOKUP(B82,baru!$B$2:$I$2271,4,FALSE)</f>
        <v>Reguler</v>
      </c>
      <c r="K82" s="16" t="str">
        <f>VLOOKUP(B82,baru!$B$2:$I$2271,5,FALSE)</f>
        <v>JAWA BARAT</v>
      </c>
      <c r="L82" s="16" t="str">
        <f>VLOOKUP(B82,baru!$B$2:$I$2271,6,FALSE)</f>
        <v>KARAWANG</v>
      </c>
    </row>
    <row r="83" spans="1:12" hidden="1" x14ac:dyDescent="0.35">
      <c r="A83" s="13">
        <v>1452096</v>
      </c>
      <c r="B83" s="14" t="str">
        <f>"3328012205990008"</f>
        <v>3328012205990008</v>
      </c>
      <c r="C83" s="14" t="s">
        <v>322</v>
      </c>
      <c r="D83" s="14" t="s">
        <v>10</v>
      </c>
      <c r="E83" s="14" t="s">
        <v>11</v>
      </c>
      <c r="F83" s="14" t="s">
        <v>18</v>
      </c>
      <c r="G83" s="14" t="s">
        <v>19</v>
      </c>
      <c r="H83" s="14" t="s">
        <v>20</v>
      </c>
      <c r="I83" s="15" t="s">
        <v>53</v>
      </c>
      <c r="J83" s="16" t="str">
        <f>VLOOKUP(B83,baru!$B$2:$I$2271,4,FALSE)</f>
        <v>Reguler</v>
      </c>
      <c r="K83" s="16" t="str">
        <f>VLOOKUP(B83,baru!$B$2:$I$2271,5,FALSE)</f>
        <v>JAWA TENGAH</v>
      </c>
      <c r="L83" s="16" t="str">
        <f>VLOOKUP(B83,baru!$B$2:$I$2271,6,FALSE)</f>
        <v>BREBES</v>
      </c>
    </row>
    <row r="84" spans="1:12" hidden="1" x14ac:dyDescent="0.35">
      <c r="A84" s="6">
        <v>683476</v>
      </c>
      <c r="B84" s="7" t="str">
        <f>"3328012211770001"</f>
        <v>3328012211770001</v>
      </c>
      <c r="C84" s="7" t="s">
        <v>327</v>
      </c>
      <c r="D84" s="7" t="s">
        <v>10</v>
      </c>
      <c r="E84" s="7" t="s">
        <v>11</v>
      </c>
      <c r="F84" s="7" t="s">
        <v>50</v>
      </c>
      <c r="G84" s="7" t="s">
        <v>58</v>
      </c>
      <c r="H84" s="7" t="s">
        <v>97</v>
      </c>
      <c r="I84" s="8" t="s">
        <v>328</v>
      </c>
    </row>
    <row r="85" spans="1:12" hidden="1" x14ac:dyDescent="0.35">
      <c r="A85" s="6">
        <v>1549769</v>
      </c>
      <c r="B85" s="7" t="str">
        <f>"3328012304970005"</f>
        <v>3328012304970005</v>
      </c>
      <c r="C85" s="7" t="s">
        <v>329</v>
      </c>
      <c r="D85" s="7" t="s">
        <v>10</v>
      </c>
      <c r="E85" s="7" t="s">
        <v>11</v>
      </c>
      <c r="F85" s="7" t="s">
        <v>18</v>
      </c>
      <c r="G85" s="7" t="s">
        <v>264</v>
      </c>
      <c r="H85" s="7" t="s">
        <v>330</v>
      </c>
      <c r="I85" s="8" t="s">
        <v>331</v>
      </c>
    </row>
    <row r="86" spans="1:12" hidden="1" x14ac:dyDescent="0.35">
      <c r="A86" s="6">
        <v>620683</v>
      </c>
      <c r="B86" s="7" t="str">
        <f>"3328012506020005"</f>
        <v>3328012506020005</v>
      </c>
      <c r="C86" s="7" t="s">
        <v>333</v>
      </c>
      <c r="D86" s="7" t="s">
        <v>10</v>
      </c>
      <c r="E86" s="7" t="s">
        <v>11</v>
      </c>
      <c r="F86" s="7" t="s">
        <v>50</v>
      </c>
      <c r="G86" s="7" t="s">
        <v>51</v>
      </c>
      <c r="H86" s="7" t="s">
        <v>78</v>
      </c>
      <c r="I86" s="8" t="s">
        <v>334</v>
      </c>
    </row>
    <row r="87" spans="1:12" hidden="1" x14ac:dyDescent="0.35">
      <c r="A87" s="13">
        <v>2071840</v>
      </c>
      <c r="B87" s="14" t="str">
        <f>"3328012708940001"</f>
        <v>3328012708940001</v>
      </c>
      <c r="C87" s="14" t="s">
        <v>335</v>
      </c>
      <c r="D87" s="14" t="s">
        <v>10</v>
      </c>
      <c r="E87" s="14" t="s">
        <v>11</v>
      </c>
      <c r="F87" s="14" t="s">
        <v>18</v>
      </c>
      <c r="G87" s="14" t="s">
        <v>19</v>
      </c>
      <c r="H87" s="14" t="s">
        <v>20</v>
      </c>
      <c r="I87" s="15" t="s">
        <v>37</v>
      </c>
      <c r="J87" s="16" t="str">
        <f>VLOOKUP(B87,baru!$B$2:$I$2271,4,FALSE)</f>
        <v>Reguler</v>
      </c>
      <c r="K87" s="16" t="str">
        <f>VLOOKUP(B87,baru!$B$2:$I$2271,5,FALSE)</f>
        <v>JAWA TENGAH</v>
      </c>
      <c r="L87" s="16" t="str">
        <f>VLOOKUP(B87,baru!$B$2:$I$2271,6,FALSE)</f>
        <v>TEGAL</v>
      </c>
    </row>
    <row r="88" spans="1:12" hidden="1" x14ac:dyDescent="0.35">
      <c r="A88" s="6">
        <v>427090</v>
      </c>
      <c r="B88" s="7" t="str">
        <f>"3328012708970002"</f>
        <v>3328012708970002</v>
      </c>
      <c r="C88" s="7" t="s">
        <v>337</v>
      </c>
      <c r="D88" s="7" t="s">
        <v>10</v>
      </c>
      <c r="E88" s="7" t="s">
        <v>11</v>
      </c>
      <c r="F88" s="7" t="s">
        <v>33</v>
      </c>
      <c r="G88" s="7" t="s">
        <v>338</v>
      </c>
      <c r="H88" s="7" t="s">
        <v>339</v>
      </c>
      <c r="I88" s="8" t="s">
        <v>340</v>
      </c>
    </row>
    <row r="89" spans="1:12" hidden="1" x14ac:dyDescent="0.35">
      <c r="A89" s="6">
        <v>1890948</v>
      </c>
      <c r="B89" s="7" t="str">
        <f>"3328012806020004"</f>
        <v>3328012806020004</v>
      </c>
      <c r="C89" s="7" t="s">
        <v>341</v>
      </c>
      <c r="D89" s="7" t="s">
        <v>10</v>
      </c>
      <c r="E89" s="7" t="s">
        <v>11</v>
      </c>
      <c r="F89" s="7" t="s">
        <v>50</v>
      </c>
      <c r="G89" s="7" t="s">
        <v>58</v>
      </c>
      <c r="H89" s="7" t="s">
        <v>97</v>
      </c>
      <c r="I89" s="8" t="s">
        <v>342</v>
      </c>
    </row>
    <row r="90" spans="1:12" hidden="1" x14ac:dyDescent="0.35">
      <c r="A90" s="6">
        <v>816423</v>
      </c>
      <c r="B90" s="7" t="str">
        <f>"3328012904000004"</f>
        <v>3328012904000004</v>
      </c>
      <c r="C90" s="7" t="s">
        <v>343</v>
      </c>
      <c r="D90" s="7" t="s">
        <v>10</v>
      </c>
      <c r="E90" s="7" t="s">
        <v>11</v>
      </c>
      <c r="F90" s="7" t="s">
        <v>18</v>
      </c>
      <c r="G90" s="7" t="s">
        <v>264</v>
      </c>
      <c r="H90" s="7" t="s">
        <v>344</v>
      </c>
      <c r="I90" s="8" t="s">
        <v>345</v>
      </c>
    </row>
    <row r="91" spans="1:12" x14ac:dyDescent="0.35">
      <c r="A91" s="13">
        <v>2016159</v>
      </c>
      <c r="B91" s="14" t="str">
        <f>"3328012904910002"</f>
        <v>3328012904910002</v>
      </c>
      <c r="C91" s="14" t="s">
        <v>347</v>
      </c>
      <c r="D91" s="14" t="s">
        <v>189</v>
      </c>
      <c r="E91" s="14" t="s">
        <v>11</v>
      </c>
      <c r="F91" s="14" t="s">
        <v>18</v>
      </c>
      <c r="G91" s="14" t="s">
        <v>19</v>
      </c>
      <c r="H91" s="14" t="s">
        <v>348</v>
      </c>
      <c r="I91" s="15" t="s">
        <v>349</v>
      </c>
      <c r="J91" s="16" t="str">
        <f>VLOOKUP(B91,baru!$B$2:$I$2271,4,FALSE)</f>
        <v>Reguler</v>
      </c>
      <c r="K91" s="16" t="str">
        <f>VLOOKUP(B91,baru!$B$2:$I$2271,5,FALSE)</f>
        <v>JAWA TENGAH</v>
      </c>
      <c r="L91" s="16" t="str">
        <f>VLOOKUP(B91,baru!$B$2:$I$2271,6,FALSE)</f>
        <v>TEGAL</v>
      </c>
    </row>
    <row r="92" spans="1:12" hidden="1" x14ac:dyDescent="0.35">
      <c r="A92" s="13">
        <v>2415239</v>
      </c>
      <c r="B92" s="14" t="str">
        <f>"3328013006870006"</f>
        <v>3328013006870006</v>
      </c>
      <c r="C92" s="14" t="s">
        <v>350</v>
      </c>
      <c r="D92" s="14" t="s">
        <v>10</v>
      </c>
      <c r="E92" s="14" t="s">
        <v>11</v>
      </c>
      <c r="F92" s="14" t="s">
        <v>18</v>
      </c>
      <c r="G92" s="14" t="s">
        <v>19</v>
      </c>
      <c r="H92" s="14" t="s">
        <v>20</v>
      </c>
      <c r="I92" s="15" t="s">
        <v>55</v>
      </c>
      <c r="J92" s="16" t="str">
        <f>VLOOKUP(B92,baru!$B$2:$I$2271,4,FALSE)</f>
        <v>Reguler</v>
      </c>
      <c r="K92" s="16" t="str">
        <f>VLOOKUP(B92,baru!$B$2:$I$2271,5,FALSE)</f>
        <v>JAWA TENGAH</v>
      </c>
      <c r="L92" s="16" t="str">
        <f>VLOOKUP(B92,baru!$B$2:$I$2271,6,FALSE)</f>
        <v>BANYUMAS</v>
      </c>
    </row>
    <row r="93" spans="1:12" hidden="1" x14ac:dyDescent="0.35">
      <c r="A93" s="13">
        <v>1535076</v>
      </c>
      <c r="B93" s="14" t="str">
        <f>"3328013008970006"</f>
        <v>3328013008970006</v>
      </c>
      <c r="C93" s="14" t="s">
        <v>354</v>
      </c>
      <c r="D93" s="14" t="s">
        <v>10</v>
      </c>
      <c r="E93" s="14" t="s">
        <v>11</v>
      </c>
      <c r="F93" s="14" t="s">
        <v>18</v>
      </c>
      <c r="G93" s="14" t="s">
        <v>19</v>
      </c>
      <c r="H93" s="14" t="s">
        <v>20</v>
      </c>
      <c r="I93" s="15" t="s">
        <v>21</v>
      </c>
      <c r="J93" s="16" t="str">
        <f>VLOOKUP(B93,baru!$B$2:$I$2271,4,FALSE)</f>
        <v>Reguler</v>
      </c>
      <c r="K93" s="16" t="str">
        <f>VLOOKUP(B93,baru!$B$2:$I$2271,5,FALSE)</f>
        <v>JAWA TENGAH</v>
      </c>
      <c r="L93" s="16" t="str">
        <f>VLOOKUP(B93,baru!$B$2:$I$2271,6,FALSE)</f>
        <v>KEBUMEN</v>
      </c>
    </row>
    <row r="94" spans="1:12" hidden="1" x14ac:dyDescent="0.35">
      <c r="A94" s="6">
        <v>2071912</v>
      </c>
      <c r="B94" s="7" t="str">
        <f>"3328013112880035"</f>
        <v>3328013112880035</v>
      </c>
      <c r="C94" s="7" t="s">
        <v>357</v>
      </c>
      <c r="D94" s="7" t="s">
        <v>10</v>
      </c>
      <c r="E94" s="7" t="s">
        <v>11</v>
      </c>
      <c r="F94" s="7" t="s">
        <v>18</v>
      </c>
      <c r="G94" s="7" t="s">
        <v>19</v>
      </c>
      <c r="H94" s="7" t="s">
        <v>20</v>
      </c>
      <c r="I94" s="8" t="s">
        <v>37</v>
      </c>
      <c r="J94" t="e">
        <f>VLOOKUP(B94,baru!$B$2:$I$2271,4,FALSE)</f>
        <v>#N/A</v>
      </c>
      <c r="K94" t="e">
        <f>VLOOKUP(B94,baru!$B$2:$I$2271,5,FALSE)</f>
        <v>#N/A</v>
      </c>
      <c r="L94" t="e">
        <f>VLOOKUP(B94,baru!$B$2:$I$2271,6,FALSE)</f>
        <v>#N/A</v>
      </c>
    </row>
    <row r="95" spans="1:12" hidden="1" x14ac:dyDescent="0.35">
      <c r="A95" s="6">
        <v>1637310</v>
      </c>
      <c r="B95" s="7" t="str">
        <f>"3328013112880035"</f>
        <v>3328013112880035</v>
      </c>
      <c r="C95" s="7" t="s">
        <v>358</v>
      </c>
      <c r="D95" s="7" t="s">
        <v>10</v>
      </c>
      <c r="E95" s="7" t="s">
        <v>57</v>
      </c>
      <c r="F95" s="7" t="s">
        <v>18</v>
      </c>
      <c r="G95" s="7" t="s">
        <v>264</v>
      </c>
      <c r="H95" s="7" t="s">
        <v>264</v>
      </c>
      <c r="I95" s="8" t="s">
        <v>264</v>
      </c>
    </row>
    <row r="96" spans="1:12" hidden="1" x14ac:dyDescent="0.35">
      <c r="A96" s="13">
        <v>1456558</v>
      </c>
      <c r="B96" s="14" t="str">
        <f>"3328013112920013"</f>
        <v>3328013112920013</v>
      </c>
      <c r="C96" s="14" t="s">
        <v>359</v>
      </c>
      <c r="D96" s="14" t="s">
        <v>10</v>
      </c>
      <c r="E96" s="14" t="s">
        <v>11</v>
      </c>
      <c r="F96" s="14" t="s">
        <v>18</v>
      </c>
      <c r="G96" s="14" t="s">
        <v>19</v>
      </c>
      <c r="H96" s="14" t="s">
        <v>20</v>
      </c>
      <c r="I96" s="15" t="s">
        <v>76</v>
      </c>
      <c r="J96" s="16" t="str">
        <f>VLOOKUP(B96,baru!$B$2:$I$2271,4,FALSE)</f>
        <v>Reguler</v>
      </c>
      <c r="K96" s="16" t="str">
        <f>VLOOKUP(B96,baru!$B$2:$I$2271,5,FALSE)</f>
        <v>JAWA BARAT</v>
      </c>
      <c r="L96" s="16" t="str">
        <f>VLOOKUP(B96,baru!$B$2:$I$2271,6,FALSE)</f>
        <v>KARAWANG</v>
      </c>
    </row>
    <row r="97" spans="1:12" x14ac:dyDescent="0.35">
      <c r="A97" s="13">
        <v>1458342</v>
      </c>
      <c r="B97" s="14" t="str">
        <f>"3328014102870003"</f>
        <v>3328014102870003</v>
      </c>
      <c r="C97" s="14" t="s">
        <v>362</v>
      </c>
      <c r="D97" s="14" t="s">
        <v>189</v>
      </c>
      <c r="E97" s="14" t="s">
        <v>11</v>
      </c>
      <c r="F97" s="14" t="s">
        <v>18</v>
      </c>
      <c r="G97" s="14" t="s">
        <v>19</v>
      </c>
      <c r="H97" s="14" t="s">
        <v>20</v>
      </c>
      <c r="I97" s="15" t="s">
        <v>76</v>
      </c>
      <c r="J97" s="16" t="str">
        <f>VLOOKUP(B97,baru!$B$2:$I$2271,4,FALSE)</f>
        <v>Reguler</v>
      </c>
      <c r="K97" s="16" t="str">
        <f>VLOOKUP(B97,baru!$B$2:$I$2271,5,FALSE)</f>
        <v>JAWA TENGAH</v>
      </c>
      <c r="L97" s="16" t="str">
        <f>VLOOKUP(B97,baru!$B$2:$I$2271,6,FALSE)</f>
        <v>KEBUMEN</v>
      </c>
    </row>
    <row r="98" spans="1:12" hidden="1" x14ac:dyDescent="0.35">
      <c r="A98" s="13">
        <v>1457396</v>
      </c>
      <c r="B98" s="14" t="str">
        <f>"3328014107860008"</f>
        <v>3328014107860008</v>
      </c>
      <c r="C98" s="14" t="s">
        <v>365</v>
      </c>
      <c r="D98" s="14" t="s">
        <v>10</v>
      </c>
      <c r="E98" s="14" t="s">
        <v>11</v>
      </c>
      <c r="F98" s="14" t="s">
        <v>18</v>
      </c>
      <c r="G98" s="14" t="s">
        <v>19</v>
      </c>
      <c r="H98" s="14" t="s">
        <v>20</v>
      </c>
      <c r="I98" s="15" t="s">
        <v>76</v>
      </c>
      <c r="J98" s="16" t="str">
        <f>VLOOKUP(B98,baru!$B$2:$I$2271,4,FALSE)</f>
        <v>Reguler</v>
      </c>
      <c r="K98" s="16" t="str">
        <f>VLOOKUP(B98,baru!$B$2:$I$2271,5,FALSE)</f>
        <v>DKI JAKARTA</v>
      </c>
      <c r="L98" s="16" t="str">
        <f>VLOOKUP(B98,baru!$B$2:$I$2271,6,FALSE)</f>
        <v>KOTA JAKARTA BARAT</v>
      </c>
    </row>
    <row r="99" spans="1:12" hidden="1" x14ac:dyDescent="0.35">
      <c r="A99" s="6">
        <v>596666</v>
      </c>
      <c r="B99" s="7" t="str">
        <f>"3328014111020003"</f>
        <v>3328014111020003</v>
      </c>
      <c r="C99" s="7" t="s">
        <v>367</v>
      </c>
      <c r="D99" s="7" t="s">
        <v>10</v>
      </c>
      <c r="E99" s="7" t="s">
        <v>11</v>
      </c>
      <c r="F99" s="7" t="s">
        <v>91</v>
      </c>
      <c r="G99" s="7" t="s">
        <v>320</v>
      </c>
      <c r="H99" s="7" t="s">
        <v>368</v>
      </c>
      <c r="I99" s="8" t="s">
        <v>369</v>
      </c>
    </row>
    <row r="100" spans="1:12" hidden="1" x14ac:dyDescent="0.35">
      <c r="A100" s="6">
        <v>233989</v>
      </c>
      <c r="B100" s="7" t="str">
        <f>"3328014208890003"</f>
        <v>3328014208890003</v>
      </c>
      <c r="C100" s="7" t="s">
        <v>370</v>
      </c>
      <c r="D100" s="7" t="s">
        <v>10</v>
      </c>
      <c r="E100" s="7" t="s">
        <v>11</v>
      </c>
      <c r="F100" s="7" t="s">
        <v>18</v>
      </c>
      <c r="G100" s="7" t="s">
        <v>268</v>
      </c>
      <c r="H100" s="7" t="s">
        <v>371</v>
      </c>
      <c r="I100" s="8" t="s">
        <v>372</v>
      </c>
    </row>
    <row r="101" spans="1:12" hidden="1" x14ac:dyDescent="0.35">
      <c r="A101" s="6">
        <v>2069081</v>
      </c>
      <c r="B101" s="7" t="str">
        <f>"3328014211010003"</f>
        <v>3328014211010003</v>
      </c>
      <c r="C101" s="7" t="s">
        <v>374</v>
      </c>
      <c r="D101" s="7" t="s">
        <v>10</v>
      </c>
      <c r="E101" s="7" t="s">
        <v>11</v>
      </c>
      <c r="F101" s="7" t="s">
        <v>18</v>
      </c>
      <c r="G101" s="7" t="s">
        <v>19</v>
      </c>
      <c r="H101" s="7" t="s">
        <v>20</v>
      </c>
      <c r="I101" s="8" t="s">
        <v>37</v>
      </c>
      <c r="J101" t="e">
        <f>VLOOKUP(B101,baru!$B$2:$I$2271,4,FALSE)</f>
        <v>#N/A</v>
      </c>
      <c r="K101" t="e">
        <f>VLOOKUP(B101,baru!$B$2:$I$2271,5,FALSE)</f>
        <v>#N/A</v>
      </c>
      <c r="L101" t="e">
        <f>VLOOKUP(B101,baru!$B$2:$I$2271,6,FALSE)</f>
        <v>#N/A</v>
      </c>
    </row>
    <row r="102" spans="1:12" hidden="1" x14ac:dyDescent="0.35">
      <c r="A102" s="6">
        <v>2595323</v>
      </c>
      <c r="B102" s="7" t="str">
        <f>"3328014211010003"</f>
        <v>3328014211010003</v>
      </c>
      <c r="C102" s="7" t="s">
        <v>374</v>
      </c>
      <c r="D102" s="7" t="s">
        <v>10</v>
      </c>
      <c r="E102" s="7" t="s">
        <v>57</v>
      </c>
      <c r="F102" s="7" t="s">
        <v>67</v>
      </c>
      <c r="G102" s="7" t="s">
        <v>375</v>
      </c>
      <c r="H102" s="7" t="s">
        <v>376</v>
      </c>
      <c r="I102" s="8" t="s">
        <v>377</v>
      </c>
    </row>
    <row r="103" spans="1:12" hidden="1" x14ac:dyDescent="0.35">
      <c r="A103" s="6">
        <v>227697</v>
      </c>
      <c r="B103" s="7" t="str">
        <f>"3328014304960006"</f>
        <v>3328014304960006</v>
      </c>
      <c r="C103" s="7" t="s">
        <v>378</v>
      </c>
      <c r="D103" s="7" t="s">
        <v>10</v>
      </c>
      <c r="E103" s="7" t="s">
        <v>11</v>
      </c>
      <c r="F103" s="7" t="s">
        <v>379</v>
      </c>
      <c r="G103" s="7" t="s">
        <v>380</v>
      </c>
      <c r="H103" s="7" t="s">
        <v>381</v>
      </c>
      <c r="I103" s="8" t="s">
        <v>382</v>
      </c>
    </row>
    <row r="104" spans="1:12" hidden="1" x14ac:dyDescent="0.35">
      <c r="A104" s="13">
        <v>2415020</v>
      </c>
      <c r="B104" s="14" t="str">
        <f>"3328014306870013"</f>
        <v>3328014306870013</v>
      </c>
      <c r="C104" s="14" t="s">
        <v>384</v>
      </c>
      <c r="D104" s="14" t="s">
        <v>10</v>
      </c>
      <c r="E104" s="14" t="s">
        <v>11</v>
      </c>
      <c r="F104" s="14" t="s">
        <v>18</v>
      </c>
      <c r="G104" s="14" t="s">
        <v>19</v>
      </c>
      <c r="H104" s="14" t="s">
        <v>20</v>
      </c>
      <c r="I104" s="15" t="s">
        <v>55</v>
      </c>
      <c r="J104" s="16" t="str">
        <f>VLOOKUP(B104,baru!$B$2:$I$2271,4,FALSE)</f>
        <v>Reguler</v>
      </c>
      <c r="K104" s="16" t="str">
        <f>VLOOKUP(B104,baru!$B$2:$I$2271,5,FALSE)</f>
        <v>JAWA TENGAH</v>
      </c>
      <c r="L104" s="16" t="str">
        <f>VLOOKUP(B104,baru!$B$2:$I$2271,6,FALSE)</f>
        <v>KLATEN</v>
      </c>
    </row>
    <row r="105" spans="1:12" hidden="1" x14ac:dyDescent="0.35">
      <c r="A105" s="13">
        <v>1465458</v>
      </c>
      <c r="B105" s="14" t="str">
        <f>"3328014308860005"</f>
        <v>3328014308860005</v>
      </c>
      <c r="C105" s="14" t="s">
        <v>388</v>
      </c>
      <c r="D105" s="14" t="s">
        <v>10</v>
      </c>
      <c r="E105" s="14" t="s">
        <v>11</v>
      </c>
      <c r="F105" s="14" t="s">
        <v>18</v>
      </c>
      <c r="G105" s="14" t="s">
        <v>19</v>
      </c>
      <c r="H105" s="14" t="s">
        <v>20</v>
      </c>
      <c r="I105" s="15" t="s">
        <v>145</v>
      </c>
      <c r="J105" s="16" t="str">
        <f>VLOOKUP(B105,baru!$B$2:$I$2271,4,FALSE)</f>
        <v>Reguler</v>
      </c>
      <c r="K105" s="16" t="str">
        <f>VLOOKUP(B105,baru!$B$2:$I$2271,5,FALSE)</f>
        <v>JAWA TENGAH</v>
      </c>
      <c r="L105" s="16" t="str">
        <f>VLOOKUP(B105,baru!$B$2:$I$2271,6,FALSE)</f>
        <v>BREBES</v>
      </c>
    </row>
    <row r="106" spans="1:12" hidden="1" x14ac:dyDescent="0.35">
      <c r="A106" s="6">
        <v>354550</v>
      </c>
      <c r="B106" s="7" t="str">
        <f>"3328014507800004"</f>
        <v>3328014507800004</v>
      </c>
      <c r="C106" s="7" t="s">
        <v>389</v>
      </c>
      <c r="D106" s="7" t="s">
        <v>10</v>
      </c>
      <c r="E106" s="7" t="s">
        <v>11</v>
      </c>
      <c r="F106" s="7" t="s">
        <v>91</v>
      </c>
      <c r="G106" s="7" t="s">
        <v>92</v>
      </c>
      <c r="H106" s="7" t="s">
        <v>237</v>
      </c>
      <c r="I106" s="8" t="s">
        <v>150</v>
      </c>
    </row>
    <row r="107" spans="1:12" hidden="1" x14ac:dyDescent="0.35">
      <c r="A107" s="13">
        <v>1463046</v>
      </c>
      <c r="B107" s="14" t="str">
        <f>"3328014507820008"</f>
        <v>3328014507820008</v>
      </c>
      <c r="C107" s="14" t="s">
        <v>391</v>
      </c>
      <c r="D107" s="14" t="s">
        <v>10</v>
      </c>
      <c r="E107" s="14" t="s">
        <v>11</v>
      </c>
      <c r="F107" s="14" t="s">
        <v>18</v>
      </c>
      <c r="G107" s="14" t="s">
        <v>19</v>
      </c>
      <c r="H107" s="14" t="s">
        <v>20</v>
      </c>
      <c r="I107" s="15" t="s">
        <v>145</v>
      </c>
      <c r="J107" s="16" t="str">
        <f>VLOOKUP(B107,baru!$B$2:$I$2271,4,FALSE)</f>
        <v>Reguler</v>
      </c>
      <c r="K107" s="16" t="str">
        <f>VLOOKUP(B107,baru!$B$2:$I$2271,5,FALSE)</f>
        <v>JAWA TENGAH</v>
      </c>
      <c r="L107" s="16" t="str">
        <f>VLOOKUP(B107,baru!$B$2:$I$2271,6,FALSE)</f>
        <v>WONOSOBO</v>
      </c>
    </row>
    <row r="108" spans="1:12" hidden="1" x14ac:dyDescent="0.35">
      <c r="A108" s="13">
        <v>1457089</v>
      </c>
      <c r="B108" s="14" t="str">
        <f>"3328014508990005"</f>
        <v>3328014508990005</v>
      </c>
      <c r="C108" s="14" t="s">
        <v>395</v>
      </c>
      <c r="D108" s="14" t="s">
        <v>10</v>
      </c>
      <c r="E108" s="14" t="s">
        <v>11</v>
      </c>
      <c r="F108" s="14" t="s">
        <v>18</v>
      </c>
      <c r="G108" s="14" t="s">
        <v>19</v>
      </c>
      <c r="H108" s="14" t="s">
        <v>20</v>
      </c>
      <c r="I108" s="15" t="s">
        <v>76</v>
      </c>
      <c r="J108" s="16" t="str">
        <f>VLOOKUP(B108,baru!$B$2:$I$2271,4,FALSE)</f>
        <v>Reguler</v>
      </c>
      <c r="K108" s="16" t="str">
        <f>VLOOKUP(B108,baru!$B$2:$I$2271,5,FALSE)</f>
        <v>JAWA TENGAH</v>
      </c>
      <c r="L108" s="16" t="str">
        <f>VLOOKUP(B108,baru!$B$2:$I$2271,6,FALSE)</f>
        <v>BREBES</v>
      </c>
    </row>
    <row r="109" spans="1:12" hidden="1" x14ac:dyDescent="0.35">
      <c r="A109" s="13">
        <v>2412348</v>
      </c>
      <c r="B109" s="14" t="str">
        <f>"3328014705960007"</f>
        <v>3328014705960007</v>
      </c>
      <c r="C109" s="14" t="s">
        <v>398</v>
      </c>
      <c r="D109" s="14" t="s">
        <v>10</v>
      </c>
      <c r="E109" s="14" t="s">
        <v>11</v>
      </c>
      <c r="F109" s="14" t="s">
        <v>18</v>
      </c>
      <c r="G109" s="14" t="s">
        <v>19</v>
      </c>
      <c r="H109" s="14" t="s">
        <v>20</v>
      </c>
      <c r="I109" s="15" t="s">
        <v>55</v>
      </c>
      <c r="J109" s="16" t="str">
        <f>VLOOKUP(B109,baru!$B$2:$I$2271,4,FALSE)</f>
        <v>Reguler</v>
      </c>
      <c r="K109" s="16" t="str">
        <f>VLOOKUP(B109,baru!$B$2:$I$2271,5,FALSE)</f>
        <v>DKI JAKARTA</v>
      </c>
      <c r="L109" s="16" t="str">
        <f>VLOOKUP(B109,baru!$B$2:$I$2271,6,FALSE)</f>
        <v>KOTA JAKARTA UTARA</v>
      </c>
    </row>
    <row r="110" spans="1:12" hidden="1" x14ac:dyDescent="0.35">
      <c r="A110" s="6">
        <v>658534</v>
      </c>
      <c r="B110" s="7" t="str">
        <f>"3328014812780010"</f>
        <v>3328014812780010</v>
      </c>
      <c r="C110" s="7" t="s">
        <v>401</v>
      </c>
      <c r="D110" s="7" t="s">
        <v>10</v>
      </c>
      <c r="E110" s="7" t="s">
        <v>11</v>
      </c>
      <c r="F110" s="7" t="s">
        <v>50</v>
      </c>
      <c r="G110" s="7" t="s">
        <v>280</v>
      </c>
      <c r="H110" s="7" t="s">
        <v>402</v>
      </c>
      <c r="I110" s="8" t="s">
        <v>402</v>
      </c>
    </row>
    <row r="111" spans="1:12" hidden="1" x14ac:dyDescent="0.35">
      <c r="A111" s="6">
        <v>165726</v>
      </c>
      <c r="B111" s="7" t="str">
        <f>"3328014911870006"</f>
        <v>3328014911870006</v>
      </c>
      <c r="C111" s="7" t="s">
        <v>404</v>
      </c>
      <c r="D111" s="7" t="s">
        <v>10</v>
      </c>
      <c r="E111" s="7" t="s">
        <v>11</v>
      </c>
      <c r="F111" s="7" t="s">
        <v>50</v>
      </c>
      <c r="G111" s="7" t="s">
        <v>72</v>
      </c>
      <c r="H111" s="7" t="s">
        <v>246</v>
      </c>
      <c r="I111" s="8" t="s">
        <v>247</v>
      </c>
    </row>
    <row r="112" spans="1:12" hidden="1" x14ac:dyDescent="0.35">
      <c r="A112" s="13">
        <v>2414525</v>
      </c>
      <c r="B112" s="14" t="str">
        <f>"3328015002880012"</f>
        <v>3328015002880012</v>
      </c>
      <c r="C112" s="14" t="s">
        <v>405</v>
      </c>
      <c r="D112" s="14" t="s">
        <v>10</v>
      </c>
      <c r="E112" s="14" t="s">
        <v>11</v>
      </c>
      <c r="F112" s="14" t="s">
        <v>18</v>
      </c>
      <c r="G112" s="14" t="s">
        <v>19</v>
      </c>
      <c r="H112" s="14" t="s">
        <v>20</v>
      </c>
      <c r="I112" s="15" t="s">
        <v>55</v>
      </c>
      <c r="J112" s="16" t="str">
        <f>VLOOKUP(B112,baru!$B$2:$I$2271,4,FALSE)</f>
        <v>Reguler</v>
      </c>
      <c r="K112" s="16" t="str">
        <f>VLOOKUP(B112,baru!$B$2:$I$2271,5,FALSE)</f>
        <v>DKI JAKARTA</v>
      </c>
      <c r="L112" s="16" t="str">
        <f>VLOOKUP(B112,baru!$B$2:$I$2271,6,FALSE)</f>
        <v>KOTA JAKARTA TIMUR</v>
      </c>
    </row>
    <row r="113" spans="1:12" hidden="1" x14ac:dyDescent="0.35">
      <c r="A113" s="6">
        <v>1064368</v>
      </c>
      <c r="B113" s="7" t="str">
        <f>"3328015104010001"</f>
        <v>3328015104010001</v>
      </c>
      <c r="C113" s="7" t="s">
        <v>408</v>
      </c>
      <c r="D113" s="7" t="s">
        <v>10</v>
      </c>
      <c r="E113" s="7" t="s">
        <v>11</v>
      </c>
      <c r="F113" s="7" t="s">
        <v>91</v>
      </c>
      <c r="G113" s="7" t="s">
        <v>320</v>
      </c>
      <c r="H113" s="7" t="s">
        <v>409</v>
      </c>
      <c r="I113" s="8" t="s">
        <v>410</v>
      </c>
    </row>
    <row r="114" spans="1:12" hidden="1" x14ac:dyDescent="0.35">
      <c r="A114" s="6">
        <v>67224</v>
      </c>
      <c r="B114" s="7" t="str">
        <f>"3328015106960004"</f>
        <v>3328015106960004</v>
      </c>
      <c r="C114" s="7" t="s">
        <v>411</v>
      </c>
      <c r="D114" s="7" t="s">
        <v>10</v>
      </c>
      <c r="E114" s="7" t="s">
        <v>11</v>
      </c>
      <c r="F114" s="7" t="s">
        <v>412</v>
      </c>
      <c r="G114" s="7" t="s">
        <v>413</v>
      </c>
      <c r="H114" s="7" t="s">
        <v>414</v>
      </c>
      <c r="I114" s="8" t="s">
        <v>415</v>
      </c>
    </row>
    <row r="115" spans="1:12" hidden="1" x14ac:dyDescent="0.35">
      <c r="A115" s="6">
        <v>2250600</v>
      </c>
      <c r="B115" s="7" t="str">
        <f>"3328015204780003"</f>
        <v>3328015204780003</v>
      </c>
      <c r="C115" s="7" t="s">
        <v>416</v>
      </c>
      <c r="D115" s="7" t="s">
        <v>10</v>
      </c>
      <c r="E115" s="7" t="s">
        <v>11</v>
      </c>
      <c r="F115" s="7" t="s">
        <v>50</v>
      </c>
      <c r="G115" s="7" t="s">
        <v>58</v>
      </c>
      <c r="H115" s="7" t="s">
        <v>417</v>
      </c>
      <c r="I115" s="8" t="s">
        <v>418</v>
      </c>
    </row>
    <row r="116" spans="1:12" hidden="1" x14ac:dyDescent="0.35">
      <c r="A116" s="6">
        <v>50886</v>
      </c>
      <c r="B116" s="7" t="str">
        <f>"3328015305660003"</f>
        <v>3328015305660003</v>
      </c>
      <c r="C116" s="7" t="s">
        <v>420</v>
      </c>
      <c r="D116" s="7" t="s">
        <v>10</v>
      </c>
      <c r="E116" s="7" t="s">
        <v>11</v>
      </c>
      <c r="F116" s="7" t="s">
        <v>211</v>
      </c>
      <c r="G116" s="7" t="s">
        <v>212</v>
      </c>
      <c r="H116" s="7" t="s">
        <v>213</v>
      </c>
      <c r="I116" s="8" t="s">
        <v>213</v>
      </c>
    </row>
    <row r="117" spans="1:12" hidden="1" x14ac:dyDescent="0.35">
      <c r="A117" s="13">
        <v>2418124</v>
      </c>
      <c r="B117" s="14" t="str">
        <f>"3328015306940001"</f>
        <v>3328015306940001</v>
      </c>
      <c r="C117" s="14" t="s">
        <v>421</v>
      </c>
      <c r="D117" s="14" t="s">
        <v>10</v>
      </c>
      <c r="E117" s="14" t="s">
        <v>11</v>
      </c>
      <c r="F117" s="14" t="s">
        <v>18</v>
      </c>
      <c r="G117" s="14" t="s">
        <v>19</v>
      </c>
      <c r="H117" s="14" t="s">
        <v>20</v>
      </c>
      <c r="I117" s="15" t="s">
        <v>55</v>
      </c>
      <c r="J117" s="16" t="str">
        <f>VLOOKUP(B117,baru!$B$2:$I$2271,4,FALSE)</f>
        <v>Reguler</v>
      </c>
      <c r="K117" s="16" t="str">
        <f>VLOOKUP(B117,baru!$B$2:$I$2271,5,FALSE)</f>
        <v>JAWA TENGAH</v>
      </c>
      <c r="L117" s="16" t="str">
        <f>VLOOKUP(B117,baru!$B$2:$I$2271,6,FALSE)</f>
        <v>KLATEN</v>
      </c>
    </row>
    <row r="118" spans="1:12" hidden="1" x14ac:dyDescent="0.35">
      <c r="A118" s="6">
        <v>414876</v>
      </c>
      <c r="B118" s="7" t="str">
        <f>"3328015801840001"</f>
        <v>3328015801840001</v>
      </c>
      <c r="C118" s="7" t="s">
        <v>424</v>
      </c>
      <c r="D118" s="7" t="s">
        <v>10</v>
      </c>
      <c r="E118" s="7" t="s">
        <v>11</v>
      </c>
      <c r="F118" s="7" t="s">
        <v>50</v>
      </c>
      <c r="G118" s="7" t="s">
        <v>51</v>
      </c>
      <c r="H118" s="7" t="s">
        <v>425</v>
      </c>
      <c r="I118" s="8" t="s">
        <v>426</v>
      </c>
    </row>
    <row r="119" spans="1:12" hidden="1" x14ac:dyDescent="0.35">
      <c r="A119" s="13">
        <v>2064912</v>
      </c>
      <c r="B119" s="14" t="str">
        <f>"3328015811970002"</f>
        <v>3328015811970002</v>
      </c>
      <c r="C119" s="14" t="s">
        <v>427</v>
      </c>
      <c r="D119" s="14" t="s">
        <v>10</v>
      </c>
      <c r="E119" s="14" t="s">
        <v>11</v>
      </c>
      <c r="F119" s="14" t="s">
        <v>18</v>
      </c>
      <c r="G119" s="14" t="s">
        <v>19</v>
      </c>
      <c r="H119" s="14" t="s">
        <v>20</v>
      </c>
      <c r="I119" s="15" t="s">
        <v>20</v>
      </c>
      <c r="J119" s="16" t="str">
        <f>VLOOKUP(B119,baru!$B$2:$I$2271,4,FALSE)</f>
        <v>Reguler</v>
      </c>
      <c r="K119" s="16" t="str">
        <f>VLOOKUP(B119,baru!$B$2:$I$2271,5,FALSE)</f>
        <v>JAWA TENGAH</v>
      </c>
      <c r="L119" s="16" t="str">
        <f>VLOOKUP(B119,baru!$B$2:$I$2271,6,FALSE)</f>
        <v>CILACAP</v>
      </c>
    </row>
    <row r="120" spans="1:12" hidden="1" x14ac:dyDescent="0.35">
      <c r="A120" s="13">
        <v>2413840</v>
      </c>
      <c r="B120" s="14" t="str">
        <f>"3328016009880010"</f>
        <v>3328016009880010</v>
      </c>
      <c r="C120" s="14" t="s">
        <v>430</v>
      </c>
      <c r="D120" s="14" t="s">
        <v>10</v>
      </c>
      <c r="E120" s="14" t="s">
        <v>11</v>
      </c>
      <c r="F120" s="14" t="s">
        <v>18</v>
      </c>
      <c r="G120" s="14" t="s">
        <v>19</v>
      </c>
      <c r="H120" s="14" t="s">
        <v>20</v>
      </c>
      <c r="I120" s="15" t="s">
        <v>55</v>
      </c>
      <c r="J120" s="16" t="str">
        <f>VLOOKUP(B120,baru!$B$2:$I$2271,4,FALSE)</f>
        <v>Reguler</v>
      </c>
      <c r="K120" s="16" t="str">
        <f>VLOOKUP(B120,baru!$B$2:$I$2271,5,FALSE)</f>
        <v>DKI JAKARTA</v>
      </c>
      <c r="L120" s="16" t="str">
        <f>VLOOKUP(B120,baru!$B$2:$I$2271,6,FALSE)</f>
        <v>KOTA JAKARTA UTARA</v>
      </c>
    </row>
    <row r="121" spans="1:12" hidden="1" x14ac:dyDescent="0.35">
      <c r="A121" s="6">
        <v>683477</v>
      </c>
      <c r="B121" s="7" t="str">
        <f>"3328016011820001"</f>
        <v>3328016011820001</v>
      </c>
      <c r="C121" s="7" t="s">
        <v>432</v>
      </c>
      <c r="D121" s="7" t="s">
        <v>10</v>
      </c>
      <c r="E121" s="7" t="s">
        <v>11</v>
      </c>
      <c r="F121" s="7" t="s">
        <v>50</v>
      </c>
      <c r="G121" s="7" t="s">
        <v>58</v>
      </c>
      <c r="H121" s="7" t="s">
        <v>97</v>
      </c>
      <c r="I121" s="8" t="s">
        <v>328</v>
      </c>
    </row>
    <row r="122" spans="1:12" hidden="1" x14ac:dyDescent="0.35">
      <c r="A122" s="6">
        <v>414875</v>
      </c>
      <c r="B122" s="7" t="str">
        <f>"3328016101060005"</f>
        <v>3328016101060005</v>
      </c>
      <c r="C122" s="7" t="s">
        <v>433</v>
      </c>
      <c r="D122" s="7" t="s">
        <v>10</v>
      </c>
      <c r="E122" s="7" t="s">
        <v>11</v>
      </c>
      <c r="F122" s="7" t="s">
        <v>50</v>
      </c>
      <c r="G122" s="7" t="s">
        <v>51</v>
      </c>
      <c r="H122" s="7" t="s">
        <v>425</v>
      </c>
      <c r="I122" s="8" t="s">
        <v>426</v>
      </c>
    </row>
    <row r="123" spans="1:12" hidden="1" x14ac:dyDescent="0.35">
      <c r="A123" s="13">
        <v>1459919</v>
      </c>
      <c r="B123" s="14" t="str">
        <f>"3328016208910016"</f>
        <v>3328016208910016</v>
      </c>
      <c r="C123" s="14" t="s">
        <v>434</v>
      </c>
      <c r="D123" s="14" t="s">
        <v>10</v>
      </c>
      <c r="E123" s="14" t="s">
        <v>11</v>
      </c>
      <c r="F123" s="14" t="s">
        <v>18</v>
      </c>
      <c r="G123" s="14" t="s">
        <v>19</v>
      </c>
      <c r="H123" s="14" t="s">
        <v>20</v>
      </c>
      <c r="I123" s="15" t="s">
        <v>76</v>
      </c>
      <c r="J123" s="16" t="str">
        <f>VLOOKUP(B123,baru!$B$2:$I$2271,4,FALSE)</f>
        <v>Reguler</v>
      </c>
      <c r="K123" s="16" t="str">
        <f>VLOOKUP(B123,baru!$B$2:$I$2271,5,FALSE)</f>
        <v>DKI JAKARTA</v>
      </c>
      <c r="L123" s="16" t="str">
        <f>VLOOKUP(B123,baru!$B$2:$I$2271,6,FALSE)</f>
        <v>KOTA JAKARTA UTARA</v>
      </c>
    </row>
    <row r="124" spans="1:12" hidden="1" x14ac:dyDescent="0.35">
      <c r="A124" s="6">
        <v>650018</v>
      </c>
      <c r="B124" s="7" t="str">
        <f>"3328016312880005"</f>
        <v>3328016312880005</v>
      </c>
      <c r="C124" s="7" t="s">
        <v>437</v>
      </c>
      <c r="D124" s="7" t="s">
        <v>10</v>
      </c>
      <c r="E124" s="7" t="s">
        <v>11</v>
      </c>
      <c r="F124" s="7" t="s">
        <v>91</v>
      </c>
      <c r="G124" s="7" t="s">
        <v>438</v>
      </c>
      <c r="H124" s="7" t="s">
        <v>439</v>
      </c>
      <c r="I124" s="8" t="s">
        <v>440</v>
      </c>
    </row>
    <row r="125" spans="1:12" hidden="1" x14ac:dyDescent="0.35">
      <c r="A125" s="13">
        <v>1468522</v>
      </c>
      <c r="B125" s="14" t="str">
        <f>"3328016703640001"</f>
        <v>3328016703640001</v>
      </c>
      <c r="C125" s="14" t="s">
        <v>442</v>
      </c>
      <c r="D125" s="14" t="s">
        <v>10</v>
      </c>
      <c r="E125" s="14" t="s">
        <v>11</v>
      </c>
      <c r="F125" s="14" t="s">
        <v>18</v>
      </c>
      <c r="G125" s="14" t="s">
        <v>19</v>
      </c>
      <c r="H125" s="14" t="s">
        <v>20</v>
      </c>
      <c r="I125" s="15" t="s">
        <v>145</v>
      </c>
      <c r="J125" s="16" t="str">
        <f>VLOOKUP(B125,baru!$B$2:$I$2271,4,FALSE)</f>
        <v>Reguler</v>
      </c>
      <c r="K125" s="16" t="str">
        <f>VLOOKUP(B125,baru!$B$2:$I$2271,5,FALSE)</f>
        <v>JAWA TENGAH</v>
      </c>
      <c r="L125" s="16" t="str">
        <f>VLOOKUP(B125,baru!$B$2:$I$2271,6,FALSE)</f>
        <v>TEGAL</v>
      </c>
    </row>
    <row r="126" spans="1:12" hidden="1" x14ac:dyDescent="0.35">
      <c r="A126" s="6">
        <v>1729047</v>
      </c>
      <c r="B126" s="7" t="str">
        <f>"3328016804970001"</f>
        <v>3328016804970001</v>
      </c>
      <c r="C126" s="7" t="s">
        <v>444</v>
      </c>
      <c r="D126" s="7" t="s">
        <v>10</v>
      </c>
      <c r="E126" s="7" t="s">
        <v>11</v>
      </c>
      <c r="F126" s="7" t="s">
        <v>50</v>
      </c>
      <c r="G126" s="7" t="s">
        <v>86</v>
      </c>
      <c r="H126" s="7" t="s">
        <v>445</v>
      </c>
      <c r="I126" s="8" t="s">
        <v>446</v>
      </c>
    </row>
    <row r="127" spans="1:12" hidden="1" x14ac:dyDescent="0.35">
      <c r="A127" s="13">
        <v>2421743</v>
      </c>
      <c r="B127" s="14" t="str">
        <f>"3328016809000004"</f>
        <v>3328016809000004</v>
      </c>
      <c r="C127" s="14" t="s">
        <v>447</v>
      </c>
      <c r="D127" s="14" t="s">
        <v>10</v>
      </c>
      <c r="E127" s="14" t="s">
        <v>11</v>
      </c>
      <c r="F127" s="14" t="s">
        <v>18</v>
      </c>
      <c r="G127" s="14" t="s">
        <v>19</v>
      </c>
      <c r="H127" s="14" t="s">
        <v>20</v>
      </c>
      <c r="I127" s="15" t="s">
        <v>55</v>
      </c>
      <c r="J127" s="16" t="str">
        <f>VLOOKUP(B127,baru!$B$2:$I$2271,4,FALSE)</f>
        <v>Reguler</v>
      </c>
      <c r="K127" s="16" t="str">
        <f>VLOOKUP(B127,baru!$B$2:$I$2271,5,FALSE)</f>
        <v>JAWA TENGAH</v>
      </c>
      <c r="L127" s="16" t="str">
        <f>VLOOKUP(B127,baru!$B$2:$I$2271,6,FALSE)</f>
        <v>KOTA TEGAL</v>
      </c>
    </row>
    <row r="128" spans="1:12" hidden="1" x14ac:dyDescent="0.35">
      <c r="A128" s="6">
        <v>1187723</v>
      </c>
      <c r="B128" s="7" t="str">
        <f>"3328016810860005"</f>
        <v>3328016810860005</v>
      </c>
      <c r="C128" s="7" t="s">
        <v>450</v>
      </c>
      <c r="D128" s="7" t="s">
        <v>10</v>
      </c>
      <c r="E128" s="7" t="s">
        <v>11</v>
      </c>
      <c r="F128" s="7" t="s">
        <v>91</v>
      </c>
      <c r="G128" s="7" t="s">
        <v>92</v>
      </c>
      <c r="H128" s="7" t="s">
        <v>128</v>
      </c>
      <c r="I128" s="8" t="s">
        <v>451</v>
      </c>
    </row>
    <row r="129" spans="1:12" hidden="1" x14ac:dyDescent="0.35">
      <c r="A129" s="6">
        <v>683478</v>
      </c>
      <c r="B129" s="7" t="str">
        <f>"3328016911990003"</f>
        <v>3328016911990003</v>
      </c>
      <c r="C129" s="7" t="s">
        <v>453</v>
      </c>
      <c r="D129" s="7" t="s">
        <v>10</v>
      </c>
      <c r="E129" s="7" t="s">
        <v>11</v>
      </c>
      <c r="F129" s="7" t="s">
        <v>50</v>
      </c>
      <c r="G129" s="7" t="s">
        <v>58</v>
      </c>
      <c r="H129" s="7" t="s">
        <v>97</v>
      </c>
      <c r="I129" s="8" t="s">
        <v>328</v>
      </c>
    </row>
    <row r="130" spans="1:12" hidden="1" x14ac:dyDescent="0.35">
      <c r="A130" s="6">
        <v>75417</v>
      </c>
      <c r="B130" s="7" t="str">
        <f>"3328017112730044"</f>
        <v>3328017112730044</v>
      </c>
      <c r="C130" s="7" t="s">
        <v>454</v>
      </c>
      <c r="D130" s="7" t="s">
        <v>10</v>
      </c>
      <c r="E130" s="7" t="s">
        <v>11</v>
      </c>
      <c r="F130" s="7" t="s">
        <v>50</v>
      </c>
      <c r="G130" s="7" t="s">
        <v>280</v>
      </c>
      <c r="H130" s="7" t="s">
        <v>455</v>
      </c>
      <c r="I130" s="8" t="s">
        <v>456</v>
      </c>
    </row>
    <row r="131" spans="1:12" hidden="1" x14ac:dyDescent="0.35">
      <c r="A131" s="6">
        <v>1300541</v>
      </c>
      <c r="B131" s="7" t="str">
        <f>"3328180602800007"</f>
        <v>3328180602800007</v>
      </c>
      <c r="C131" s="7" t="s">
        <v>458</v>
      </c>
      <c r="D131" s="7" t="s">
        <v>10</v>
      </c>
      <c r="E131" s="7" t="s">
        <v>11</v>
      </c>
      <c r="F131" s="7" t="s">
        <v>18</v>
      </c>
      <c r="G131" s="7" t="s">
        <v>264</v>
      </c>
      <c r="H131" s="7" t="s">
        <v>265</v>
      </c>
      <c r="I131" s="8" t="s">
        <v>459</v>
      </c>
    </row>
    <row r="132" spans="1:12" hidden="1" x14ac:dyDescent="0.35">
      <c r="A132" s="13">
        <v>1444376</v>
      </c>
      <c r="B132" s="14" t="str">
        <f>"3329032002930004"</f>
        <v>3329032002930004</v>
      </c>
      <c r="C132" s="14" t="s">
        <v>460</v>
      </c>
      <c r="D132" s="14" t="s">
        <v>10</v>
      </c>
      <c r="E132" s="14" t="s">
        <v>11</v>
      </c>
      <c r="F132" s="14" t="s">
        <v>18</v>
      </c>
      <c r="G132" s="14" t="s">
        <v>19</v>
      </c>
      <c r="H132" s="14" t="s">
        <v>20</v>
      </c>
      <c r="I132" s="15" t="s">
        <v>53</v>
      </c>
      <c r="J132" s="16" t="str">
        <f>VLOOKUP(B132,baru!$B$2:$I$2271,4,FALSE)</f>
        <v>Reguler</v>
      </c>
      <c r="K132" s="16" t="str">
        <f>VLOOKUP(B132,baru!$B$2:$I$2271,5,FALSE)</f>
        <v>JAWA TENGAH</v>
      </c>
      <c r="L132" s="16" t="str">
        <f>VLOOKUP(B132,baru!$B$2:$I$2271,6,FALSE)</f>
        <v>BREBES</v>
      </c>
    </row>
    <row r="133" spans="1:12" hidden="1" x14ac:dyDescent="0.35">
      <c r="A133" s="13">
        <v>1444378</v>
      </c>
      <c r="B133" s="14" t="str">
        <f>"3329035203730006"</f>
        <v>3329035203730006</v>
      </c>
      <c r="C133" s="14" t="s">
        <v>463</v>
      </c>
      <c r="D133" s="14" t="s">
        <v>10</v>
      </c>
      <c r="E133" s="14" t="s">
        <v>11</v>
      </c>
      <c r="F133" s="14" t="s">
        <v>18</v>
      </c>
      <c r="G133" s="14" t="s">
        <v>19</v>
      </c>
      <c r="H133" s="14" t="s">
        <v>20</v>
      </c>
      <c r="I133" s="15" t="s">
        <v>53</v>
      </c>
      <c r="J133" s="16" t="str">
        <f>VLOOKUP(B133,baru!$B$2:$I$2271,4,FALSE)</f>
        <v>Reguler</v>
      </c>
      <c r="K133" s="16" t="str">
        <f>VLOOKUP(B133,baru!$B$2:$I$2271,5,FALSE)</f>
        <v>JAWA TENGAH</v>
      </c>
      <c r="L133" s="16" t="str">
        <f>VLOOKUP(B133,baru!$B$2:$I$2271,6,FALSE)</f>
        <v>BREBES</v>
      </c>
    </row>
    <row r="134" spans="1:12" hidden="1" x14ac:dyDescent="0.35">
      <c r="A134" s="13">
        <v>1933382</v>
      </c>
      <c r="B134" s="14" t="str">
        <f>"3329055208680003"</f>
        <v>3329055208680003</v>
      </c>
      <c r="C134" s="14" t="s">
        <v>464</v>
      </c>
      <c r="D134" s="14" t="s">
        <v>10</v>
      </c>
      <c r="E134" s="14" t="s">
        <v>11</v>
      </c>
      <c r="F134" s="14" t="s">
        <v>18</v>
      </c>
      <c r="G134" s="14" t="s">
        <v>19</v>
      </c>
      <c r="H134" s="14" t="s">
        <v>20</v>
      </c>
      <c r="I134" s="15" t="s">
        <v>48</v>
      </c>
      <c r="J134" s="16" t="str">
        <f>VLOOKUP(B134,baru!$B$2:$I$2271,4,FALSE)</f>
        <v>Reguler</v>
      </c>
      <c r="K134" s="16" t="str">
        <f>VLOOKUP(B134,baru!$B$2:$I$2271,5,FALSE)</f>
        <v>JAWA TENGAH</v>
      </c>
      <c r="L134" s="16" t="str">
        <f>VLOOKUP(B134,baru!$B$2:$I$2271,6,FALSE)</f>
        <v>BREBES</v>
      </c>
    </row>
    <row r="135" spans="1:12" hidden="1" x14ac:dyDescent="0.35">
      <c r="A135" s="6">
        <v>168342</v>
      </c>
      <c r="B135" s="7" t="str">
        <f>"3329061404920001"</f>
        <v>3329061404920001</v>
      </c>
      <c r="C135" s="7" t="s">
        <v>467</v>
      </c>
      <c r="D135" s="7" t="s">
        <v>10</v>
      </c>
      <c r="E135" s="7" t="s">
        <v>11</v>
      </c>
      <c r="F135" s="7" t="s">
        <v>18</v>
      </c>
      <c r="G135" s="7" t="s">
        <v>264</v>
      </c>
      <c r="H135" s="7" t="s">
        <v>468</v>
      </c>
      <c r="I135" s="8" t="s">
        <v>469</v>
      </c>
    </row>
    <row r="136" spans="1:12" hidden="1" x14ac:dyDescent="0.35">
      <c r="A136" s="6">
        <v>1241964</v>
      </c>
      <c r="B136" s="7" t="str">
        <f>"3329070301830006"</f>
        <v>3329070301830006</v>
      </c>
      <c r="C136" s="7" t="s">
        <v>288</v>
      </c>
      <c r="D136" s="7" t="s">
        <v>10</v>
      </c>
      <c r="E136" s="7" t="s">
        <v>11</v>
      </c>
      <c r="F136" s="7" t="s">
        <v>18</v>
      </c>
      <c r="G136" s="7" t="s">
        <v>264</v>
      </c>
      <c r="H136" s="7" t="s">
        <v>265</v>
      </c>
      <c r="I136" s="8" t="s">
        <v>470</v>
      </c>
    </row>
    <row r="137" spans="1:12" hidden="1" x14ac:dyDescent="0.35">
      <c r="A137" s="6">
        <v>1033303</v>
      </c>
      <c r="B137" s="7" t="str">
        <f>"3329081801890004"</f>
        <v>3329081801890004</v>
      </c>
      <c r="C137" s="7" t="s">
        <v>471</v>
      </c>
      <c r="D137" s="7" t="s">
        <v>10</v>
      </c>
      <c r="E137" s="7" t="s">
        <v>11</v>
      </c>
      <c r="F137" s="7" t="s">
        <v>18</v>
      </c>
      <c r="G137" s="7" t="s">
        <v>264</v>
      </c>
      <c r="H137" s="7" t="s">
        <v>248</v>
      </c>
      <c r="I137" s="8" t="s">
        <v>472</v>
      </c>
    </row>
    <row r="138" spans="1:12" hidden="1" x14ac:dyDescent="0.35">
      <c r="A138" s="6">
        <v>655230</v>
      </c>
      <c r="B138" s="7" t="str">
        <f>"3329092308900005"</f>
        <v>3329092308900005</v>
      </c>
      <c r="C138" s="7" t="s">
        <v>473</v>
      </c>
      <c r="D138" s="7" t="s">
        <v>10</v>
      </c>
      <c r="E138" s="7" t="s">
        <v>11</v>
      </c>
      <c r="F138" s="7" t="s">
        <v>18</v>
      </c>
      <c r="G138" s="7" t="s">
        <v>264</v>
      </c>
      <c r="H138" s="7" t="s">
        <v>264</v>
      </c>
      <c r="I138" s="8" t="s">
        <v>474</v>
      </c>
    </row>
    <row r="139" spans="1:12" hidden="1" x14ac:dyDescent="0.35">
      <c r="A139" s="6">
        <v>1516903</v>
      </c>
      <c r="B139" s="7" t="str">
        <f>"3329100308760001"</f>
        <v>3329100308760001</v>
      </c>
      <c r="C139" s="7" t="s">
        <v>475</v>
      </c>
      <c r="D139" s="7" t="s">
        <v>10</v>
      </c>
      <c r="E139" s="7" t="s">
        <v>11</v>
      </c>
      <c r="F139" s="7" t="s">
        <v>18</v>
      </c>
      <c r="G139" s="7" t="s">
        <v>264</v>
      </c>
      <c r="H139" s="7" t="s">
        <v>273</v>
      </c>
      <c r="I139" s="8" t="s">
        <v>273</v>
      </c>
    </row>
    <row r="140" spans="1:12" hidden="1" x14ac:dyDescent="0.35">
      <c r="A140" s="13">
        <v>1684032</v>
      </c>
      <c r="B140" s="14" t="str">
        <f>"3329145002880015"</f>
        <v>3329145002880015</v>
      </c>
      <c r="C140" s="14" t="s">
        <v>476</v>
      </c>
      <c r="D140" s="14" t="s">
        <v>10</v>
      </c>
      <c r="E140" s="14" t="s">
        <v>11</v>
      </c>
      <c r="F140" s="14" t="s">
        <v>18</v>
      </c>
      <c r="G140" s="14" t="s">
        <v>19</v>
      </c>
      <c r="H140" s="14" t="s">
        <v>20</v>
      </c>
      <c r="I140" s="15" t="s">
        <v>23</v>
      </c>
      <c r="J140" s="16" t="str">
        <f>VLOOKUP(B140,baru!$B$2:$I$2271,4,FALSE)</f>
        <v>Reguler</v>
      </c>
      <c r="K140" s="16" t="str">
        <f>VLOOKUP(B140,baru!$B$2:$I$2271,5,FALSE)</f>
        <v>JAWA TENGAH</v>
      </c>
      <c r="L140" s="16" t="str">
        <f>VLOOKUP(B140,baru!$B$2:$I$2271,6,FALSE)</f>
        <v>BREBES</v>
      </c>
    </row>
    <row r="141" spans="1:12" hidden="1" x14ac:dyDescent="0.35">
      <c r="A141" s="13">
        <v>1685188</v>
      </c>
      <c r="B141" s="14" t="str">
        <f>"3329146811610001"</f>
        <v>3329146811610001</v>
      </c>
      <c r="C141" s="14" t="s">
        <v>479</v>
      </c>
      <c r="D141" s="14" t="s">
        <v>10</v>
      </c>
      <c r="E141" s="14" t="s">
        <v>11</v>
      </c>
      <c r="F141" s="14" t="s">
        <v>18</v>
      </c>
      <c r="G141" s="14" t="s">
        <v>19</v>
      </c>
      <c r="H141" s="14" t="s">
        <v>20</v>
      </c>
      <c r="I141" s="15" t="s">
        <v>23</v>
      </c>
      <c r="J141" s="16" t="str">
        <f>VLOOKUP(B141,baru!$B$2:$I$2271,4,FALSE)</f>
        <v>Reguler</v>
      </c>
      <c r="K141" s="16" t="str">
        <f>VLOOKUP(B141,baru!$B$2:$I$2271,5,FALSE)</f>
        <v>JAWA TENGAH</v>
      </c>
      <c r="L141" s="16" t="str">
        <f>VLOOKUP(B141,baru!$B$2:$I$2271,6,FALSE)</f>
        <v>BREBES</v>
      </c>
    </row>
    <row r="142" spans="1:12" hidden="1" x14ac:dyDescent="0.35">
      <c r="A142" s="6">
        <v>1558639</v>
      </c>
      <c r="B142" s="7" t="str">
        <f>"3329151401910001"</f>
        <v>3329151401910001</v>
      </c>
      <c r="C142" s="7" t="s">
        <v>481</v>
      </c>
      <c r="D142" s="7" t="s">
        <v>10</v>
      </c>
      <c r="E142" s="7" t="s">
        <v>11</v>
      </c>
      <c r="F142" s="7" t="s">
        <v>18</v>
      </c>
      <c r="G142" s="7" t="s">
        <v>264</v>
      </c>
      <c r="H142" s="7" t="s">
        <v>330</v>
      </c>
      <c r="I142" s="8" t="s">
        <v>330</v>
      </c>
    </row>
    <row r="143" spans="1:12" hidden="1" x14ac:dyDescent="0.35">
      <c r="A143" s="6">
        <v>1546663</v>
      </c>
      <c r="B143" s="7" t="str">
        <f>"3329152304800004"</f>
        <v>3329152304800004</v>
      </c>
      <c r="C143" s="7" t="s">
        <v>483</v>
      </c>
      <c r="D143" s="7" t="s">
        <v>10</v>
      </c>
      <c r="E143" s="7" t="s">
        <v>11</v>
      </c>
      <c r="F143" s="7" t="s">
        <v>18</v>
      </c>
      <c r="G143" s="7" t="s">
        <v>264</v>
      </c>
      <c r="H143" s="7" t="s">
        <v>330</v>
      </c>
      <c r="I143" s="8" t="s">
        <v>331</v>
      </c>
    </row>
    <row r="144" spans="1:12" hidden="1" x14ac:dyDescent="0.35">
      <c r="A144" s="6">
        <v>1547491</v>
      </c>
      <c r="B144" s="7" t="str">
        <f>"3329154312990002"</f>
        <v>3329154312990002</v>
      </c>
      <c r="C144" s="7" t="s">
        <v>373</v>
      </c>
      <c r="D144" s="7" t="s">
        <v>10</v>
      </c>
      <c r="E144" s="7" t="s">
        <v>11</v>
      </c>
      <c r="F144" s="7" t="s">
        <v>18</v>
      </c>
      <c r="G144" s="7" t="s">
        <v>264</v>
      </c>
      <c r="H144" s="7" t="s">
        <v>330</v>
      </c>
      <c r="I144" s="8" t="s">
        <v>331</v>
      </c>
    </row>
    <row r="145" spans="1:12" hidden="1" x14ac:dyDescent="0.35">
      <c r="A145" s="6">
        <v>1546664</v>
      </c>
      <c r="B145" s="7" t="str">
        <f>"3329154711880001"</f>
        <v>3329154711880001</v>
      </c>
      <c r="C145" s="7" t="s">
        <v>485</v>
      </c>
      <c r="D145" s="7" t="s">
        <v>10</v>
      </c>
      <c r="E145" s="7" t="s">
        <v>11</v>
      </c>
      <c r="F145" s="7" t="s">
        <v>18</v>
      </c>
      <c r="G145" s="7" t="s">
        <v>264</v>
      </c>
      <c r="H145" s="7" t="s">
        <v>330</v>
      </c>
      <c r="I145" s="8" t="s">
        <v>331</v>
      </c>
    </row>
    <row r="146" spans="1:12" hidden="1" x14ac:dyDescent="0.35">
      <c r="A146" s="6">
        <v>1683597</v>
      </c>
      <c r="B146" s="7" t="str">
        <f>"3329155803920004"</f>
        <v>3329155803920004</v>
      </c>
      <c r="C146" s="7" t="s">
        <v>487</v>
      </c>
      <c r="D146" s="7" t="s">
        <v>10</v>
      </c>
      <c r="E146" s="7" t="s">
        <v>11</v>
      </c>
      <c r="F146" s="7" t="s">
        <v>18</v>
      </c>
      <c r="G146" s="7" t="s">
        <v>19</v>
      </c>
      <c r="H146" s="7" t="s">
        <v>20</v>
      </c>
      <c r="I146" s="8" t="s">
        <v>23</v>
      </c>
      <c r="J146" t="e">
        <f>VLOOKUP(B146,baru!$B$2:$I$2271,4,FALSE)</f>
        <v>#N/A</v>
      </c>
      <c r="K146" t="e">
        <f>VLOOKUP(B146,baru!$B$2:$I$2271,5,FALSE)</f>
        <v>#N/A</v>
      </c>
      <c r="L146" t="e">
        <f>VLOOKUP(B146,baru!$B$2:$I$2271,6,FALSE)</f>
        <v>#N/A</v>
      </c>
    </row>
    <row r="147" spans="1:12" x14ac:dyDescent="0.35">
      <c r="A147" s="6">
        <v>1124379</v>
      </c>
      <c r="B147" s="7" t="str">
        <f>"3329155803920004"</f>
        <v>3329155803920004</v>
      </c>
      <c r="C147" s="7" t="s">
        <v>488</v>
      </c>
      <c r="D147" s="7" t="s">
        <v>189</v>
      </c>
      <c r="E147" s="7" t="s">
        <v>11</v>
      </c>
      <c r="F147" s="7" t="s">
        <v>18</v>
      </c>
      <c r="G147" s="7" t="s">
        <v>264</v>
      </c>
      <c r="H147" s="7" t="s">
        <v>330</v>
      </c>
      <c r="I147" s="8" t="s">
        <v>489</v>
      </c>
    </row>
    <row r="148" spans="1:12" hidden="1" x14ac:dyDescent="0.35">
      <c r="A148" s="6">
        <v>1549770</v>
      </c>
      <c r="B148" s="7" t="str">
        <f>"3329156207990004"</f>
        <v>3329156207990004</v>
      </c>
      <c r="C148" s="7" t="s">
        <v>490</v>
      </c>
      <c r="D148" s="7" t="s">
        <v>10</v>
      </c>
      <c r="E148" s="7" t="s">
        <v>11</v>
      </c>
      <c r="F148" s="7" t="s">
        <v>18</v>
      </c>
      <c r="G148" s="7" t="s">
        <v>264</v>
      </c>
      <c r="H148" s="7" t="s">
        <v>330</v>
      </c>
      <c r="I148" s="8" t="s">
        <v>331</v>
      </c>
    </row>
    <row r="149" spans="1:12" hidden="1" x14ac:dyDescent="0.35">
      <c r="A149" s="13">
        <v>2418193</v>
      </c>
      <c r="B149" s="14" t="str">
        <f>"3329163103590003"</f>
        <v>3329163103590003</v>
      </c>
      <c r="C149" s="14" t="s">
        <v>288</v>
      </c>
      <c r="D149" s="14" t="s">
        <v>10</v>
      </c>
      <c r="E149" s="14" t="s">
        <v>11</v>
      </c>
      <c r="F149" s="14" t="s">
        <v>18</v>
      </c>
      <c r="G149" s="14" t="s">
        <v>19</v>
      </c>
      <c r="H149" s="14" t="s">
        <v>20</v>
      </c>
      <c r="I149" s="15" t="s">
        <v>55</v>
      </c>
      <c r="J149" s="16" t="str">
        <f>VLOOKUP(B149,baru!$B$2:$I$2271,4,FALSE)</f>
        <v>Reguler</v>
      </c>
      <c r="K149" s="16" t="str">
        <f>VLOOKUP(B149,baru!$B$2:$I$2271,5,FALSE)</f>
        <v>JAWA TENGAH</v>
      </c>
      <c r="L149" s="16" t="str">
        <f>VLOOKUP(B149,baru!$B$2:$I$2271,6,FALSE)</f>
        <v>BREBES</v>
      </c>
    </row>
    <row r="150" spans="1:12" hidden="1" x14ac:dyDescent="0.35">
      <c r="A150" s="13">
        <v>1680866</v>
      </c>
      <c r="B150" s="14" t="str">
        <f>"3329165706770006"</f>
        <v>3329165706770006</v>
      </c>
      <c r="C150" s="14" t="s">
        <v>493</v>
      </c>
      <c r="D150" s="14" t="s">
        <v>10</v>
      </c>
      <c r="E150" s="14" t="s">
        <v>11</v>
      </c>
      <c r="F150" s="14" t="s">
        <v>18</v>
      </c>
      <c r="G150" s="14" t="s">
        <v>19</v>
      </c>
      <c r="H150" s="14" t="s">
        <v>20</v>
      </c>
      <c r="I150" s="15" t="s">
        <v>23</v>
      </c>
      <c r="J150" s="16" t="str">
        <f>VLOOKUP(B150,baru!$B$2:$I$2271,4,FALSE)</f>
        <v>Reguler</v>
      </c>
      <c r="K150" s="16" t="str">
        <f>VLOOKUP(B150,baru!$B$2:$I$2271,5,FALSE)</f>
        <v>JAWA TENGAH</v>
      </c>
      <c r="L150" s="16" t="str">
        <f>VLOOKUP(B150,baru!$B$2:$I$2271,6,FALSE)</f>
        <v>BREBES</v>
      </c>
    </row>
    <row r="151" spans="1:12" hidden="1" x14ac:dyDescent="0.35">
      <c r="A151" s="6">
        <v>247333</v>
      </c>
      <c r="B151" s="7" t="str">
        <f>"3376020801850002"</f>
        <v>3376020801850002</v>
      </c>
      <c r="C151" s="7" t="s">
        <v>496</v>
      </c>
      <c r="D151" s="7" t="s">
        <v>10</v>
      </c>
      <c r="E151" s="7" t="s">
        <v>11</v>
      </c>
      <c r="F151" s="7" t="s">
        <v>18</v>
      </c>
      <c r="G151" s="7" t="s">
        <v>268</v>
      </c>
      <c r="H151" s="7" t="s">
        <v>371</v>
      </c>
      <c r="I151" s="8" t="s">
        <v>497</v>
      </c>
    </row>
    <row r="152" spans="1:12" hidden="1" x14ac:dyDescent="0.35">
      <c r="A152" s="6">
        <v>233990</v>
      </c>
      <c r="B152" s="7" t="str">
        <f>"3376021712900002"</f>
        <v>3376021712900002</v>
      </c>
      <c r="C152" s="7" t="s">
        <v>498</v>
      </c>
      <c r="D152" s="7" t="s">
        <v>10</v>
      </c>
      <c r="E152" s="7" t="s">
        <v>11</v>
      </c>
      <c r="F152" s="7" t="s">
        <v>18</v>
      </c>
      <c r="G152" s="7" t="s">
        <v>268</v>
      </c>
      <c r="H152" s="7" t="s">
        <v>371</v>
      </c>
      <c r="I152" s="8" t="s">
        <v>372</v>
      </c>
    </row>
    <row r="153" spans="1:12" hidden="1" x14ac:dyDescent="0.35">
      <c r="A153" s="13">
        <v>1446723</v>
      </c>
      <c r="B153" s="14" t="str">
        <f>"3507320502910002"</f>
        <v>3507320502910002</v>
      </c>
      <c r="C153" s="14" t="s">
        <v>499</v>
      </c>
      <c r="D153" s="14" t="s">
        <v>10</v>
      </c>
      <c r="E153" s="14" t="s">
        <v>11</v>
      </c>
      <c r="F153" s="14" t="s">
        <v>18</v>
      </c>
      <c r="G153" s="14" t="s">
        <v>19</v>
      </c>
      <c r="H153" s="14" t="s">
        <v>20</v>
      </c>
      <c r="I153" s="15" t="s">
        <v>53</v>
      </c>
      <c r="J153" s="16" t="str">
        <f>VLOOKUP(B153,baru!$B$2:$I$2271,4,FALSE)</f>
        <v>Reguler</v>
      </c>
      <c r="K153" s="16" t="str">
        <f>VLOOKUP(B153,baru!$B$2:$I$2271,5,FALSE)</f>
        <v>JAWA TIMUR</v>
      </c>
      <c r="L153" s="16" t="str">
        <f>VLOOKUP(B153,baru!$B$2:$I$2271,6,FALSE)</f>
        <v>MALANG</v>
      </c>
    </row>
    <row r="154" spans="1:12" hidden="1" x14ac:dyDescent="0.35">
      <c r="A154" s="13">
        <v>1446724</v>
      </c>
      <c r="B154" s="14" t="str">
        <f>"3507320601020003"</f>
        <v>3507320601020003</v>
      </c>
      <c r="C154" s="14" t="s">
        <v>502</v>
      </c>
      <c r="D154" s="14" t="s">
        <v>10</v>
      </c>
      <c r="E154" s="14" t="s">
        <v>11</v>
      </c>
      <c r="F154" s="14" t="s">
        <v>18</v>
      </c>
      <c r="G154" s="14" t="s">
        <v>19</v>
      </c>
      <c r="H154" s="14" t="s">
        <v>20</v>
      </c>
      <c r="I154" s="15" t="s">
        <v>53</v>
      </c>
      <c r="J154" s="16" t="str">
        <f>VLOOKUP(B154,baru!$B$2:$I$2271,4,FALSE)</f>
        <v>Reguler</v>
      </c>
      <c r="K154" s="16" t="str">
        <f>VLOOKUP(B154,baru!$B$2:$I$2271,5,FALSE)</f>
        <v>JAWA TIMUR</v>
      </c>
      <c r="L154" s="16" t="str">
        <f>VLOOKUP(B154,baru!$B$2:$I$2271,6,FALSE)</f>
        <v>MALANG</v>
      </c>
    </row>
    <row r="155" spans="1:12" hidden="1" x14ac:dyDescent="0.35">
      <c r="A155" s="13">
        <v>1446725</v>
      </c>
      <c r="B155" s="14" t="str">
        <f>"3507322806960001"</f>
        <v>3507322806960001</v>
      </c>
      <c r="C155" s="14" t="s">
        <v>503</v>
      </c>
      <c r="D155" s="14" t="s">
        <v>10</v>
      </c>
      <c r="E155" s="14" t="s">
        <v>11</v>
      </c>
      <c r="F155" s="14" t="s">
        <v>18</v>
      </c>
      <c r="G155" s="14" t="s">
        <v>19</v>
      </c>
      <c r="H155" s="14" t="s">
        <v>20</v>
      </c>
      <c r="I155" s="15" t="s">
        <v>53</v>
      </c>
      <c r="J155" s="16" t="str">
        <f>VLOOKUP(B155,baru!$B$2:$I$2271,4,FALSE)</f>
        <v>Reguler</v>
      </c>
      <c r="K155" s="16" t="str">
        <f>VLOOKUP(B155,baru!$B$2:$I$2271,5,FALSE)</f>
        <v>JAWA TIMUR</v>
      </c>
      <c r="L155" s="16" t="str">
        <f>VLOOKUP(B155,baru!$B$2:$I$2271,6,FALSE)</f>
        <v>MALANG</v>
      </c>
    </row>
    <row r="156" spans="1:12" hidden="1" x14ac:dyDescent="0.35">
      <c r="A156" s="6">
        <v>1169569</v>
      </c>
      <c r="B156" s="7" t="str">
        <f>"3521120609780005"</f>
        <v>3521120609780005</v>
      </c>
      <c r="C156" s="7" t="s">
        <v>504</v>
      </c>
      <c r="D156" s="7" t="s">
        <v>10</v>
      </c>
      <c r="E156" s="7" t="s">
        <v>11</v>
      </c>
      <c r="F156" s="7" t="s">
        <v>303</v>
      </c>
      <c r="G156" s="7" t="s">
        <v>304</v>
      </c>
      <c r="H156" s="7" t="s">
        <v>505</v>
      </c>
      <c r="I156" s="8" t="s">
        <v>506</v>
      </c>
    </row>
    <row r="157" spans="1:12" hidden="1" x14ac:dyDescent="0.35">
      <c r="A157" s="13">
        <v>2060209</v>
      </c>
      <c r="B157" s="14" t="str">
        <f>"3527071609970001"</f>
        <v>3527071609970001</v>
      </c>
      <c r="C157" s="14" t="s">
        <v>508</v>
      </c>
      <c r="D157" s="14" t="s">
        <v>10</v>
      </c>
      <c r="E157" s="14" t="s">
        <v>11</v>
      </c>
      <c r="F157" s="14" t="s">
        <v>18</v>
      </c>
      <c r="G157" s="14" t="s">
        <v>19</v>
      </c>
      <c r="H157" s="14" t="s">
        <v>20</v>
      </c>
      <c r="I157" s="15" t="s">
        <v>20</v>
      </c>
      <c r="J157" s="16" t="str">
        <f>VLOOKUP(B157,baru!$B$2:$I$2271,4,FALSE)</f>
        <v>Reguler</v>
      </c>
      <c r="K157" s="16" t="str">
        <f>VLOOKUP(B157,baru!$B$2:$I$2271,5,FALSE)</f>
        <v>JAWA TIMUR</v>
      </c>
      <c r="L157" s="16" t="str">
        <f>VLOOKUP(B157,baru!$B$2:$I$2271,6,FALSE)</f>
        <v>SAMPANG</v>
      </c>
    </row>
    <row r="158" spans="1:12" hidden="1" x14ac:dyDescent="0.35">
      <c r="A158" s="6">
        <v>2542265</v>
      </c>
      <c r="B158" s="7" t="str">
        <f>"3671064604020002"</f>
        <v>3671064604020002</v>
      </c>
      <c r="C158" s="7" t="s">
        <v>511</v>
      </c>
      <c r="D158" s="7" t="s">
        <v>10</v>
      </c>
      <c r="E158" s="7" t="s">
        <v>11</v>
      </c>
      <c r="F158" s="7" t="s">
        <v>67</v>
      </c>
      <c r="G158" s="7" t="s">
        <v>512</v>
      </c>
      <c r="H158" s="7" t="s">
        <v>513</v>
      </c>
      <c r="I158" s="8" t="s">
        <v>514</v>
      </c>
    </row>
    <row r="159" spans="1:12" hidden="1" x14ac:dyDescent="0.35">
      <c r="A159" s="13">
        <v>1536984</v>
      </c>
      <c r="B159" s="14" t="str">
        <f>"6107030711940001"</f>
        <v>6107030711940001</v>
      </c>
      <c r="C159" s="14" t="s">
        <v>515</v>
      </c>
      <c r="D159" s="14" t="s">
        <v>10</v>
      </c>
      <c r="E159" s="14" t="s">
        <v>11</v>
      </c>
      <c r="F159" s="14" t="s">
        <v>18</v>
      </c>
      <c r="G159" s="14" t="s">
        <v>19</v>
      </c>
      <c r="H159" s="14" t="s">
        <v>20</v>
      </c>
      <c r="I159" s="15" t="s">
        <v>21</v>
      </c>
      <c r="J159" s="16" t="str">
        <f>VLOOKUP(B159,baru!$B$2:$I$2271,4,FALSE)</f>
        <v>Reguler</v>
      </c>
      <c r="K159" s="16" t="str">
        <f>VLOOKUP(B159,baru!$B$2:$I$2271,5,FALSE)</f>
        <v>KALIMANTAN BARAT</v>
      </c>
      <c r="L159" s="16" t="str">
        <f>VLOOKUP(B159,baru!$B$2:$I$2271,6,FALSE)</f>
        <v>BENGKAYANG</v>
      </c>
    </row>
    <row r="160" spans="1:12" hidden="1" x14ac:dyDescent="0.35">
      <c r="A160" s="6">
        <v>601103</v>
      </c>
      <c r="B160" s="7" t="str">
        <f>"6203075208950004"</f>
        <v>6203075208950004</v>
      </c>
      <c r="C160" s="7" t="s">
        <v>520</v>
      </c>
      <c r="D160" s="7" t="s">
        <v>10</v>
      </c>
      <c r="E160" s="7" t="s">
        <v>11</v>
      </c>
      <c r="F160" s="7" t="s">
        <v>521</v>
      </c>
      <c r="G160" s="7" t="s">
        <v>522</v>
      </c>
      <c r="H160" s="7" t="s">
        <v>523</v>
      </c>
      <c r="I160" s="8" t="s">
        <v>524</v>
      </c>
    </row>
    <row r="161" spans="1:9" hidden="1" x14ac:dyDescent="0.35">
      <c r="A161" s="6">
        <v>1762287</v>
      </c>
      <c r="B161" s="7" t="str">
        <f>"3173042006730019"</f>
        <v>3173042006730019</v>
      </c>
      <c r="C161" s="7" t="s">
        <v>525</v>
      </c>
      <c r="D161" s="7" t="s">
        <v>10</v>
      </c>
      <c r="E161" s="7" t="s">
        <v>11</v>
      </c>
      <c r="F161" s="7" t="s">
        <v>50</v>
      </c>
      <c r="G161" s="7" t="s">
        <v>86</v>
      </c>
      <c r="H161" s="7" t="s">
        <v>445</v>
      </c>
      <c r="I161" s="8" t="s">
        <v>445</v>
      </c>
    </row>
    <row r="162" spans="1:9" hidden="1" x14ac:dyDescent="0.35">
      <c r="A162" s="6">
        <v>907939</v>
      </c>
      <c r="B162" s="7" t="str">
        <f>"3173074707980005"</f>
        <v>3173074707980005</v>
      </c>
      <c r="C162" s="7" t="s">
        <v>529</v>
      </c>
      <c r="D162" s="7" t="s">
        <v>10</v>
      </c>
      <c r="E162" s="7" t="s">
        <v>11</v>
      </c>
      <c r="F162" s="7" t="s">
        <v>50</v>
      </c>
      <c r="G162" s="7" t="s">
        <v>86</v>
      </c>
      <c r="H162" s="7" t="s">
        <v>530</v>
      </c>
      <c r="I162" s="8" t="s">
        <v>531</v>
      </c>
    </row>
    <row r="163" spans="1:9" hidden="1" x14ac:dyDescent="0.35">
      <c r="A163" s="6">
        <v>670187</v>
      </c>
      <c r="B163" s="7" t="str">
        <f>"3173084407590008"</f>
        <v>3173084407590008</v>
      </c>
      <c r="C163" s="7" t="s">
        <v>533</v>
      </c>
      <c r="D163" s="7" t="s">
        <v>10</v>
      </c>
      <c r="E163" s="7" t="s">
        <v>11</v>
      </c>
      <c r="F163" s="7" t="s">
        <v>50</v>
      </c>
      <c r="G163" s="7" t="s">
        <v>86</v>
      </c>
      <c r="H163" s="7" t="s">
        <v>530</v>
      </c>
      <c r="I163" s="8" t="s">
        <v>534</v>
      </c>
    </row>
    <row r="164" spans="1:9" hidden="1" x14ac:dyDescent="0.35">
      <c r="A164" s="6">
        <v>823344</v>
      </c>
      <c r="B164" s="7" t="str">
        <f>"3173085001830007"</f>
        <v>3173085001830007</v>
      </c>
      <c r="C164" s="7" t="s">
        <v>536</v>
      </c>
      <c r="D164" s="7" t="s">
        <v>10</v>
      </c>
      <c r="E164" s="7" t="s">
        <v>11</v>
      </c>
      <c r="F164" s="7" t="s">
        <v>50</v>
      </c>
      <c r="G164" s="7" t="s">
        <v>86</v>
      </c>
      <c r="H164" s="7" t="s">
        <v>530</v>
      </c>
      <c r="I164" s="8" t="s">
        <v>537</v>
      </c>
    </row>
    <row r="165" spans="1:9" hidden="1" x14ac:dyDescent="0.35">
      <c r="A165" s="6">
        <v>1122060</v>
      </c>
      <c r="B165" s="7" t="str">
        <f>"3174104604580003"</f>
        <v>3174104604580003</v>
      </c>
      <c r="C165" s="7" t="s">
        <v>540</v>
      </c>
      <c r="D165" s="7" t="s">
        <v>10</v>
      </c>
      <c r="E165" s="7" t="s">
        <v>11</v>
      </c>
      <c r="F165" s="7" t="s">
        <v>50</v>
      </c>
      <c r="G165" s="7" t="s">
        <v>72</v>
      </c>
      <c r="H165" s="7" t="s">
        <v>541</v>
      </c>
      <c r="I165" s="8" t="s">
        <v>542</v>
      </c>
    </row>
    <row r="166" spans="1:9" hidden="1" x14ac:dyDescent="0.35">
      <c r="A166" s="6">
        <v>989219</v>
      </c>
      <c r="B166" s="7" t="str">
        <f>"3175010707720002"</f>
        <v>3175010707720002</v>
      </c>
      <c r="C166" s="7" t="s">
        <v>544</v>
      </c>
      <c r="D166" s="7" t="s">
        <v>10</v>
      </c>
      <c r="E166" s="7" t="s">
        <v>11</v>
      </c>
      <c r="F166" s="7" t="s">
        <v>50</v>
      </c>
      <c r="G166" s="7" t="s">
        <v>58</v>
      </c>
      <c r="H166" s="7" t="s">
        <v>406</v>
      </c>
      <c r="I166" s="8" t="s">
        <v>545</v>
      </c>
    </row>
    <row r="167" spans="1:9" hidden="1" x14ac:dyDescent="0.35">
      <c r="A167" s="6">
        <v>823932</v>
      </c>
      <c r="B167" s="7" t="str">
        <f>"3175041702790012"</f>
        <v>3175041702790012</v>
      </c>
      <c r="C167" s="7" t="s">
        <v>547</v>
      </c>
      <c r="D167" s="7" t="s">
        <v>10</v>
      </c>
      <c r="E167" s="7" t="s">
        <v>11</v>
      </c>
      <c r="F167" s="7" t="s">
        <v>50</v>
      </c>
      <c r="G167" s="7" t="s">
        <v>58</v>
      </c>
      <c r="H167" s="7" t="s">
        <v>97</v>
      </c>
      <c r="I167" s="8" t="s">
        <v>548</v>
      </c>
    </row>
    <row r="168" spans="1:9" hidden="1" x14ac:dyDescent="0.35">
      <c r="A168" s="6">
        <v>832243</v>
      </c>
      <c r="B168" s="7" t="str">
        <f>"3175046710580006"</f>
        <v>3175046710580006</v>
      </c>
      <c r="C168" s="7" t="s">
        <v>549</v>
      </c>
      <c r="D168" s="7" t="s">
        <v>10</v>
      </c>
      <c r="E168" s="7" t="s">
        <v>11</v>
      </c>
      <c r="F168" s="7" t="s">
        <v>50</v>
      </c>
      <c r="G168" s="7" t="s">
        <v>58</v>
      </c>
      <c r="H168" s="7" t="s">
        <v>97</v>
      </c>
      <c r="I168" s="8" t="s">
        <v>548</v>
      </c>
    </row>
    <row r="169" spans="1:9" hidden="1" x14ac:dyDescent="0.35">
      <c r="A169" s="6">
        <v>2043065</v>
      </c>
      <c r="B169" s="7" t="str">
        <f>"3202241102820004"</f>
        <v>3202241102820004</v>
      </c>
      <c r="C169" s="7" t="s">
        <v>550</v>
      </c>
      <c r="D169" s="7" t="s">
        <v>10</v>
      </c>
      <c r="E169" s="7" t="s">
        <v>11</v>
      </c>
      <c r="F169" s="7" t="s">
        <v>91</v>
      </c>
      <c r="G169" s="7" t="s">
        <v>101</v>
      </c>
      <c r="H169" s="7" t="s">
        <v>551</v>
      </c>
      <c r="I169" s="8" t="s">
        <v>552</v>
      </c>
    </row>
    <row r="170" spans="1:9" hidden="1" x14ac:dyDescent="0.35">
      <c r="A170" s="6">
        <v>2043023</v>
      </c>
      <c r="B170" s="7" t="str">
        <f>"3202245002840005"</f>
        <v>3202245002840005</v>
      </c>
      <c r="C170" s="7" t="s">
        <v>553</v>
      </c>
      <c r="D170" s="7" t="s">
        <v>10</v>
      </c>
      <c r="E170" s="7" t="s">
        <v>11</v>
      </c>
      <c r="F170" s="7" t="s">
        <v>91</v>
      </c>
      <c r="G170" s="7" t="s">
        <v>101</v>
      </c>
      <c r="H170" s="7" t="s">
        <v>551</v>
      </c>
      <c r="I170" s="8" t="s">
        <v>552</v>
      </c>
    </row>
    <row r="171" spans="1:9" hidden="1" x14ac:dyDescent="0.35">
      <c r="A171" s="6">
        <v>1858089</v>
      </c>
      <c r="B171" s="7" t="str">
        <f>"3203150506850008"</f>
        <v>3203150506850008</v>
      </c>
      <c r="C171" s="7" t="s">
        <v>554</v>
      </c>
      <c r="D171" s="7" t="s">
        <v>10</v>
      </c>
      <c r="E171" s="7" t="s">
        <v>11</v>
      </c>
      <c r="F171" s="7" t="s">
        <v>91</v>
      </c>
      <c r="G171" s="7" t="s">
        <v>555</v>
      </c>
      <c r="H171" s="7" t="s">
        <v>556</v>
      </c>
      <c r="I171" s="8" t="s">
        <v>557</v>
      </c>
    </row>
    <row r="172" spans="1:9" hidden="1" x14ac:dyDescent="0.35">
      <c r="A172" s="6">
        <v>1858049</v>
      </c>
      <c r="B172" s="7" t="str">
        <f>"3203151101900005"</f>
        <v>3203151101900005</v>
      </c>
      <c r="C172" s="7" t="s">
        <v>558</v>
      </c>
      <c r="D172" s="7" t="s">
        <v>10</v>
      </c>
      <c r="E172" s="7" t="s">
        <v>11</v>
      </c>
      <c r="F172" s="7" t="s">
        <v>91</v>
      </c>
      <c r="G172" s="7" t="s">
        <v>555</v>
      </c>
      <c r="H172" s="7" t="s">
        <v>556</v>
      </c>
      <c r="I172" s="8" t="s">
        <v>557</v>
      </c>
    </row>
    <row r="173" spans="1:9" hidden="1" x14ac:dyDescent="0.35">
      <c r="A173" s="6">
        <v>299738</v>
      </c>
      <c r="B173" s="7" t="str">
        <f>"3212100211950001"</f>
        <v>3212100211950001</v>
      </c>
      <c r="C173" s="7" t="s">
        <v>561</v>
      </c>
      <c r="D173" s="7" t="s">
        <v>10</v>
      </c>
      <c r="E173" s="7" t="s">
        <v>11</v>
      </c>
      <c r="F173" s="7" t="s">
        <v>91</v>
      </c>
      <c r="G173" s="7" t="s">
        <v>114</v>
      </c>
      <c r="H173" s="7" t="s">
        <v>562</v>
      </c>
      <c r="I173" s="8" t="s">
        <v>563</v>
      </c>
    </row>
    <row r="174" spans="1:9" hidden="1" x14ac:dyDescent="0.35">
      <c r="A174" s="6">
        <v>618592</v>
      </c>
      <c r="B174" s="7" t="str">
        <f>"3215082603840001"</f>
        <v>3215082603840001</v>
      </c>
      <c r="C174" s="7" t="s">
        <v>565</v>
      </c>
      <c r="D174" s="7" t="s">
        <v>10</v>
      </c>
      <c r="E174" s="7" t="s">
        <v>11</v>
      </c>
      <c r="F174" s="7" t="s">
        <v>91</v>
      </c>
      <c r="G174" s="7" t="s">
        <v>320</v>
      </c>
      <c r="H174" s="7" t="s">
        <v>566</v>
      </c>
      <c r="I174" s="8" t="s">
        <v>566</v>
      </c>
    </row>
    <row r="175" spans="1:9" hidden="1" x14ac:dyDescent="0.35">
      <c r="A175" s="6">
        <v>809228</v>
      </c>
      <c r="B175" s="7" t="str">
        <f>"3215202106890002"</f>
        <v>3215202106890002</v>
      </c>
      <c r="C175" s="7" t="s">
        <v>567</v>
      </c>
      <c r="D175" s="7" t="s">
        <v>10</v>
      </c>
      <c r="E175" s="7" t="s">
        <v>11</v>
      </c>
      <c r="F175" s="7" t="s">
        <v>91</v>
      </c>
      <c r="G175" s="7" t="s">
        <v>320</v>
      </c>
      <c r="H175" s="7" t="s">
        <v>568</v>
      </c>
      <c r="I175" s="8" t="s">
        <v>569</v>
      </c>
    </row>
    <row r="176" spans="1:9" hidden="1" x14ac:dyDescent="0.35">
      <c r="A176" s="6">
        <v>1471685</v>
      </c>
      <c r="B176" s="7" t="str">
        <f>"3216191501830003"</f>
        <v>3216191501830003</v>
      </c>
      <c r="C176" s="7" t="s">
        <v>570</v>
      </c>
      <c r="D176" s="7" t="s">
        <v>10</v>
      </c>
      <c r="E176" s="7" t="s">
        <v>11</v>
      </c>
      <c r="F176" s="7" t="s">
        <v>91</v>
      </c>
      <c r="G176" s="7" t="s">
        <v>92</v>
      </c>
      <c r="H176" s="7" t="s">
        <v>571</v>
      </c>
      <c r="I176" s="8" t="s">
        <v>572</v>
      </c>
    </row>
    <row r="177" spans="1:12" hidden="1" x14ac:dyDescent="0.35">
      <c r="A177" s="6">
        <v>42158</v>
      </c>
      <c r="B177" s="7" t="str">
        <f>"3275092108930005"</f>
        <v>3275092108930005</v>
      </c>
      <c r="C177" s="7" t="s">
        <v>573</v>
      </c>
      <c r="D177" s="7" t="s">
        <v>10</v>
      </c>
      <c r="E177" s="7" t="s">
        <v>11</v>
      </c>
      <c r="F177" s="7" t="s">
        <v>412</v>
      </c>
      <c r="G177" s="7" t="s">
        <v>574</v>
      </c>
      <c r="H177" s="7" t="s">
        <v>575</v>
      </c>
      <c r="I177" s="8" t="s">
        <v>576</v>
      </c>
    </row>
    <row r="178" spans="1:12" hidden="1" x14ac:dyDescent="0.35">
      <c r="A178" s="6">
        <v>42159</v>
      </c>
      <c r="B178" s="7" t="str">
        <f>"3275094403650008"</f>
        <v>3275094403650008</v>
      </c>
      <c r="C178" s="7" t="s">
        <v>577</v>
      </c>
      <c r="D178" s="7" t="s">
        <v>10</v>
      </c>
      <c r="E178" s="7" t="s">
        <v>11</v>
      </c>
      <c r="F178" s="7" t="s">
        <v>412</v>
      </c>
      <c r="G178" s="7" t="s">
        <v>574</v>
      </c>
      <c r="H178" s="7" t="s">
        <v>575</v>
      </c>
      <c r="I178" s="8" t="s">
        <v>576</v>
      </c>
    </row>
    <row r="179" spans="1:12" hidden="1" x14ac:dyDescent="0.35">
      <c r="A179" s="6">
        <v>1281633</v>
      </c>
      <c r="B179" s="7" t="str">
        <f>"3311060908960001"</f>
        <v>3311060908960001</v>
      </c>
      <c r="C179" s="7" t="s">
        <v>580</v>
      </c>
      <c r="D179" s="7" t="s">
        <v>10</v>
      </c>
      <c r="E179" s="7" t="s">
        <v>11</v>
      </c>
      <c r="F179" s="7" t="s">
        <v>18</v>
      </c>
      <c r="G179" s="7" t="s">
        <v>581</v>
      </c>
      <c r="H179" s="7" t="s">
        <v>582</v>
      </c>
      <c r="I179" s="8" t="s">
        <v>583</v>
      </c>
    </row>
    <row r="180" spans="1:12" hidden="1" x14ac:dyDescent="0.35">
      <c r="A180" s="6">
        <v>863336</v>
      </c>
      <c r="B180" s="7" t="str">
        <f>"3326022907850002"</f>
        <v>3326022907850002</v>
      </c>
      <c r="C180" s="7" t="s">
        <v>585</v>
      </c>
      <c r="D180" s="7" t="s">
        <v>10</v>
      </c>
      <c r="E180" s="7" t="s">
        <v>11</v>
      </c>
      <c r="F180" s="7" t="s">
        <v>18</v>
      </c>
      <c r="G180" s="7" t="s">
        <v>195</v>
      </c>
      <c r="H180" s="7" t="s">
        <v>586</v>
      </c>
      <c r="I180" s="8" t="s">
        <v>587</v>
      </c>
    </row>
    <row r="181" spans="1:12" hidden="1" x14ac:dyDescent="0.35">
      <c r="A181" s="6">
        <v>950279</v>
      </c>
      <c r="B181" s="7" t="str">
        <f>"3326094807900003"</f>
        <v>3326094807900003</v>
      </c>
      <c r="C181" s="7" t="s">
        <v>589</v>
      </c>
      <c r="D181" s="7" t="s">
        <v>10</v>
      </c>
      <c r="E181" s="7" t="s">
        <v>11</v>
      </c>
      <c r="F181" s="7" t="s">
        <v>50</v>
      </c>
      <c r="G181" s="7" t="s">
        <v>86</v>
      </c>
      <c r="H181" s="7" t="s">
        <v>530</v>
      </c>
      <c r="I181" s="8" t="s">
        <v>531</v>
      </c>
    </row>
    <row r="182" spans="1:12" x14ac:dyDescent="0.35">
      <c r="A182" s="6">
        <v>101145</v>
      </c>
      <c r="B182" s="7" t="str">
        <f>"3326180107990011"</f>
        <v>3326180107990011</v>
      </c>
      <c r="C182" s="7" t="s">
        <v>592</v>
      </c>
      <c r="D182" s="7" t="s">
        <v>189</v>
      </c>
      <c r="E182" s="7" t="s">
        <v>11</v>
      </c>
      <c r="F182" s="7" t="s">
        <v>18</v>
      </c>
      <c r="G182" s="7" t="s">
        <v>190</v>
      </c>
      <c r="H182" s="7" t="s">
        <v>190</v>
      </c>
      <c r="I182" s="8" t="s">
        <v>593</v>
      </c>
    </row>
    <row r="183" spans="1:12" hidden="1" x14ac:dyDescent="0.35">
      <c r="A183" s="6">
        <v>1816995</v>
      </c>
      <c r="B183" s="7" t="str">
        <f>"3327023112820010"</f>
        <v>3327023112820010</v>
      </c>
      <c r="C183" s="7" t="s">
        <v>594</v>
      </c>
      <c r="D183" s="7" t="s">
        <v>10</v>
      </c>
      <c r="E183" s="7" t="s">
        <v>11</v>
      </c>
      <c r="F183" s="7" t="s">
        <v>18</v>
      </c>
      <c r="G183" s="7" t="s">
        <v>199</v>
      </c>
      <c r="H183" s="7" t="s">
        <v>595</v>
      </c>
      <c r="I183" s="8" t="s">
        <v>596</v>
      </c>
    </row>
    <row r="184" spans="1:12" hidden="1" x14ac:dyDescent="0.35">
      <c r="A184" s="6">
        <v>1960277</v>
      </c>
      <c r="B184" s="7" t="str">
        <f>"3327032409840005"</f>
        <v>3327032409840005</v>
      </c>
      <c r="C184" s="7" t="s">
        <v>598</v>
      </c>
      <c r="D184" s="7" t="s">
        <v>10</v>
      </c>
      <c r="E184" s="7" t="s">
        <v>11</v>
      </c>
      <c r="F184" s="7" t="s">
        <v>18</v>
      </c>
      <c r="G184" s="7" t="s">
        <v>199</v>
      </c>
      <c r="H184" s="7" t="s">
        <v>599</v>
      </c>
      <c r="I184" s="8" t="s">
        <v>600</v>
      </c>
    </row>
    <row r="185" spans="1:12" hidden="1" x14ac:dyDescent="0.35">
      <c r="A185" s="6">
        <v>1980944</v>
      </c>
      <c r="B185" s="7" t="str">
        <f>"3327103009950044"</f>
        <v>3327103009950044</v>
      </c>
      <c r="C185" s="7" t="s">
        <v>603</v>
      </c>
      <c r="D185" s="7" t="s">
        <v>10</v>
      </c>
      <c r="E185" s="7" t="s">
        <v>11</v>
      </c>
      <c r="F185" s="7" t="s">
        <v>18</v>
      </c>
      <c r="G185" s="7" t="s">
        <v>199</v>
      </c>
      <c r="H185" s="7" t="s">
        <v>200</v>
      </c>
      <c r="I185" s="8" t="s">
        <v>201</v>
      </c>
    </row>
    <row r="186" spans="1:12" x14ac:dyDescent="0.35">
      <c r="A186" s="6">
        <v>2490071</v>
      </c>
      <c r="B186" s="7" t="str">
        <f>"3328020101070012"</f>
        <v>3328020101070012</v>
      </c>
      <c r="C186" s="7" t="s">
        <v>606</v>
      </c>
      <c r="D186" s="7" t="s">
        <v>189</v>
      </c>
      <c r="E186" s="7" t="s">
        <v>11</v>
      </c>
      <c r="F186" s="7" t="s">
        <v>18</v>
      </c>
      <c r="G186" s="7" t="s">
        <v>19</v>
      </c>
      <c r="H186" s="7" t="s">
        <v>527</v>
      </c>
      <c r="I186" s="8" t="s">
        <v>564</v>
      </c>
      <c r="J186" t="e">
        <f>VLOOKUP(B186,baru!$B$2:$I$2271,4,FALSE)</f>
        <v>#N/A</v>
      </c>
      <c r="K186" t="e">
        <f>VLOOKUP(B186,baru!$B$2:$I$2271,5,FALSE)</f>
        <v>#N/A</v>
      </c>
      <c r="L186" t="e">
        <f>VLOOKUP(B186,baru!$B$2:$I$2271,6,FALSE)</f>
        <v>#N/A</v>
      </c>
    </row>
    <row r="187" spans="1:12" hidden="1" x14ac:dyDescent="0.35">
      <c r="A187" s="6">
        <v>1349035</v>
      </c>
      <c r="B187" s="7" t="str">
        <f>"3328020101070012"</f>
        <v>3328020101070012</v>
      </c>
      <c r="C187" s="7" t="s">
        <v>607</v>
      </c>
      <c r="D187" s="7" t="s">
        <v>10</v>
      </c>
      <c r="E187" s="7" t="s">
        <v>57</v>
      </c>
      <c r="F187" s="7" t="s">
        <v>303</v>
      </c>
      <c r="G187" s="7" t="s">
        <v>608</v>
      </c>
      <c r="H187" s="7" t="s">
        <v>609</v>
      </c>
      <c r="I187" s="8" t="s">
        <v>610</v>
      </c>
    </row>
    <row r="188" spans="1:12" x14ac:dyDescent="0.35">
      <c r="A188" s="13">
        <v>2495861</v>
      </c>
      <c r="B188" s="14" t="str">
        <f>"3328020106980005"</f>
        <v>3328020106980005</v>
      </c>
      <c r="C188" s="14" t="s">
        <v>611</v>
      </c>
      <c r="D188" s="14" t="s">
        <v>189</v>
      </c>
      <c r="E188" s="14" t="s">
        <v>11</v>
      </c>
      <c r="F188" s="14" t="s">
        <v>18</v>
      </c>
      <c r="G188" s="14" t="s">
        <v>19</v>
      </c>
      <c r="H188" s="14" t="s">
        <v>527</v>
      </c>
      <c r="I188" s="15" t="s">
        <v>528</v>
      </c>
      <c r="J188" s="16" t="str">
        <f>VLOOKUP(B188,baru!$B$2:$I$2271,4,FALSE)</f>
        <v>Reguler</v>
      </c>
      <c r="K188" s="16" t="str">
        <f>VLOOKUP(B188,baru!$B$2:$I$2271,5,FALSE)</f>
        <v>JAWA TENGAH</v>
      </c>
      <c r="L188" s="16" t="str">
        <f>VLOOKUP(B188,baru!$B$2:$I$2271,6,FALSE)</f>
        <v>BREBES</v>
      </c>
    </row>
    <row r="189" spans="1:12" hidden="1" x14ac:dyDescent="0.35">
      <c r="A189" s="6">
        <v>521889</v>
      </c>
      <c r="B189" s="7" t="str">
        <f>"3328020107000059"</f>
        <v>3328020107000059</v>
      </c>
      <c r="C189" s="7" t="s">
        <v>614</v>
      </c>
      <c r="D189" s="7" t="s">
        <v>10</v>
      </c>
      <c r="E189" s="7" t="s">
        <v>11</v>
      </c>
      <c r="F189" s="7" t="s">
        <v>50</v>
      </c>
      <c r="G189" s="7" t="s">
        <v>51</v>
      </c>
      <c r="H189" s="7" t="s">
        <v>62</v>
      </c>
      <c r="I189" s="8" t="s">
        <v>615</v>
      </c>
    </row>
    <row r="190" spans="1:12" x14ac:dyDescent="0.35">
      <c r="A190" s="6">
        <v>2456868</v>
      </c>
      <c r="B190" s="7" t="str">
        <f>"3328020107060019"</f>
        <v>3328020107060019</v>
      </c>
      <c r="C190" s="7" t="s">
        <v>617</v>
      </c>
      <c r="D190" s="7" t="s">
        <v>189</v>
      </c>
      <c r="E190" s="7" t="s">
        <v>11</v>
      </c>
      <c r="F190" s="7" t="s">
        <v>18</v>
      </c>
      <c r="G190" s="7" t="s">
        <v>19</v>
      </c>
      <c r="H190" s="7" t="s">
        <v>527</v>
      </c>
      <c r="I190" s="8" t="s">
        <v>602</v>
      </c>
      <c r="J190" t="e">
        <f>VLOOKUP(B190,baru!$B$2:$I$2271,4,FALSE)</f>
        <v>#N/A</v>
      </c>
      <c r="K190" t="e">
        <f>VLOOKUP(B190,baru!$B$2:$I$2271,5,FALSE)</f>
        <v>#N/A</v>
      </c>
      <c r="L190" t="e">
        <f>VLOOKUP(B190,baru!$B$2:$I$2271,6,FALSE)</f>
        <v>#N/A</v>
      </c>
    </row>
    <row r="191" spans="1:12" hidden="1" x14ac:dyDescent="0.35">
      <c r="A191" s="6">
        <v>1349034</v>
      </c>
      <c r="B191" s="7" t="str">
        <f>"3328020107060019"</f>
        <v>3328020107060019</v>
      </c>
      <c r="C191" s="7" t="s">
        <v>617</v>
      </c>
      <c r="D191" s="7" t="s">
        <v>10</v>
      </c>
      <c r="E191" s="7" t="s">
        <v>57</v>
      </c>
      <c r="F191" s="7" t="s">
        <v>303</v>
      </c>
      <c r="G191" s="7" t="s">
        <v>608</v>
      </c>
      <c r="H191" s="7" t="s">
        <v>609</v>
      </c>
      <c r="I191" s="8" t="s">
        <v>610</v>
      </c>
    </row>
    <row r="192" spans="1:12" hidden="1" x14ac:dyDescent="0.35">
      <c r="A192" s="6">
        <v>2484224</v>
      </c>
      <c r="B192" s="7" t="str">
        <f>"3328020107990051"</f>
        <v>3328020107990051</v>
      </c>
      <c r="C192" s="7" t="s">
        <v>618</v>
      </c>
      <c r="D192" s="7" t="s">
        <v>10</v>
      </c>
      <c r="E192" s="7" t="s">
        <v>11</v>
      </c>
      <c r="F192" s="7" t="s">
        <v>18</v>
      </c>
      <c r="G192" s="7" t="s">
        <v>19</v>
      </c>
      <c r="H192" s="7" t="s">
        <v>527</v>
      </c>
      <c r="I192" s="8" t="s">
        <v>590</v>
      </c>
      <c r="J192" t="e">
        <f>VLOOKUP(B192,baru!$B$2:$I$2271,4,FALSE)</f>
        <v>#N/A</v>
      </c>
      <c r="K192" t="e">
        <f>VLOOKUP(B192,baru!$B$2:$I$2271,5,FALSE)</f>
        <v>#N/A</v>
      </c>
      <c r="L192" t="e">
        <f>VLOOKUP(B192,baru!$B$2:$I$2271,6,FALSE)</f>
        <v>#N/A</v>
      </c>
    </row>
    <row r="193" spans="1:12" hidden="1" x14ac:dyDescent="0.35">
      <c r="A193" s="6">
        <v>423775</v>
      </c>
      <c r="B193" s="7" t="str">
        <f>"3328020107990051"</f>
        <v>3328020107990051</v>
      </c>
      <c r="C193" s="7" t="s">
        <v>619</v>
      </c>
      <c r="D193" s="7" t="s">
        <v>10</v>
      </c>
      <c r="E193" s="7" t="s">
        <v>57</v>
      </c>
      <c r="F193" s="7" t="s">
        <v>18</v>
      </c>
      <c r="G193" s="7" t="s">
        <v>268</v>
      </c>
      <c r="H193" s="7" t="s">
        <v>277</v>
      </c>
      <c r="I193" s="8" t="s">
        <v>278</v>
      </c>
    </row>
    <row r="194" spans="1:12" hidden="1" x14ac:dyDescent="0.35">
      <c r="A194" s="6">
        <v>55772</v>
      </c>
      <c r="B194" s="7" t="str">
        <f>"3328020209970008"</f>
        <v>3328020209970008</v>
      </c>
      <c r="C194" s="7" t="s">
        <v>620</v>
      </c>
      <c r="D194" s="7" t="s">
        <v>10</v>
      </c>
      <c r="E194" s="7" t="s">
        <v>11</v>
      </c>
      <c r="F194" s="7" t="s">
        <v>18</v>
      </c>
      <c r="G194" s="7" t="s">
        <v>264</v>
      </c>
      <c r="H194" s="7" t="s">
        <v>468</v>
      </c>
      <c r="I194" s="8" t="s">
        <v>621</v>
      </c>
    </row>
    <row r="195" spans="1:12" hidden="1" x14ac:dyDescent="0.35">
      <c r="A195" s="6">
        <v>2430745</v>
      </c>
      <c r="B195" s="7" t="str">
        <f>"3328020501870011"</f>
        <v>3328020501870011</v>
      </c>
      <c r="C195" s="7" t="s">
        <v>623</v>
      </c>
      <c r="D195" s="7" t="s">
        <v>10</v>
      </c>
      <c r="E195" s="7" t="s">
        <v>11</v>
      </c>
      <c r="F195" s="7" t="s">
        <v>18</v>
      </c>
      <c r="G195" s="7" t="s">
        <v>19</v>
      </c>
      <c r="H195" s="7" t="s">
        <v>527</v>
      </c>
      <c r="I195" s="8" t="s">
        <v>539</v>
      </c>
      <c r="J195" t="e">
        <f>VLOOKUP(B195,baru!$B$2:$I$2271,4,FALSE)</f>
        <v>#N/A</v>
      </c>
      <c r="K195" t="e">
        <f>VLOOKUP(B195,baru!$B$2:$I$2271,5,FALSE)</f>
        <v>#N/A</v>
      </c>
      <c r="L195" t="e">
        <f>VLOOKUP(B195,baru!$B$2:$I$2271,6,FALSE)</f>
        <v>#N/A</v>
      </c>
    </row>
    <row r="196" spans="1:12" hidden="1" x14ac:dyDescent="0.35">
      <c r="A196" s="6">
        <v>1178476</v>
      </c>
      <c r="B196" s="7" t="str">
        <f>"3328020501870011"</f>
        <v>3328020501870011</v>
      </c>
      <c r="C196" s="7" t="s">
        <v>623</v>
      </c>
      <c r="D196" s="7" t="s">
        <v>10</v>
      </c>
      <c r="E196" s="7" t="s">
        <v>11</v>
      </c>
      <c r="F196" s="7" t="s">
        <v>18</v>
      </c>
      <c r="G196" s="7" t="s">
        <v>180</v>
      </c>
      <c r="H196" s="7" t="s">
        <v>181</v>
      </c>
      <c r="I196" s="8" t="s">
        <v>624</v>
      </c>
    </row>
    <row r="197" spans="1:12" hidden="1" x14ac:dyDescent="0.35">
      <c r="A197" s="6">
        <v>1728890</v>
      </c>
      <c r="B197" s="7" t="str">
        <f>"3328020502950007"</f>
        <v>3328020502950007</v>
      </c>
      <c r="C197" s="7" t="s">
        <v>625</v>
      </c>
      <c r="D197" s="7" t="s">
        <v>10</v>
      </c>
      <c r="E197" s="7" t="s">
        <v>11</v>
      </c>
      <c r="F197" s="7" t="s">
        <v>50</v>
      </c>
      <c r="G197" s="7" t="s">
        <v>58</v>
      </c>
      <c r="H197" s="7" t="s">
        <v>260</v>
      </c>
      <c r="I197" s="8" t="s">
        <v>626</v>
      </c>
    </row>
    <row r="198" spans="1:12" hidden="1" x14ac:dyDescent="0.35">
      <c r="A198" s="6">
        <v>1378267</v>
      </c>
      <c r="B198" s="7" t="str">
        <f>"3328020802720001"</f>
        <v>3328020802720001</v>
      </c>
      <c r="C198" s="7" t="s">
        <v>627</v>
      </c>
      <c r="D198" s="7" t="s">
        <v>10</v>
      </c>
      <c r="E198" s="7" t="s">
        <v>11</v>
      </c>
      <c r="F198" s="7" t="s">
        <v>50</v>
      </c>
      <c r="G198" s="7" t="s">
        <v>72</v>
      </c>
      <c r="H198" s="7" t="s">
        <v>628</v>
      </c>
      <c r="I198" s="8" t="s">
        <v>629</v>
      </c>
    </row>
    <row r="199" spans="1:12" hidden="1" x14ac:dyDescent="0.35">
      <c r="A199" s="13">
        <v>2437831</v>
      </c>
      <c r="B199" s="14" t="str">
        <f>"3328020804730005"</f>
        <v>3328020804730005</v>
      </c>
      <c r="C199" s="14" t="s">
        <v>630</v>
      </c>
      <c r="D199" s="14" t="s">
        <v>10</v>
      </c>
      <c r="E199" s="14" t="s">
        <v>11</v>
      </c>
      <c r="F199" s="14" t="s">
        <v>18</v>
      </c>
      <c r="G199" s="14" t="s">
        <v>19</v>
      </c>
      <c r="H199" s="14" t="s">
        <v>527</v>
      </c>
      <c r="I199" s="15" t="s">
        <v>535</v>
      </c>
      <c r="J199" s="16" t="str">
        <f>VLOOKUP(B199,baru!$B$2:$I$2271,4,FALSE)</f>
        <v>Reguler</v>
      </c>
      <c r="K199" s="16" t="str">
        <f>VLOOKUP(B199,baru!$B$2:$I$2271,5,FALSE)</f>
        <v>JAWA BARAT</v>
      </c>
      <c r="L199" s="16" t="str">
        <f>VLOOKUP(B199,baru!$B$2:$I$2271,6,FALSE)</f>
        <v>MAJALENGKA</v>
      </c>
    </row>
    <row r="200" spans="1:12" x14ac:dyDescent="0.35">
      <c r="A200" s="6">
        <v>697085</v>
      </c>
      <c r="B200" s="7" t="str">
        <f>"3328020811930002"</f>
        <v>3328020811930002</v>
      </c>
      <c r="C200" s="7" t="s">
        <v>635</v>
      </c>
      <c r="D200" s="7" t="s">
        <v>189</v>
      </c>
      <c r="E200" s="7" t="s">
        <v>11</v>
      </c>
      <c r="F200" s="7" t="s">
        <v>50</v>
      </c>
      <c r="G200" s="7" t="s">
        <v>51</v>
      </c>
      <c r="H200" s="7" t="s">
        <v>62</v>
      </c>
      <c r="I200" s="8" t="s">
        <v>62</v>
      </c>
    </row>
    <row r="201" spans="1:12" hidden="1" x14ac:dyDescent="0.35">
      <c r="A201" s="6">
        <v>1665252</v>
      </c>
      <c r="B201" s="7" t="str">
        <f>"3328020910950004"</f>
        <v>3328020910950004</v>
      </c>
      <c r="C201" s="7" t="s">
        <v>636</v>
      </c>
      <c r="D201" s="7" t="s">
        <v>10</v>
      </c>
      <c r="E201" s="7" t="s">
        <v>11</v>
      </c>
      <c r="F201" s="7" t="s">
        <v>67</v>
      </c>
      <c r="G201" s="7" t="s">
        <v>375</v>
      </c>
      <c r="H201" s="7" t="s">
        <v>637</v>
      </c>
      <c r="I201" s="8" t="s">
        <v>638</v>
      </c>
    </row>
    <row r="202" spans="1:12" hidden="1" x14ac:dyDescent="0.35">
      <c r="A202" s="13">
        <v>2471959</v>
      </c>
      <c r="B202" s="14" t="str">
        <f>"3328021002990002"</f>
        <v>3328021002990002</v>
      </c>
      <c r="C202" s="14" t="s">
        <v>639</v>
      </c>
      <c r="D202" s="14" t="s">
        <v>10</v>
      </c>
      <c r="E202" s="14" t="s">
        <v>11</v>
      </c>
      <c r="F202" s="14" t="s">
        <v>18</v>
      </c>
      <c r="G202" s="14" t="s">
        <v>19</v>
      </c>
      <c r="H202" s="14" t="s">
        <v>527</v>
      </c>
      <c r="I202" s="15" t="s">
        <v>640</v>
      </c>
      <c r="J202" s="16" t="str">
        <f>VLOOKUP(B202,baru!$B$2:$I$2271,4,FALSE)</f>
        <v>Reguler</v>
      </c>
      <c r="K202" s="16" t="str">
        <f>VLOOKUP(B202,baru!$B$2:$I$2271,5,FALSE)</f>
        <v>KALIMANTAN TIMUR</v>
      </c>
      <c r="L202" s="16" t="str">
        <f>VLOOKUP(B202,baru!$B$2:$I$2271,6,FALSE)</f>
        <v>BERAU</v>
      </c>
    </row>
    <row r="203" spans="1:12" hidden="1" x14ac:dyDescent="0.35">
      <c r="A203" s="6">
        <v>2491013</v>
      </c>
      <c r="B203" s="7" t="str">
        <f>"3328021005920013"</f>
        <v>3328021005920013</v>
      </c>
      <c r="C203" s="7" t="s">
        <v>645</v>
      </c>
      <c r="D203" s="7" t="s">
        <v>10</v>
      </c>
      <c r="E203" s="7" t="s">
        <v>11</v>
      </c>
      <c r="F203" s="7" t="s">
        <v>18</v>
      </c>
      <c r="G203" s="7" t="s">
        <v>19</v>
      </c>
      <c r="H203" s="7" t="s">
        <v>527</v>
      </c>
      <c r="I203" s="8" t="s">
        <v>532</v>
      </c>
      <c r="J203" t="e">
        <f>VLOOKUP(B203,baru!$B$2:$I$2271,4,FALSE)</f>
        <v>#N/A</v>
      </c>
      <c r="K203" t="e">
        <f>VLOOKUP(B203,baru!$B$2:$I$2271,5,FALSE)</f>
        <v>#N/A</v>
      </c>
      <c r="L203" t="e">
        <f>VLOOKUP(B203,baru!$B$2:$I$2271,6,FALSE)</f>
        <v>#N/A</v>
      </c>
    </row>
    <row r="204" spans="1:12" hidden="1" x14ac:dyDescent="0.35">
      <c r="A204" s="6">
        <v>212498</v>
      </c>
      <c r="B204" s="7" t="str">
        <f>"3328021005920013"</f>
        <v>3328021005920013</v>
      </c>
      <c r="C204" s="7" t="s">
        <v>646</v>
      </c>
      <c r="D204" s="7" t="s">
        <v>10</v>
      </c>
      <c r="E204" s="7" t="s">
        <v>57</v>
      </c>
      <c r="F204" s="7" t="s">
        <v>240</v>
      </c>
      <c r="G204" s="7" t="s">
        <v>647</v>
      </c>
      <c r="H204" s="7" t="s">
        <v>640</v>
      </c>
      <c r="I204" s="8" t="s">
        <v>648</v>
      </c>
    </row>
    <row r="205" spans="1:12" hidden="1" x14ac:dyDescent="0.35">
      <c r="A205" s="6">
        <v>3305908</v>
      </c>
      <c r="B205" s="7" t="str">
        <f>"3328021012750001"</f>
        <v>3328021012750001</v>
      </c>
      <c r="C205" s="7" t="s">
        <v>649</v>
      </c>
      <c r="D205" s="7" t="s">
        <v>10</v>
      </c>
      <c r="E205" s="7" t="s">
        <v>11</v>
      </c>
      <c r="F205" s="7" t="s">
        <v>91</v>
      </c>
      <c r="G205" s="7" t="s">
        <v>650</v>
      </c>
      <c r="H205" s="7" t="s">
        <v>651</v>
      </c>
      <c r="I205" s="8" t="s">
        <v>652</v>
      </c>
    </row>
    <row r="206" spans="1:12" hidden="1" x14ac:dyDescent="0.35">
      <c r="A206" s="6">
        <v>2456598</v>
      </c>
      <c r="B206" s="7" t="str">
        <f>"3328021202000001"</f>
        <v>3328021202000001</v>
      </c>
      <c r="C206" s="7" t="s">
        <v>653</v>
      </c>
      <c r="D206" s="7" t="s">
        <v>10</v>
      </c>
      <c r="E206" s="7" t="s">
        <v>11</v>
      </c>
      <c r="F206" s="7" t="s">
        <v>18</v>
      </c>
      <c r="G206" s="7" t="s">
        <v>19</v>
      </c>
      <c r="H206" s="7" t="s">
        <v>527</v>
      </c>
      <c r="I206" s="8" t="s">
        <v>602</v>
      </c>
      <c r="J206" t="e">
        <f>VLOOKUP(B206,baru!$B$2:$I$2271,4,FALSE)</f>
        <v>#N/A</v>
      </c>
      <c r="K206" t="e">
        <f>VLOOKUP(B206,baru!$B$2:$I$2271,5,FALSE)</f>
        <v>#N/A</v>
      </c>
      <c r="L206" t="e">
        <f>VLOOKUP(B206,baru!$B$2:$I$2271,6,FALSE)</f>
        <v>#N/A</v>
      </c>
    </row>
    <row r="207" spans="1:12" hidden="1" x14ac:dyDescent="0.35">
      <c r="A207" s="6">
        <v>1351186</v>
      </c>
      <c r="B207" s="7" t="str">
        <f>"3328021202000001"</f>
        <v>3328021202000001</v>
      </c>
      <c r="C207" s="7" t="s">
        <v>653</v>
      </c>
      <c r="D207" s="7" t="s">
        <v>10</v>
      </c>
      <c r="E207" s="7" t="s">
        <v>57</v>
      </c>
      <c r="F207" s="7" t="s">
        <v>303</v>
      </c>
      <c r="G207" s="7" t="s">
        <v>608</v>
      </c>
      <c r="H207" s="7" t="s">
        <v>609</v>
      </c>
      <c r="I207" s="8" t="s">
        <v>610</v>
      </c>
    </row>
    <row r="208" spans="1:12" hidden="1" x14ac:dyDescent="0.35">
      <c r="A208" s="6">
        <v>2426510</v>
      </c>
      <c r="B208" s="7" t="str">
        <f>"3328021204000007"</f>
        <v>3328021204000007</v>
      </c>
      <c r="C208" s="7" t="s">
        <v>654</v>
      </c>
      <c r="D208" s="7" t="s">
        <v>10</v>
      </c>
      <c r="E208" s="7" t="s">
        <v>11</v>
      </c>
      <c r="F208" s="7" t="s">
        <v>18</v>
      </c>
      <c r="G208" s="7" t="s">
        <v>19</v>
      </c>
      <c r="H208" s="7" t="s">
        <v>527</v>
      </c>
      <c r="I208" s="8" t="s">
        <v>539</v>
      </c>
      <c r="J208" t="e">
        <f>VLOOKUP(B208,baru!$B$2:$I$2271,4,FALSE)</f>
        <v>#N/A</v>
      </c>
      <c r="K208" t="e">
        <f>VLOOKUP(B208,baru!$B$2:$I$2271,5,FALSE)</f>
        <v>#N/A</v>
      </c>
      <c r="L208" t="e">
        <f>VLOOKUP(B208,baru!$B$2:$I$2271,6,FALSE)</f>
        <v>#N/A</v>
      </c>
    </row>
    <row r="209" spans="1:12" hidden="1" x14ac:dyDescent="0.35">
      <c r="A209" s="6">
        <v>1351189</v>
      </c>
      <c r="B209" s="7" t="str">
        <f>"3328021204000007"</f>
        <v>3328021204000007</v>
      </c>
      <c r="C209" s="7" t="s">
        <v>655</v>
      </c>
      <c r="D209" s="7" t="s">
        <v>10</v>
      </c>
      <c r="E209" s="7" t="s">
        <v>57</v>
      </c>
      <c r="F209" s="7" t="s">
        <v>303</v>
      </c>
      <c r="G209" s="7" t="s">
        <v>608</v>
      </c>
      <c r="H209" s="7" t="s">
        <v>609</v>
      </c>
      <c r="I209" s="8" t="s">
        <v>610</v>
      </c>
    </row>
    <row r="210" spans="1:12" hidden="1" x14ac:dyDescent="0.35">
      <c r="A210" s="6">
        <v>2474242</v>
      </c>
      <c r="B210" s="7" t="str">
        <f>"3328021210920003"</f>
        <v>3328021210920003</v>
      </c>
      <c r="C210" s="7" t="s">
        <v>656</v>
      </c>
      <c r="D210" s="7" t="s">
        <v>10</v>
      </c>
      <c r="E210" s="7" t="s">
        <v>11</v>
      </c>
      <c r="F210" s="7" t="s">
        <v>18</v>
      </c>
      <c r="G210" s="7" t="s">
        <v>19</v>
      </c>
      <c r="H210" s="7" t="s">
        <v>527</v>
      </c>
      <c r="I210" s="8" t="s">
        <v>640</v>
      </c>
      <c r="J210" t="e">
        <f>VLOOKUP(B210,baru!$B$2:$I$2271,4,FALSE)</f>
        <v>#N/A</v>
      </c>
      <c r="K210" t="e">
        <f>VLOOKUP(B210,baru!$B$2:$I$2271,5,FALSE)</f>
        <v>#N/A</v>
      </c>
      <c r="L210" t="e">
        <f>VLOOKUP(B210,baru!$B$2:$I$2271,6,FALSE)</f>
        <v>#N/A</v>
      </c>
    </row>
    <row r="211" spans="1:12" hidden="1" x14ac:dyDescent="0.35">
      <c r="A211" s="6">
        <v>257586</v>
      </c>
      <c r="B211" s="7" t="str">
        <f>"3328021210920003"</f>
        <v>3328021210920003</v>
      </c>
      <c r="C211" s="7" t="s">
        <v>656</v>
      </c>
      <c r="D211" s="7" t="s">
        <v>10</v>
      </c>
      <c r="E211" s="7" t="s">
        <v>57</v>
      </c>
      <c r="F211" s="7" t="s">
        <v>521</v>
      </c>
      <c r="G211" s="7" t="s">
        <v>657</v>
      </c>
      <c r="H211" s="7" t="s">
        <v>658</v>
      </c>
      <c r="I211" s="8" t="s">
        <v>659</v>
      </c>
    </row>
    <row r="212" spans="1:12" hidden="1" x14ac:dyDescent="0.35">
      <c r="A212" s="6">
        <v>2484219</v>
      </c>
      <c r="B212" s="7" t="str">
        <f>"3328021303010002"</f>
        <v>3328021303010002</v>
      </c>
      <c r="C212" s="7" t="s">
        <v>660</v>
      </c>
      <c r="D212" s="7" t="s">
        <v>10</v>
      </c>
      <c r="E212" s="7" t="s">
        <v>11</v>
      </c>
      <c r="F212" s="7" t="s">
        <v>18</v>
      </c>
      <c r="G212" s="7" t="s">
        <v>19</v>
      </c>
      <c r="H212" s="7" t="s">
        <v>527</v>
      </c>
      <c r="I212" s="8" t="s">
        <v>590</v>
      </c>
      <c r="J212" t="e">
        <f>VLOOKUP(B212,baru!$B$2:$I$2271,4,FALSE)</f>
        <v>#N/A</v>
      </c>
      <c r="K212" t="e">
        <f>VLOOKUP(B212,baru!$B$2:$I$2271,5,FALSE)</f>
        <v>#N/A</v>
      </c>
      <c r="L212" t="e">
        <f>VLOOKUP(B212,baru!$B$2:$I$2271,6,FALSE)</f>
        <v>#N/A</v>
      </c>
    </row>
    <row r="213" spans="1:12" hidden="1" x14ac:dyDescent="0.35">
      <c r="A213" s="6">
        <v>423688</v>
      </c>
      <c r="B213" s="7" t="str">
        <f>"3328021303010002"</f>
        <v>3328021303010002</v>
      </c>
      <c r="C213" s="7" t="s">
        <v>661</v>
      </c>
      <c r="D213" s="7" t="s">
        <v>10</v>
      </c>
      <c r="E213" s="7" t="s">
        <v>57</v>
      </c>
      <c r="F213" s="7" t="s">
        <v>18</v>
      </c>
      <c r="G213" s="7" t="s">
        <v>268</v>
      </c>
      <c r="H213" s="7" t="s">
        <v>277</v>
      </c>
      <c r="I213" s="8" t="s">
        <v>278</v>
      </c>
    </row>
    <row r="214" spans="1:12" hidden="1" x14ac:dyDescent="0.35">
      <c r="A214" s="6">
        <v>2455644</v>
      </c>
      <c r="B214" s="7" t="str">
        <f>"3328021306030002"</f>
        <v>3328021306030002</v>
      </c>
      <c r="C214" s="7" t="s">
        <v>662</v>
      </c>
      <c r="D214" s="7" t="s">
        <v>10</v>
      </c>
      <c r="E214" s="7" t="s">
        <v>11</v>
      </c>
      <c r="F214" s="7" t="s">
        <v>18</v>
      </c>
      <c r="G214" s="7" t="s">
        <v>19</v>
      </c>
      <c r="H214" s="7" t="s">
        <v>527</v>
      </c>
      <c r="I214" s="8" t="s">
        <v>602</v>
      </c>
      <c r="J214" t="e">
        <f>VLOOKUP(B214,baru!$B$2:$I$2271,4,FALSE)</f>
        <v>#N/A</v>
      </c>
      <c r="K214" t="e">
        <f>VLOOKUP(B214,baru!$B$2:$I$2271,5,FALSE)</f>
        <v>#N/A</v>
      </c>
      <c r="L214" t="e">
        <f>VLOOKUP(B214,baru!$B$2:$I$2271,6,FALSE)</f>
        <v>#N/A</v>
      </c>
    </row>
    <row r="215" spans="1:12" hidden="1" x14ac:dyDescent="0.35">
      <c r="A215" s="6">
        <v>1351187</v>
      </c>
      <c r="B215" s="7" t="str">
        <f>"3328021306030002"</f>
        <v>3328021306030002</v>
      </c>
      <c r="C215" s="7" t="s">
        <v>662</v>
      </c>
      <c r="D215" s="7" t="s">
        <v>10</v>
      </c>
      <c r="E215" s="7" t="s">
        <v>57</v>
      </c>
      <c r="F215" s="7" t="s">
        <v>303</v>
      </c>
      <c r="G215" s="7" t="s">
        <v>608</v>
      </c>
      <c r="H215" s="7" t="s">
        <v>609</v>
      </c>
      <c r="I215" s="8" t="s">
        <v>610</v>
      </c>
    </row>
    <row r="216" spans="1:12" hidden="1" x14ac:dyDescent="0.35">
      <c r="A216" s="6">
        <v>349025</v>
      </c>
      <c r="B216" s="7" t="str">
        <f>"3328021408860001"</f>
        <v>3328021408860001</v>
      </c>
      <c r="C216" s="7" t="s">
        <v>663</v>
      </c>
      <c r="D216" s="7" t="s">
        <v>10</v>
      </c>
      <c r="E216" s="7" t="s">
        <v>11</v>
      </c>
      <c r="F216" s="7" t="s">
        <v>91</v>
      </c>
      <c r="G216" s="7" t="s">
        <v>320</v>
      </c>
      <c r="H216" s="7" t="s">
        <v>664</v>
      </c>
      <c r="I216" s="8" t="s">
        <v>665</v>
      </c>
    </row>
    <row r="217" spans="1:12" hidden="1" x14ac:dyDescent="0.35">
      <c r="A217" s="6">
        <v>584556</v>
      </c>
      <c r="B217" s="7" t="str">
        <f>"3328021412980009"</f>
        <v>3328021412980009</v>
      </c>
      <c r="C217" s="7" t="s">
        <v>666</v>
      </c>
      <c r="D217" s="7" t="s">
        <v>10</v>
      </c>
      <c r="E217" s="7" t="s">
        <v>11</v>
      </c>
      <c r="F217" s="7" t="s">
        <v>667</v>
      </c>
      <c r="G217" s="7" t="s">
        <v>668</v>
      </c>
      <c r="H217" s="7" t="s">
        <v>669</v>
      </c>
      <c r="I217" s="8" t="s">
        <v>670</v>
      </c>
    </row>
    <row r="218" spans="1:12" hidden="1" x14ac:dyDescent="0.35">
      <c r="A218" s="6">
        <v>1370247</v>
      </c>
      <c r="B218" s="7" t="str">
        <f>"3328021502860003"</f>
        <v>3328021502860003</v>
      </c>
      <c r="C218" s="7" t="s">
        <v>672</v>
      </c>
      <c r="D218" s="7" t="s">
        <v>10</v>
      </c>
      <c r="E218" s="7" t="s">
        <v>11</v>
      </c>
      <c r="F218" s="7" t="s">
        <v>91</v>
      </c>
      <c r="G218" s="7" t="s">
        <v>92</v>
      </c>
      <c r="H218" s="7" t="s">
        <v>673</v>
      </c>
      <c r="I218" s="8" t="s">
        <v>674</v>
      </c>
    </row>
    <row r="219" spans="1:12" hidden="1" x14ac:dyDescent="0.35">
      <c r="A219" s="6">
        <v>2456241</v>
      </c>
      <c r="B219" s="7" t="str">
        <f>"3328021504030002"</f>
        <v>3328021504030002</v>
      </c>
      <c r="C219" s="7" t="s">
        <v>675</v>
      </c>
      <c r="D219" s="7" t="s">
        <v>10</v>
      </c>
      <c r="E219" s="7" t="s">
        <v>11</v>
      </c>
      <c r="F219" s="7" t="s">
        <v>18</v>
      </c>
      <c r="G219" s="7" t="s">
        <v>19</v>
      </c>
      <c r="H219" s="7" t="s">
        <v>527</v>
      </c>
      <c r="I219" s="8" t="s">
        <v>602</v>
      </c>
      <c r="J219" t="e">
        <f>VLOOKUP(B219,baru!$B$2:$I$2271,4,FALSE)</f>
        <v>#N/A</v>
      </c>
      <c r="K219" t="e">
        <f>VLOOKUP(B219,baru!$B$2:$I$2271,5,FALSE)</f>
        <v>#N/A</v>
      </c>
      <c r="L219" t="e">
        <f>VLOOKUP(B219,baru!$B$2:$I$2271,6,FALSE)</f>
        <v>#N/A</v>
      </c>
    </row>
    <row r="220" spans="1:12" hidden="1" x14ac:dyDescent="0.35">
      <c r="A220" s="6">
        <v>1351188</v>
      </c>
      <c r="B220" s="7" t="str">
        <f>"3328021504030002"</f>
        <v>3328021504030002</v>
      </c>
      <c r="C220" s="7" t="s">
        <v>676</v>
      </c>
      <c r="D220" s="7" t="s">
        <v>10</v>
      </c>
      <c r="E220" s="7" t="s">
        <v>57</v>
      </c>
      <c r="F220" s="7" t="s">
        <v>303</v>
      </c>
      <c r="G220" s="7" t="s">
        <v>608</v>
      </c>
      <c r="H220" s="7" t="s">
        <v>609</v>
      </c>
      <c r="I220" s="8" t="s">
        <v>610</v>
      </c>
    </row>
    <row r="221" spans="1:12" hidden="1" x14ac:dyDescent="0.35">
      <c r="A221" s="6">
        <v>324022</v>
      </c>
      <c r="B221" s="7" t="str">
        <f>"3328021506851458"</f>
        <v>3328021506851458</v>
      </c>
      <c r="C221" s="7" t="s">
        <v>677</v>
      </c>
      <c r="D221" s="7" t="s">
        <v>10</v>
      </c>
      <c r="E221" s="7" t="s">
        <v>11</v>
      </c>
      <c r="F221" s="7" t="s">
        <v>50</v>
      </c>
      <c r="G221" s="7" t="s">
        <v>58</v>
      </c>
      <c r="H221" s="7" t="s">
        <v>316</v>
      </c>
      <c r="I221" s="8" t="s">
        <v>678</v>
      </c>
    </row>
    <row r="222" spans="1:12" hidden="1" x14ac:dyDescent="0.35">
      <c r="A222" s="6">
        <v>1183648</v>
      </c>
      <c r="B222" s="7" t="str">
        <f>"3328021508850006"</f>
        <v>3328021508850006</v>
      </c>
      <c r="C222" s="7" t="s">
        <v>679</v>
      </c>
      <c r="D222" s="7" t="s">
        <v>10</v>
      </c>
      <c r="E222" s="7" t="s">
        <v>11</v>
      </c>
      <c r="F222" s="7" t="s">
        <v>50</v>
      </c>
      <c r="G222" s="7" t="s">
        <v>51</v>
      </c>
      <c r="H222" s="7" t="s">
        <v>78</v>
      </c>
      <c r="I222" s="8" t="s">
        <v>680</v>
      </c>
    </row>
    <row r="223" spans="1:12" hidden="1" x14ac:dyDescent="0.35">
      <c r="A223" s="6">
        <v>2148693</v>
      </c>
      <c r="B223" s="7" t="str">
        <f>"3328021607020001"</f>
        <v>3328021607020001</v>
      </c>
      <c r="C223" s="7" t="s">
        <v>681</v>
      </c>
      <c r="D223" s="7" t="s">
        <v>10</v>
      </c>
      <c r="E223" s="7" t="s">
        <v>11</v>
      </c>
      <c r="F223" s="7" t="s">
        <v>18</v>
      </c>
      <c r="G223" s="7" t="s">
        <v>19</v>
      </c>
      <c r="H223" s="7" t="s">
        <v>527</v>
      </c>
      <c r="I223" s="8" t="s">
        <v>682</v>
      </c>
      <c r="J223" t="e">
        <f>VLOOKUP(B223,baru!$B$2:$I$2271,4,FALSE)</f>
        <v>#N/A</v>
      </c>
      <c r="K223" t="e">
        <f>VLOOKUP(B223,baru!$B$2:$I$2271,5,FALSE)</f>
        <v>#N/A</v>
      </c>
      <c r="L223" t="e">
        <f>VLOOKUP(B223,baru!$B$2:$I$2271,6,FALSE)</f>
        <v>#N/A</v>
      </c>
    </row>
    <row r="224" spans="1:12" hidden="1" x14ac:dyDescent="0.35">
      <c r="A224" s="6">
        <v>1351184</v>
      </c>
      <c r="B224" s="7" t="str">
        <f>"3328021607020001"</f>
        <v>3328021607020001</v>
      </c>
      <c r="C224" s="7" t="s">
        <v>681</v>
      </c>
      <c r="D224" s="7" t="s">
        <v>10</v>
      </c>
      <c r="E224" s="7" t="s">
        <v>57</v>
      </c>
      <c r="F224" s="7" t="s">
        <v>303</v>
      </c>
      <c r="G224" s="7" t="s">
        <v>608</v>
      </c>
      <c r="H224" s="7" t="s">
        <v>609</v>
      </c>
      <c r="I224" s="8" t="s">
        <v>610</v>
      </c>
    </row>
    <row r="225" spans="1:12" hidden="1" x14ac:dyDescent="0.35">
      <c r="A225" s="17">
        <v>2425875</v>
      </c>
      <c r="B225" s="18" t="str">
        <f>"3328021610840003"</f>
        <v>3328021610840003</v>
      </c>
      <c r="C225" s="18" t="s">
        <v>683</v>
      </c>
      <c r="D225" s="18" t="s">
        <v>10</v>
      </c>
      <c r="E225" s="18" t="s">
        <v>11</v>
      </c>
      <c r="F225" s="18" t="s">
        <v>18</v>
      </c>
      <c r="G225" s="18" t="s">
        <v>19</v>
      </c>
      <c r="H225" s="18" t="s">
        <v>527</v>
      </c>
      <c r="I225" s="19" t="s">
        <v>684</v>
      </c>
      <c r="J225" s="20" t="str">
        <f>VLOOKUP(B225,baru!$B$2:$I$2271,4,FALSE)</f>
        <v>Khusus</v>
      </c>
      <c r="K225" s="20" t="str">
        <f>VLOOKUP(B225,baru!$B$2:$I$2271,5,FALSE)</f>
        <v>JAWA BARAT</v>
      </c>
      <c r="L225" s="20" t="str">
        <f>VLOOKUP(B225,baru!$B$2:$I$2271,6,FALSE)</f>
        <v>KOTA BEKASI</v>
      </c>
    </row>
    <row r="226" spans="1:12" hidden="1" x14ac:dyDescent="0.35">
      <c r="A226" s="6">
        <v>1579832</v>
      </c>
      <c r="B226" s="7" t="str">
        <f>"3328021612030003"</f>
        <v>3328021612030003</v>
      </c>
      <c r="C226" s="7" t="s">
        <v>687</v>
      </c>
      <c r="D226" s="7" t="s">
        <v>10</v>
      </c>
      <c r="E226" s="7" t="s">
        <v>11</v>
      </c>
      <c r="F226" s="7" t="s">
        <v>91</v>
      </c>
      <c r="G226" s="7" t="s">
        <v>650</v>
      </c>
      <c r="H226" s="7" t="s">
        <v>688</v>
      </c>
      <c r="I226" s="8" t="s">
        <v>689</v>
      </c>
    </row>
    <row r="227" spans="1:12" x14ac:dyDescent="0.35">
      <c r="A227" s="13">
        <v>2480151</v>
      </c>
      <c r="B227" s="14" t="str">
        <f>"3328021707950024"</f>
        <v>3328021707950024</v>
      </c>
      <c r="C227" s="14" t="s">
        <v>692</v>
      </c>
      <c r="D227" s="14" t="s">
        <v>189</v>
      </c>
      <c r="E227" s="14" t="s">
        <v>11</v>
      </c>
      <c r="F227" s="14" t="s">
        <v>18</v>
      </c>
      <c r="G227" s="14" t="s">
        <v>19</v>
      </c>
      <c r="H227" s="14" t="s">
        <v>527</v>
      </c>
      <c r="I227" s="15" t="s">
        <v>543</v>
      </c>
      <c r="J227" s="16" t="str">
        <f>VLOOKUP(B227,baru!$B$2:$I$2271,4,FALSE)</f>
        <v>Reguler</v>
      </c>
      <c r="K227" s="16" t="str">
        <f>VLOOKUP(B227,baru!$B$2:$I$2271,5,FALSE)</f>
        <v>JAWA TENGAH</v>
      </c>
      <c r="L227" s="16" t="str">
        <f>VLOOKUP(B227,baru!$B$2:$I$2271,6,FALSE)</f>
        <v>KENDAL</v>
      </c>
    </row>
    <row r="228" spans="1:12" hidden="1" x14ac:dyDescent="0.35">
      <c r="A228" s="6">
        <v>712683</v>
      </c>
      <c r="B228" s="7" t="str">
        <f>"3328021711920004"</f>
        <v>3328021711920004</v>
      </c>
      <c r="C228" s="7" t="s">
        <v>695</v>
      </c>
      <c r="D228" s="7" t="s">
        <v>10</v>
      </c>
      <c r="E228" s="7" t="s">
        <v>11</v>
      </c>
      <c r="F228" s="7" t="s">
        <v>67</v>
      </c>
      <c r="G228" s="7" t="s">
        <v>696</v>
      </c>
      <c r="H228" s="7" t="s">
        <v>697</v>
      </c>
      <c r="I228" s="8" t="s">
        <v>697</v>
      </c>
    </row>
    <row r="229" spans="1:12" hidden="1" x14ac:dyDescent="0.35">
      <c r="A229" s="6">
        <v>1335006</v>
      </c>
      <c r="B229" s="7" t="str">
        <f>"3328021802960002"</f>
        <v>3328021802960002</v>
      </c>
      <c r="C229" s="7" t="s">
        <v>699</v>
      </c>
      <c r="D229" s="7" t="s">
        <v>10</v>
      </c>
      <c r="E229" s="7" t="s">
        <v>11</v>
      </c>
      <c r="F229" s="7" t="s">
        <v>18</v>
      </c>
      <c r="G229" s="7" t="s">
        <v>264</v>
      </c>
      <c r="H229" s="7" t="s">
        <v>273</v>
      </c>
      <c r="I229" s="8" t="s">
        <v>700</v>
      </c>
    </row>
    <row r="230" spans="1:12" hidden="1" x14ac:dyDescent="0.35">
      <c r="A230" s="6">
        <v>501965</v>
      </c>
      <c r="B230" s="7" t="str">
        <f>"3328021910920004"</f>
        <v>3328021910920004</v>
      </c>
      <c r="C230" s="7" t="s">
        <v>702</v>
      </c>
      <c r="D230" s="7" t="s">
        <v>10</v>
      </c>
      <c r="E230" s="7" t="s">
        <v>11</v>
      </c>
      <c r="F230" s="7" t="s">
        <v>50</v>
      </c>
      <c r="G230" s="7" t="s">
        <v>72</v>
      </c>
      <c r="H230" s="7" t="s">
        <v>703</v>
      </c>
      <c r="I230" s="8" t="s">
        <v>704</v>
      </c>
    </row>
    <row r="231" spans="1:12" hidden="1" x14ac:dyDescent="0.35">
      <c r="A231" s="6">
        <v>2128852</v>
      </c>
      <c r="B231" s="7" t="str">
        <f>"3328022006970005"</f>
        <v>3328022006970005</v>
      </c>
      <c r="C231" s="7" t="s">
        <v>705</v>
      </c>
      <c r="D231" s="7" t="s">
        <v>10</v>
      </c>
      <c r="E231" s="7" t="s">
        <v>11</v>
      </c>
      <c r="F231" s="7" t="s">
        <v>18</v>
      </c>
      <c r="G231" s="7" t="s">
        <v>199</v>
      </c>
      <c r="H231" s="7" t="s">
        <v>706</v>
      </c>
      <c r="I231" s="8" t="s">
        <v>707</v>
      </c>
    </row>
    <row r="232" spans="1:12" hidden="1" x14ac:dyDescent="0.35">
      <c r="A232" s="6">
        <v>1351190</v>
      </c>
      <c r="B232" s="7" t="str">
        <f>"3328022011030002"</f>
        <v>3328022011030002</v>
      </c>
      <c r="C232" s="7" t="s">
        <v>709</v>
      </c>
      <c r="D232" s="7" t="s">
        <v>10</v>
      </c>
      <c r="E232" s="7" t="s">
        <v>57</v>
      </c>
      <c r="F232" s="7" t="s">
        <v>303</v>
      </c>
      <c r="G232" s="7" t="s">
        <v>608</v>
      </c>
      <c r="H232" s="7" t="s">
        <v>609</v>
      </c>
      <c r="I232" s="8" t="s">
        <v>610</v>
      </c>
    </row>
    <row r="233" spans="1:12" hidden="1" x14ac:dyDescent="0.35">
      <c r="A233" s="13">
        <v>2431763</v>
      </c>
      <c r="B233" s="14" t="str">
        <f>"3328022105960002"</f>
        <v>3328022105960002</v>
      </c>
      <c r="C233" s="14" t="s">
        <v>710</v>
      </c>
      <c r="D233" s="14" t="s">
        <v>10</v>
      </c>
      <c r="E233" s="14" t="s">
        <v>11</v>
      </c>
      <c r="F233" s="14" t="s">
        <v>18</v>
      </c>
      <c r="G233" s="14" t="s">
        <v>19</v>
      </c>
      <c r="H233" s="14" t="s">
        <v>527</v>
      </c>
      <c r="I233" s="15" t="s">
        <v>539</v>
      </c>
      <c r="J233" s="16" t="str">
        <f>VLOOKUP(B233,baru!$B$2:$I$2271,4,FALSE)</f>
        <v>Reguler</v>
      </c>
      <c r="K233" s="16" t="str">
        <f>VLOOKUP(B233,baru!$B$2:$I$2271,5,FALSE)</f>
        <v>DAERAH ISTIMEWA YOGYAKARTA</v>
      </c>
      <c r="L233" s="16" t="str">
        <f>VLOOKUP(B233,baru!$B$2:$I$2271,6,FALSE)</f>
        <v>BANTUL</v>
      </c>
    </row>
    <row r="234" spans="1:12" x14ac:dyDescent="0.35">
      <c r="A234" s="13">
        <v>2131316</v>
      </c>
      <c r="B234" s="14" t="str">
        <f>"3328022211910009"</f>
        <v>3328022211910009</v>
      </c>
      <c r="C234" s="14" t="s">
        <v>714</v>
      </c>
      <c r="D234" s="14" t="s">
        <v>189</v>
      </c>
      <c r="E234" s="14" t="s">
        <v>11</v>
      </c>
      <c r="F234" s="14" t="s">
        <v>18</v>
      </c>
      <c r="G234" s="14" t="s">
        <v>19</v>
      </c>
      <c r="H234" s="14" t="s">
        <v>527</v>
      </c>
      <c r="I234" s="15" t="s">
        <v>682</v>
      </c>
      <c r="J234" s="16" t="str">
        <f>VLOOKUP(B234,baru!$B$2:$I$2271,4,FALSE)</f>
        <v>Reguler</v>
      </c>
      <c r="K234" s="16" t="str">
        <f>VLOOKUP(B234,baru!$B$2:$I$2271,5,FALSE)</f>
        <v>JAWA TENGAH</v>
      </c>
      <c r="L234" s="16" t="str">
        <f>VLOOKUP(B234,baru!$B$2:$I$2271,6,FALSE)</f>
        <v>BREBES</v>
      </c>
    </row>
    <row r="235" spans="1:12" hidden="1" x14ac:dyDescent="0.35">
      <c r="A235" s="6">
        <v>2491917</v>
      </c>
      <c r="B235" s="7" t="str">
        <f>"3328022211990003"</f>
        <v>3328022211990003</v>
      </c>
      <c r="C235" s="7" t="s">
        <v>716</v>
      </c>
      <c r="D235" s="7" t="s">
        <v>10</v>
      </c>
      <c r="E235" s="7" t="s">
        <v>11</v>
      </c>
      <c r="F235" s="7" t="s">
        <v>18</v>
      </c>
      <c r="G235" s="7" t="s">
        <v>19</v>
      </c>
      <c r="H235" s="7" t="s">
        <v>527</v>
      </c>
      <c r="I235" s="8" t="s">
        <v>532</v>
      </c>
      <c r="J235" t="e">
        <f>VLOOKUP(B235,baru!$B$2:$I$2271,4,FALSE)</f>
        <v>#N/A</v>
      </c>
      <c r="K235" t="e">
        <f>VLOOKUP(B235,baru!$B$2:$I$2271,5,FALSE)</f>
        <v>#N/A</v>
      </c>
      <c r="L235" t="e">
        <f>VLOOKUP(B235,baru!$B$2:$I$2271,6,FALSE)</f>
        <v>#N/A</v>
      </c>
    </row>
    <row r="236" spans="1:12" hidden="1" x14ac:dyDescent="0.35">
      <c r="A236" s="6">
        <v>762475</v>
      </c>
      <c r="B236" s="7" t="str">
        <f>"3328022211990003"</f>
        <v>3328022211990003</v>
      </c>
      <c r="C236" s="7" t="s">
        <v>717</v>
      </c>
      <c r="D236" s="7" t="s">
        <v>10</v>
      </c>
      <c r="E236" s="7" t="s">
        <v>57</v>
      </c>
      <c r="F236" s="7" t="s">
        <v>379</v>
      </c>
      <c r="G236" s="7" t="s">
        <v>711</v>
      </c>
      <c r="H236" s="7" t="s">
        <v>718</v>
      </c>
      <c r="I236" s="8" t="s">
        <v>719</v>
      </c>
    </row>
    <row r="237" spans="1:12" hidden="1" x14ac:dyDescent="0.35">
      <c r="A237" s="13">
        <v>2425902</v>
      </c>
      <c r="B237" s="14" t="str">
        <f>"3328022305780001"</f>
        <v>3328022305780001</v>
      </c>
      <c r="C237" s="14" t="s">
        <v>720</v>
      </c>
      <c r="D237" s="14" t="s">
        <v>10</v>
      </c>
      <c r="E237" s="14" t="s">
        <v>11</v>
      </c>
      <c r="F237" s="14" t="s">
        <v>18</v>
      </c>
      <c r="G237" s="14" t="s">
        <v>19</v>
      </c>
      <c r="H237" s="14" t="s">
        <v>527</v>
      </c>
      <c r="I237" s="15" t="s">
        <v>684</v>
      </c>
      <c r="J237" s="16" t="str">
        <f>VLOOKUP(B237,baru!$B$2:$I$2271,4,FALSE)</f>
        <v>Reguler</v>
      </c>
      <c r="K237" s="16" t="str">
        <f>VLOOKUP(B237,baru!$B$2:$I$2271,5,FALSE)</f>
        <v>JAWA TENGAH</v>
      </c>
      <c r="L237" s="16" t="str">
        <f>VLOOKUP(B237,baru!$B$2:$I$2271,6,FALSE)</f>
        <v>BREBES</v>
      </c>
    </row>
    <row r="238" spans="1:12" hidden="1" x14ac:dyDescent="0.35">
      <c r="A238" s="17">
        <v>2426419</v>
      </c>
      <c r="B238" s="18" t="str">
        <f>"3328022409010004"</f>
        <v>3328022409010004</v>
      </c>
      <c r="C238" s="18" t="s">
        <v>721</v>
      </c>
      <c r="D238" s="18" t="s">
        <v>10</v>
      </c>
      <c r="E238" s="18" t="s">
        <v>11</v>
      </c>
      <c r="F238" s="18" t="s">
        <v>18</v>
      </c>
      <c r="G238" s="18" t="s">
        <v>19</v>
      </c>
      <c r="H238" s="18" t="s">
        <v>527</v>
      </c>
      <c r="I238" s="19" t="s">
        <v>539</v>
      </c>
      <c r="J238" s="20" t="str">
        <f>VLOOKUP(B238,baru!$B$2:$I$2271,4,FALSE)</f>
        <v>Khusus</v>
      </c>
      <c r="K238" s="20" t="str">
        <f>VLOOKUP(B238,baru!$B$2:$I$2271,5,FALSE)</f>
        <v>JAWA TENGAH</v>
      </c>
      <c r="L238" s="20" t="str">
        <f>VLOOKUP(B238,baru!$B$2:$I$2271,6,FALSE)</f>
        <v>CILACAP</v>
      </c>
    </row>
    <row r="239" spans="1:12" x14ac:dyDescent="0.35">
      <c r="A239" s="6">
        <v>2480807</v>
      </c>
      <c r="B239" s="7" t="str">
        <f>"3328022505020001"</f>
        <v>3328022505020001</v>
      </c>
      <c r="C239" s="7" t="s">
        <v>725</v>
      </c>
      <c r="D239" s="7" t="s">
        <v>189</v>
      </c>
      <c r="E239" s="7" t="s">
        <v>11</v>
      </c>
      <c r="F239" s="7" t="s">
        <v>18</v>
      </c>
      <c r="G239" s="7" t="s">
        <v>19</v>
      </c>
      <c r="H239" s="7" t="s">
        <v>527</v>
      </c>
      <c r="I239" s="8" t="s">
        <v>543</v>
      </c>
      <c r="J239" t="e">
        <f>VLOOKUP(B239,baru!$B$2:$I$2271,4,FALSE)</f>
        <v>#N/A</v>
      </c>
      <c r="K239" t="e">
        <f>VLOOKUP(B239,baru!$B$2:$I$2271,5,FALSE)</f>
        <v>#N/A</v>
      </c>
      <c r="L239" t="e">
        <f>VLOOKUP(B239,baru!$B$2:$I$2271,6,FALSE)</f>
        <v>#N/A</v>
      </c>
    </row>
    <row r="240" spans="1:12" hidden="1" x14ac:dyDescent="0.35">
      <c r="A240" s="6">
        <v>476391</v>
      </c>
      <c r="B240" s="7" t="str">
        <f>"3328022505020001"</f>
        <v>3328022505020001</v>
      </c>
      <c r="C240" s="7" t="s">
        <v>726</v>
      </c>
      <c r="D240" s="7" t="s">
        <v>10</v>
      </c>
      <c r="E240" s="7" t="s">
        <v>57</v>
      </c>
      <c r="F240" s="7" t="s">
        <v>727</v>
      </c>
      <c r="G240" s="7" t="s">
        <v>728</v>
      </c>
      <c r="H240" s="7" t="s">
        <v>729</v>
      </c>
      <c r="I240" s="8" t="s">
        <v>729</v>
      </c>
    </row>
    <row r="241" spans="1:12" hidden="1" x14ac:dyDescent="0.35">
      <c r="A241" s="6">
        <v>1729436</v>
      </c>
      <c r="B241" s="7" t="str">
        <f>"3328022510030005"</f>
        <v>3328022510030005</v>
      </c>
      <c r="C241" s="7" t="s">
        <v>730</v>
      </c>
      <c r="D241" s="7" t="s">
        <v>10</v>
      </c>
      <c r="E241" s="7" t="s">
        <v>11</v>
      </c>
      <c r="F241" s="7" t="s">
        <v>50</v>
      </c>
      <c r="G241" s="7" t="s">
        <v>58</v>
      </c>
      <c r="H241" s="7" t="s">
        <v>260</v>
      </c>
      <c r="I241" s="8" t="s">
        <v>626</v>
      </c>
    </row>
    <row r="242" spans="1:12" hidden="1" x14ac:dyDescent="0.35">
      <c r="A242" s="6">
        <v>2468864</v>
      </c>
      <c r="B242" s="7" t="str">
        <f>"3328022601960002"</f>
        <v>3328022601960002</v>
      </c>
      <c r="C242" s="7" t="s">
        <v>715</v>
      </c>
      <c r="D242" s="7" t="s">
        <v>10</v>
      </c>
      <c r="E242" s="7" t="s">
        <v>11</v>
      </c>
      <c r="F242" s="7" t="s">
        <v>18</v>
      </c>
      <c r="G242" s="7" t="s">
        <v>19</v>
      </c>
      <c r="H242" s="7" t="s">
        <v>527</v>
      </c>
      <c r="I242" s="8" t="s">
        <v>671</v>
      </c>
      <c r="J242" t="e">
        <f>VLOOKUP(B242,baru!$B$2:$I$2271,4,FALSE)</f>
        <v>#N/A</v>
      </c>
      <c r="K242" t="e">
        <f>VLOOKUP(B242,baru!$B$2:$I$2271,5,FALSE)</f>
        <v>#N/A</v>
      </c>
      <c r="L242" t="e">
        <f>VLOOKUP(B242,baru!$B$2:$I$2271,6,FALSE)</f>
        <v>#N/A</v>
      </c>
    </row>
    <row r="243" spans="1:12" hidden="1" x14ac:dyDescent="0.35">
      <c r="A243" s="6">
        <v>1862133</v>
      </c>
      <c r="B243" s="7" t="str">
        <f>"3328022601960002"</f>
        <v>3328022601960002</v>
      </c>
      <c r="C243" s="7" t="s">
        <v>732</v>
      </c>
      <c r="D243" s="7" t="s">
        <v>10</v>
      </c>
      <c r="E243" s="7" t="s">
        <v>57</v>
      </c>
      <c r="F243" s="7" t="s">
        <v>18</v>
      </c>
      <c r="G243" s="7" t="s">
        <v>733</v>
      </c>
      <c r="H243" s="7" t="s">
        <v>733</v>
      </c>
      <c r="I243" s="8" t="s">
        <v>734</v>
      </c>
    </row>
    <row r="244" spans="1:12" hidden="1" x14ac:dyDescent="0.35">
      <c r="A244" s="6">
        <v>2506481</v>
      </c>
      <c r="B244" s="7" t="str">
        <f>"3328022608990003"</f>
        <v>3328022608990003</v>
      </c>
      <c r="C244" s="7" t="s">
        <v>735</v>
      </c>
      <c r="D244" s="7" t="s">
        <v>10</v>
      </c>
      <c r="E244" s="7" t="s">
        <v>11</v>
      </c>
      <c r="F244" s="7" t="s">
        <v>18</v>
      </c>
      <c r="G244" s="7" t="s">
        <v>19</v>
      </c>
      <c r="H244" s="7" t="s">
        <v>527</v>
      </c>
      <c r="I244" s="8" t="s">
        <v>527</v>
      </c>
      <c r="J244" t="e">
        <f>VLOOKUP(B244,baru!$B$2:$I$2271,4,FALSE)</f>
        <v>#N/A</v>
      </c>
      <c r="K244" t="e">
        <f>VLOOKUP(B244,baru!$B$2:$I$2271,5,FALSE)</f>
        <v>#N/A</v>
      </c>
      <c r="L244" t="e">
        <f>VLOOKUP(B244,baru!$B$2:$I$2271,6,FALSE)</f>
        <v>#N/A</v>
      </c>
    </row>
    <row r="245" spans="1:12" hidden="1" x14ac:dyDescent="0.35">
      <c r="A245" s="6">
        <v>423750</v>
      </c>
      <c r="B245" s="7" t="str">
        <f>"3328022608990003"</f>
        <v>3328022608990003</v>
      </c>
      <c r="C245" s="7" t="s">
        <v>736</v>
      </c>
      <c r="D245" s="7" t="s">
        <v>10</v>
      </c>
      <c r="E245" s="7" t="s">
        <v>57</v>
      </c>
      <c r="F245" s="7" t="s">
        <v>18</v>
      </c>
      <c r="G245" s="7" t="s">
        <v>268</v>
      </c>
      <c r="H245" s="7" t="s">
        <v>277</v>
      </c>
      <c r="I245" s="8" t="s">
        <v>278</v>
      </c>
    </row>
    <row r="246" spans="1:12" hidden="1" x14ac:dyDescent="0.35">
      <c r="A246" s="6">
        <v>1745644</v>
      </c>
      <c r="B246" s="7" t="str">
        <f>"3328022609900006"</f>
        <v>3328022609900006</v>
      </c>
      <c r="C246" s="7" t="s">
        <v>737</v>
      </c>
      <c r="D246" s="7" t="s">
        <v>10</v>
      </c>
      <c r="E246" s="7" t="s">
        <v>11</v>
      </c>
      <c r="F246" s="7" t="s">
        <v>50</v>
      </c>
      <c r="G246" s="7" t="s">
        <v>72</v>
      </c>
      <c r="H246" s="7" t="s">
        <v>738</v>
      </c>
      <c r="I246" s="8" t="s">
        <v>739</v>
      </c>
    </row>
    <row r="247" spans="1:12" hidden="1" x14ac:dyDescent="0.35">
      <c r="A247" s="6">
        <v>2430644</v>
      </c>
      <c r="B247" s="7" t="str">
        <f>"3328022704030002"</f>
        <v>3328022704030002</v>
      </c>
      <c r="C247" s="7" t="s">
        <v>740</v>
      </c>
      <c r="D247" s="7" t="s">
        <v>10</v>
      </c>
      <c r="E247" s="7" t="s">
        <v>11</v>
      </c>
      <c r="F247" s="7" t="s">
        <v>18</v>
      </c>
      <c r="G247" s="7" t="s">
        <v>19</v>
      </c>
      <c r="H247" s="7" t="s">
        <v>527</v>
      </c>
      <c r="I247" s="8" t="s">
        <v>539</v>
      </c>
      <c r="J247" t="e">
        <f>VLOOKUP(B247,baru!$B$2:$I$2271,4,FALSE)</f>
        <v>#N/A</v>
      </c>
      <c r="K247" t="e">
        <f>VLOOKUP(B247,baru!$B$2:$I$2271,5,FALSE)</f>
        <v>#N/A</v>
      </c>
      <c r="L247" t="e">
        <f>VLOOKUP(B247,baru!$B$2:$I$2271,6,FALSE)</f>
        <v>#N/A</v>
      </c>
    </row>
    <row r="248" spans="1:12" hidden="1" x14ac:dyDescent="0.35">
      <c r="A248" s="6">
        <v>1351191</v>
      </c>
      <c r="B248" s="7" t="str">
        <f>"3328022704030002"</f>
        <v>3328022704030002</v>
      </c>
      <c r="C248" s="7" t="s">
        <v>740</v>
      </c>
      <c r="D248" s="7" t="s">
        <v>10</v>
      </c>
      <c r="E248" s="7" t="s">
        <v>57</v>
      </c>
      <c r="F248" s="7" t="s">
        <v>303</v>
      </c>
      <c r="G248" s="7" t="s">
        <v>608</v>
      </c>
      <c r="H248" s="7" t="s">
        <v>609</v>
      </c>
      <c r="I248" s="8" t="s">
        <v>610</v>
      </c>
    </row>
    <row r="249" spans="1:12" hidden="1" x14ac:dyDescent="0.35">
      <c r="A249" s="13">
        <v>2479870</v>
      </c>
      <c r="B249" s="14" t="str">
        <f>"3328022807010003"</f>
        <v>3328022807010003</v>
      </c>
      <c r="C249" s="14" t="s">
        <v>741</v>
      </c>
      <c r="D249" s="14" t="s">
        <v>10</v>
      </c>
      <c r="E249" s="14" t="s">
        <v>11</v>
      </c>
      <c r="F249" s="14" t="s">
        <v>18</v>
      </c>
      <c r="G249" s="14" t="s">
        <v>19</v>
      </c>
      <c r="H249" s="14" t="s">
        <v>527</v>
      </c>
      <c r="I249" s="15" t="s">
        <v>543</v>
      </c>
      <c r="J249" s="16" t="str">
        <f>VLOOKUP(B249,baru!$B$2:$I$2271,4,FALSE)</f>
        <v>Reguler</v>
      </c>
      <c r="K249" s="16" t="str">
        <f>VLOOKUP(B249,baru!$B$2:$I$2271,5,FALSE)</f>
        <v>DKI JAKARTA</v>
      </c>
      <c r="L249" s="16" t="str">
        <f>VLOOKUP(B249,baru!$B$2:$I$2271,6,FALSE)</f>
        <v>KOTA JAKARTA TIMUR</v>
      </c>
    </row>
    <row r="250" spans="1:12" hidden="1" x14ac:dyDescent="0.35">
      <c r="A250" s="13">
        <v>2449115</v>
      </c>
      <c r="B250" s="14" t="str">
        <f>"3328023112750077"</f>
        <v>3328023112750077</v>
      </c>
      <c r="C250" s="14" t="s">
        <v>744</v>
      </c>
      <c r="D250" s="14" t="s">
        <v>10</v>
      </c>
      <c r="E250" s="14" t="s">
        <v>11</v>
      </c>
      <c r="F250" s="14" t="s">
        <v>18</v>
      </c>
      <c r="G250" s="14" t="s">
        <v>19</v>
      </c>
      <c r="H250" s="14" t="s">
        <v>527</v>
      </c>
      <c r="I250" s="15" t="s">
        <v>616</v>
      </c>
      <c r="J250" s="16" t="str">
        <f>VLOOKUP(B250,baru!$B$2:$I$2271,4,FALSE)</f>
        <v>Reguler</v>
      </c>
      <c r="K250" s="16" t="str">
        <f>VLOOKUP(B250,baru!$B$2:$I$2271,5,FALSE)</f>
        <v>JAWA TENGAH</v>
      </c>
      <c r="L250" s="16" t="str">
        <f>VLOOKUP(B250,baru!$B$2:$I$2271,6,FALSE)</f>
        <v>TEGAL</v>
      </c>
    </row>
    <row r="251" spans="1:12" hidden="1" x14ac:dyDescent="0.35">
      <c r="A251" s="6">
        <v>302638</v>
      </c>
      <c r="B251" s="7" t="str">
        <f>"3328024107770163"</f>
        <v>3328024107770163</v>
      </c>
      <c r="C251" s="7" t="s">
        <v>488</v>
      </c>
      <c r="D251" s="7" t="s">
        <v>10</v>
      </c>
      <c r="E251" s="7" t="s">
        <v>11</v>
      </c>
      <c r="F251" s="7" t="s">
        <v>50</v>
      </c>
      <c r="G251" s="7" t="s">
        <v>51</v>
      </c>
      <c r="H251" s="7" t="s">
        <v>52</v>
      </c>
      <c r="I251" s="8" t="s">
        <v>747</v>
      </c>
    </row>
    <row r="252" spans="1:12" hidden="1" x14ac:dyDescent="0.35">
      <c r="A252" s="6">
        <v>1762285</v>
      </c>
      <c r="B252" s="7" t="str">
        <f>"3328024107790181"</f>
        <v>3328024107790181</v>
      </c>
      <c r="C252" s="7" t="s">
        <v>748</v>
      </c>
      <c r="D252" s="7" t="s">
        <v>10</v>
      </c>
      <c r="E252" s="7" t="s">
        <v>11</v>
      </c>
      <c r="F252" s="7" t="s">
        <v>50</v>
      </c>
      <c r="G252" s="7" t="s">
        <v>86</v>
      </c>
      <c r="H252" s="7" t="s">
        <v>445</v>
      </c>
      <c r="I252" s="8" t="s">
        <v>445</v>
      </c>
    </row>
    <row r="253" spans="1:12" hidden="1" x14ac:dyDescent="0.35">
      <c r="A253" s="13">
        <v>2448109</v>
      </c>
      <c r="B253" s="14" t="str">
        <f>"3328024405020009"</f>
        <v>3328024405020009</v>
      </c>
      <c r="C253" s="14" t="s">
        <v>751</v>
      </c>
      <c r="D253" s="14" t="s">
        <v>10</v>
      </c>
      <c r="E253" s="14" t="s">
        <v>11</v>
      </c>
      <c r="F253" s="14" t="s">
        <v>18</v>
      </c>
      <c r="G253" s="14" t="s">
        <v>19</v>
      </c>
      <c r="H253" s="14" t="s">
        <v>527</v>
      </c>
      <c r="I253" s="15" t="s">
        <v>616</v>
      </c>
      <c r="J253" s="16" t="str">
        <f>VLOOKUP(B253,baru!$B$2:$I$2271,4,FALSE)</f>
        <v>Reguler</v>
      </c>
      <c r="K253" s="16" t="str">
        <f>VLOOKUP(B253,baru!$B$2:$I$2271,5,FALSE)</f>
        <v>JAWA TENGAH</v>
      </c>
      <c r="L253" s="16" t="str">
        <f>VLOOKUP(B253,baru!$B$2:$I$2271,6,FALSE)</f>
        <v>BREBES</v>
      </c>
    </row>
    <row r="254" spans="1:12" hidden="1" x14ac:dyDescent="0.35">
      <c r="A254" s="13">
        <v>2493391</v>
      </c>
      <c r="B254" s="14" t="str">
        <f>"3328024410870002"</f>
        <v>3328024410870002</v>
      </c>
      <c r="C254" s="14" t="s">
        <v>752</v>
      </c>
      <c r="D254" s="14" t="s">
        <v>10</v>
      </c>
      <c r="E254" s="14" t="s">
        <v>11</v>
      </c>
      <c r="F254" s="14" t="s">
        <v>18</v>
      </c>
      <c r="G254" s="14" t="s">
        <v>19</v>
      </c>
      <c r="H254" s="14" t="s">
        <v>527</v>
      </c>
      <c r="I254" s="15" t="s">
        <v>532</v>
      </c>
      <c r="J254" s="16" t="str">
        <f>VLOOKUP(B254,baru!$B$2:$I$2271,4,FALSE)</f>
        <v>Reguler</v>
      </c>
      <c r="K254" s="16" t="str">
        <f>VLOOKUP(B254,baru!$B$2:$I$2271,5,FALSE)</f>
        <v>JAWA BARAT</v>
      </c>
      <c r="L254" s="16" t="str">
        <f>VLOOKUP(B254,baru!$B$2:$I$2271,6,FALSE)</f>
        <v>PANGANDARAN</v>
      </c>
    </row>
    <row r="255" spans="1:12" hidden="1" x14ac:dyDescent="0.35">
      <c r="A255" s="6">
        <v>1434339</v>
      </c>
      <c r="B255" s="7" t="str">
        <f>"3328024410950005"</f>
        <v>3328024410950005</v>
      </c>
      <c r="C255" s="7" t="s">
        <v>757</v>
      </c>
      <c r="D255" s="7" t="s">
        <v>10</v>
      </c>
      <c r="E255" s="7" t="s">
        <v>11</v>
      </c>
      <c r="F255" s="7" t="s">
        <v>18</v>
      </c>
      <c r="G255" s="7" t="s">
        <v>264</v>
      </c>
      <c r="H255" s="7" t="s">
        <v>289</v>
      </c>
      <c r="I255" s="8" t="s">
        <v>758</v>
      </c>
    </row>
    <row r="256" spans="1:12" hidden="1" x14ac:dyDescent="0.35">
      <c r="A256" s="6">
        <v>296909</v>
      </c>
      <c r="B256" s="7" t="str">
        <f>"3328024508740007"</f>
        <v>3328024508740007</v>
      </c>
      <c r="C256" s="7" t="s">
        <v>759</v>
      </c>
      <c r="D256" s="7" t="s">
        <v>10</v>
      </c>
      <c r="E256" s="7" t="s">
        <v>11</v>
      </c>
      <c r="F256" s="7" t="s">
        <v>91</v>
      </c>
      <c r="G256" s="7" t="s">
        <v>438</v>
      </c>
      <c r="H256" s="7" t="s">
        <v>760</v>
      </c>
      <c r="I256" s="8" t="s">
        <v>761</v>
      </c>
    </row>
    <row r="257" spans="1:12" hidden="1" x14ac:dyDescent="0.35">
      <c r="A257" s="6">
        <v>1352892</v>
      </c>
      <c r="B257" s="7" t="str">
        <f>"3328024510040004"</f>
        <v>3328024510040004</v>
      </c>
      <c r="C257" s="7" t="s">
        <v>763</v>
      </c>
      <c r="D257" s="7" t="s">
        <v>10</v>
      </c>
      <c r="E257" s="7" t="s">
        <v>57</v>
      </c>
      <c r="F257" s="7" t="s">
        <v>303</v>
      </c>
      <c r="G257" s="7" t="s">
        <v>608</v>
      </c>
      <c r="H257" s="7" t="s">
        <v>609</v>
      </c>
      <c r="I257" s="8" t="s">
        <v>610</v>
      </c>
    </row>
    <row r="258" spans="1:12" hidden="1" x14ac:dyDescent="0.35">
      <c r="A258" s="13">
        <v>2478082</v>
      </c>
      <c r="B258" s="14" t="str">
        <f>"3328024701770003"</f>
        <v>3328024701770003</v>
      </c>
      <c r="C258" s="14" t="s">
        <v>764</v>
      </c>
      <c r="D258" s="14" t="s">
        <v>10</v>
      </c>
      <c r="E258" s="14" t="s">
        <v>11</v>
      </c>
      <c r="F258" s="14" t="s">
        <v>18</v>
      </c>
      <c r="G258" s="14" t="s">
        <v>19</v>
      </c>
      <c r="H258" s="14" t="s">
        <v>527</v>
      </c>
      <c r="I258" s="15" t="s">
        <v>543</v>
      </c>
      <c r="J258" s="16" t="str">
        <f>VLOOKUP(B258,baru!$B$2:$I$2271,4,FALSE)</f>
        <v>Reguler</v>
      </c>
      <c r="K258" s="16" t="str">
        <f>VLOOKUP(B258,baru!$B$2:$I$2271,5,FALSE)</f>
        <v>DKI JAKARTA</v>
      </c>
      <c r="L258" s="16" t="str">
        <f>VLOOKUP(B258,baru!$B$2:$I$2271,6,FALSE)</f>
        <v>KOTA JAKARTA TIMUR</v>
      </c>
    </row>
    <row r="259" spans="1:12" hidden="1" x14ac:dyDescent="0.35">
      <c r="A259" s="6">
        <v>179930</v>
      </c>
      <c r="B259" s="7" t="str">
        <f>"3328024807990005"</f>
        <v>3328024807990005</v>
      </c>
      <c r="C259" s="7" t="s">
        <v>765</v>
      </c>
      <c r="D259" s="7" t="s">
        <v>10</v>
      </c>
      <c r="E259" s="7" t="s">
        <v>11</v>
      </c>
      <c r="F259" s="7" t="s">
        <v>18</v>
      </c>
      <c r="G259" s="7" t="s">
        <v>392</v>
      </c>
      <c r="H259" s="7" t="s">
        <v>766</v>
      </c>
      <c r="I259" s="8" t="s">
        <v>767</v>
      </c>
    </row>
    <row r="260" spans="1:12" hidden="1" x14ac:dyDescent="0.35">
      <c r="A260" s="13">
        <v>2499607</v>
      </c>
      <c r="B260" s="14" t="str">
        <f>"3328024811920002"</f>
        <v>3328024811920002</v>
      </c>
      <c r="C260" s="14" t="s">
        <v>768</v>
      </c>
      <c r="D260" s="14" t="s">
        <v>10</v>
      </c>
      <c r="E260" s="14" t="s">
        <v>11</v>
      </c>
      <c r="F260" s="14" t="s">
        <v>18</v>
      </c>
      <c r="G260" s="14" t="s">
        <v>19</v>
      </c>
      <c r="H260" s="14" t="s">
        <v>527</v>
      </c>
      <c r="I260" s="15" t="s">
        <v>528</v>
      </c>
      <c r="J260" s="16" t="str">
        <f>VLOOKUP(B260,baru!$B$2:$I$2271,4,FALSE)</f>
        <v>Reguler</v>
      </c>
      <c r="K260" s="16" t="str">
        <f>VLOOKUP(B260,baru!$B$2:$I$2271,5,FALSE)</f>
        <v>DKI JAKARTA</v>
      </c>
      <c r="L260" s="16" t="str">
        <f>VLOOKUP(B260,baru!$B$2:$I$2271,6,FALSE)</f>
        <v>KOTA JAKARTA TIMUR</v>
      </c>
    </row>
    <row r="261" spans="1:12" hidden="1" x14ac:dyDescent="0.35">
      <c r="A261" s="6">
        <v>935742</v>
      </c>
      <c r="B261" s="7" t="str">
        <f>"3328024911020005"</f>
        <v>3328024911020005</v>
      </c>
      <c r="C261" s="7" t="s">
        <v>772</v>
      </c>
      <c r="D261" s="7" t="s">
        <v>10</v>
      </c>
      <c r="E261" s="7" t="s">
        <v>11</v>
      </c>
      <c r="F261" s="7" t="s">
        <v>18</v>
      </c>
      <c r="G261" s="7" t="s">
        <v>264</v>
      </c>
      <c r="H261" s="7" t="s">
        <v>773</v>
      </c>
      <c r="I261" s="8" t="s">
        <v>774</v>
      </c>
    </row>
    <row r="262" spans="1:12" hidden="1" x14ac:dyDescent="0.35">
      <c r="A262" s="13">
        <v>2472019</v>
      </c>
      <c r="B262" s="14" t="str">
        <f>"3328025005930011"</f>
        <v>3328025005930011</v>
      </c>
      <c r="C262" s="14" t="s">
        <v>775</v>
      </c>
      <c r="D262" s="14" t="s">
        <v>10</v>
      </c>
      <c r="E262" s="14" t="s">
        <v>11</v>
      </c>
      <c r="F262" s="14" t="s">
        <v>18</v>
      </c>
      <c r="G262" s="14" t="s">
        <v>19</v>
      </c>
      <c r="H262" s="14" t="s">
        <v>527</v>
      </c>
      <c r="I262" s="15" t="s">
        <v>640</v>
      </c>
      <c r="J262" s="16" t="str">
        <f>VLOOKUP(B262,baru!$B$2:$I$2271,4,FALSE)</f>
        <v>Reguler</v>
      </c>
      <c r="K262" s="16" t="str">
        <f>VLOOKUP(B262,baru!$B$2:$I$2271,5,FALSE)</f>
        <v>DKI JAKARTA</v>
      </c>
      <c r="L262" s="16" t="str">
        <f>VLOOKUP(B262,baru!$B$2:$I$2271,6,FALSE)</f>
        <v>KOTA JAKARTA PUSAT</v>
      </c>
    </row>
    <row r="263" spans="1:12" hidden="1" x14ac:dyDescent="0.35">
      <c r="A263" s="6">
        <v>117510</v>
      </c>
      <c r="B263" s="7" t="str">
        <f>"3328025007960006"</f>
        <v>3328025007960006</v>
      </c>
      <c r="C263" s="7" t="s">
        <v>778</v>
      </c>
      <c r="D263" s="7" t="s">
        <v>10</v>
      </c>
      <c r="E263" s="7" t="s">
        <v>11</v>
      </c>
      <c r="F263" s="7" t="s">
        <v>33</v>
      </c>
      <c r="G263" s="7" t="s">
        <v>338</v>
      </c>
      <c r="H263" s="7" t="s">
        <v>779</v>
      </c>
      <c r="I263" s="8" t="s">
        <v>780</v>
      </c>
    </row>
    <row r="264" spans="1:12" hidden="1" x14ac:dyDescent="0.35">
      <c r="A264" s="6">
        <v>83290</v>
      </c>
      <c r="B264" s="7" t="str">
        <f>"3328025106810002"</f>
        <v>3328025106810002</v>
      </c>
      <c r="C264" s="7" t="s">
        <v>782</v>
      </c>
      <c r="D264" s="7" t="s">
        <v>10</v>
      </c>
      <c r="E264" s="7" t="s">
        <v>11</v>
      </c>
      <c r="F264" s="7" t="s">
        <v>783</v>
      </c>
      <c r="G264" s="7" t="s">
        <v>784</v>
      </c>
      <c r="H264" s="7" t="s">
        <v>785</v>
      </c>
      <c r="I264" s="8" t="s">
        <v>786</v>
      </c>
    </row>
    <row r="265" spans="1:12" hidden="1" x14ac:dyDescent="0.35">
      <c r="A265" s="13">
        <v>2488796</v>
      </c>
      <c r="B265" s="14" t="str">
        <f>"3328025109920002"</f>
        <v>3328025109920002</v>
      </c>
      <c r="C265" s="14" t="s">
        <v>787</v>
      </c>
      <c r="D265" s="14" t="s">
        <v>10</v>
      </c>
      <c r="E265" s="14" t="s">
        <v>11</v>
      </c>
      <c r="F265" s="14" t="s">
        <v>18</v>
      </c>
      <c r="G265" s="14" t="s">
        <v>19</v>
      </c>
      <c r="H265" s="14" t="s">
        <v>527</v>
      </c>
      <c r="I265" s="15" t="s">
        <v>564</v>
      </c>
      <c r="J265" s="16" t="str">
        <f>VLOOKUP(B265,baru!$B$2:$I$2271,4,FALSE)</f>
        <v>Reguler</v>
      </c>
      <c r="K265" s="16" t="str">
        <f>VLOOKUP(B265,baru!$B$2:$I$2271,5,FALSE)</f>
        <v>DKI JAKARTA</v>
      </c>
      <c r="L265" s="16" t="str">
        <f>VLOOKUP(B265,baru!$B$2:$I$2271,6,FALSE)</f>
        <v>KOTA JAKARTA BARAT</v>
      </c>
    </row>
    <row r="266" spans="1:12" hidden="1" x14ac:dyDescent="0.35">
      <c r="A266" s="6">
        <v>2341826</v>
      </c>
      <c r="B266" s="7" t="str">
        <f>"3328025111980001"</f>
        <v>3328025111980001</v>
      </c>
      <c r="C266" s="7" t="s">
        <v>790</v>
      </c>
      <c r="D266" s="7" t="s">
        <v>10</v>
      </c>
      <c r="E266" s="7" t="s">
        <v>11</v>
      </c>
      <c r="F266" s="7" t="s">
        <v>67</v>
      </c>
      <c r="G266" s="7" t="s">
        <v>791</v>
      </c>
      <c r="H266" s="7" t="s">
        <v>792</v>
      </c>
      <c r="I266" s="8" t="s">
        <v>793</v>
      </c>
    </row>
    <row r="267" spans="1:12" hidden="1" x14ac:dyDescent="0.35">
      <c r="A267" s="6">
        <v>1290148</v>
      </c>
      <c r="B267" s="7" t="str">
        <f>"3328025206950007"</f>
        <v>3328025206950007</v>
      </c>
      <c r="C267" s="7" t="s">
        <v>794</v>
      </c>
      <c r="D267" s="7" t="s">
        <v>10</v>
      </c>
      <c r="E267" s="7" t="s">
        <v>11</v>
      </c>
      <c r="F267" s="7" t="s">
        <v>91</v>
      </c>
      <c r="G267" s="7" t="s">
        <v>137</v>
      </c>
      <c r="H267" s="7" t="s">
        <v>218</v>
      </c>
      <c r="I267" s="8" t="s">
        <v>795</v>
      </c>
    </row>
    <row r="268" spans="1:12" hidden="1" x14ac:dyDescent="0.35">
      <c r="A268" s="6">
        <v>2430854</v>
      </c>
      <c r="B268" s="7" t="str">
        <f>"3328025405940006"</f>
        <v>3328025405940006</v>
      </c>
      <c r="C268" s="7" t="s">
        <v>797</v>
      </c>
      <c r="D268" s="7" t="s">
        <v>10</v>
      </c>
      <c r="E268" s="7" t="s">
        <v>11</v>
      </c>
      <c r="F268" s="7" t="s">
        <v>18</v>
      </c>
      <c r="G268" s="7" t="s">
        <v>19</v>
      </c>
      <c r="H268" s="7" t="s">
        <v>527</v>
      </c>
      <c r="I268" s="8" t="s">
        <v>539</v>
      </c>
      <c r="J268" t="e">
        <f>VLOOKUP(B268,baru!$B$2:$I$2271,4,FALSE)</f>
        <v>#N/A</v>
      </c>
      <c r="K268" t="e">
        <f>VLOOKUP(B268,baru!$B$2:$I$2271,5,FALSE)</f>
        <v>#N/A</v>
      </c>
      <c r="L268" t="e">
        <f>VLOOKUP(B268,baru!$B$2:$I$2271,6,FALSE)</f>
        <v>#N/A</v>
      </c>
    </row>
    <row r="269" spans="1:12" hidden="1" x14ac:dyDescent="0.35">
      <c r="A269" s="6">
        <v>1178477</v>
      </c>
      <c r="B269" s="7" t="str">
        <f>"3328025405940006"</f>
        <v>3328025405940006</v>
      </c>
      <c r="C269" s="7" t="s">
        <v>797</v>
      </c>
      <c r="D269" s="7" t="s">
        <v>10</v>
      </c>
      <c r="E269" s="7" t="s">
        <v>11</v>
      </c>
      <c r="F269" s="7" t="s">
        <v>18</v>
      </c>
      <c r="G269" s="7" t="s">
        <v>180</v>
      </c>
      <c r="H269" s="7" t="s">
        <v>181</v>
      </c>
      <c r="I269" s="8" t="s">
        <v>624</v>
      </c>
    </row>
    <row r="270" spans="1:12" hidden="1" x14ac:dyDescent="0.35">
      <c r="A270" s="13">
        <v>2426036</v>
      </c>
      <c r="B270" s="14" t="str">
        <f>"3328025406920007"</f>
        <v>3328025406920007</v>
      </c>
      <c r="C270" s="14" t="s">
        <v>798</v>
      </c>
      <c r="D270" s="14" t="s">
        <v>10</v>
      </c>
      <c r="E270" s="14" t="s">
        <v>11</v>
      </c>
      <c r="F270" s="14" t="s">
        <v>18</v>
      </c>
      <c r="G270" s="14" t="s">
        <v>19</v>
      </c>
      <c r="H270" s="14" t="s">
        <v>527</v>
      </c>
      <c r="I270" s="15" t="s">
        <v>684</v>
      </c>
      <c r="J270" s="16" t="str">
        <f>VLOOKUP(B270,baru!$B$2:$I$2271,4,FALSE)</f>
        <v>Reguler</v>
      </c>
      <c r="K270" s="16" t="str">
        <f>VLOOKUP(B270,baru!$B$2:$I$2271,5,FALSE)</f>
        <v>JAWA TENGAH</v>
      </c>
      <c r="L270" s="16" t="str">
        <f>VLOOKUP(B270,baru!$B$2:$I$2271,6,FALSE)</f>
        <v>BREBES</v>
      </c>
    </row>
    <row r="271" spans="1:12" hidden="1" x14ac:dyDescent="0.35">
      <c r="A271" s="6">
        <v>844664</v>
      </c>
      <c r="B271" s="7" t="str">
        <f>"3328025410910001"</f>
        <v>3328025410910001</v>
      </c>
      <c r="C271" s="7" t="s">
        <v>799</v>
      </c>
      <c r="D271" s="7" t="s">
        <v>10</v>
      </c>
      <c r="E271" s="7" t="s">
        <v>11</v>
      </c>
      <c r="F271" s="7" t="s">
        <v>50</v>
      </c>
      <c r="G271" s="7" t="s">
        <v>72</v>
      </c>
      <c r="H271" s="7" t="s">
        <v>73</v>
      </c>
      <c r="I271" s="8" t="s">
        <v>800</v>
      </c>
    </row>
    <row r="272" spans="1:12" hidden="1" x14ac:dyDescent="0.35">
      <c r="A272" s="6">
        <v>965769</v>
      </c>
      <c r="B272" s="7" t="str">
        <f>"3328025502960004"</f>
        <v>3328025502960004</v>
      </c>
      <c r="C272" s="7" t="s">
        <v>802</v>
      </c>
      <c r="D272" s="7" t="s">
        <v>10</v>
      </c>
      <c r="E272" s="7" t="s">
        <v>11</v>
      </c>
      <c r="F272" s="7" t="s">
        <v>50</v>
      </c>
      <c r="G272" s="7" t="s">
        <v>72</v>
      </c>
      <c r="H272" s="7" t="s">
        <v>803</v>
      </c>
      <c r="I272" s="8" t="s">
        <v>804</v>
      </c>
    </row>
    <row r="273" spans="1:12" hidden="1" x14ac:dyDescent="0.35">
      <c r="A273" s="6">
        <v>286379</v>
      </c>
      <c r="B273" s="7" t="str">
        <f>"3328025601990005"</f>
        <v>3328025601990005</v>
      </c>
      <c r="C273" s="7" t="s">
        <v>805</v>
      </c>
      <c r="D273" s="7" t="s">
        <v>10</v>
      </c>
      <c r="E273" s="7" t="s">
        <v>11</v>
      </c>
      <c r="F273" s="7" t="s">
        <v>33</v>
      </c>
      <c r="G273" s="7" t="s">
        <v>806</v>
      </c>
      <c r="H273" s="7" t="s">
        <v>807</v>
      </c>
      <c r="I273" s="8" t="s">
        <v>808</v>
      </c>
    </row>
    <row r="274" spans="1:12" hidden="1" x14ac:dyDescent="0.35">
      <c r="A274" s="6">
        <v>540110</v>
      </c>
      <c r="B274" s="7" t="str">
        <f>"3328025705920002"</f>
        <v>3328025705920002</v>
      </c>
      <c r="C274" s="7" t="s">
        <v>810</v>
      </c>
      <c r="D274" s="7" t="s">
        <v>10</v>
      </c>
      <c r="E274" s="7" t="s">
        <v>11</v>
      </c>
      <c r="F274" s="7" t="s">
        <v>811</v>
      </c>
      <c r="G274" s="7" t="s">
        <v>812</v>
      </c>
      <c r="H274" s="7" t="s">
        <v>813</v>
      </c>
      <c r="I274" s="8" t="s">
        <v>814</v>
      </c>
    </row>
    <row r="275" spans="1:12" hidden="1" x14ac:dyDescent="0.35">
      <c r="A275" s="6">
        <v>2452347</v>
      </c>
      <c r="B275" s="7" t="str">
        <f>"3328025711040003"</f>
        <v>3328025711040003</v>
      </c>
      <c r="C275" s="7" t="s">
        <v>815</v>
      </c>
      <c r="D275" s="7" t="s">
        <v>10</v>
      </c>
      <c r="E275" s="7" t="s">
        <v>11</v>
      </c>
      <c r="F275" s="7" t="s">
        <v>18</v>
      </c>
      <c r="G275" s="7" t="s">
        <v>19</v>
      </c>
      <c r="H275" s="7" t="s">
        <v>527</v>
      </c>
      <c r="I275" s="8" t="s">
        <v>691</v>
      </c>
      <c r="J275" t="e">
        <f>VLOOKUP(B275,baru!$B$2:$I$2271,4,FALSE)</f>
        <v>#N/A</v>
      </c>
      <c r="K275" t="e">
        <f>VLOOKUP(B275,baru!$B$2:$I$2271,5,FALSE)</f>
        <v>#N/A</v>
      </c>
      <c r="L275" t="e">
        <f>VLOOKUP(B275,baru!$B$2:$I$2271,6,FALSE)</f>
        <v>#N/A</v>
      </c>
    </row>
    <row r="276" spans="1:12" hidden="1" x14ac:dyDescent="0.35">
      <c r="A276" s="6">
        <v>1352891</v>
      </c>
      <c r="B276" s="7" t="str">
        <f>"3328025711040003"</f>
        <v>3328025711040003</v>
      </c>
      <c r="C276" s="7" t="s">
        <v>815</v>
      </c>
      <c r="D276" s="7" t="s">
        <v>10</v>
      </c>
      <c r="E276" s="7" t="s">
        <v>57</v>
      </c>
      <c r="F276" s="7" t="s">
        <v>303</v>
      </c>
      <c r="G276" s="7" t="s">
        <v>608</v>
      </c>
      <c r="H276" s="7" t="s">
        <v>609</v>
      </c>
      <c r="I276" s="8" t="s">
        <v>610</v>
      </c>
    </row>
    <row r="277" spans="1:12" hidden="1" x14ac:dyDescent="0.35">
      <c r="A277" s="6">
        <v>2440387</v>
      </c>
      <c r="B277" s="7" t="str">
        <f>"3328025802020002"</f>
        <v>3328025802020002</v>
      </c>
      <c r="C277" s="7" t="s">
        <v>816</v>
      </c>
      <c r="D277" s="7" t="s">
        <v>10</v>
      </c>
      <c r="E277" s="7" t="s">
        <v>11</v>
      </c>
      <c r="F277" s="7" t="s">
        <v>18</v>
      </c>
      <c r="G277" s="7" t="s">
        <v>19</v>
      </c>
      <c r="H277" s="7" t="s">
        <v>527</v>
      </c>
      <c r="I277" s="8" t="s">
        <v>535</v>
      </c>
      <c r="J277" t="e">
        <f>VLOOKUP(B277,baru!$B$2:$I$2271,4,FALSE)</f>
        <v>#N/A</v>
      </c>
      <c r="K277" t="e">
        <f>VLOOKUP(B277,baru!$B$2:$I$2271,5,FALSE)</f>
        <v>#N/A</v>
      </c>
      <c r="L277" t="e">
        <f>VLOOKUP(B277,baru!$B$2:$I$2271,6,FALSE)</f>
        <v>#N/A</v>
      </c>
    </row>
    <row r="278" spans="1:12" hidden="1" x14ac:dyDescent="0.35">
      <c r="A278" s="6">
        <v>1352890</v>
      </c>
      <c r="B278" s="7" t="str">
        <f>"3328025802020002"</f>
        <v>3328025802020002</v>
      </c>
      <c r="C278" s="7" t="s">
        <v>817</v>
      </c>
      <c r="D278" s="7" t="s">
        <v>10</v>
      </c>
      <c r="E278" s="7" t="s">
        <v>57</v>
      </c>
      <c r="F278" s="7" t="s">
        <v>303</v>
      </c>
      <c r="G278" s="7" t="s">
        <v>608</v>
      </c>
      <c r="H278" s="7" t="s">
        <v>609</v>
      </c>
      <c r="I278" s="8" t="s">
        <v>610</v>
      </c>
    </row>
    <row r="279" spans="1:12" x14ac:dyDescent="0.35">
      <c r="A279" s="6">
        <v>2440425</v>
      </c>
      <c r="B279" s="7" t="str">
        <f>"3328025802060001"</f>
        <v>3328025802060001</v>
      </c>
      <c r="C279" s="7" t="s">
        <v>818</v>
      </c>
      <c r="D279" s="7" t="s">
        <v>189</v>
      </c>
      <c r="E279" s="7" t="s">
        <v>11</v>
      </c>
      <c r="F279" s="7" t="s">
        <v>18</v>
      </c>
      <c r="G279" s="7" t="s">
        <v>19</v>
      </c>
      <c r="H279" s="7" t="s">
        <v>527</v>
      </c>
      <c r="I279" s="8" t="s">
        <v>535</v>
      </c>
      <c r="J279" t="e">
        <f>VLOOKUP(B279,baru!$B$2:$I$2271,4,FALSE)</f>
        <v>#N/A</v>
      </c>
      <c r="K279" t="e">
        <f>VLOOKUP(B279,baru!$B$2:$I$2271,5,FALSE)</f>
        <v>#N/A</v>
      </c>
      <c r="L279" t="e">
        <f>VLOOKUP(B279,baru!$B$2:$I$2271,6,FALSE)</f>
        <v>#N/A</v>
      </c>
    </row>
    <row r="280" spans="1:12" hidden="1" x14ac:dyDescent="0.35">
      <c r="A280" s="6">
        <v>1352894</v>
      </c>
      <c r="B280" s="7" t="str">
        <f>"3328025802060001"</f>
        <v>3328025802060001</v>
      </c>
      <c r="C280" s="7" t="s">
        <v>818</v>
      </c>
      <c r="D280" s="7" t="s">
        <v>10</v>
      </c>
      <c r="E280" s="7" t="s">
        <v>57</v>
      </c>
      <c r="F280" s="7" t="s">
        <v>303</v>
      </c>
      <c r="G280" s="7" t="s">
        <v>608</v>
      </c>
      <c r="H280" s="7" t="s">
        <v>609</v>
      </c>
      <c r="I280" s="8" t="s">
        <v>610</v>
      </c>
    </row>
    <row r="281" spans="1:12" hidden="1" x14ac:dyDescent="0.35">
      <c r="A281" s="6">
        <v>2456736</v>
      </c>
      <c r="B281" s="7" t="str">
        <f>"3328025807060002"</f>
        <v>3328025807060002</v>
      </c>
      <c r="C281" s="7" t="s">
        <v>819</v>
      </c>
      <c r="D281" s="7" t="s">
        <v>10</v>
      </c>
      <c r="E281" s="7" t="s">
        <v>11</v>
      </c>
      <c r="F281" s="7" t="s">
        <v>18</v>
      </c>
      <c r="G281" s="7" t="s">
        <v>19</v>
      </c>
      <c r="H281" s="7" t="s">
        <v>527</v>
      </c>
      <c r="I281" s="8" t="s">
        <v>602</v>
      </c>
      <c r="J281" t="e">
        <f>VLOOKUP(B281,baru!$B$2:$I$2271,4,FALSE)</f>
        <v>#N/A</v>
      </c>
      <c r="K281" t="e">
        <f>VLOOKUP(B281,baru!$B$2:$I$2271,5,FALSE)</f>
        <v>#N/A</v>
      </c>
      <c r="L281" t="e">
        <f>VLOOKUP(B281,baru!$B$2:$I$2271,6,FALSE)</f>
        <v>#N/A</v>
      </c>
    </row>
    <row r="282" spans="1:12" hidden="1" x14ac:dyDescent="0.35">
      <c r="A282" s="6">
        <v>1352893</v>
      </c>
      <c r="B282" s="7" t="str">
        <f>"3328025807060002"</f>
        <v>3328025807060002</v>
      </c>
      <c r="C282" s="7" t="s">
        <v>819</v>
      </c>
      <c r="D282" s="7" t="s">
        <v>10</v>
      </c>
      <c r="E282" s="7" t="s">
        <v>57</v>
      </c>
      <c r="F282" s="7" t="s">
        <v>303</v>
      </c>
      <c r="G282" s="7" t="s">
        <v>608</v>
      </c>
      <c r="H282" s="7" t="s">
        <v>609</v>
      </c>
      <c r="I282" s="8" t="s">
        <v>610</v>
      </c>
    </row>
    <row r="283" spans="1:12" hidden="1" x14ac:dyDescent="0.35">
      <c r="A283" s="13">
        <v>2448093</v>
      </c>
      <c r="B283" s="14" t="str">
        <f>"3328025902050003"</f>
        <v>3328025902050003</v>
      </c>
      <c r="C283" s="14" t="s">
        <v>820</v>
      </c>
      <c r="D283" s="14" t="s">
        <v>10</v>
      </c>
      <c r="E283" s="14" t="s">
        <v>11</v>
      </c>
      <c r="F283" s="14" t="s">
        <v>18</v>
      </c>
      <c r="G283" s="14" t="s">
        <v>19</v>
      </c>
      <c r="H283" s="14" t="s">
        <v>527</v>
      </c>
      <c r="I283" s="15" t="s">
        <v>616</v>
      </c>
      <c r="J283" s="16" t="str">
        <f>VLOOKUP(B283,baru!$B$2:$I$2271,4,FALSE)</f>
        <v>Reguler</v>
      </c>
      <c r="K283" s="16" t="str">
        <f>VLOOKUP(B283,baru!$B$2:$I$2271,5,FALSE)</f>
        <v>JAWA TENGAH</v>
      </c>
      <c r="L283" s="16" t="str">
        <f>VLOOKUP(B283,baru!$B$2:$I$2271,6,FALSE)</f>
        <v>BREBES</v>
      </c>
    </row>
    <row r="284" spans="1:12" hidden="1" x14ac:dyDescent="0.35">
      <c r="A284" s="6">
        <v>898724</v>
      </c>
      <c r="B284" s="7" t="str">
        <f>"3328026401010001"</f>
        <v>3328026401010001</v>
      </c>
      <c r="C284" s="7" t="s">
        <v>823</v>
      </c>
      <c r="D284" s="7" t="s">
        <v>10</v>
      </c>
      <c r="E284" s="7" t="s">
        <v>11</v>
      </c>
      <c r="F284" s="7" t="s">
        <v>50</v>
      </c>
      <c r="G284" s="7" t="s">
        <v>58</v>
      </c>
      <c r="H284" s="7" t="s">
        <v>59</v>
      </c>
      <c r="I284" s="8" t="s">
        <v>824</v>
      </c>
    </row>
    <row r="285" spans="1:12" hidden="1" x14ac:dyDescent="0.35">
      <c r="A285" s="6">
        <v>1056203</v>
      </c>
      <c r="B285" s="7" t="str">
        <f>"3328026410760001"</f>
        <v>3328026410760001</v>
      </c>
      <c r="C285" s="7" t="s">
        <v>825</v>
      </c>
      <c r="D285" s="7" t="s">
        <v>10</v>
      </c>
      <c r="E285" s="7" t="s">
        <v>11</v>
      </c>
      <c r="F285" s="7" t="s">
        <v>91</v>
      </c>
      <c r="G285" s="7" t="s">
        <v>159</v>
      </c>
      <c r="H285" s="7" t="s">
        <v>160</v>
      </c>
      <c r="I285" s="8" t="s">
        <v>826</v>
      </c>
    </row>
    <row r="286" spans="1:12" hidden="1" x14ac:dyDescent="0.35">
      <c r="A286" s="6">
        <v>1432595</v>
      </c>
      <c r="B286" s="7" t="str">
        <f>"3328026509990009"</f>
        <v>3328026509990009</v>
      </c>
      <c r="C286" s="7" t="s">
        <v>828</v>
      </c>
      <c r="D286" s="7" t="s">
        <v>10</v>
      </c>
      <c r="E286" s="7" t="s">
        <v>11</v>
      </c>
      <c r="F286" s="7" t="s">
        <v>18</v>
      </c>
      <c r="G286" s="7" t="s">
        <v>264</v>
      </c>
      <c r="H286" s="7" t="s">
        <v>289</v>
      </c>
      <c r="I286" s="8" t="s">
        <v>758</v>
      </c>
    </row>
    <row r="287" spans="1:12" hidden="1" x14ac:dyDescent="0.35">
      <c r="A287" s="6">
        <v>1361655</v>
      </c>
      <c r="B287" s="7" t="str">
        <f>"3328026906050001"</f>
        <v>3328026906050001</v>
      </c>
      <c r="C287" s="7" t="s">
        <v>831</v>
      </c>
      <c r="D287" s="7" t="s">
        <v>10</v>
      </c>
      <c r="E287" s="7" t="s">
        <v>57</v>
      </c>
      <c r="F287" s="7" t="s">
        <v>303</v>
      </c>
      <c r="G287" s="7" t="s">
        <v>608</v>
      </c>
      <c r="H287" s="7" t="s">
        <v>609</v>
      </c>
      <c r="I287" s="8" t="s">
        <v>610</v>
      </c>
    </row>
    <row r="288" spans="1:12" hidden="1" x14ac:dyDescent="0.35">
      <c r="A288" s="6">
        <v>1745645</v>
      </c>
      <c r="B288" s="7" t="str">
        <f>"3328027101920003"</f>
        <v>3328027101920003</v>
      </c>
      <c r="C288" s="7" t="s">
        <v>832</v>
      </c>
      <c r="D288" s="7" t="s">
        <v>10</v>
      </c>
      <c r="E288" s="7" t="s">
        <v>11</v>
      </c>
      <c r="F288" s="7" t="s">
        <v>50</v>
      </c>
      <c r="G288" s="7" t="s">
        <v>72</v>
      </c>
      <c r="H288" s="7" t="s">
        <v>738</v>
      </c>
      <c r="I288" s="8" t="s">
        <v>739</v>
      </c>
    </row>
    <row r="289" spans="1:12" hidden="1" x14ac:dyDescent="0.35">
      <c r="A289" s="13">
        <v>2446795</v>
      </c>
      <c r="B289" s="14" t="str">
        <f>"3328027112030004"</f>
        <v>3328027112030004</v>
      </c>
      <c r="C289" s="14" t="s">
        <v>833</v>
      </c>
      <c r="D289" s="14" t="s">
        <v>10</v>
      </c>
      <c r="E289" s="14" t="s">
        <v>11</v>
      </c>
      <c r="F289" s="14" t="s">
        <v>18</v>
      </c>
      <c r="G289" s="14" t="s">
        <v>19</v>
      </c>
      <c r="H289" s="14" t="s">
        <v>527</v>
      </c>
      <c r="I289" s="15" t="s">
        <v>616</v>
      </c>
      <c r="J289" s="16" t="str">
        <f>VLOOKUP(B289,baru!$B$2:$I$2271,4,FALSE)</f>
        <v>Reguler</v>
      </c>
      <c r="K289" s="16" t="str">
        <f>VLOOKUP(B289,baru!$B$2:$I$2271,5,FALSE)</f>
        <v>JAWA TENGAH</v>
      </c>
      <c r="L289" s="16" t="str">
        <f>VLOOKUP(B289,baru!$B$2:$I$2271,6,FALSE)</f>
        <v>BREBES</v>
      </c>
    </row>
    <row r="290" spans="1:12" hidden="1" x14ac:dyDescent="0.35">
      <c r="A290" s="13">
        <v>2471357</v>
      </c>
      <c r="B290" s="14" t="str">
        <f>"3328040906920010"</f>
        <v>3328040906920010</v>
      </c>
      <c r="C290" s="14" t="s">
        <v>835</v>
      </c>
      <c r="D290" s="14" t="s">
        <v>10</v>
      </c>
      <c r="E290" s="14" t="s">
        <v>11</v>
      </c>
      <c r="F290" s="14" t="s">
        <v>18</v>
      </c>
      <c r="G290" s="14" t="s">
        <v>19</v>
      </c>
      <c r="H290" s="14" t="s">
        <v>527</v>
      </c>
      <c r="I290" s="15" t="s">
        <v>605</v>
      </c>
      <c r="J290" s="16" t="str">
        <f>VLOOKUP(B290,baru!$B$2:$I$2271,4,FALSE)</f>
        <v>Reguler</v>
      </c>
      <c r="K290" s="16" t="str">
        <f>VLOOKUP(B290,baru!$B$2:$I$2271,5,FALSE)</f>
        <v>JAWA TENGAH</v>
      </c>
      <c r="L290" s="16" t="str">
        <f>VLOOKUP(B290,baru!$B$2:$I$2271,6,FALSE)</f>
        <v>TEGAL</v>
      </c>
    </row>
    <row r="291" spans="1:12" hidden="1" x14ac:dyDescent="0.35">
      <c r="A291" s="6">
        <v>2511823</v>
      </c>
      <c r="B291" s="7" t="str">
        <f>"3328111106190003"</f>
        <v>3328111106190003</v>
      </c>
      <c r="C291" s="7" t="s">
        <v>837</v>
      </c>
      <c r="D291" s="7" t="s">
        <v>10</v>
      </c>
      <c r="E291" s="7" t="s">
        <v>11</v>
      </c>
      <c r="F291" s="7" t="s">
        <v>18</v>
      </c>
      <c r="G291" s="7" t="s">
        <v>19</v>
      </c>
      <c r="H291" s="7" t="s">
        <v>527</v>
      </c>
      <c r="I291" s="8" t="s">
        <v>527</v>
      </c>
      <c r="J291" t="e">
        <f>VLOOKUP(B291,baru!$B$2:$I$2271,4,FALSE)</f>
        <v>#N/A</v>
      </c>
      <c r="K291" t="e">
        <f>VLOOKUP(B291,baru!$B$2:$I$2271,5,FALSE)</f>
        <v>#N/A</v>
      </c>
      <c r="L291" t="e">
        <f>VLOOKUP(B291,baru!$B$2:$I$2271,6,FALSE)</f>
        <v>#N/A</v>
      </c>
    </row>
    <row r="292" spans="1:12" hidden="1" x14ac:dyDescent="0.35">
      <c r="A292" s="6">
        <v>2662274</v>
      </c>
      <c r="B292" s="7" t="str">
        <f>"3328111106190003"</f>
        <v>3328111106190003</v>
      </c>
      <c r="C292" s="7" t="s">
        <v>838</v>
      </c>
      <c r="D292" s="7" t="s">
        <v>10</v>
      </c>
      <c r="E292" s="7" t="s">
        <v>57</v>
      </c>
      <c r="F292" s="7" t="s">
        <v>18</v>
      </c>
      <c r="G292" s="7" t="s">
        <v>199</v>
      </c>
      <c r="H292" s="7" t="s">
        <v>199</v>
      </c>
      <c r="I292" s="8" t="s">
        <v>839</v>
      </c>
    </row>
    <row r="293" spans="1:12" hidden="1" x14ac:dyDescent="0.35">
      <c r="A293" s="13">
        <v>2490448</v>
      </c>
      <c r="B293" s="14" t="str">
        <f>"3329034511940004"</f>
        <v>3329034511940004</v>
      </c>
      <c r="C293" s="14" t="s">
        <v>840</v>
      </c>
      <c r="D293" s="14" t="s">
        <v>10</v>
      </c>
      <c r="E293" s="14" t="s">
        <v>11</v>
      </c>
      <c r="F293" s="14" t="s">
        <v>18</v>
      </c>
      <c r="G293" s="14" t="s">
        <v>19</v>
      </c>
      <c r="H293" s="14" t="s">
        <v>527</v>
      </c>
      <c r="I293" s="15" t="s">
        <v>532</v>
      </c>
      <c r="J293" s="16" t="str">
        <f>VLOOKUP(B293,baru!$B$2:$I$2271,4,FALSE)</f>
        <v>Reguler</v>
      </c>
      <c r="K293" s="16" t="str">
        <f>VLOOKUP(B293,baru!$B$2:$I$2271,5,FALSE)</f>
        <v>JAWA TENGAH</v>
      </c>
      <c r="L293" s="16" t="str">
        <f>VLOOKUP(B293,baru!$B$2:$I$2271,6,FALSE)</f>
        <v>BREBES</v>
      </c>
    </row>
    <row r="294" spans="1:12" hidden="1" x14ac:dyDescent="0.35">
      <c r="A294" s="6">
        <v>1185547</v>
      </c>
      <c r="B294" s="7" t="str">
        <f>"3329045102020009"</f>
        <v>3329045102020009</v>
      </c>
      <c r="C294" s="7" t="s">
        <v>843</v>
      </c>
      <c r="D294" s="7" t="s">
        <v>10</v>
      </c>
      <c r="E294" s="7" t="s">
        <v>11</v>
      </c>
      <c r="F294" s="7" t="s">
        <v>18</v>
      </c>
      <c r="G294" s="7" t="s">
        <v>264</v>
      </c>
      <c r="H294" s="7" t="s">
        <v>396</v>
      </c>
      <c r="I294" s="8" t="s">
        <v>844</v>
      </c>
    </row>
    <row r="295" spans="1:12" hidden="1" x14ac:dyDescent="0.35">
      <c r="A295" s="6">
        <v>405435</v>
      </c>
      <c r="B295" s="7" t="str">
        <f>"3329046402980003"</f>
        <v>3329046402980003</v>
      </c>
      <c r="C295" s="7" t="s">
        <v>845</v>
      </c>
      <c r="D295" s="7" t="s">
        <v>10</v>
      </c>
      <c r="E295" s="7" t="s">
        <v>11</v>
      </c>
      <c r="F295" s="7" t="s">
        <v>18</v>
      </c>
      <c r="G295" s="7" t="s">
        <v>264</v>
      </c>
      <c r="H295" s="7" t="s">
        <v>396</v>
      </c>
      <c r="I295" s="8" t="s">
        <v>846</v>
      </c>
    </row>
    <row r="296" spans="1:12" hidden="1" x14ac:dyDescent="0.35">
      <c r="A296" s="13">
        <v>2447997</v>
      </c>
      <c r="B296" s="14" t="str">
        <f>"3329050107990033"</f>
        <v>3329050107990033</v>
      </c>
      <c r="C296" s="14" t="s">
        <v>848</v>
      </c>
      <c r="D296" s="14" t="s">
        <v>10</v>
      </c>
      <c r="E296" s="14" t="s">
        <v>11</v>
      </c>
      <c r="F296" s="14" t="s">
        <v>18</v>
      </c>
      <c r="G296" s="14" t="s">
        <v>19</v>
      </c>
      <c r="H296" s="14" t="s">
        <v>527</v>
      </c>
      <c r="I296" s="15" t="s">
        <v>616</v>
      </c>
      <c r="J296" s="16" t="str">
        <f>VLOOKUP(B296,baru!$B$2:$I$2271,4,FALSE)</f>
        <v>Reguler</v>
      </c>
      <c r="K296" s="16" t="str">
        <f>VLOOKUP(B296,baru!$B$2:$I$2271,5,FALSE)</f>
        <v>JAWA TENGAH</v>
      </c>
      <c r="L296" s="16" t="str">
        <f>VLOOKUP(B296,baru!$B$2:$I$2271,6,FALSE)</f>
        <v>BREBES</v>
      </c>
    </row>
    <row r="297" spans="1:12" hidden="1" x14ac:dyDescent="0.35">
      <c r="A297" s="6">
        <v>1433197</v>
      </c>
      <c r="B297" s="7" t="str">
        <f>"3329050109960001"</f>
        <v>3329050109960001</v>
      </c>
      <c r="C297" s="7" t="s">
        <v>849</v>
      </c>
      <c r="D297" s="7" t="s">
        <v>10</v>
      </c>
      <c r="E297" s="7" t="s">
        <v>11</v>
      </c>
      <c r="F297" s="7" t="s">
        <v>18</v>
      </c>
      <c r="G297" s="7" t="s">
        <v>264</v>
      </c>
      <c r="H297" s="7" t="s">
        <v>289</v>
      </c>
      <c r="I297" s="8" t="s">
        <v>758</v>
      </c>
    </row>
    <row r="298" spans="1:12" hidden="1" x14ac:dyDescent="0.35">
      <c r="A298" s="6">
        <v>1323333</v>
      </c>
      <c r="B298" s="7" t="str">
        <f>"3329050611820001"</f>
        <v>3329050611820001</v>
      </c>
      <c r="C298" s="7" t="s">
        <v>850</v>
      </c>
      <c r="D298" s="7" t="s">
        <v>10</v>
      </c>
      <c r="E298" s="7" t="s">
        <v>11</v>
      </c>
      <c r="F298" s="7" t="s">
        <v>18</v>
      </c>
      <c r="G298" s="7" t="s">
        <v>264</v>
      </c>
      <c r="H298" s="7" t="s">
        <v>289</v>
      </c>
      <c r="I298" s="8" t="s">
        <v>290</v>
      </c>
    </row>
    <row r="299" spans="1:12" x14ac:dyDescent="0.35">
      <c r="A299" s="6">
        <v>1434353</v>
      </c>
      <c r="B299" s="7" t="str">
        <f>"3329050911900004"</f>
        <v>3329050911900004</v>
      </c>
      <c r="C299" s="7" t="s">
        <v>851</v>
      </c>
      <c r="D299" s="7" t="s">
        <v>189</v>
      </c>
      <c r="E299" s="7" t="s">
        <v>11</v>
      </c>
      <c r="F299" s="7" t="s">
        <v>18</v>
      </c>
      <c r="G299" s="7" t="s">
        <v>264</v>
      </c>
      <c r="H299" s="7" t="s">
        <v>289</v>
      </c>
      <c r="I299" s="8" t="s">
        <v>758</v>
      </c>
    </row>
    <row r="300" spans="1:12" hidden="1" x14ac:dyDescent="0.35">
      <c r="A300" s="6">
        <v>1494721</v>
      </c>
      <c r="B300" s="7" t="str">
        <f>"3329051212830003"</f>
        <v>3329051212830003</v>
      </c>
      <c r="C300" s="7" t="s">
        <v>852</v>
      </c>
      <c r="D300" s="7" t="s">
        <v>10</v>
      </c>
      <c r="E300" s="7" t="s">
        <v>11</v>
      </c>
      <c r="F300" s="7" t="s">
        <v>18</v>
      </c>
      <c r="G300" s="7" t="s">
        <v>264</v>
      </c>
      <c r="H300" s="7" t="s">
        <v>289</v>
      </c>
      <c r="I300" s="8" t="s">
        <v>853</v>
      </c>
    </row>
    <row r="301" spans="1:12" hidden="1" x14ac:dyDescent="0.35">
      <c r="A301" s="13">
        <v>2447998</v>
      </c>
      <c r="B301" s="14" t="str">
        <f>"3329051811950001"</f>
        <v>3329051811950001</v>
      </c>
      <c r="C301" s="14" t="s">
        <v>855</v>
      </c>
      <c r="D301" s="14" t="s">
        <v>10</v>
      </c>
      <c r="E301" s="14" t="s">
        <v>11</v>
      </c>
      <c r="F301" s="14" t="s">
        <v>18</v>
      </c>
      <c r="G301" s="14" t="s">
        <v>19</v>
      </c>
      <c r="H301" s="14" t="s">
        <v>527</v>
      </c>
      <c r="I301" s="15" t="s">
        <v>616</v>
      </c>
      <c r="J301" s="16" t="str">
        <f>VLOOKUP(B301,baru!$B$2:$I$2271,4,FALSE)</f>
        <v>Reguler</v>
      </c>
      <c r="K301" s="16" t="str">
        <f>VLOOKUP(B301,baru!$B$2:$I$2271,5,FALSE)</f>
        <v>JAWA TENGAH</v>
      </c>
      <c r="L301" s="16" t="str">
        <f>VLOOKUP(B301,baru!$B$2:$I$2271,6,FALSE)</f>
        <v>BREBES</v>
      </c>
    </row>
    <row r="302" spans="1:12" hidden="1" x14ac:dyDescent="0.35">
      <c r="A302" s="6">
        <v>1337340</v>
      </c>
      <c r="B302" s="7" t="str">
        <f>"3329053108060004"</f>
        <v>3329053108060004</v>
      </c>
      <c r="C302" s="7" t="s">
        <v>857</v>
      </c>
      <c r="D302" s="7" t="s">
        <v>10</v>
      </c>
      <c r="E302" s="7" t="s">
        <v>11</v>
      </c>
      <c r="F302" s="7" t="s">
        <v>18</v>
      </c>
      <c r="G302" s="7" t="s">
        <v>264</v>
      </c>
      <c r="H302" s="7" t="s">
        <v>289</v>
      </c>
      <c r="I302" s="8" t="s">
        <v>613</v>
      </c>
    </row>
    <row r="303" spans="1:12" hidden="1" x14ac:dyDescent="0.35">
      <c r="A303" s="6">
        <v>1339005</v>
      </c>
      <c r="B303" s="7" t="str">
        <f>"3329054404960006"</f>
        <v>3329054404960006</v>
      </c>
      <c r="C303" s="7" t="s">
        <v>858</v>
      </c>
      <c r="D303" s="7" t="s">
        <v>10</v>
      </c>
      <c r="E303" s="7" t="s">
        <v>11</v>
      </c>
      <c r="F303" s="7" t="s">
        <v>18</v>
      </c>
      <c r="G303" s="7" t="s">
        <v>264</v>
      </c>
      <c r="H303" s="7" t="s">
        <v>289</v>
      </c>
      <c r="I303" s="8" t="s">
        <v>613</v>
      </c>
    </row>
    <row r="304" spans="1:12" hidden="1" x14ac:dyDescent="0.35">
      <c r="A304" s="6">
        <v>1338555</v>
      </c>
      <c r="B304" s="7" t="str">
        <f>"3329054809850002"</f>
        <v>3329054809850002</v>
      </c>
      <c r="C304" s="7" t="s">
        <v>859</v>
      </c>
      <c r="D304" s="7" t="s">
        <v>10</v>
      </c>
      <c r="E304" s="7" t="s">
        <v>11</v>
      </c>
      <c r="F304" s="7" t="s">
        <v>18</v>
      </c>
      <c r="G304" s="7" t="s">
        <v>264</v>
      </c>
      <c r="H304" s="7" t="s">
        <v>289</v>
      </c>
      <c r="I304" s="8" t="s">
        <v>613</v>
      </c>
    </row>
    <row r="305" spans="1:12" hidden="1" x14ac:dyDescent="0.35">
      <c r="A305" s="6">
        <v>248592</v>
      </c>
      <c r="B305" s="7" t="str">
        <f>"3329064307950005"</f>
        <v>3329064307950005</v>
      </c>
      <c r="C305" s="7" t="s">
        <v>860</v>
      </c>
      <c r="D305" s="7" t="s">
        <v>10</v>
      </c>
      <c r="E305" s="7" t="s">
        <v>11</v>
      </c>
      <c r="F305" s="7" t="s">
        <v>18</v>
      </c>
      <c r="G305" s="7" t="s">
        <v>264</v>
      </c>
      <c r="H305" s="7" t="s">
        <v>468</v>
      </c>
      <c r="I305" s="8" t="s">
        <v>861</v>
      </c>
    </row>
    <row r="306" spans="1:12" hidden="1" x14ac:dyDescent="0.35">
      <c r="A306" s="13">
        <v>2491837</v>
      </c>
      <c r="B306" s="14" t="str">
        <f>"3329071911850003"</f>
        <v>3329071911850003</v>
      </c>
      <c r="C306" s="14" t="s">
        <v>862</v>
      </c>
      <c r="D306" s="14" t="s">
        <v>10</v>
      </c>
      <c r="E306" s="14" t="s">
        <v>11</v>
      </c>
      <c r="F306" s="14" t="s">
        <v>18</v>
      </c>
      <c r="G306" s="14" t="s">
        <v>19</v>
      </c>
      <c r="H306" s="14" t="s">
        <v>527</v>
      </c>
      <c r="I306" s="15" t="s">
        <v>532</v>
      </c>
      <c r="J306" s="16" t="str">
        <f>VLOOKUP(B306,baru!$B$2:$I$2271,4,FALSE)</f>
        <v>Reguler</v>
      </c>
      <c r="K306" s="16" t="str">
        <f>VLOOKUP(B306,baru!$B$2:$I$2271,5,FALSE)</f>
        <v>JAWA TENGAH</v>
      </c>
      <c r="L306" s="16" t="str">
        <f>VLOOKUP(B306,baru!$B$2:$I$2271,6,FALSE)</f>
        <v>BREBES</v>
      </c>
    </row>
    <row r="307" spans="1:12" hidden="1" x14ac:dyDescent="0.35">
      <c r="A307" s="6">
        <v>1311664</v>
      </c>
      <c r="B307" s="7" t="str">
        <f>"3329072812850009"</f>
        <v>3329072812850009</v>
      </c>
      <c r="C307" s="7" t="s">
        <v>864</v>
      </c>
      <c r="D307" s="7" t="s">
        <v>10</v>
      </c>
      <c r="E307" s="7" t="s">
        <v>11</v>
      </c>
      <c r="F307" s="7" t="s">
        <v>18</v>
      </c>
      <c r="G307" s="7" t="s">
        <v>264</v>
      </c>
      <c r="H307" s="7" t="s">
        <v>265</v>
      </c>
      <c r="I307" s="8" t="s">
        <v>865</v>
      </c>
    </row>
    <row r="308" spans="1:12" hidden="1" x14ac:dyDescent="0.35">
      <c r="A308" s="6">
        <v>1271370</v>
      </c>
      <c r="B308" s="7" t="str">
        <f>"3329085903860006"</f>
        <v>3329085903860006</v>
      </c>
      <c r="C308" s="7" t="s">
        <v>867</v>
      </c>
      <c r="D308" s="7" t="s">
        <v>10</v>
      </c>
      <c r="E308" s="7" t="s">
        <v>11</v>
      </c>
      <c r="F308" s="7" t="s">
        <v>18</v>
      </c>
      <c r="G308" s="7" t="s">
        <v>264</v>
      </c>
      <c r="H308" s="7" t="s">
        <v>248</v>
      </c>
      <c r="I308" s="8" t="s">
        <v>868</v>
      </c>
    </row>
    <row r="309" spans="1:12" hidden="1" x14ac:dyDescent="0.35">
      <c r="A309" s="6">
        <v>2496908</v>
      </c>
      <c r="B309" s="7" t="str">
        <f>"3329092711870007"</f>
        <v>3329092711870007</v>
      </c>
      <c r="C309" s="7" t="s">
        <v>869</v>
      </c>
      <c r="D309" s="7" t="s">
        <v>10</v>
      </c>
      <c r="E309" s="7" t="s">
        <v>11</v>
      </c>
      <c r="F309" s="7" t="s">
        <v>18</v>
      </c>
      <c r="G309" s="7" t="s">
        <v>19</v>
      </c>
      <c r="H309" s="7" t="s">
        <v>527</v>
      </c>
      <c r="I309" s="8" t="s">
        <v>528</v>
      </c>
      <c r="J309" t="e">
        <f>VLOOKUP(B309,baru!$B$2:$I$2271,4,FALSE)</f>
        <v>#N/A</v>
      </c>
      <c r="K309" t="e">
        <f>VLOOKUP(B309,baru!$B$2:$I$2271,5,FALSE)</f>
        <v>#N/A</v>
      </c>
      <c r="L309" t="e">
        <f>VLOOKUP(B309,baru!$B$2:$I$2271,6,FALSE)</f>
        <v>#N/A</v>
      </c>
    </row>
    <row r="310" spans="1:12" hidden="1" x14ac:dyDescent="0.35">
      <c r="A310" s="6">
        <v>254129</v>
      </c>
      <c r="B310" s="7" t="str">
        <f>"3329092711870007"</f>
        <v>3329092711870007</v>
      </c>
      <c r="C310" s="7" t="s">
        <v>870</v>
      </c>
      <c r="D310" s="7" t="s">
        <v>10</v>
      </c>
      <c r="E310" s="7" t="s">
        <v>57</v>
      </c>
      <c r="F310" s="7" t="s">
        <v>521</v>
      </c>
      <c r="G310" s="7" t="s">
        <v>657</v>
      </c>
      <c r="H310" s="7" t="s">
        <v>658</v>
      </c>
      <c r="I310" s="8" t="s">
        <v>871</v>
      </c>
    </row>
    <row r="311" spans="1:12" x14ac:dyDescent="0.35">
      <c r="A311" s="6">
        <v>786027</v>
      </c>
      <c r="B311" s="7" t="str">
        <f>"3329095705900008"</f>
        <v>3329095705900008</v>
      </c>
      <c r="C311" s="7" t="s">
        <v>872</v>
      </c>
      <c r="D311" s="7" t="s">
        <v>189</v>
      </c>
      <c r="E311" s="7" t="s">
        <v>11</v>
      </c>
      <c r="F311" s="7" t="s">
        <v>18</v>
      </c>
      <c r="G311" s="7" t="s">
        <v>264</v>
      </c>
      <c r="H311" s="7" t="s">
        <v>264</v>
      </c>
      <c r="I311" s="8" t="s">
        <v>873</v>
      </c>
    </row>
    <row r="312" spans="1:12" hidden="1" x14ac:dyDescent="0.35">
      <c r="A312" s="6">
        <v>1442093</v>
      </c>
      <c r="B312" s="7" t="str">
        <f>"3329100901820003"</f>
        <v>3329100901820003</v>
      </c>
      <c r="C312" s="7" t="s">
        <v>874</v>
      </c>
      <c r="D312" s="7" t="s">
        <v>10</v>
      </c>
      <c r="E312" s="7" t="s">
        <v>11</v>
      </c>
      <c r="F312" s="7" t="s">
        <v>18</v>
      </c>
      <c r="G312" s="7" t="s">
        <v>264</v>
      </c>
      <c r="H312" s="7" t="s">
        <v>273</v>
      </c>
      <c r="I312" s="8" t="s">
        <v>875</v>
      </c>
    </row>
    <row r="313" spans="1:12" hidden="1" x14ac:dyDescent="0.35">
      <c r="A313" s="6">
        <v>542319</v>
      </c>
      <c r="B313" s="7" t="str">
        <f>"3329122003000005"</f>
        <v>3329122003000005</v>
      </c>
      <c r="C313" s="7" t="s">
        <v>876</v>
      </c>
      <c r="D313" s="7" t="s">
        <v>10</v>
      </c>
      <c r="E313" s="7" t="s">
        <v>11</v>
      </c>
      <c r="F313" s="7" t="s">
        <v>18</v>
      </c>
      <c r="G313" s="7" t="s">
        <v>264</v>
      </c>
      <c r="H313" s="7" t="s">
        <v>877</v>
      </c>
      <c r="I313" s="8" t="s">
        <v>878</v>
      </c>
    </row>
    <row r="314" spans="1:12" hidden="1" x14ac:dyDescent="0.35">
      <c r="A314" s="6">
        <v>811421</v>
      </c>
      <c r="B314" s="7" t="str">
        <f>"3329164809890002"</f>
        <v>3329164809890002</v>
      </c>
      <c r="C314" s="7" t="s">
        <v>879</v>
      </c>
      <c r="D314" s="7" t="s">
        <v>10</v>
      </c>
      <c r="E314" s="7" t="s">
        <v>11</v>
      </c>
      <c r="F314" s="7" t="s">
        <v>18</v>
      </c>
      <c r="G314" s="7" t="s">
        <v>264</v>
      </c>
      <c r="H314" s="7" t="s">
        <v>344</v>
      </c>
      <c r="I314" s="8" t="s">
        <v>344</v>
      </c>
    </row>
    <row r="315" spans="1:12" hidden="1" x14ac:dyDescent="0.35">
      <c r="A315" s="6">
        <v>946615</v>
      </c>
      <c r="B315" s="7" t="str">
        <f>"3329170809810004"</f>
        <v>3329170809810004</v>
      </c>
      <c r="C315" s="7" t="s">
        <v>880</v>
      </c>
      <c r="D315" s="7" t="s">
        <v>10</v>
      </c>
      <c r="E315" s="7" t="s">
        <v>11</v>
      </c>
      <c r="F315" s="7" t="s">
        <v>18</v>
      </c>
      <c r="G315" s="7" t="s">
        <v>264</v>
      </c>
      <c r="H315" s="7" t="s">
        <v>881</v>
      </c>
      <c r="I315" s="8" t="s">
        <v>882</v>
      </c>
    </row>
    <row r="316" spans="1:12" x14ac:dyDescent="0.35">
      <c r="A316" s="6">
        <v>2444158</v>
      </c>
      <c r="B316" s="7" t="str">
        <f>"3329170809810004"</f>
        <v>3329170809810004</v>
      </c>
      <c r="C316" s="7" t="s">
        <v>880</v>
      </c>
      <c r="D316" s="7" t="s">
        <v>189</v>
      </c>
      <c r="E316" s="7" t="s">
        <v>11</v>
      </c>
      <c r="F316" s="7" t="s">
        <v>18</v>
      </c>
      <c r="G316" s="7" t="s">
        <v>19</v>
      </c>
      <c r="H316" s="7" t="s">
        <v>527</v>
      </c>
      <c r="I316" s="8" t="s">
        <v>616</v>
      </c>
      <c r="J316" t="e">
        <f>VLOOKUP(B316,baru!$B$2:$I$2271,4,FALSE)</f>
        <v>#N/A</v>
      </c>
      <c r="K316" t="e">
        <f>VLOOKUP(B316,baru!$B$2:$I$2271,5,FALSE)</f>
        <v>#N/A</v>
      </c>
      <c r="L316" t="e">
        <f>VLOOKUP(B316,baru!$B$2:$I$2271,6,FALSE)</f>
        <v>#N/A</v>
      </c>
    </row>
    <row r="317" spans="1:12" hidden="1" x14ac:dyDescent="0.35">
      <c r="A317" s="6">
        <v>283092</v>
      </c>
      <c r="B317" s="7" t="str">
        <f>"3376016105660002"</f>
        <v>3376016105660002</v>
      </c>
      <c r="C317" s="7" t="s">
        <v>883</v>
      </c>
      <c r="D317" s="7" t="s">
        <v>10</v>
      </c>
      <c r="E317" s="7" t="s">
        <v>11</v>
      </c>
      <c r="F317" s="7" t="s">
        <v>18</v>
      </c>
      <c r="G317" s="7" t="s">
        <v>268</v>
      </c>
      <c r="H317" s="7" t="s">
        <v>277</v>
      </c>
      <c r="I317" s="8" t="s">
        <v>884</v>
      </c>
    </row>
    <row r="318" spans="1:12" hidden="1" x14ac:dyDescent="0.35">
      <c r="A318" s="6">
        <v>264870</v>
      </c>
      <c r="B318" s="7" t="str">
        <f>"3376022003560002"</f>
        <v>3376022003560002</v>
      </c>
      <c r="C318" s="7" t="s">
        <v>885</v>
      </c>
      <c r="D318" s="7" t="s">
        <v>10</v>
      </c>
      <c r="E318" s="7" t="s">
        <v>11</v>
      </c>
      <c r="F318" s="7" t="s">
        <v>18</v>
      </c>
      <c r="G318" s="7" t="s">
        <v>268</v>
      </c>
      <c r="H318" s="7" t="s">
        <v>371</v>
      </c>
      <c r="I318" s="8" t="s">
        <v>497</v>
      </c>
    </row>
    <row r="319" spans="1:12" hidden="1" x14ac:dyDescent="0.35">
      <c r="A319" s="6">
        <v>264869</v>
      </c>
      <c r="B319" s="7" t="str">
        <f>"3376025602760001"</f>
        <v>3376025602760001</v>
      </c>
      <c r="C319" s="7" t="s">
        <v>886</v>
      </c>
      <c r="D319" s="7" t="s">
        <v>10</v>
      </c>
      <c r="E319" s="7" t="s">
        <v>11</v>
      </c>
      <c r="F319" s="7" t="s">
        <v>18</v>
      </c>
      <c r="G319" s="7" t="s">
        <v>268</v>
      </c>
      <c r="H319" s="7" t="s">
        <v>371</v>
      </c>
      <c r="I319" s="8" t="s">
        <v>497</v>
      </c>
    </row>
    <row r="320" spans="1:12" hidden="1" x14ac:dyDescent="0.35">
      <c r="A320" s="6">
        <v>413738</v>
      </c>
      <c r="B320" s="7" t="str">
        <f>"3376043112730005"</f>
        <v>3376043112730005</v>
      </c>
      <c r="C320" s="7" t="s">
        <v>887</v>
      </c>
      <c r="D320" s="7" t="s">
        <v>10</v>
      </c>
      <c r="E320" s="7" t="s">
        <v>11</v>
      </c>
      <c r="F320" s="7" t="s">
        <v>18</v>
      </c>
      <c r="G320" s="7" t="s">
        <v>268</v>
      </c>
      <c r="H320" s="7" t="s">
        <v>448</v>
      </c>
      <c r="I320" s="8" t="s">
        <v>888</v>
      </c>
    </row>
    <row r="321" spans="1:12" hidden="1" x14ac:dyDescent="0.35">
      <c r="A321" s="6">
        <v>1246626</v>
      </c>
      <c r="B321" s="7" t="str">
        <f>"3601094904830002"</f>
        <v>3601094904830002</v>
      </c>
      <c r="C321" s="7" t="s">
        <v>889</v>
      </c>
      <c r="D321" s="7" t="s">
        <v>10</v>
      </c>
      <c r="E321" s="7" t="s">
        <v>11</v>
      </c>
      <c r="F321" s="7" t="s">
        <v>67</v>
      </c>
      <c r="G321" s="7" t="s">
        <v>890</v>
      </c>
      <c r="H321" s="7" t="s">
        <v>891</v>
      </c>
      <c r="I321" s="8" t="s">
        <v>891</v>
      </c>
    </row>
    <row r="322" spans="1:12" hidden="1" x14ac:dyDescent="0.35">
      <c r="A322" s="6">
        <v>1323000</v>
      </c>
      <c r="B322" s="7" t="str">
        <f>"3602116808930002"</f>
        <v>3602116808930002</v>
      </c>
      <c r="C322" s="7" t="s">
        <v>893</v>
      </c>
      <c r="D322" s="7" t="s">
        <v>10</v>
      </c>
      <c r="E322" s="7" t="s">
        <v>11</v>
      </c>
      <c r="F322" s="7" t="s">
        <v>67</v>
      </c>
      <c r="G322" s="7" t="s">
        <v>638</v>
      </c>
      <c r="H322" s="7" t="s">
        <v>894</v>
      </c>
      <c r="I322" s="8" t="s">
        <v>895</v>
      </c>
    </row>
    <row r="323" spans="1:12" hidden="1" x14ac:dyDescent="0.35">
      <c r="A323" s="13">
        <v>2493907</v>
      </c>
      <c r="B323" s="14" t="str">
        <f>"3603135703960001"</f>
        <v>3603135703960001</v>
      </c>
      <c r="C323" s="14" t="s">
        <v>896</v>
      </c>
      <c r="D323" s="14" t="s">
        <v>10</v>
      </c>
      <c r="E323" s="14" t="s">
        <v>11</v>
      </c>
      <c r="F323" s="14" t="s">
        <v>18</v>
      </c>
      <c r="G323" s="14" t="s">
        <v>19</v>
      </c>
      <c r="H323" s="14" t="s">
        <v>527</v>
      </c>
      <c r="I323" s="15" t="s">
        <v>532</v>
      </c>
      <c r="J323" s="16" t="str">
        <f>VLOOKUP(B323,baru!$B$2:$I$2271,4,FALSE)</f>
        <v>Reguler</v>
      </c>
      <c r="K323" s="16" t="str">
        <f>VLOOKUP(B323,baru!$B$2:$I$2271,5,FALSE)</f>
        <v>BANTEN</v>
      </c>
      <c r="L323" s="16" t="str">
        <f>VLOOKUP(B323,baru!$B$2:$I$2271,6,FALSE)</f>
        <v>TANGERANG</v>
      </c>
    </row>
    <row r="324" spans="1:12" hidden="1" x14ac:dyDescent="0.35">
      <c r="A324" s="13">
        <v>2498966</v>
      </c>
      <c r="B324" s="14" t="str">
        <f>"3604295407880006"</f>
        <v>3604295407880006</v>
      </c>
      <c r="C324" s="14" t="s">
        <v>900</v>
      </c>
      <c r="D324" s="14" t="s">
        <v>10</v>
      </c>
      <c r="E324" s="14" t="s">
        <v>11</v>
      </c>
      <c r="F324" s="14" t="s">
        <v>18</v>
      </c>
      <c r="G324" s="14" t="s">
        <v>19</v>
      </c>
      <c r="H324" s="14" t="s">
        <v>527</v>
      </c>
      <c r="I324" s="15" t="s">
        <v>528</v>
      </c>
      <c r="J324" s="16" t="str">
        <f>VLOOKUP(B324,baru!$B$2:$I$2271,4,FALSE)</f>
        <v>Reguler</v>
      </c>
      <c r="K324" s="16" t="str">
        <f>VLOOKUP(B324,baru!$B$2:$I$2271,5,FALSE)</f>
        <v>BANTEN</v>
      </c>
      <c r="L324" s="16" t="str">
        <f>VLOOKUP(B324,baru!$B$2:$I$2271,6,FALSE)</f>
        <v>SERANG</v>
      </c>
    </row>
    <row r="325" spans="1:12" hidden="1" x14ac:dyDescent="0.35">
      <c r="A325" s="6">
        <v>1288964</v>
      </c>
      <c r="B325" s="7" t="str">
        <f>"1304080308940003"</f>
        <v>1304080308940003</v>
      </c>
      <c r="C325" s="7" t="s">
        <v>902</v>
      </c>
      <c r="D325" s="7" t="s">
        <v>10</v>
      </c>
      <c r="E325" s="7" t="s">
        <v>11</v>
      </c>
      <c r="F325" s="7" t="s">
        <v>91</v>
      </c>
      <c r="G325" s="7" t="s">
        <v>903</v>
      </c>
      <c r="H325" s="7" t="s">
        <v>904</v>
      </c>
      <c r="I325" s="8" t="s">
        <v>905</v>
      </c>
    </row>
    <row r="326" spans="1:12" hidden="1" x14ac:dyDescent="0.35">
      <c r="A326" s="6">
        <v>135967</v>
      </c>
      <c r="B326" s="7" t="str">
        <f>"1801175508930004"</f>
        <v>1801175508930004</v>
      </c>
      <c r="C326" s="7" t="s">
        <v>908</v>
      </c>
      <c r="D326" s="7" t="s">
        <v>10</v>
      </c>
      <c r="E326" s="7" t="s">
        <v>11</v>
      </c>
      <c r="F326" s="7" t="s">
        <v>44</v>
      </c>
      <c r="G326" s="7" t="s">
        <v>909</v>
      </c>
      <c r="H326" s="7" t="s">
        <v>910</v>
      </c>
      <c r="I326" s="8" t="s">
        <v>911</v>
      </c>
    </row>
    <row r="327" spans="1:12" hidden="1" x14ac:dyDescent="0.35">
      <c r="A327" s="6">
        <v>895514</v>
      </c>
      <c r="B327" s="7" t="str">
        <f>"3172015410800008"</f>
        <v>3172015410800008</v>
      </c>
      <c r="C327" s="7" t="s">
        <v>914</v>
      </c>
      <c r="D327" s="7" t="s">
        <v>10</v>
      </c>
      <c r="E327" s="7" t="s">
        <v>11</v>
      </c>
      <c r="F327" s="7" t="s">
        <v>91</v>
      </c>
      <c r="G327" s="7" t="s">
        <v>903</v>
      </c>
      <c r="H327" s="7" t="s">
        <v>915</v>
      </c>
      <c r="I327" s="8" t="s">
        <v>916</v>
      </c>
    </row>
    <row r="328" spans="1:12" hidden="1" x14ac:dyDescent="0.35">
      <c r="A328" s="6">
        <v>353365</v>
      </c>
      <c r="B328" s="7" t="str">
        <f>"3172020711880014"</f>
        <v>3172020711880014</v>
      </c>
      <c r="C328" s="7" t="s">
        <v>917</v>
      </c>
      <c r="D328" s="7" t="s">
        <v>10</v>
      </c>
      <c r="E328" s="7" t="s">
        <v>11</v>
      </c>
      <c r="F328" s="7" t="s">
        <v>50</v>
      </c>
      <c r="G328" s="7" t="s">
        <v>51</v>
      </c>
      <c r="H328" s="7" t="s">
        <v>62</v>
      </c>
      <c r="I328" s="8" t="s">
        <v>918</v>
      </c>
    </row>
    <row r="329" spans="1:12" hidden="1" x14ac:dyDescent="0.35">
      <c r="A329" s="6">
        <v>866475</v>
      </c>
      <c r="B329" s="7" t="str">
        <f>"3172052607811001"</f>
        <v>3172052607811001</v>
      </c>
      <c r="C329" s="7" t="s">
        <v>921</v>
      </c>
      <c r="D329" s="7" t="s">
        <v>10</v>
      </c>
      <c r="E329" s="7" t="s">
        <v>11</v>
      </c>
      <c r="F329" s="7" t="s">
        <v>50</v>
      </c>
      <c r="G329" s="7" t="s">
        <v>51</v>
      </c>
      <c r="H329" s="7" t="s">
        <v>922</v>
      </c>
      <c r="I329" s="8" t="s">
        <v>923</v>
      </c>
    </row>
    <row r="330" spans="1:12" hidden="1" x14ac:dyDescent="0.35">
      <c r="A330" s="6">
        <v>171460</v>
      </c>
      <c r="B330" s="7" t="str">
        <f>"3173070309801001"</f>
        <v>3173070309801001</v>
      </c>
      <c r="C330" s="7" t="s">
        <v>924</v>
      </c>
      <c r="D330" s="7" t="s">
        <v>10</v>
      </c>
      <c r="E330" s="7" t="s">
        <v>11</v>
      </c>
      <c r="F330" s="7" t="s">
        <v>50</v>
      </c>
      <c r="G330" s="7" t="s">
        <v>86</v>
      </c>
      <c r="H330" s="7" t="s">
        <v>925</v>
      </c>
      <c r="I330" s="8" t="s">
        <v>926</v>
      </c>
    </row>
    <row r="331" spans="1:12" hidden="1" x14ac:dyDescent="0.35">
      <c r="A331" s="6">
        <v>172274</v>
      </c>
      <c r="B331" s="7" t="str">
        <f>"3173074606840014"</f>
        <v>3173074606840014</v>
      </c>
      <c r="C331" s="7" t="s">
        <v>928</v>
      </c>
      <c r="D331" s="7" t="s">
        <v>10</v>
      </c>
      <c r="E331" s="7" t="s">
        <v>11</v>
      </c>
      <c r="F331" s="7" t="s">
        <v>50</v>
      </c>
      <c r="G331" s="7" t="s">
        <v>86</v>
      </c>
      <c r="H331" s="7" t="s">
        <v>925</v>
      </c>
      <c r="I331" s="8" t="s">
        <v>926</v>
      </c>
    </row>
    <row r="332" spans="1:12" hidden="1" x14ac:dyDescent="0.35">
      <c r="A332" s="6">
        <v>172272</v>
      </c>
      <c r="B332" s="7" t="str">
        <f>"3173076206060006"</f>
        <v>3173076206060006</v>
      </c>
      <c r="C332" s="7" t="s">
        <v>930</v>
      </c>
      <c r="D332" s="7" t="s">
        <v>10</v>
      </c>
      <c r="E332" s="7" t="s">
        <v>11</v>
      </c>
      <c r="F332" s="7" t="s">
        <v>50</v>
      </c>
      <c r="G332" s="7" t="s">
        <v>86</v>
      </c>
      <c r="H332" s="7" t="s">
        <v>925</v>
      </c>
      <c r="I332" s="8" t="s">
        <v>926</v>
      </c>
    </row>
    <row r="333" spans="1:12" hidden="1" x14ac:dyDescent="0.35">
      <c r="A333" s="6">
        <v>1436281</v>
      </c>
      <c r="B333" s="7" t="str">
        <f>"3174092405770009"</f>
        <v>3174092405770009</v>
      </c>
      <c r="C333" s="7" t="s">
        <v>931</v>
      </c>
      <c r="D333" s="7" t="s">
        <v>10</v>
      </c>
      <c r="E333" s="7" t="s">
        <v>11</v>
      </c>
      <c r="F333" s="7" t="s">
        <v>50</v>
      </c>
      <c r="G333" s="7" t="s">
        <v>72</v>
      </c>
      <c r="H333" s="7" t="s">
        <v>738</v>
      </c>
      <c r="I333" s="8" t="s">
        <v>738</v>
      </c>
    </row>
    <row r="334" spans="1:12" hidden="1" x14ac:dyDescent="0.35">
      <c r="A334" s="6">
        <v>917684</v>
      </c>
      <c r="B334" s="7" t="str">
        <f>"3175046511750009"</f>
        <v>3175046511750009</v>
      </c>
      <c r="C334" s="7" t="s">
        <v>934</v>
      </c>
      <c r="D334" s="7" t="s">
        <v>10</v>
      </c>
      <c r="E334" s="7" t="s">
        <v>11</v>
      </c>
      <c r="F334" s="7" t="s">
        <v>50</v>
      </c>
      <c r="G334" s="7" t="s">
        <v>58</v>
      </c>
      <c r="H334" s="7" t="s">
        <v>97</v>
      </c>
      <c r="I334" s="8" t="s">
        <v>935</v>
      </c>
    </row>
    <row r="335" spans="1:12" hidden="1" x14ac:dyDescent="0.35">
      <c r="A335" s="6">
        <v>178540</v>
      </c>
      <c r="B335" s="7" t="str">
        <f>"3201145806930005"</f>
        <v>3201145806930005</v>
      </c>
      <c r="C335" s="7" t="s">
        <v>937</v>
      </c>
      <c r="D335" s="7" t="s">
        <v>10</v>
      </c>
      <c r="E335" s="7" t="s">
        <v>11</v>
      </c>
      <c r="F335" s="7" t="s">
        <v>91</v>
      </c>
      <c r="G335" s="7" t="s">
        <v>903</v>
      </c>
      <c r="H335" s="7" t="s">
        <v>938</v>
      </c>
      <c r="I335" s="8" t="s">
        <v>938</v>
      </c>
    </row>
    <row r="336" spans="1:12" hidden="1" x14ac:dyDescent="0.35">
      <c r="A336" s="6">
        <v>930826</v>
      </c>
      <c r="B336" s="7" t="str">
        <f>"3212035206950001"</f>
        <v>3212035206950001</v>
      </c>
      <c r="C336" s="7" t="s">
        <v>940</v>
      </c>
      <c r="D336" s="7" t="s">
        <v>10</v>
      </c>
      <c r="E336" s="7" t="s">
        <v>11</v>
      </c>
      <c r="F336" s="7" t="s">
        <v>91</v>
      </c>
      <c r="G336" s="7" t="s">
        <v>114</v>
      </c>
      <c r="H336" s="7" t="s">
        <v>941</v>
      </c>
      <c r="I336" s="8" t="s">
        <v>941</v>
      </c>
    </row>
    <row r="337" spans="1:12" hidden="1" x14ac:dyDescent="0.35">
      <c r="A337" s="6">
        <v>207628</v>
      </c>
      <c r="B337" s="7" t="str">
        <f>"3212081409870004"</f>
        <v>3212081409870004</v>
      </c>
      <c r="C337" s="7" t="s">
        <v>943</v>
      </c>
      <c r="D337" s="7" t="s">
        <v>10</v>
      </c>
      <c r="E337" s="7" t="s">
        <v>11</v>
      </c>
      <c r="F337" s="7" t="s">
        <v>91</v>
      </c>
      <c r="G337" s="7" t="s">
        <v>114</v>
      </c>
      <c r="H337" s="7" t="s">
        <v>944</v>
      </c>
      <c r="I337" s="8" t="s">
        <v>945</v>
      </c>
    </row>
    <row r="338" spans="1:12" hidden="1" x14ac:dyDescent="0.35">
      <c r="A338" s="13">
        <v>1589651</v>
      </c>
      <c r="B338" s="14" t="str">
        <f>"3216082004890006"</f>
        <v>3216082004890006</v>
      </c>
      <c r="C338" s="14" t="s">
        <v>946</v>
      </c>
      <c r="D338" s="14" t="s">
        <v>10</v>
      </c>
      <c r="E338" s="14" t="s">
        <v>11</v>
      </c>
      <c r="F338" s="14" t="s">
        <v>18</v>
      </c>
      <c r="G338" s="14" t="s">
        <v>19</v>
      </c>
      <c r="H338" s="14" t="s">
        <v>906</v>
      </c>
      <c r="I338" s="15" t="s">
        <v>929</v>
      </c>
      <c r="J338" s="16" t="str">
        <f>VLOOKUP(B338,baru!$B$2:$I$2271,4,FALSE)</f>
        <v>Reguler</v>
      </c>
      <c r="K338" s="16" t="str">
        <f>VLOOKUP(B338,baru!$B$2:$I$2271,5,FALSE)</f>
        <v>JAWA TENGAH</v>
      </c>
      <c r="L338" s="16" t="str">
        <f>VLOOKUP(B338,baru!$B$2:$I$2271,6,FALSE)</f>
        <v>TEGAL</v>
      </c>
    </row>
    <row r="339" spans="1:12" hidden="1" x14ac:dyDescent="0.35">
      <c r="A339" s="6">
        <v>551440</v>
      </c>
      <c r="B339" s="7" t="str">
        <f>"3275045106010009"</f>
        <v>3275045106010009</v>
      </c>
      <c r="C339" s="7" t="s">
        <v>947</v>
      </c>
      <c r="D339" s="7" t="s">
        <v>10</v>
      </c>
      <c r="E339" s="7" t="s">
        <v>11</v>
      </c>
      <c r="F339" s="7" t="s">
        <v>91</v>
      </c>
      <c r="G339" s="7" t="s">
        <v>320</v>
      </c>
      <c r="H339" s="7" t="s">
        <v>948</v>
      </c>
      <c r="I339" s="8" t="s">
        <v>949</v>
      </c>
    </row>
    <row r="340" spans="1:12" hidden="1" x14ac:dyDescent="0.35">
      <c r="A340" s="6">
        <v>207250</v>
      </c>
      <c r="B340" s="7" t="str">
        <f>"3304046008970002"</f>
        <v>3304046008970002</v>
      </c>
      <c r="C340" s="7" t="s">
        <v>950</v>
      </c>
      <c r="D340" s="7" t="s">
        <v>10</v>
      </c>
      <c r="E340" s="7" t="s">
        <v>11</v>
      </c>
      <c r="F340" s="7" t="s">
        <v>18</v>
      </c>
      <c r="G340" s="7" t="s">
        <v>951</v>
      </c>
      <c r="H340" s="7" t="s">
        <v>952</v>
      </c>
      <c r="I340" s="8" t="s">
        <v>65</v>
      </c>
    </row>
    <row r="341" spans="1:12" hidden="1" x14ac:dyDescent="0.35">
      <c r="A341" s="6">
        <v>1565480</v>
      </c>
      <c r="B341" s="7" t="str">
        <f>"3321011410920002"</f>
        <v>3321011410920002</v>
      </c>
      <c r="C341" s="7" t="s">
        <v>958</v>
      </c>
      <c r="D341" s="7" t="s">
        <v>10</v>
      </c>
      <c r="E341" s="7" t="s">
        <v>11</v>
      </c>
      <c r="F341" s="7" t="s">
        <v>18</v>
      </c>
      <c r="G341" s="7" t="s">
        <v>19</v>
      </c>
      <c r="H341" s="7" t="s">
        <v>906</v>
      </c>
      <c r="I341" s="8" t="s">
        <v>959</v>
      </c>
      <c r="J341" t="e">
        <f>VLOOKUP(B341,baru!$B$2:$I$2271,4,FALSE)</f>
        <v>#N/A</v>
      </c>
      <c r="K341" t="e">
        <f>VLOOKUP(B341,baru!$B$2:$I$2271,5,FALSE)</f>
        <v>#N/A</v>
      </c>
      <c r="L341" t="e">
        <f>VLOOKUP(B341,baru!$B$2:$I$2271,6,FALSE)</f>
        <v>#N/A</v>
      </c>
    </row>
    <row r="342" spans="1:12" hidden="1" x14ac:dyDescent="0.35">
      <c r="A342" s="6">
        <v>2662276</v>
      </c>
      <c r="B342" s="7" t="str">
        <f>"3321011410920002"</f>
        <v>3321011410920002</v>
      </c>
      <c r="C342" s="7" t="s">
        <v>960</v>
      </c>
      <c r="D342" s="7" t="s">
        <v>10</v>
      </c>
      <c r="E342" s="7" t="s">
        <v>57</v>
      </c>
      <c r="F342" s="7" t="s">
        <v>18</v>
      </c>
      <c r="G342" s="7" t="s">
        <v>199</v>
      </c>
      <c r="H342" s="7" t="s">
        <v>199</v>
      </c>
      <c r="I342" s="8" t="s">
        <v>839</v>
      </c>
    </row>
    <row r="343" spans="1:12" hidden="1" x14ac:dyDescent="0.35">
      <c r="A343" s="6">
        <v>1520017</v>
      </c>
      <c r="B343" s="7" t="str">
        <f>"3323036203820001"</f>
        <v>3323036203820001</v>
      </c>
      <c r="C343" s="7" t="s">
        <v>961</v>
      </c>
      <c r="D343" s="7" t="s">
        <v>10</v>
      </c>
      <c r="E343" s="7" t="s">
        <v>11</v>
      </c>
      <c r="F343" s="7" t="s">
        <v>18</v>
      </c>
      <c r="G343" s="7" t="s">
        <v>962</v>
      </c>
      <c r="H343" s="7" t="s">
        <v>963</v>
      </c>
      <c r="I343" s="8" t="s">
        <v>964</v>
      </c>
    </row>
    <row r="344" spans="1:12" hidden="1" x14ac:dyDescent="0.35">
      <c r="A344" s="13">
        <v>1935947</v>
      </c>
      <c r="B344" s="14" t="str">
        <f>"3325090609860003"</f>
        <v>3325090609860003</v>
      </c>
      <c r="C344" s="14" t="s">
        <v>967</v>
      </c>
      <c r="D344" s="14" t="s">
        <v>10</v>
      </c>
      <c r="E344" s="14" t="s">
        <v>11</v>
      </c>
      <c r="F344" s="14" t="s">
        <v>18</v>
      </c>
      <c r="G344" s="14" t="s">
        <v>19</v>
      </c>
      <c r="H344" s="14" t="s">
        <v>906</v>
      </c>
      <c r="I344" s="15" t="s">
        <v>913</v>
      </c>
      <c r="J344" s="16" t="str">
        <f>VLOOKUP(B344,baru!$B$2:$I$2271,4,FALSE)</f>
        <v>Reguler</v>
      </c>
      <c r="K344" s="16" t="str">
        <f>VLOOKUP(B344,baru!$B$2:$I$2271,5,FALSE)</f>
        <v>JAWA TENGAH</v>
      </c>
      <c r="L344" s="16" t="str">
        <f>VLOOKUP(B344,baru!$B$2:$I$2271,6,FALSE)</f>
        <v>BATANG</v>
      </c>
    </row>
    <row r="345" spans="1:12" hidden="1" x14ac:dyDescent="0.35">
      <c r="A345" s="6">
        <v>1833901</v>
      </c>
      <c r="B345" s="7" t="str">
        <f>"3327034508700005"</f>
        <v>3327034508700005</v>
      </c>
      <c r="C345" s="7" t="s">
        <v>969</v>
      </c>
      <c r="D345" s="7" t="s">
        <v>10</v>
      </c>
      <c r="E345" s="7" t="s">
        <v>11</v>
      </c>
      <c r="F345" s="7" t="s">
        <v>18</v>
      </c>
      <c r="G345" s="7" t="s">
        <v>199</v>
      </c>
      <c r="H345" s="7" t="s">
        <v>599</v>
      </c>
      <c r="I345" s="8" t="s">
        <v>970</v>
      </c>
    </row>
    <row r="346" spans="1:12" hidden="1" x14ac:dyDescent="0.35">
      <c r="A346" s="6">
        <v>2200329</v>
      </c>
      <c r="B346" s="7" t="str">
        <f>"3327065210950004"</f>
        <v>3327065210950004</v>
      </c>
      <c r="C346" s="7" t="s">
        <v>973</v>
      </c>
      <c r="D346" s="7" t="s">
        <v>10</v>
      </c>
      <c r="E346" s="7" t="s">
        <v>11</v>
      </c>
      <c r="F346" s="7" t="s">
        <v>18</v>
      </c>
      <c r="G346" s="7" t="s">
        <v>199</v>
      </c>
      <c r="H346" s="7" t="s">
        <v>974</v>
      </c>
      <c r="I346" s="8" t="s">
        <v>975</v>
      </c>
    </row>
    <row r="347" spans="1:12" hidden="1" x14ac:dyDescent="0.35">
      <c r="A347" s="6">
        <v>1414194</v>
      </c>
      <c r="B347" s="7" t="str">
        <f>"3328012904870003"</f>
        <v>3328012904870003</v>
      </c>
      <c r="C347" s="7" t="s">
        <v>976</v>
      </c>
      <c r="D347" s="7" t="s">
        <v>10</v>
      </c>
      <c r="E347" s="7" t="s">
        <v>11</v>
      </c>
      <c r="F347" s="7" t="s">
        <v>50</v>
      </c>
      <c r="G347" s="7" t="s">
        <v>86</v>
      </c>
      <c r="H347" s="7" t="s">
        <v>313</v>
      </c>
      <c r="I347" s="8" t="s">
        <v>977</v>
      </c>
    </row>
    <row r="348" spans="1:12" hidden="1" x14ac:dyDescent="0.35">
      <c r="A348" s="6">
        <v>1492706</v>
      </c>
      <c r="B348" s="7" t="str">
        <f>"3328030101820001"</f>
        <v>3328030101820001</v>
      </c>
      <c r="C348" s="7" t="s">
        <v>979</v>
      </c>
      <c r="D348" s="7" t="s">
        <v>10</v>
      </c>
      <c r="E348" s="7" t="s">
        <v>11</v>
      </c>
      <c r="F348" s="7" t="s">
        <v>91</v>
      </c>
      <c r="G348" s="7" t="s">
        <v>159</v>
      </c>
      <c r="H348" s="7" t="s">
        <v>160</v>
      </c>
      <c r="I348" s="8" t="s">
        <v>980</v>
      </c>
    </row>
    <row r="349" spans="1:12" hidden="1" x14ac:dyDescent="0.35">
      <c r="A349" s="6">
        <v>1236803</v>
      </c>
      <c r="B349" s="7" t="str">
        <f>"3328030101940001"</f>
        <v>3328030101940001</v>
      </c>
      <c r="C349" s="7" t="s">
        <v>981</v>
      </c>
      <c r="D349" s="7" t="s">
        <v>10</v>
      </c>
      <c r="E349" s="7" t="s">
        <v>11</v>
      </c>
      <c r="F349" s="7" t="s">
        <v>18</v>
      </c>
      <c r="G349" s="7" t="s">
        <v>264</v>
      </c>
      <c r="H349" s="7" t="s">
        <v>265</v>
      </c>
      <c r="I349" s="8" t="s">
        <v>982</v>
      </c>
    </row>
    <row r="350" spans="1:12" hidden="1" x14ac:dyDescent="0.35">
      <c r="A350" s="6">
        <v>880829</v>
      </c>
      <c r="B350" s="7" t="str">
        <f>"3328030107050012"</f>
        <v>3328030107050012</v>
      </c>
      <c r="C350" s="7" t="s">
        <v>984</v>
      </c>
      <c r="D350" s="7" t="s">
        <v>10</v>
      </c>
      <c r="E350" s="7" t="s">
        <v>11</v>
      </c>
      <c r="F350" s="7" t="s">
        <v>91</v>
      </c>
      <c r="G350" s="7" t="s">
        <v>985</v>
      </c>
      <c r="H350" s="7" t="s">
        <v>986</v>
      </c>
      <c r="I350" s="8" t="s">
        <v>987</v>
      </c>
    </row>
    <row r="351" spans="1:12" hidden="1" x14ac:dyDescent="0.35">
      <c r="A351" s="6">
        <v>167007</v>
      </c>
      <c r="B351" s="7" t="str">
        <f>"3328030107700021"</f>
        <v>3328030107700021</v>
      </c>
      <c r="C351" s="7" t="s">
        <v>990</v>
      </c>
      <c r="D351" s="7" t="s">
        <v>10</v>
      </c>
      <c r="E351" s="7" t="s">
        <v>11</v>
      </c>
      <c r="F351" s="7" t="s">
        <v>50</v>
      </c>
      <c r="G351" s="7" t="s">
        <v>86</v>
      </c>
      <c r="H351" s="7" t="s">
        <v>925</v>
      </c>
      <c r="I351" s="8" t="s">
        <v>926</v>
      </c>
    </row>
    <row r="352" spans="1:12" hidden="1" x14ac:dyDescent="0.35">
      <c r="A352" s="6">
        <v>1593158</v>
      </c>
      <c r="B352" s="7" t="str">
        <f>"3328030211990008"</f>
        <v>3328030211990008</v>
      </c>
      <c r="C352" s="7" t="s">
        <v>991</v>
      </c>
      <c r="D352" s="7" t="s">
        <v>10</v>
      </c>
      <c r="E352" s="7" t="s">
        <v>11</v>
      </c>
      <c r="F352" s="7" t="s">
        <v>18</v>
      </c>
      <c r="G352" s="7" t="s">
        <v>19</v>
      </c>
      <c r="H352" s="7" t="s">
        <v>906</v>
      </c>
      <c r="I352" s="8" t="s">
        <v>992</v>
      </c>
      <c r="J352" t="e">
        <f>VLOOKUP(B352,baru!$B$2:$I$2271,4,FALSE)</f>
        <v>#N/A</v>
      </c>
      <c r="K352" t="e">
        <f>VLOOKUP(B352,baru!$B$2:$I$2271,5,FALSE)</f>
        <v>#N/A</v>
      </c>
      <c r="L352" t="e">
        <f>VLOOKUP(B352,baru!$B$2:$I$2271,6,FALSE)</f>
        <v>#N/A</v>
      </c>
    </row>
    <row r="353" spans="1:12" hidden="1" x14ac:dyDescent="0.35">
      <c r="A353" s="6">
        <v>1351155</v>
      </c>
      <c r="B353" s="7" t="str">
        <f>"3328030211990008"</f>
        <v>3328030211990008</v>
      </c>
      <c r="C353" s="7" t="s">
        <v>993</v>
      </c>
      <c r="D353" s="7" t="s">
        <v>10</v>
      </c>
      <c r="E353" s="7" t="s">
        <v>57</v>
      </c>
      <c r="F353" s="7" t="s">
        <v>303</v>
      </c>
      <c r="G353" s="7" t="s">
        <v>608</v>
      </c>
      <c r="H353" s="7" t="s">
        <v>609</v>
      </c>
      <c r="I353" s="8" t="s">
        <v>610</v>
      </c>
    </row>
    <row r="354" spans="1:12" hidden="1" x14ac:dyDescent="0.35">
      <c r="A354" s="6">
        <v>1589129</v>
      </c>
      <c r="B354" s="7" t="str">
        <f>"3328030305020002"</f>
        <v>3328030305020002</v>
      </c>
      <c r="C354" s="7" t="s">
        <v>994</v>
      </c>
      <c r="D354" s="7" t="s">
        <v>10</v>
      </c>
      <c r="E354" s="7" t="s">
        <v>11</v>
      </c>
      <c r="F354" s="7" t="s">
        <v>18</v>
      </c>
      <c r="G354" s="7" t="s">
        <v>19</v>
      </c>
      <c r="H354" s="7" t="s">
        <v>906</v>
      </c>
      <c r="I354" s="8" t="s">
        <v>929</v>
      </c>
      <c r="J354" t="e">
        <f>VLOOKUP(B354,baru!$B$2:$I$2271,4,FALSE)</f>
        <v>#N/A</v>
      </c>
      <c r="K354" t="e">
        <f>VLOOKUP(B354,baru!$B$2:$I$2271,5,FALSE)</f>
        <v>#N/A</v>
      </c>
      <c r="L354" t="e">
        <f>VLOOKUP(B354,baru!$B$2:$I$2271,6,FALSE)</f>
        <v>#N/A</v>
      </c>
    </row>
    <row r="355" spans="1:12" hidden="1" x14ac:dyDescent="0.35">
      <c r="A355" s="6">
        <v>1351150</v>
      </c>
      <c r="B355" s="7" t="str">
        <f>"3328030305020002"</f>
        <v>3328030305020002</v>
      </c>
      <c r="C355" s="7" t="s">
        <v>994</v>
      </c>
      <c r="D355" s="7" t="s">
        <v>10</v>
      </c>
      <c r="E355" s="7" t="s">
        <v>57</v>
      </c>
      <c r="F355" s="7" t="s">
        <v>303</v>
      </c>
      <c r="G355" s="7" t="s">
        <v>608</v>
      </c>
      <c r="H355" s="7" t="s">
        <v>609</v>
      </c>
      <c r="I355" s="8" t="s">
        <v>610</v>
      </c>
    </row>
    <row r="356" spans="1:12" x14ac:dyDescent="0.35">
      <c r="A356" s="13">
        <v>1603043</v>
      </c>
      <c r="B356" s="14" t="str">
        <f>"3328030306950010"</f>
        <v>3328030306950010</v>
      </c>
      <c r="C356" s="14" t="s">
        <v>997</v>
      </c>
      <c r="D356" s="14" t="s">
        <v>189</v>
      </c>
      <c r="E356" s="14" t="s">
        <v>11</v>
      </c>
      <c r="F356" s="14" t="s">
        <v>18</v>
      </c>
      <c r="G356" s="14" t="s">
        <v>19</v>
      </c>
      <c r="H356" s="14" t="s">
        <v>906</v>
      </c>
      <c r="I356" s="15" t="s">
        <v>907</v>
      </c>
      <c r="J356" s="16" t="str">
        <f>VLOOKUP(B356,baru!$B$2:$I$2271,4,FALSE)</f>
        <v>Reguler</v>
      </c>
      <c r="K356" s="16" t="str">
        <f>VLOOKUP(B356,baru!$B$2:$I$2271,5,FALSE)</f>
        <v>JAWA TENGAH</v>
      </c>
      <c r="L356" s="16" t="str">
        <f>VLOOKUP(B356,baru!$B$2:$I$2271,6,FALSE)</f>
        <v>KOTA TEGAL</v>
      </c>
    </row>
    <row r="357" spans="1:12" hidden="1" x14ac:dyDescent="0.35">
      <c r="A357" s="6">
        <v>1351165</v>
      </c>
      <c r="B357" s="7" t="str">
        <f>"3328030501010004"</f>
        <v>3328030501010004</v>
      </c>
      <c r="C357" s="7" t="s">
        <v>1000</v>
      </c>
      <c r="D357" s="7" t="s">
        <v>10</v>
      </c>
      <c r="E357" s="7" t="s">
        <v>57</v>
      </c>
      <c r="F357" s="7" t="s">
        <v>303</v>
      </c>
      <c r="G357" s="7" t="s">
        <v>608</v>
      </c>
      <c r="H357" s="7" t="s">
        <v>609</v>
      </c>
      <c r="I357" s="8" t="s">
        <v>610</v>
      </c>
    </row>
    <row r="358" spans="1:12" hidden="1" x14ac:dyDescent="0.35">
      <c r="A358" s="6">
        <v>1583654</v>
      </c>
      <c r="B358" s="7" t="str">
        <f>"3328030502020005"</f>
        <v>3328030502020005</v>
      </c>
      <c r="C358" s="7" t="s">
        <v>1001</v>
      </c>
      <c r="D358" s="7" t="s">
        <v>10</v>
      </c>
      <c r="E358" s="7" t="s">
        <v>11</v>
      </c>
      <c r="F358" s="7" t="s">
        <v>18</v>
      </c>
      <c r="G358" s="7" t="s">
        <v>19</v>
      </c>
      <c r="H358" s="7" t="s">
        <v>906</v>
      </c>
      <c r="I358" s="8" t="s">
        <v>906</v>
      </c>
      <c r="J358" t="e">
        <f>VLOOKUP(B358,baru!$B$2:$I$2271,4,FALSE)</f>
        <v>#N/A</v>
      </c>
      <c r="K358" t="e">
        <f>VLOOKUP(B358,baru!$B$2:$I$2271,5,FALSE)</f>
        <v>#N/A</v>
      </c>
      <c r="L358" t="e">
        <f>VLOOKUP(B358,baru!$B$2:$I$2271,6,FALSE)</f>
        <v>#N/A</v>
      </c>
    </row>
    <row r="359" spans="1:12" hidden="1" x14ac:dyDescent="0.35">
      <c r="A359" s="6">
        <v>1351130</v>
      </c>
      <c r="B359" s="7" t="str">
        <f>"3328030502020005"</f>
        <v>3328030502020005</v>
      </c>
      <c r="C359" s="7" t="s">
        <v>1002</v>
      </c>
      <c r="D359" s="7" t="s">
        <v>10</v>
      </c>
      <c r="E359" s="7" t="s">
        <v>57</v>
      </c>
      <c r="F359" s="7" t="s">
        <v>303</v>
      </c>
      <c r="G359" s="7" t="s">
        <v>608</v>
      </c>
      <c r="H359" s="7" t="s">
        <v>609</v>
      </c>
      <c r="I359" s="8" t="s">
        <v>610</v>
      </c>
    </row>
    <row r="360" spans="1:12" hidden="1" x14ac:dyDescent="0.35">
      <c r="A360" s="6">
        <v>1573256</v>
      </c>
      <c r="B360" s="7" t="str">
        <f>"3328030504000003"</f>
        <v>3328030504000003</v>
      </c>
      <c r="C360" s="7" t="s">
        <v>1003</v>
      </c>
      <c r="D360" s="7" t="s">
        <v>10</v>
      </c>
      <c r="E360" s="7" t="s">
        <v>11</v>
      </c>
      <c r="F360" s="7" t="s">
        <v>18</v>
      </c>
      <c r="G360" s="7" t="s">
        <v>19</v>
      </c>
      <c r="H360" s="7" t="s">
        <v>906</v>
      </c>
      <c r="I360" s="8" t="s">
        <v>942</v>
      </c>
      <c r="J360" t="e">
        <f>VLOOKUP(B360,baru!$B$2:$I$2271,4,FALSE)</f>
        <v>#N/A</v>
      </c>
      <c r="K360" t="e">
        <f>VLOOKUP(B360,baru!$B$2:$I$2271,5,FALSE)</f>
        <v>#N/A</v>
      </c>
      <c r="L360" t="e">
        <f>VLOOKUP(B360,baru!$B$2:$I$2271,6,FALSE)</f>
        <v>#N/A</v>
      </c>
    </row>
    <row r="361" spans="1:12" hidden="1" x14ac:dyDescent="0.35">
      <c r="A361" s="6">
        <v>1351166</v>
      </c>
      <c r="B361" s="7" t="str">
        <f>"3328030504000003"</f>
        <v>3328030504000003</v>
      </c>
      <c r="C361" s="7" t="s">
        <v>1004</v>
      </c>
      <c r="D361" s="7" t="s">
        <v>10</v>
      </c>
      <c r="E361" s="7" t="s">
        <v>57</v>
      </c>
      <c r="F361" s="7" t="s">
        <v>303</v>
      </c>
      <c r="G361" s="7" t="s">
        <v>608</v>
      </c>
      <c r="H361" s="7" t="s">
        <v>609</v>
      </c>
      <c r="I361" s="8" t="s">
        <v>610</v>
      </c>
    </row>
    <row r="362" spans="1:12" hidden="1" x14ac:dyDescent="0.35">
      <c r="A362" s="6">
        <v>1586889</v>
      </c>
      <c r="B362" s="7" t="str">
        <f>"3328030504020001"</f>
        <v>3328030504020001</v>
      </c>
      <c r="C362" s="7" t="s">
        <v>1005</v>
      </c>
      <c r="D362" s="7" t="s">
        <v>10</v>
      </c>
      <c r="E362" s="7" t="s">
        <v>11</v>
      </c>
      <c r="F362" s="7" t="s">
        <v>18</v>
      </c>
      <c r="G362" s="7" t="s">
        <v>19</v>
      </c>
      <c r="H362" s="7" t="s">
        <v>906</v>
      </c>
      <c r="I362" s="8" t="s">
        <v>906</v>
      </c>
      <c r="J362" t="e">
        <f>VLOOKUP(B362,baru!$B$2:$I$2271,4,FALSE)</f>
        <v>#N/A</v>
      </c>
      <c r="K362" t="e">
        <f>VLOOKUP(B362,baru!$B$2:$I$2271,5,FALSE)</f>
        <v>#N/A</v>
      </c>
      <c r="L362" t="e">
        <f>VLOOKUP(B362,baru!$B$2:$I$2271,6,FALSE)</f>
        <v>#N/A</v>
      </c>
    </row>
    <row r="363" spans="1:12" hidden="1" x14ac:dyDescent="0.35">
      <c r="A363" s="6">
        <v>1351136</v>
      </c>
      <c r="B363" s="7" t="str">
        <f>"3328030504020001"</f>
        <v>3328030504020001</v>
      </c>
      <c r="C363" s="7" t="s">
        <v>1005</v>
      </c>
      <c r="D363" s="7" t="s">
        <v>10</v>
      </c>
      <c r="E363" s="7" t="s">
        <v>57</v>
      </c>
      <c r="F363" s="7" t="s">
        <v>303</v>
      </c>
      <c r="G363" s="7" t="s">
        <v>608</v>
      </c>
      <c r="H363" s="7" t="s">
        <v>609</v>
      </c>
      <c r="I363" s="8" t="s">
        <v>610</v>
      </c>
    </row>
    <row r="364" spans="1:12" x14ac:dyDescent="0.35">
      <c r="A364" s="13">
        <v>1601309</v>
      </c>
      <c r="B364" s="14" t="str">
        <f>"3328030504850007"</f>
        <v>3328030504850007</v>
      </c>
      <c r="C364" s="14" t="s">
        <v>1006</v>
      </c>
      <c r="D364" s="14" t="s">
        <v>189</v>
      </c>
      <c r="E364" s="14" t="s">
        <v>11</v>
      </c>
      <c r="F364" s="14" t="s">
        <v>18</v>
      </c>
      <c r="G364" s="14" t="s">
        <v>19</v>
      </c>
      <c r="H364" s="14" t="s">
        <v>906</v>
      </c>
      <c r="I364" s="15" t="s">
        <v>920</v>
      </c>
      <c r="J364" s="16" t="str">
        <f>VLOOKUP(B364,baru!$B$2:$I$2271,4,FALSE)</f>
        <v>Reguler</v>
      </c>
      <c r="K364" s="16" t="str">
        <f>VLOOKUP(B364,baru!$B$2:$I$2271,5,FALSE)</f>
        <v>JAWA TENGAH</v>
      </c>
      <c r="L364" s="16" t="str">
        <f>VLOOKUP(B364,baru!$B$2:$I$2271,6,FALSE)</f>
        <v>BREBES</v>
      </c>
    </row>
    <row r="365" spans="1:12" hidden="1" x14ac:dyDescent="0.35">
      <c r="A365" s="6">
        <v>1578999</v>
      </c>
      <c r="B365" s="7" t="str">
        <f>"3328030505020002"</f>
        <v>3328030505020002</v>
      </c>
      <c r="C365" s="7" t="s">
        <v>1009</v>
      </c>
      <c r="D365" s="7" t="s">
        <v>10</v>
      </c>
      <c r="E365" s="7" t="s">
        <v>11</v>
      </c>
      <c r="F365" s="7" t="s">
        <v>18</v>
      </c>
      <c r="G365" s="7" t="s">
        <v>19</v>
      </c>
      <c r="H365" s="7" t="s">
        <v>906</v>
      </c>
      <c r="I365" s="8" t="s">
        <v>942</v>
      </c>
      <c r="J365" t="e">
        <f>VLOOKUP(B365,baru!$B$2:$I$2271,4,FALSE)</f>
        <v>#N/A</v>
      </c>
      <c r="K365" t="e">
        <f>VLOOKUP(B365,baru!$B$2:$I$2271,5,FALSE)</f>
        <v>#N/A</v>
      </c>
      <c r="L365" t="e">
        <f>VLOOKUP(B365,baru!$B$2:$I$2271,6,FALSE)</f>
        <v>#N/A</v>
      </c>
    </row>
    <row r="366" spans="1:12" hidden="1" x14ac:dyDescent="0.35">
      <c r="A366" s="6">
        <v>1351168</v>
      </c>
      <c r="B366" s="7" t="str">
        <f>"3328030505020002"</f>
        <v>3328030505020002</v>
      </c>
      <c r="C366" s="7" t="s">
        <v>1009</v>
      </c>
      <c r="D366" s="7" t="s">
        <v>10</v>
      </c>
      <c r="E366" s="7" t="s">
        <v>57</v>
      </c>
      <c r="F366" s="7" t="s">
        <v>303</v>
      </c>
      <c r="G366" s="7" t="s">
        <v>608</v>
      </c>
      <c r="H366" s="7" t="s">
        <v>609</v>
      </c>
      <c r="I366" s="8" t="s">
        <v>610</v>
      </c>
    </row>
    <row r="367" spans="1:12" hidden="1" x14ac:dyDescent="0.35">
      <c r="A367" s="6">
        <v>1558832</v>
      </c>
      <c r="B367" s="7" t="str">
        <f>"3328030604990013"</f>
        <v>3328030604990013</v>
      </c>
      <c r="C367" s="7" t="s">
        <v>1010</v>
      </c>
      <c r="D367" s="7" t="s">
        <v>10</v>
      </c>
      <c r="E367" s="7" t="s">
        <v>11</v>
      </c>
      <c r="F367" s="7" t="s">
        <v>18</v>
      </c>
      <c r="G367" s="7" t="s">
        <v>19</v>
      </c>
      <c r="H367" s="7" t="s">
        <v>906</v>
      </c>
      <c r="I367" s="8" t="s">
        <v>1011</v>
      </c>
      <c r="J367" t="e">
        <f>VLOOKUP(B367,baru!$B$2:$I$2271,4,FALSE)</f>
        <v>#N/A</v>
      </c>
      <c r="K367" t="e">
        <f>VLOOKUP(B367,baru!$B$2:$I$2271,5,FALSE)</f>
        <v>#N/A</v>
      </c>
      <c r="L367" t="e">
        <f>VLOOKUP(B367,baru!$B$2:$I$2271,6,FALSE)</f>
        <v>#N/A</v>
      </c>
    </row>
    <row r="368" spans="1:12" hidden="1" x14ac:dyDescent="0.35">
      <c r="A368" s="6">
        <v>1351163</v>
      </c>
      <c r="B368" s="7" t="str">
        <f>"3328030604990013"</f>
        <v>3328030604990013</v>
      </c>
      <c r="C368" s="7" t="s">
        <v>1012</v>
      </c>
      <c r="D368" s="7" t="s">
        <v>10</v>
      </c>
      <c r="E368" s="7" t="s">
        <v>57</v>
      </c>
      <c r="F368" s="7" t="s">
        <v>303</v>
      </c>
      <c r="G368" s="7" t="s">
        <v>608</v>
      </c>
      <c r="H368" s="7" t="s">
        <v>609</v>
      </c>
      <c r="I368" s="8" t="s">
        <v>610</v>
      </c>
    </row>
    <row r="369" spans="1:12" hidden="1" x14ac:dyDescent="0.35">
      <c r="A369" s="6">
        <v>1573047</v>
      </c>
      <c r="B369" s="7" t="str">
        <f>"3328030606060004"</f>
        <v>3328030606060004</v>
      </c>
      <c r="C369" s="7" t="s">
        <v>1013</v>
      </c>
      <c r="D369" s="7" t="s">
        <v>10</v>
      </c>
      <c r="E369" s="7" t="s">
        <v>11</v>
      </c>
      <c r="F369" s="7" t="s">
        <v>18</v>
      </c>
      <c r="G369" s="7" t="s">
        <v>19</v>
      </c>
      <c r="H369" s="7" t="s">
        <v>906</v>
      </c>
      <c r="I369" s="8" t="s">
        <v>942</v>
      </c>
      <c r="J369" t="e">
        <f>VLOOKUP(B369,baru!$B$2:$I$2271,4,FALSE)</f>
        <v>#N/A</v>
      </c>
      <c r="K369" t="e">
        <f>VLOOKUP(B369,baru!$B$2:$I$2271,5,FALSE)</f>
        <v>#N/A</v>
      </c>
      <c r="L369" t="e">
        <f>VLOOKUP(B369,baru!$B$2:$I$2271,6,FALSE)</f>
        <v>#N/A</v>
      </c>
    </row>
    <row r="370" spans="1:12" hidden="1" x14ac:dyDescent="0.35">
      <c r="A370" s="6">
        <v>1351173</v>
      </c>
      <c r="B370" s="7" t="str">
        <f>"3328030606060004"</f>
        <v>3328030606060004</v>
      </c>
      <c r="C370" s="7" t="s">
        <v>1014</v>
      </c>
      <c r="D370" s="7" t="s">
        <v>10</v>
      </c>
      <c r="E370" s="7" t="s">
        <v>57</v>
      </c>
      <c r="F370" s="7" t="s">
        <v>303</v>
      </c>
      <c r="G370" s="7" t="s">
        <v>608</v>
      </c>
      <c r="H370" s="7" t="s">
        <v>609</v>
      </c>
      <c r="I370" s="8" t="s">
        <v>610</v>
      </c>
    </row>
    <row r="371" spans="1:12" x14ac:dyDescent="0.35">
      <c r="A371" s="6">
        <v>1587059</v>
      </c>
      <c r="B371" s="7" t="str">
        <f>"3328030611050004"</f>
        <v>3328030611050004</v>
      </c>
      <c r="C371" s="7" t="s">
        <v>1015</v>
      </c>
      <c r="D371" s="7" t="s">
        <v>189</v>
      </c>
      <c r="E371" s="7" t="s">
        <v>11</v>
      </c>
      <c r="F371" s="7" t="s">
        <v>18</v>
      </c>
      <c r="G371" s="7" t="s">
        <v>19</v>
      </c>
      <c r="H371" s="7" t="s">
        <v>906</v>
      </c>
      <c r="I371" s="8" t="s">
        <v>906</v>
      </c>
      <c r="J371" t="e">
        <f>VLOOKUP(B371,baru!$B$2:$I$2271,4,FALSE)</f>
        <v>#N/A</v>
      </c>
      <c r="K371" t="e">
        <f>VLOOKUP(B371,baru!$B$2:$I$2271,5,FALSE)</f>
        <v>#N/A</v>
      </c>
      <c r="L371" t="e">
        <f>VLOOKUP(B371,baru!$B$2:$I$2271,6,FALSE)</f>
        <v>#N/A</v>
      </c>
    </row>
    <row r="372" spans="1:12" hidden="1" x14ac:dyDescent="0.35">
      <c r="A372" s="6">
        <v>1350579</v>
      </c>
      <c r="B372" s="7" t="str">
        <f>"3328030611050004"</f>
        <v>3328030611050004</v>
      </c>
      <c r="C372" s="7" t="s">
        <v>1016</v>
      </c>
      <c r="D372" s="7" t="s">
        <v>10</v>
      </c>
      <c r="E372" s="7" t="s">
        <v>57</v>
      </c>
      <c r="F372" s="7" t="s">
        <v>303</v>
      </c>
      <c r="G372" s="7" t="s">
        <v>608</v>
      </c>
      <c r="H372" s="7" t="s">
        <v>609</v>
      </c>
      <c r="I372" s="8" t="s">
        <v>610</v>
      </c>
    </row>
    <row r="373" spans="1:12" hidden="1" x14ac:dyDescent="0.35">
      <c r="A373" s="6">
        <v>524084</v>
      </c>
      <c r="B373" s="7" t="str">
        <f>"3328030612740001"</f>
        <v>3328030612740001</v>
      </c>
      <c r="C373" s="7" t="s">
        <v>508</v>
      </c>
      <c r="D373" s="7" t="s">
        <v>10</v>
      </c>
      <c r="E373" s="7" t="s">
        <v>11</v>
      </c>
      <c r="F373" s="7" t="s">
        <v>954</v>
      </c>
      <c r="G373" s="7" t="s">
        <v>1017</v>
      </c>
      <c r="H373" s="7" t="s">
        <v>1018</v>
      </c>
      <c r="I373" s="8" t="s">
        <v>1019</v>
      </c>
    </row>
    <row r="374" spans="1:12" hidden="1" x14ac:dyDescent="0.35">
      <c r="A374" s="6">
        <v>1558843</v>
      </c>
      <c r="B374" s="7" t="str">
        <f>"3328030701980004"</f>
        <v>3328030701980004</v>
      </c>
      <c r="C374" s="7" t="s">
        <v>1020</v>
      </c>
      <c r="D374" s="7" t="s">
        <v>10</v>
      </c>
      <c r="E374" s="7" t="s">
        <v>11</v>
      </c>
      <c r="F374" s="7" t="s">
        <v>18</v>
      </c>
      <c r="G374" s="7" t="s">
        <v>19</v>
      </c>
      <c r="H374" s="7" t="s">
        <v>906</v>
      </c>
      <c r="I374" s="8" t="s">
        <v>1011</v>
      </c>
      <c r="J374" t="e">
        <f>VLOOKUP(B374,baru!$B$2:$I$2271,4,FALSE)</f>
        <v>#N/A</v>
      </c>
      <c r="K374" t="e">
        <f>VLOOKUP(B374,baru!$B$2:$I$2271,5,FALSE)</f>
        <v>#N/A</v>
      </c>
      <c r="L374" t="e">
        <f>VLOOKUP(B374,baru!$B$2:$I$2271,6,FALSE)</f>
        <v>#N/A</v>
      </c>
    </row>
    <row r="375" spans="1:12" hidden="1" x14ac:dyDescent="0.35">
      <c r="A375" s="6">
        <v>1351164</v>
      </c>
      <c r="B375" s="7" t="str">
        <f>"3328030701980004"</f>
        <v>3328030701980004</v>
      </c>
      <c r="C375" s="7" t="s">
        <v>1020</v>
      </c>
      <c r="D375" s="7" t="s">
        <v>10</v>
      </c>
      <c r="E375" s="7" t="s">
        <v>57</v>
      </c>
      <c r="F375" s="7" t="s">
        <v>303</v>
      </c>
      <c r="G375" s="7" t="s">
        <v>608</v>
      </c>
      <c r="H375" s="7" t="s">
        <v>609</v>
      </c>
      <c r="I375" s="8" t="s">
        <v>610</v>
      </c>
    </row>
    <row r="376" spans="1:12" hidden="1" x14ac:dyDescent="0.35">
      <c r="A376" s="6">
        <v>1589023</v>
      </c>
      <c r="B376" s="7" t="str">
        <f>"3328030808720003"</f>
        <v>3328030808720003</v>
      </c>
      <c r="C376" s="7" t="s">
        <v>1021</v>
      </c>
      <c r="D376" s="7" t="s">
        <v>10</v>
      </c>
      <c r="E376" s="7" t="s">
        <v>11</v>
      </c>
      <c r="F376" s="7" t="s">
        <v>18</v>
      </c>
      <c r="G376" s="7" t="s">
        <v>19</v>
      </c>
      <c r="H376" s="7" t="s">
        <v>906</v>
      </c>
      <c r="I376" s="8" t="s">
        <v>929</v>
      </c>
      <c r="J376" t="e">
        <f>VLOOKUP(B376,baru!$B$2:$I$2271,4,FALSE)</f>
        <v>#N/A</v>
      </c>
      <c r="K376" t="e">
        <f>VLOOKUP(B376,baru!$B$2:$I$2271,5,FALSE)</f>
        <v>#N/A</v>
      </c>
      <c r="L376" t="e">
        <f>VLOOKUP(B376,baru!$B$2:$I$2271,6,FALSE)</f>
        <v>#N/A</v>
      </c>
    </row>
    <row r="377" spans="1:12" hidden="1" x14ac:dyDescent="0.35">
      <c r="A377" s="6">
        <v>1352880</v>
      </c>
      <c r="B377" s="7" t="str">
        <f>"3328030808720003"</f>
        <v>3328030808720003</v>
      </c>
      <c r="C377" s="7" t="s">
        <v>1022</v>
      </c>
      <c r="D377" s="7" t="s">
        <v>10</v>
      </c>
      <c r="E377" s="7" t="s">
        <v>57</v>
      </c>
      <c r="F377" s="7" t="s">
        <v>303</v>
      </c>
      <c r="G377" s="7" t="s">
        <v>608</v>
      </c>
      <c r="H377" s="7" t="s">
        <v>609</v>
      </c>
      <c r="I377" s="8" t="s">
        <v>610</v>
      </c>
    </row>
    <row r="378" spans="1:12" hidden="1" x14ac:dyDescent="0.35">
      <c r="A378" s="6">
        <v>978834</v>
      </c>
      <c r="B378" s="7" t="str">
        <f>"3328030906000002"</f>
        <v>3328030906000002</v>
      </c>
      <c r="C378" s="7" t="s">
        <v>1023</v>
      </c>
      <c r="D378" s="7" t="s">
        <v>10</v>
      </c>
      <c r="E378" s="7" t="s">
        <v>11</v>
      </c>
      <c r="F378" s="7" t="s">
        <v>954</v>
      </c>
      <c r="G378" s="7" t="s">
        <v>1024</v>
      </c>
      <c r="H378" s="7" t="s">
        <v>1025</v>
      </c>
      <c r="I378" s="8" t="s">
        <v>1025</v>
      </c>
    </row>
    <row r="379" spans="1:12" hidden="1" x14ac:dyDescent="0.35">
      <c r="A379" s="6">
        <v>1592189</v>
      </c>
      <c r="B379" s="7" t="str">
        <f>"3328030909020006"</f>
        <v>3328030909020006</v>
      </c>
      <c r="C379" s="7" t="s">
        <v>1026</v>
      </c>
      <c r="D379" s="7" t="s">
        <v>10</v>
      </c>
      <c r="E379" s="7" t="s">
        <v>11</v>
      </c>
      <c r="F379" s="7" t="s">
        <v>18</v>
      </c>
      <c r="G379" s="7" t="s">
        <v>19</v>
      </c>
      <c r="H379" s="7" t="s">
        <v>906</v>
      </c>
      <c r="I379" s="8" t="s">
        <v>992</v>
      </c>
      <c r="J379" t="e">
        <f>VLOOKUP(B379,baru!$B$2:$I$2271,4,FALSE)</f>
        <v>#N/A</v>
      </c>
      <c r="K379" t="e">
        <f>VLOOKUP(B379,baru!$B$2:$I$2271,5,FALSE)</f>
        <v>#N/A</v>
      </c>
      <c r="L379" t="e">
        <f>VLOOKUP(B379,baru!$B$2:$I$2271,6,FALSE)</f>
        <v>#N/A</v>
      </c>
    </row>
    <row r="380" spans="1:12" hidden="1" x14ac:dyDescent="0.35">
      <c r="A380" s="6">
        <v>1351156</v>
      </c>
      <c r="B380" s="7" t="str">
        <f>"3328030909020006"</f>
        <v>3328030909020006</v>
      </c>
      <c r="C380" s="7" t="s">
        <v>1027</v>
      </c>
      <c r="D380" s="7" t="s">
        <v>10</v>
      </c>
      <c r="E380" s="7" t="s">
        <v>57</v>
      </c>
      <c r="F380" s="7" t="s">
        <v>303</v>
      </c>
      <c r="G380" s="7" t="s">
        <v>608</v>
      </c>
      <c r="H380" s="7" t="s">
        <v>609</v>
      </c>
      <c r="I380" s="8" t="s">
        <v>610</v>
      </c>
    </row>
    <row r="381" spans="1:12" hidden="1" x14ac:dyDescent="0.35">
      <c r="A381" s="6">
        <v>1351131</v>
      </c>
      <c r="B381" s="7" t="str">
        <f>"3328030910040001"</f>
        <v>3328030910040001</v>
      </c>
      <c r="C381" s="7" t="s">
        <v>1028</v>
      </c>
      <c r="D381" s="7" t="s">
        <v>10</v>
      </c>
      <c r="E381" s="7" t="s">
        <v>57</v>
      </c>
      <c r="F381" s="7" t="s">
        <v>303</v>
      </c>
      <c r="G381" s="7" t="s">
        <v>608</v>
      </c>
      <c r="H381" s="7" t="s">
        <v>609</v>
      </c>
      <c r="I381" s="8" t="s">
        <v>610</v>
      </c>
    </row>
    <row r="382" spans="1:12" hidden="1" x14ac:dyDescent="0.35">
      <c r="A382" s="13">
        <v>1589179</v>
      </c>
      <c r="B382" s="14" t="str">
        <f>"3328031005990008"</f>
        <v>3328031005990008</v>
      </c>
      <c r="C382" s="14" t="s">
        <v>1029</v>
      </c>
      <c r="D382" s="14" t="s">
        <v>10</v>
      </c>
      <c r="E382" s="14" t="s">
        <v>11</v>
      </c>
      <c r="F382" s="14" t="s">
        <v>18</v>
      </c>
      <c r="G382" s="14" t="s">
        <v>19</v>
      </c>
      <c r="H382" s="14" t="s">
        <v>906</v>
      </c>
      <c r="I382" s="15" t="s">
        <v>929</v>
      </c>
      <c r="J382" s="16" t="str">
        <f>VLOOKUP(B382,baru!$B$2:$I$2271,4,FALSE)</f>
        <v>Reguler</v>
      </c>
      <c r="K382" s="16" t="str">
        <f>VLOOKUP(B382,baru!$B$2:$I$2271,5,FALSE)</f>
        <v>JAWA TENGAH</v>
      </c>
      <c r="L382" s="16" t="str">
        <f>VLOOKUP(B382,baru!$B$2:$I$2271,6,FALSE)</f>
        <v>TEGAL</v>
      </c>
    </row>
    <row r="383" spans="1:12" hidden="1" x14ac:dyDescent="0.35">
      <c r="A383" s="6">
        <v>1570890</v>
      </c>
      <c r="B383" s="7" t="str">
        <f>"3328031207020010"</f>
        <v>3328031207020010</v>
      </c>
      <c r="C383" s="7" t="s">
        <v>1030</v>
      </c>
      <c r="D383" s="7" t="s">
        <v>10</v>
      </c>
      <c r="E383" s="7" t="s">
        <v>11</v>
      </c>
      <c r="F383" s="7" t="s">
        <v>18</v>
      </c>
      <c r="G383" s="7" t="s">
        <v>19</v>
      </c>
      <c r="H383" s="7" t="s">
        <v>906</v>
      </c>
      <c r="I383" s="8" t="s">
        <v>933</v>
      </c>
      <c r="J383" t="e">
        <f>VLOOKUP(B383,baru!$B$2:$I$2271,4,FALSE)</f>
        <v>#N/A</v>
      </c>
      <c r="K383" t="e">
        <f>VLOOKUP(B383,baru!$B$2:$I$2271,5,FALSE)</f>
        <v>#N/A</v>
      </c>
      <c r="L383" t="e">
        <f>VLOOKUP(B383,baru!$B$2:$I$2271,6,FALSE)</f>
        <v>#N/A</v>
      </c>
    </row>
    <row r="384" spans="1:12" hidden="1" x14ac:dyDescent="0.35">
      <c r="A384" s="6">
        <v>1351153</v>
      </c>
      <c r="B384" s="7" t="str">
        <f>"3328031207020010"</f>
        <v>3328031207020010</v>
      </c>
      <c r="C384" s="7" t="s">
        <v>1030</v>
      </c>
      <c r="D384" s="7" t="s">
        <v>10</v>
      </c>
      <c r="E384" s="7" t="s">
        <v>57</v>
      </c>
      <c r="F384" s="7" t="s">
        <v>303</v>
      </c>
      <c r="G384" s="7" t="s">
        <v>608</v>
      </c>
      <c r="H384" s="7" t="s">
        <v>609</v>
      </c>
      <c r="I384" s="8" t="s">
        <v>610</v>
      </c>
    </row>
    <row r="385" spans="1:12" hidden="1" x14ac:dyDescent="0.35">
      <c r="A385" s="6">
        <v>1592084</v>
      </c>
      <c r="B385" s="7" t="str">
        <f>"3328031308010005"</f>
        <v>3328031308010005</v>
      </c>
      <c r="C385" s="7" t="s">
        <v>1031</v>
      </c>
      <c r="D385" s="7" t="s">
        <v>10</v>
      </c>
      <c r="E385" s="7" t="s">
        <v>11</v>
      </c>
      <c r="F385" s="7" t="s">
        <v>18</v>
      </c>
      <c r="G385" s="7" t="s">
        <v>19</v>
      </c>
      <c r="H385" s="7" t="s">
        <v>906</v>
      </c>
      <c r="I385" s="8" t="s">
        <v>992</v>
      </c>
      <c r="J385" t="e">
        <f>VLOOKUP(B385,baru!$B$2:$I$2271,4,FALSE)</f>
        <v>#N/A</v>
      </c>
      <c r="K385" t="e">
        <f>VLOOKUP(B385,baru!$B$2:$I$2271,5,FALSE)</f>
        <v>#N/A</v>
      </c>
      <c r="L385" t="e">
        <f>VLOOKUP(B385,baru!$B$2:$I$2271,6,FALSE)</f>
        <v>#N/A</v>
      </c>
    </row>
    <row r="386" spans="1:12" hidden="1" x14ac:dyDescent="0.35">
      <c r="A386" s="6">
        <v>1351157</v>
      </c>
      <c r="B386" s="7" t="str">
        <f>"3328031308010005"</f>
        <v>3328031308010005</v>
      </c>
      <c r="C386" s="7" t="s">
        <v>1031</v>
      </c>
      <c r="D386" s="7" t="s">
        <v>10</v>
      </c>
      <c r="E386" s="7" t="s">
        <v>57</v>
      </c>
      <c r="F386" s="7" t="s">
        <v>303</v>
      </c>
      <c r="G386" s="7" t="s">
        <v>608</v>
      </c>
      <c r="H386" s="7" t="s">
        <v>609</v>
      </c>
      <c r="I386" s="8" t="s">
        <v>610</v>
      </c>
    </row>
    <row r="387" spans="1:12" hidden="1" x14ac:dyDescent="0.35">
      <c r="A387" s="6">
        <v>1585805</v>
      </c>
      <c r="B387" s="7" t="str">
        <f>"3328031503040005"</f>
        <v>3328031503040005</v>
      </c>
      <c r="C387" s="7" t="s">
        <v>1032</v>
      </c>
      <c r="D387" s="7" t="s">
        <v>10</v>
      </c>
      <c r="E387" s="7" t="s">
        <v>11</v>
      </c>
      <c r="F387" s="7" t="s">
        <v>18</v>
      </c>
      <c r="G387" s="7" t="s">
        <v>19</v>
      </c>
      <c r="H387" s="7" t="s">
        <v>906</v>
      </c>
      <c r="I387" s="8" t="s">
        <v>906</v>
      </c>
      <c r="J387" t="e">
        <f>VLOOKUP(B387,baru!$B$2:$I$2271,4,FALSE)</f>
        <v>#N/A</v>
      </c>
      <c r="K387" t="e">
        <f>VLOOKUP(B387,baru!$B$2:$I$2271,5,FALSE)</f>
        <v>#N/A</v>
      </c>
      <c r="L387" t="e">
        <f>VLOOKUP(B387,baru!$B$2:$I$2271,6,FALSE)</f>
        <v>#N/A</v>
      </c>
    </row>
    <row r="388" spans="1:12" hidden="1" x14ac:dyDescent="0.35">
      <c r="A388" s="6">
        <v>1351135</v>
      </c>
      <c r="B388" s="7" t="str">
        <f>"3328031503040005"</f>
        <v>3328031503040005</v>
      </c>
      <c r="C388" s="7" t="s">
        <v>1033</v>
      </c>
      <c r="D388" s="7" t="s">
        <v>10</v>
      </c>
      <c r="E388" s="7" t="s">
        <v>57</v>
      </c>
      <c r="F388" s="7" t="s">
        <v>303</v>
      </c>
      <c r="G388" s="7" t="s">
        <v>608</v>
      </c>
      <c r="H388" s="7" t="s">
        <v>609</v>
      </c>
      <c r="I388" s="8" t="s">
        <v>610</v>
      </c>
    </row>
    <row r="389" spans="1:12" hidden="1" x14ac:dyDescent="0.35">
      <c r="A389" s="6">
        <v>1575478</v>
      </c>
      <c r="B389" s="7" t="str">
        <f>"3328031505000002"</f>
        <v>3328031505000002</v>
      </c>
      <c r="C389" s="7" t="s">
        <v>1034</v>
      </c>
      <c r="D389" s="7" t="s">
        <v>10</v>
      </c>
      <c r="E389" s="7" t="s">
        <v>11</v>
      </c>
      <c r="F389" s="7" t="s">
        <v>18</v>
      </c>
      <c r="G389" s="7" t="s">
        <v>19</v>
      </c>
      <c r="H389" s="7" t="s">
        <v>906</v>
      </c>
      <c r="I389" s="8" t="s">
        <v>942</v>
      </c>
      <c r="J389" t="e">
        <f>VLOOKUP(B389,baru!$B$2:$I$2271,4,FALSE)</f>
        <v>#N/A</v>
      </c>
      <c r="K389" t="e">
        <f>VLOOKUP(B389,baru!$B$2:$I$2271,5,FALSE)</f>
        <v>#N/A</v>
      </c>
      <c r="L389" t="e">
        <f>VLOOKUP(B389,baru!$B$2:$I$2271,6,FALSE)</f>
        <v>#N/A</v>
      </c>
    </row>
    <row r="390" spans="1:12" hidden="1" x14ac:dyDescent="0.35">
      <c r="A390" s="6">
        <v>423773</v>
      </c>
      <c r="B390" s="7" t="str">
        <f>"3328031505000002"</f>
        <v>3328031505000002</v>
      </c>
      <c r="C390" s="7" t="s">
        <v>1035</v>
      </c>
      <c r="D390" s="7" t="s">
        <v>10</v>
      </c>
      <c r="E390" s="7" t="s">
        <v>57</v>
      </c>
      <c r="F390" s="7" t="s">
        <v>18</v>
      </c>
      <c r="G390" s="7" t="s">
        <v>268</v>
      </c>
      <c r="H390" s="7" t="s">
        <v>277</v>
      </c>
      <c r="I390" s="8" t="s">
        <v>278</v>
      </c>
    </row>
    <row r="391" spans="1:12" hidden="1" x14ac:dyDescent="0.35">
      <c r="A391" s="6">
        <v>1590551</v>
      </c>
      <c r="B391" s="7" t="str">
        <f>"3328031505970010"</f>
        <v>3328031505970010</v>
      </c>
      <c r="C391" s="7" t="s">
        <v>1036</v>
      </c>
      <c r="D391" s="7" t="s">
        <v>10</v>
      </c>
      <c r="E391" s="7" t="s">
        <v>11</v>
      </c>
      <c r="F391" s="7" t="s">
        <v>18</v>
      </c>
      <c r="G391" s="7" t="s">
        <v>19</v>
      </c>
      <c r="H391" s="7" t="s">
        <v>906</v>
      </c>
      <c r="I391" s="8" t="s">
        <v>992</v>
      </c>
      <c r="J391" t="e">
        <f>VLOOKUP(B391,baru!$B$2:$I$2271,4,FALSE)</f>
        <v>#N/A</v>
      </c>
      <c r="K391" t="e">
        <f>VLOOKUP(B391,baru!$B$2:$I$2271,5,FALSE)</f>
        <v>#N/A</v>
      </c>
      <c r="L391" t="e">
        <f>VLOOKUP(B391,baru!$B$2:$I$2271,6,FALSE)</f>
        <v>#N/A</v>
      </c>
    </row>
    <row r="392" spans="1:12" hidden="1" x14ac:dyDescent="0.35">
      <c r="A392" s="6">
        <v>1351158</v>
      </c>
      <c r="B392" s="7" t="str">
        <f>"3328031505970010"</f>
        <v>3328031505970010</v>
      </c>
      <c r="C392" s="7" t="s">
        <v>1037</v>
      </c>
      <c r="D392" s="7" t="s">
        <v>10</v>
      </c>
      <c r="E392" s="7" t="s">
        <v>57</v>
      </c>
      <c r="F392" s="7" t="s">
        <v>303</v>
      </c>
      <c r="G392" s="7" t="s">
        <v>608</v>
      </c>
      <c r="H392" s="7" t="s">
        <v>609</v>
      </c>
      <c r="I392" s="8" t="s">
        <v>610</v>
      </c>
    </row>
    <row r="393" spans="1:12" x14ac:dyDescent="0.35">
      <c r="A393" s="17">
        <v>1563742</v>
      </c>
      <c r="B393" s="18" t="str">
        <f>"3328031506980002"</f>
        <v>3328031506980002</v>
      </c>
      <c r="C393" s="18" t="s">
        <v>1038</v>
      </c>
      <c r="D393" s="18" t="s">
        <v>189</v>
      </c>
      <c r="E393" s="18" t="s">
        <v>11</v>
      </c>
      <c r="F393" s="18" t="s">
        <v>18</v>
      </c>
      <c r="G393" s="18" t="s">
        <v>19</v>
      </c>
      <c r="H393" s="18" t="s">
        <v>906</v>
      </c>
      <c r="I393" s="19" t="s">
        <v>939</v>
      </c>
      <c r="J393" s="20" t="str">
        <f>VLOOKUP(B393,baru!$B$2:$I$2271,4,FALSE)</f>
        <v>Khusus</v>
      </c>
      <c r="K393" s="20" t="str">
        <f>VLOOKUP(B393,baru!$B$2:$I$2271,5,FALSE)</f>
        <v>JAWA TENGAH</v>
      </c>
      <c r="L393" s="20" t="str">
        <f>VLOOKUP(B393,baru!$B$2:$I$2271,6,FALSE)</f>
        <v>CILACAP</v>
      </c>
    </row>
    <row r="394" spans="1:12" hidden="1" x14ac:dyDescent="0.35">
      <c r="A394" s="6">
        <v>27881</v>
      </c>
      <c r="B394" s="7" t="str">
        <f>"3328031507800004"</f>
        <v>3328031507800004</v>
      </c>
      <c r="C394" s="7" t="s">
        <v>1039</v>
      </c>
      <c r="D394" s="7" t="s">
        <v>10</v>
      </c>
      <c r="E394" s="7" t="s">
        <v>11</v>
      </c>
      <c r="F394" s="7" t="s">
        <v>44</v>
      </c>
      <c r="G394" s="7" t="s">
        <v>1040</v>
      </c>
      <c r="H394" s="7" t="s">
        <v>1041</v>
      </c>
      <c r="I394" s="8" t="s">
        <v>1042</v>
      </c>
    </row>
    <row r="395" spans="1:12" hidden="1" x14ac:dyDescent="0.35">
      <c r="A395" s="6">
        <v>1351151</v>
      </c>
      <c r="B395" s="7" t="str">
        <f>"3328031510030004"</f>
        <v>3328031510030004</v>
      </c>
      <c r="C395" s="7" t="s">
        <v>1048</v>
      </c>
      <c r="D395" s="7" t="s">
        <v>10</v>
      </c>
      <c r="E395" s="7" t="s">
        <v>57</v>
      </c>
      <c r="F395" s="7" t="s">
        <v>303</v>
      </c>
      <c r="G395" s="7" t="s">
        <v>608</v>
      </c>
      <c r="H395" s="7" t="s">
        <v>609</v>
      </c>
      <c r="I395" s="8" t="s">
        <v>610</v>
      </c>
    </row>
    <row r="396" spans="1:12" hidden="1" x14ac:dyDescent="0.35">
      <c r="A396" s="6">
        <v>3224496</v>
      </c>
      <c r="B396" s="7" t="str">
        <f>"3328031601020005"</f>
        <v>3328031601020005</v>
      </c>
      <c r="C396" s="7" t="s">
        <v>1049</v>
      </c>
      <c r="D396" s="7" t="s">
        <v>10</v>
      </c>
      <c r="E396" s="7" t="s">
        <v>11</v>
      </c>
      <c r="F396" s="7" t="s">
        <v>91</v>
      </c>
      <c r="G396" s="7" t="s">
        <v>650</v>
      </c>
      <c r="H396" s="7" t="s">
        <v>1050</v>
      </c>
      <c r="I396" s="8" t="s">
        <v>1051</v>
      </c>
    </row>
    <row r="397" spans="1:12" hidden="1" x14ac:dyDescent="0.35">
      <c r="A397" s="6">
        <v>277238</v>
      </c>
      <c r="B397" s="7" t="str">
        <f>"3328031605740001"</f>
        <v>3328031605740001</v>
      </c>
      <c r="C397" s="7" t="s">
        <v>1052</v>
      </c>
      <c r="D397" s="7" t="s">
        <v>10</v>
      </c>
      <c r="E397" s="7" t="s">
        <v>11</v>
      </c>
      <c r="F397" s="7" t="s">
        <v>412</v>
      </c>
      <c r="G397" s="7" t="s">
        <v>1053</v>
      </c>
      <c r="H397" s="7" t="s">
        <v>1054</v>
      </c>
      <c r="I397" s="8" t="s">
        <v>1055</v>
      </c>
    </row>
    <row r="398" spans="1:12" hidden="1" x14ac:dyDescent="0.35">
      <c r="A398" s="6">
        <v>1594184</v>
      </c>
      <c r="B398" s="7" t="str">
        <f>"3328031606950003"</f>
        <v>3328031606950003</v>
      </c>
      <c r="C398" s="7" t="s">
        <v>1056</v>
      </c>
      <c r="D398" s="7" t="s">
        <v>10</v>
      </c>
      <c r="E398" s="7" t="s">
        <v>11</v>
      </c>
      <c r="F398" s="7" t="s">
        <v>18</v>
      </c>
      <c r="G398" s="7" t="s">
        <v>19</v>
      </c>
      <c r="H398" s="7" t="s">
        <v>906</v>
      </c>
      <c r="I398" s="8" t="s">
        <v>978</v>
      </c>
      <c r="J398" t="e">
        <f>VLOOKUP(B398,baru!$B$2:$I$2271,4,FALSE)</f>
        <v>#N/A</v>
      </c>
      <c r="K398" t="e">
        <f>VLOOKUP(B398,baru!$B$2:$I$2271,5,FALSE)</f>
        <v>#N/A</v>
      </c>
      <c r="L398" t="e">
        <f>VLOOKUP(B398,baru!$B$2:$I$2271,6,FALSE)</f>
        <v>#N/A</v>
      </c>
    </row>
    <row r="399" spans="1:12" hidden="1" x14ac:dyDescent="0.35">
      <c r="A399" s="6">
        <v>1433623</v>
      </c>
      <c r="B399" s="7" t="str">
        <f>"3328031606950003"</f>
        <v>3328031606950003</v>
      </c>
      <c r="C399" s="7" t="s">
        <v>1056</v>
      </c>
      <c r="D399" s="7" t="s">
        <v>10</v>
      </c>
      <c r="E399" s="7" t="s">
        <v>11</v>
      </c>
      <c r="F399" s="7" t="s">
        <v>91</v>
      </c>
      <c r="G399" s="7" t="s">
        <v>903</v>
      </c>
      <c r="H399" s="7" t="s">
        <v>1057</v>
      </c>
      <c r="I399" s="8" t="s">
        <v>1058</v>
      </c>
    </row>
    <row r="400" spans="1:12" hidden="1" x14ac:dyDescent="0.35">
      <c r="A400" s="6">
        <v>1573407</v>
      </c>
      <c r="B400" s="7" t="str">
        <f>"3328031608050001"</f>
        <v>3328031608050001</v>
      </c>
      <c r="C400" s="7" t="s">
        <v>1059</v>
      </c>
      <c r="D400" s="7" t="s">
        <v>10</v>
      </c>
      <c r="E400" s="7" t="s">
        <v>11</v>
      </c>
      <c r="F400" s="7" t="s">
        <v>18</v>
      </c>
      <c r="G400" s="7" t="s">
        <v>19</v>
      </c>
      <c r="H400" s="7" t="s">
        <v>906</v>
      </c>
      <c r="I400" s="8" t="s">
        <v>942</v>
      </c>
      <c r="J400" t="e">
        <f>VLOOKUP(B400,baru!$B$2:$I$2271,4,FALSE)</f>
        <v>#N/A</v>
      </c>
      <c r="K400" t="e">
        <f>VLOOKUP(B400,baru!$B$2:$I$2271,5,FALSE)</f>
        <v>#N/A</v>
      </c>
      <c r="L400" t="e">
        <f>VLOOKUP(B400,baru!$B$2:$I$2271,6,FALSE)</f>
        <v>#N/A</v>
      </c>
    </row>
    <row r="401" spans="1:12" hidden="1" x14ac:dyDescent="0.35">
      <c r="A401" s="6">
        <v>1351137</v>
      </c>
      <c r="B401" s="7" t="str">
        <f>"3328031608050001"</f>
        <v>3328031608050001</v>
      </c>
      <c r="C401" s="7" t="s">
        <v>1060</v>
      </c>
      <c r="D401" s="7" t="s">
        <v>10</v>
      </c>
      <c r="E401" s="7" t="s">
        <v>57</v>
      </c>
      <c r="F401" s="7" t="s">
        <v>303</v>
      </c>
      <c r="G401" s="7" t="s">
        <v>608</v>
      </c>
      <c r="H401" s="7" t="s">
        <v>609</v>
      </c>
      <c r="I401" s="8" t="s">
        <v>610</v>
      </c>
    </row>
    <row r="402" spans="1:12" hidden="1" x14ac:dyDescent="0.35">
      <c r="A402" s="6">
        <v>914672</v>
      </c>
      <c r="B402" s="7" t="str">
        <f>"3328031811650001"</f>
        <v>3328031811650001</v>
      </c>
      <c r="C402" s="7" t="s">
        <v>508</v>
      </c>
      <c r="D402" s="7" t="s">
        <v>10</v>
      </c>
      <c r="E402" s="7" t="s">
        <v>11</v>
      </c>
      <c r="F402" s="7" t="s">
        <v>50</v>
      </c>
      <c r="G402" s="7" t="s">
        <v>72</v>
      </c>
      <c r="H402" s="7" t="s">
        <v>703</v>
      </c>
      <c r="I402" s="8" t="s">
        <v>1061</v>
      </c>
    </row>
    <row r="403" spans="1:12" hidden="1" x14ac:dyDescent="0.35">
      <c r="A403" s="6">
        <v>1579718</v>
      </c>
      <c r="B403" s="7" t="str">
        <f>"3328031812060007"</f>
        <v>3328031812060007</v>
      </c>
      <c r="C403" s="7" t="s">
        <v>1062</v>
      </c>
      <c r="D403" s="7" t="s">
        <v>10</v>
      </c>
      <c r="E403" s="7" t="s">
        <v>11</v>
      </c>
      <c r="F403" s="7" t="s">
        <v>18</v>
      </c>
      <c r="G403" s="7" t="s">
        <v>19</v>
      </c>
      <c r="H403" s="7" t="s">
        <v>906</v>
      </c>
      <c r="I403" s="8" t="s">
        <v>942</v>
      </c>
      <c r="J403" t="e">
        <f>VLOOKUP(B403,baru!$B$2:$I$2271,4,FALSE)</f>
        <v>#N/A</v>
      </c>
      <c r="K403" t="e">
        <f>VLOOKUP(B403,baru!$B$2:$I$2271,5,FALSE)</f>
        <v>#N/A</v>
      </c>
      <c r="L403" t="e">
        <f>VLOOKUP(B403,baru!$B$2:$I$2271,6,FALSE)</f>
        <v>#N/A</v>
      </c>
    </row>
    <row r="404" spans="1:12" hidden="1" x14ac:dyDescent="0.35">
      <c r="A404" s="6">
        <v>1351140</v>
      </c>
      <c r="B404" s="7" t="str">
        <f>"3328031812060007"</f>
        <v>3328031812060007</v>
      </c>
      <c r="C404" s="7" t="s">
        <v>1062</v>
      </c>
      <c r="D404" s="7" t="s">
        <v>10</v>
      </c>
      <c r="E404" s="7" t="s">
        <v>57</v>
      </c>
      <c r="F404" s="7" t="s">
        <v>303</v>
      </c>
      <c r="G404" s="7" t="s">
        <v>608</v>
      </c>
      <c r="H404" s="7" t="s">
        <v>609</v>
      </c>
      <c r="I404" s="8" t="s">
        <v>610</v>
      </c>
    </row>
    <row r="405" spans="1:12" hidden="1" x14ac:dyDescent="0.35">
      <c r="A405" s="6">
        <v>1578952</v>
      </c>
      <c r="B405" s="7" t="str">
        <f>"3328031912020002"</f>
        <v>3328031912020002</v>
      </c>
      <c r="C405" s="7" t="s">
        <v>1063</v>
      </c>
      <c r="D405" s="7" t="s">
        <v>10</v>
      </c>
      <c r="E405" s="7" t="s">
        <v>11</v>
      </c>
      <c r="F405" s="7" t="s">
        <v>18</v>
      </c>
      <c r="G405" s="7" t="s">
        <v>19</v>
      </c>
      <c r="H405" s="7" t="s">
        <v>906</v>
      </c>
      <c r="I405" s="8" t="s">
        <v>942</v>
      </c>
      <c r="J405" t="e">
        <f>VLOOKUP(B405,baru!$B$2:$I$2271,4,FALSE)</f>
        <v>#N/A</v>
      </c>
      <c r="K405" t="e">
        <f>VLOOKUP(B405,baru!$B$2:$I$2271,5,FALSE)</f>
        <v>#N/A</v>
      </c>
      <c r="L405" t="e">
        <f>VLOOKUP(B405,baru!$B$2:$I$2271,6,FALSE)</f>
        <v>#N/A</v>
      </c>
    </row>
    <row r="406" spans="1:12" hidden="1" x14ac:dyDescent="0.35">
      <c r="A406" s="6">
        <v>1351169</v>
      </c>
      <c r="B406" s="7" t="str">
        <f>"3328031912020002"</f>
        <v>3328031912020002</v>
      </c>
      <c r="C406" s="7" t="s">
        <v>1063</v>
      </c>
      <c r="D406" s="7" t="s">
        <v>10</v>
      </c>
      <c r="E406" s="7" t="s">
        <v>57</v>
      </c>
      <c r="F406" s="7" t="s">
        <v>303</v>
      </c>
      <c r="G406" s="7" t="s">
        <v>608</v>
      </c>
      <c r="H406" s="7" t="s">
        <v>609</v>
      </c>
      <c r="I406" s="8" t="s">
        <v>610</v>
      </c>
    </row>
    <row r="407" spans="1:12" hidden="1" x14ac:dyDescent="0.35">
      <c r="A407" s="13">
        <v>1565675</v>
      </c>
      <c r="B407" s="14" t="str">
        <f>"3328032004850005"</f>
        <v>3328032004850005</v>
      </c>
      <c r="C407" s="14" t="s">
        <v>1064</v>
      </c>
      <c r="D407" s="14" t="s">
        <v>10</v>
      </c>
      <c r="E407" s="14" t="s">
        <v>11</v>
      </c>
      <c r="F407" s="14" t="s">
        <v>18</v>
      </c>
      <c r="G407" s="14" t="s">
        <v>19</v>
      </c>
      <c r="H407" s="14" t="s">
        <v>906</v>
      </c>
      <c r="I407" s="15" t="s">
        <v>959</v>
      </c>
      <c r="J407" s="16" t="str">
        <f>VLOOKUP(B407,baru!$B$2:$I$2271,4,FALSE)</f>
        <v>Reguler</v>
      </c>
      <c r="K407" s="16" t="str">
        <f>VLOOKUP(B407,baru!$B$2:$I$2271,5,FALSE)</f>
        <v>JAWA TENGAH</v>
      </c>
      <c r="L407" s="16" t="str">
        <f>VLOOKUP(B407,baru!$B$2:$I$2271,6,FALSE)</f>
        <v>KOTA TEGAL</v>
      </c>
    </row>
    <row r="408" spans="1:12" hidden="1" x14ac:dyDescent="0.35">
      <c r="A408" s="13">
        <v>1581726</v>
      </c>
      <c r="B408" s="14" t="str">
        <f>"3328032005890006"</f>
        <v>3328032005890006</v>
      </c>
      <c r="C408" s="14" t="s">
        <v>967</v>
      </c>
      <c r="D408" s="14" t="s">
        <v>10</v>
      </c>
      <c r="E408" s="14" t="s">
        <v>11</v>
      </c>
      <c r="F408" s="14" t="s">
        <v>18</v>
      </c>
      <c r="G408" s="14" t="s">
        <v>19</v>
      </c>
      <c r="H408" s="14" t="s">
        <v>906</v>
      </c>
      <c r="I408" s="15" t="s">
        <v>906</v>
      </c>
      <c r="J408" s="16" t="str">
        <f>VLOOKUP(B408,baru!$B$2:$I$2271,4,FALSE)</f>
        <v>Reguler</v>
      </c>
      <c r="K408" s="16" t="str">
        <f>VLOOKUP(B408,baru!$B$2:$I$2271,5,FALSE)</f>
        <v>JAWA TENGAH</v>
      </c>
      <c r="L408" s="16" t="str">
        <f>VLOOKUP(B408,baru!$B$2:$I$2271,6,FALSE)</f>
        <v>TEGAL</v>
      </c>
    </row>
    <row r="409" spans="1:12" hidden="1" x14ac:dyDescent="0.35">
      <c r="A409" s="6">
        <v>1591901</v>
      </c>
      <c r="B409" s="7" t="str">
        <f>"3328032006020010"</f>
        <v>3328032006020010</v>
      </c>
      <c r="C409" s="7" t="s">
        <v>1066</v>
      </c>
      <c r="D409" s="7" t="s">
        <v>10</v>
      </c>
      <c r="E409" s="7" t="s">
        <v>11</v>
      </c>
      <c r="F409" s="7" t="s">
        <v>18</v>
      </c>
      <c r="G409" s="7" t="s">
        <v>19</v>
      </c>
      <c r="H409" s="7" t="s">
        <v>906</v>
      </c>
      <c r="I409" s="8" t="s">
        <v>992</v>
      </c>
      <c r="J409" t="e">
        <f>VLOOKUP(B409,baru!$B$2:$I$2271,4,FALSE)</f>
        <v>#N/A</v>
      </c>
      <c r="K409" t="e">
        <f>VLOOKUP(B409,baru!$B$2:$I$2271,5,FALSE)</f>
        <v>#N/A</v>
      </c>
      <c r="L409" t="e">
        <f>VLOOKUP(B409,baru!$B$2:$I$2271,6,FALSE)</f>
        <v>#N/A</v>
      </c>
    </row>
    <row r="410" spans="1:12" hidden="1" x14ac:dyDescent="0.35">
      <c r="A410" s="6">
        <v>1351160</v>
      </c>
      <c r="B410" s="7" t="str">
        <f>"3328032006020010"</f>
        <v>3328032006020010</v>
      </c>
      <c r="C410" s="7" t="s">
        <v>1067</v>
      </c>
      <c r="D410" s="7" t="s">
        <v>10</v>
      </c>
      <c r="E410" s="7" t="s">
        <v>57</v>
      </c>
      <c r="F410" s="7" t="s">
        <v>303</v>
      </c>
      <c r="G410" s="7" t="s">
        <v>608</v>
      </c>
      <c r="H410" s="7" t="s">
        <v>609</v>
      </c>
      <c r="I410" s="8" t="s">
        <v>610</v>
      </c>
    </row>
    <row r="411" spans="1:12" hidden="1" x14ac:dyDescent="0.35">
      <c r="A411" s="13">
        <v>1599669</v>
      </c>
      <c r="B411" s="14" t="str">
        <f>"3328032006950013"</f>
        <v>3328032006950013</v>
      </c>
      <c r="C411" s="14" t="s">
        <v>1068</v>
      </c>
      <c r="D411" s="14" t="s">
        <v>10</v>
      </c>
      <c r="E411" s="14" t="s">
        <v>11</v>
      </c>
      <c r="F411" s="14" t="s">
        <v>18</v>
      </c>
      <c r="G411" s="14" t="s">
        <v>19</v>
      </c>
      <c r="H411" s="14" t="s">
        <v>906</v>
      </c>
      <c r="I411" s="15" t="s">
        <v>920</v>
      </c>
      <c r="J411" s="16" t="str">
        <f>VLOOKUP(B411,baru!$B$2:$I$2271,4,FALSE)</f>
        <v>Reguler</v>
      </c>
      <c r="K411" s="16" t="str">
        <f>VLOOKUP(B411,baru!$B$2:$I$2271,5,FALSE)</f>
        <v>DKI JAKARTA</v>
      </c>
      <c r="L411" s="16" t="str">
        <f>VLOOKUP(B411,baru!$B$2:$I$2271,6,FALSE)</f>
        <v>KOTA JAKARTA TIMUR</v>
      </c>
    </row>
    <row r="412" spans="1:12" hidden="1" x14ac:dyDescent="0.35">
      <c r="A412" s="6">
        <v>1592676</v>
      </c>
      <c r="B412" s="7" t="str">
        <f>"3328032106020006"</f>
        <v>3328032106020006</v>
      </c>
      <c r="C412" s="7" t="s">
        <v>1070</v>
      </c>
      <c r="D412" s="7" t="s">
        <v>10</v>
      </c>
      <c r="E412" s="7" t="s">
        <v>11</v>
      </c>
      <c r="F412" s="7" t="s">
        <v>18</v>
      </c>
      <c r="G412" s="7" t="s">
        <v>19</v>
      </c>
      <c r="H412" s="7" t="s">
        <v>906</v>
      </c>
      <c r="I412" s="8" t="s">
        <v>992</v>
      </c>
      <c r="J412" t="e">
        <f>VLOOKUP(B412,baru!$B$2:$I$2271,4,FALSE)</f>
        <v>#N/A</v>
      </c>
      <c r="K412" t="e">
        <f>VLOOKUP(B412,baru!$B$2:$I$2271,5,FALSE)</f>
        <v>#N/A</v>
      </c>
      <c r="L412" t="e">
        <f>VLOOKUP(B412,baru!$B$2:$I$2271,6,FALSE)</f>
        <v>#N/A</v>
      </c>
    </row>
    <row r="413" spans="1:12" hidden="1" x14ac:dyDescent="0.35">
      <c r="A413" s="6">
        <v>1351161</v>
      </c>
      <c r="B413" s="7" t="str">
        <f>"3328032106020006"</f>
        <v>3328032106020006</v>
      </c>
      <c r="C413" s="7" t="s">
        <v>1070</v>
      </c>
      <c r="D413" s="7" t="s">
        <v>10</v>
      </c>
      <c r="E413" s="7" t="s">
        <v>57</v>
      </c>
      <c r="F413" s="7" t="s">
        <v>303</v>
      </c>
      <c r="G413" s="7" t="s">
        <v>608</v>
      </c>
      <c r="H413" s="7" t="s">
        <v>609</v>
      </c>
      <c r="I413" s="8" t="s">
        <v>610</v>
      </c>
    </row>
    <row r="414" spans="1:12" hidden="1" x14ac:dyDescent="0.35">
      <c r="A414" s="6">
        <v>1351142</v>
      </c>
      <c r="B414" s="7" t="str">
        <f>"3328032206030006"</f>
        <v>3328032206030006</v>
      </c>
      <c r="C414" s="7" t="s">
        <v>1072</v>
      </c>
      <c r="D414" s="7" t="s">
        <v>10</v>
      </c>
      <c r="E414" s="7" t="s">
        <v>57</v>
      </c>
      <c r="F414" s="7" t="s">
        <v>303</v>
      </c>
      <c r="G414" s="7" t="s">
        <v>608</v>
      </c>
      <c r="H414" s="7" t="s">
        <v>609</v>
      </c>
      <c r="I414" s="8" t="s">
        <v>610</v>
      </c>
    </row>
    <row r="415" spans="1:12" hidden="1" x14ac:dyDescent="0.35">
      <c r="A415" s="6">
        <v>1561121</v>
      </c>
      <c r="B415" s="7" t="str">
        <f>"3328032301030005"</f>
        <v>3328032301030005</v>
      </c>
      <c r="C415" s="7" t="s">
        <v>1075</v>
      </c>
      <c r="D415" s="7" t="s">
        <v>10</v>
      </c>
      <c r="E415" s="7" t="s">
        <v>11</v>
      </c>
      <c r="F415" s="7" t="s">
        <v>18</v>
      </c>
      <c r="G415" s="7" t="s">
        <v>19</v>
      </c>
      <c r="H415" s="7" t="s">
        <v>906</v>
      </c>
      <c r="I415" s="8" t="s">
        <v>1011</v>
      </c>
      <c r="J415" t="e">
        <f>VLOOKUP(B415,baru!$B$2:$I$2271,4,FALSE)</f>
        <v>#N/A</v>
      </c>
      <c r="K415" t="e">
        <f>VLOOKUP(B415,baru!$B$2:$I$2271,5,FALSE)</f>
        <v>#N/A</v>
      </c>
      <c r="L415" t="e">
        <f>VLOOKUP(B415,baru!$B$2:$I$2271,6,FALSE)</f>
        <v>#N/A</v>
      </c>
    </row>
    <row r="416" spans="1:12" hidden="1" x14ac:dyDescent="0.35">
      <c r="A416" s="6">
        <v>1351143</v>
      </c>
      <c r="B416" s="7" t="str">
        <f>"3328032301030005"</f>
        <v>3328032301030005</v>
      </c>
      <c r="C416" s="7" t="s">
        <v>1076</v>
      </c>
      <c r="D416" s="7" t="s">
        <v>10</v>
      </c>
      <c r="E416" s="7" t="s">
        <v>57</v>
      </c>
      <c r="F416" s="7" t="s">
        <v>303</v>
      </c>
      <c r="G416" s="7" t="s">
        <v>608</v>
      </c>
      <c r="H416" s="7" t="s">
        <v>609</v>
      </c>
      <c r="I416" s="8" t="s">
        <v>610</v>
      </c>
    </row>
    <row r="417" spans="1:12" hidden="1" x14ac:dyDescent="0.35">
      <c r="A417" s="6">
        <v>1573651</v>
      </c>
      <c r="B417" s="7" t="str">
        <f>"3328032303010004"</f>
        <v>3328032303010004</v>
      </c>
      <c r="C417" s="7" t="s">
        <v>1077</v>
      </c>
      <c r="D417" s="7" t="s">
        <v>10</v>
      </c>
      <c r="E417" s="7" t="s">
        <v>11</v>
      </c>
      <c r="F417" s="7" t="s">
        <v>18</v>
      </c>
      <c r="G417" s="7" t="s">
        <v>19</v>
      </c>
      <c r="H417" s="7" t="s">
        <v>906</v>
      </c>
      <c r="I417" s="8" t="s">
        <v>942</v>
      </c>
      <c r="J417" t="e">
        <f>VLOOKUP(B417,baru!$B$2:$I$2271,4,FALSE)</f>
        <v>#N/A</v>
      </c>
      <c r="K417" t="e">
        <f>VLOOKUP(B417,baru!$B$2:$I$2271,5,FALSE)</f>
        <v>#N/A</v>
      </c>
      <c r="L417" t="e">
        <f>VLOOKUP(B417,baru!$B$2:$I$2271,6,FALSE)</f>
        <v>#N/A</v>
      </c>
    </row>
    <row r="418" spans="1:12" hidden="1" x14ac:dyDescent="0.35">
      <c r="A418" s="6">
        <v>1351178</v>
      </c>
      <c r="B418" s="7" t="str">
        <f>"3328032303010004"</f>
        <v>3328032303010004</v>
      </c>
      <c r="C418" s="7" t="s">
        <v>1077</v>
      </c>
      <c r="D418" s="7" t="s">
        <v>10</v>
      </c>
      <c r="E418" s="7" t="s">
        <v>57</v>
      </c>
      <c r="F418" s="7" t="s">
        <v>303</v>
      </c>
      <c r="G418" s="7" t="s">
        <v>608</v>
      </c>
      <c r="H418" s="7" t="s">
        <v>609</v>
      </c>
      <c r="I418" s="8" t="s">
        <v>610</v>
      </c>
    </row>
    <row r="419" spans="1:12" hidden="1" x14ac:dyDescent="0.35">
      <c r="A419" s="6">
        <v>1578748</v>
      </c>
      <c r="B419" s="7" t="str">
        <f>"3328032308980003"</f>
        <v>3328032308980003</v>
      </c>
      <c r="C419" s="7" t="s">
        <v>1078</v>
      </c>
      <c r="D419" s="7" t="s">
        <v>10</v>
      </c>
      <c r="E419" s="7" t="s">
        <v>11</v>
      </c>
      <c r="F419" s="7" t="s">
        <v>18</v>
      </c>
      <c r="G419" s="7" t="s">
        <v>19</v>
      </c>
      <c r="H419" s="7" t="s">
        <v>906</v>
      </c>
      <c r="I419" s="8" t="s">
        <v>942</v>
      </c>
      <c r="J419" t="e">
        <f>VLOOKUP(B419,baru!$B$2:$I$2271,4,FALSE)</f>
        <v>#N/A</v>
      </c>
      <c r="K419" t="e">
        <f>VLOOKUP(B419,baru!$B$2:$I$2271,5,FALSE)</f>
        <v>#N/A</v>
      </c>
      <c r="L419" t="e">
        <f>VLOOKUP(B419,baru!$B$2:$I$2271,6,FALSE)</f>
        <v>#N/A</v>
      </c>
    </row>
    <row r="420" spans="1:12" hidden="1" x14ac:dyDescent="0.35">
      <c r="A420" s="6">
        <v>1351180</v>
      </c>
      <c r="B420" s="7" t="str">
        <f>"3328032308980003"</f>
        <v>3328032308980003</v>
      </c>
      <c r="C420" s="7" t="s">
        <v>1079</v>
      </c>
      <c r="D420" s="7" t="s">
        <v>10</v>
      </c>
      <c r="E420" s="7" t="s">
        <v>57</v>
      </c>
      <c r="F420" s="7" t="s">
        <v>303</v>
      </c>
      <c r="G420" s="7" t="s">
        <v>608</v>
      </c>
      <c r="H420" s="7" t="s">
        <v>609</v>
      </c>
      <c r="I420" s="8" t="s">
        <v>610</v>
      </c>
    </row>
    <row r="421" spans="1:12" hidden="1" x14ac:dyDescent="0.35">
      <c r="A421" s="6">
        <v>1572800</v>
      </c>
      <c r="B421" s="7" t="str">
        <f>"3328032403020002"</f>
        <v>3328032403020002</v>
      </c>
      <c r="C421" s="7" t="s">
        <v>1080</v>
      </c>
      <c r="D421" s="7" t="s">
        <v>10</v>
      </c>
      <c r="E421" s="7" t="s">
        <v>11</v>
      </c>
      <c r="F421" s="7" t="s">
        <v>18</v>
      </c>
      <c r="G421" s="7" t="s">
        <v>19</v>
      </c>
      <c r="H421" s="7" t="s">
        <v>906</v>
      </c>
      <c r="I421" s="8" t="s">
        <v>933</v>
      </c>
      <c r="J421" t="e">
        <f>VLOOKUP(B421,baru!$B$2:$I$2271,4,FALSE)</f>
        <v>#N/A</v>
      </c>
      <c r="K421" t="e">
        <f>VLOOKUP(B421,baru!$B$2:$I$2271,5,FALSE)</f>
        <v>#N/A</v>
      </c>
      <c r="L421" t="e">
        <f>VLOOKUP(B421,baru!$B$2:$I$2271,6,FALSE)</f>
        <v>#N/A</v>
      </c>
    </row>
    <row r="422" spans="1:12" hidden="1" x14ac:dyDescent="0.35">
      <c r="A422" s="6">
        <v>1351154</v>
      </c>
      <c r="B422" s="7" t="str">
        <f>"3328032403020002"</f>
        <v>3328032403020002</v>
      </c>
      <c r="C422" s="7" t="s">
        <v>1081</v>
      </c>
      <c r="D422" s="7" t="s">
        <v>10</v>
      </c>
      <c r="E422" s="7" t="s">
        <v>57</v>
      </c>
      <c r="F422" s="7" t="s">
        <v>303</v>
      </c>
      <c r="G422" s="7" t="s">
        <v>608</v>
      </c>
      <c r="H422" s="7" t="s">
        <v>609</v>
      </c>
      <c r="I422" s="8" t="s">
        <v>610</v>
      </c>
    </row>
    <row r="423" spans="1:12" hidden="1" x14ac:dyDescent="0.35">
      <c r="A423" s="6">
        <v>1053173</v>
      </c>
      <c r="B423" s="7" t="str">
        <f>"3328032403830004"</f>
        <v>3328032403830004</v>
      </c>
      <c r="C423" s="7" t="s">
        <v>1082</v>
      </c>
      <c r="D423" s="7" t="s">
        <v>10</v>
      </c>
      <c r="E423" s="7" t="s">
        <v>11</v>
      </c>
      <c r="F423" s="7" t="s">
        <v>67</v>
      </c>
      <c r="G423" s="7" t="s">
        <v>68</v>
      </c>
      <c r="H423" s="7" t="s">
        <v>69</v>
      </c>
      <c r="I423" s="8" t="s">
        <v>1083</v>
      </c>
    </row>
    <row r="424" spans="1:12" hidden="1" x14ac:dyDescent="0.35">
      <c r="A424" s="6">
        <v>1576849</v>
      </c>
      <c r="B424" s="7" t="str">
        <f>"3328032507030004"</f>
        <v>3328032507030004</v>
      </c>
      <c r="C424" s="7" t="s">
        <v>1084</v>
      </c>
      <c r="D424" s="7" t="s">
        <v>10</v>
      </c>
      <c r="E424" s="7" t="s">
        <v>11</v>
      </c>
      <c r="F424" s="7" t="s">
        <v>18</v>
      </c>
      <c r="G424" s="7" t="s">
        <v>19</v>
      </c>
      <c r="H424" s="7" t="s">
        <v>906</v>
      </c>
      <c r="I424" s="8" t="s">
        <v>942</v>
      </c>
      <c r="J424" t="e">
        <f>VLOOKUP(B424,baru!$B$2:$I$2271,4,FALSE)</f>
        <v>#N/A</v>
      </c>
      <c r="K424" t="e">
        <f>VLOOKUP(B424,baru!$B$2:$I$2271,5,FALSE)</f>
        <v>#N/A</v>
      </c>
      <c r="L424" t="e">
        <f>VLOOKUP(B424,baru!$B$2:$I$2271,6,FALSE)</f>
        <v>#N/A</v>
      </c>
    </row>
    <row r="425" spans="1:12" hidden="1" x14ac:dyDescent="0.35">
      <c r="A425" s="6">
        <v>1684307</v>
      </c>
      <c r="B425" s="7" t="str">
        <f>"3328032507030004"</f>
        <v>3328032507030004</v>
      </c>
      <c r="C425" s="7" t="s">
        <v>1084</v>
      </c>
      <c r="D425" s="7" t="s">
        <v>10</v>
      </c>
      <c r="E425" s="7" t="s">
        <v>57</v>
      </c>
      <c r="F425" s="7" t="s">
        <v>18</v>
      </c>
      <c r="G425" s="7" t="s">
        <v>184</v>
      </c>
      <c r="H425" s="7" t="s">
        <v>1085</v>
      </c>
      <c r="I425" s="8" t="s">
        <v>1086</v>
      </c>
    </row>
    <row r="426" spans="1:12" hidden="1" x14ac:dyDescent="0.35">
      <c r="A426" s="6">
        <v>1934925</v>
      </c>
      <c r="B426" s="7" t="str">
        <f>"3328032603030008"</f>
        <v>3328032603030008</v>
      </c>
      <c r="C426" s="7" t="s">
        <v>1087</v>
      </c>
      <c r="D426" s="7" t="s">
        <v>10</v>
      </c>
      <c r="E426" s="7" t="s">
        <v>11</v>
      </c>
      <c r="F426" s="7" t="s">
        <v>18</v>
      </c>
      <c r="G426" s="7" t="s">
        <v>19</v>
      </c>
      <c r="H426" s="7" t="s">
        <v>906</v>
      </c>
      <c r="I426" s="8" t="s">
        <v>913</v>
      </c>
      <c r="J426" t="e">
        <f>VLOOKUP(B426,baru!$B$2:$I$2271,4,FALSE)</f>
        <v>#N/A</v>
      </c>
      <c r="K426" t="e">
        <f>VLOOKUP(B426,baru!$B$2:$I$2271,5,FALSE)</f>
        <v>#N/A</v>
      </c>
      <c r="L426" t="e">
        <f>VLOOKUP(B426,baru!$B$2:$I$2271,6,FALSE)</f>
        <v>#N/A</v>
      </c>
    </row>
    <row r="427" spans="1:12" hidden="1" x14ac:dyDescent="0.35">
      <c r="A427" s="6">
        <v>1392523</v>
      </c>
      <c r="B427" s="7" t="str">
        <f>"3328032603030008"</f>
        <v>3328032603030008</v>
      </c>
      <c r="C427" s="7" t="s">
        <v>1088</v>
      </c>
      <c r="D427" s="7" t="s">
        <v>10</v>
      </c>
      <c r="E427" s="7" t="s">
        <v>57</v>
      </c>
      <c r="F427" s="7" t="s">
        <v>303</v>
      </c>
      <c r="G427" s="7" t="s">
        <v>608</v>
      </c>
      <c r="H427" s="7" t="s">
        <v>1089</v>
      </c>
      <c r="I427" s="8" t="s">
        <v>1090</v>
      </c>
    </row>
    <row r="428" spans="1:12" hidden="1" x14ac:dyDescent="0.35">
      <c r="A428" s="6">
        <v>1579239</v>
      </c>
      <c r="B428" s="7" t="str">
        <f>"3328032603040001"</f>
        <v>3328032603040001</v>
      </c>
      <c r="C428" s="7" t="s">
        <v>1091</v>
      </c>
      <c r="D428" s="7" t="s">
        <v>10</v>
      </c>
      <c r="E428" s="7" t="s">
        <v>11</v>
      </c>
      <c r="F428" s="7" t="s">
        <v>18</v>
      </c>
      <c r="G428" s="7" t="s">
        <v>19</v>
      </c>
      <c r="H428" s="7" t="s">
        <v>906</v>
      </c>
      <c r="I428" s="8" t="s">
        <v>942</v>
      </c>
      <c r="J428" t="e">
        <f>VLOOKUP(B428,baru!$B$2:$I$2271,4,FALSE)</f>
        <v>#N/A</v>
      </c>
      <c r="K428" t="e">
        <f>VLOOKUP(B428,baru!$B$2:$I$2271,5,FALSE)</f>
        <v>#N/A</v>
      </c>
      <c r="L428" t="e">
        <f>VLOOKUP(B428,baru!$B$2:$I$2271,6,FALSE)</f>
        <v>#N/A</v>
      </c>
    </row>
    <row r="429" spans="1:12" hidden="1" x14ac:dyDescent="0.35">
      <c r="A429" s="6">
        <v>1351145</v>
      </c>
      <c r="B429" s="7" t="str">
        <f>"3328032603040001"</f>
        <v>3328032603040001</v>
      </c>
      <c r="C429" s="7" t="s">
        <v>1091</v>
      </c>
      <c r="D429" s="7" t="s">
        <v>10</v>
      </c>
      <c r="E429" s="7" t="s">
        <v>57</v>
      </c>
      <c r="F429" s="7" t="s">
        <v>303</v>
      </c>
      <c r="G429" s="7" t="s">
        <v>608</v>
      </c>
      <c r="H429" s="7" t="s">
        <v>609</v>
      </c>
      <c r="I429" s="8" t="s">
        <v>610</v>
      </c>
    </row>
    <row r="430" spans="1:12" hidden="1" x14ac:dyDescent="0.35">
      <c r="A430" s="6">
        <v>404920</v>
      </c>
      <c r="B430" s="7" t="str">
        <f>"3328032603980002"</f>
        <v>3328032603980002</v>
      </c>
      <c r="C430" s="7" t="s">
        <v>1092</v>
      </c>
      <c r="D430" s="7" t="s">
        <v>10</v>
      </c>
      <c r="E430" s="7" t="s">
        <v>11</v>
      </c>
      <c r="F430" s="7" t="s">
        <v>50</v>
      </c>
      <c r="G430" s="7" t="s">
        <v>72</v>
      </c>
      <c r="H430" s="7" t="s">
        <v>1093</v>
      </c>
      <c r="I430" s="8" t="s">
        <v>1094</v>
      </c>
    </row>
    <row r="431" spans="1:12" hidden="1" x14ac:dyDescent="0.35">
      <c r="A431" s="6">
        <v>1394574</v>
      </c>
      <c r="B431" s="7" t="str">
        <f>"3328032611000001"</f>
        <v>3328032611000001</v>
      </c>
      <c r="C431" s="7" t="s">
        <v>1095</v>
      </c>
      <c r="D431" s="7" t="s">
        <v>10</v>
      </c>
      <c r="E431" s="7" t="s">
        <v>11</v>
      </c>
      <c r="F431" s="7" t="s">
        <v>50</v>
      </c>
      <c r="G431" s="7" t="s">
        <v>72</v>
      </c>
      <c r="H431" s="7" t="s">
        <v>738</v>
      </c>
      <c r="I431" s="8" t="s">
        <v>1096</v>
      </c>
    </row>
    <row r="432" spans="1:12" hidden="1" x14ac:dyDescent="0.35">
      <c r="A432" s="6">
        <v>1351162</v>
      </c>
      <c r="B432" s="7" t="str">
        <f>"3328032707030004"</f>
        <v>3328032707030004</v>
      </c>
      <c r="C432" s="7" t="s">
        <v>1099</v>
      </c>
      <c r="D432" s="7" t="s">
        <v>10</v>
      </c>
      <c r="E432" s="7" t="s">
        <v>57</v>
      </c>
      <c r="F432" s="7" t="s">
        <v>303</v>
      </c>
      <c r="G432" s="7" t="s">
        <v>608</v>
      </c>
      <c r="H432" s="7" t="s">
        <v>609</v>
      </c>
      <c r="I432" s="8" t="s">
        <v>610</v>
      </c>
    </row>
    <row r="433" spans="1:12" hidden="1" x14ac:dyDescent="0.35">
      <c r="A433" s="6">
        <v>1580093</v>
      </c>
      <c r="B433" s="7" t="str">
        <f>"3328032708030001"</f>
        <v>3328032708030001</v>
      </c>
      <c r="C433" s="7" t="s">
        <v>1100</v>
      </c>
      <c r="D433" s="7" t="s">
        <v>10</v>
      </c>
      <c r="E433" s="7" t="s">
        <v>11</v>
      </c>
      <c r="F433" s="7" t="s">
        <v>18</v>
      </c>
      <c r="G433" s="7" t="s">
        <v>19</v>
      </c>
      <c r="H433" s="7" t="s">
        <v>906</v>
      </c>
      <c r="I433" s="8" t="s">
        <v>942</v>
      </c>
      <c r="J433" t="e">
        <f>VLOOKUP(B433,baru!$B$2:$I$2271,4,FALSE)</f>
        <v>#N/A</v>
      </c>
      <c r="K433" t="e">
        <f>VLOOKUP(B433,baru!$B$2:$I$2271,5,FALSE)</f>
        <v>#N/A</v>
      </c>
      <c r="L433" t="e">
        <f>VLOOKUP(B433,baru!$B$2:$I$2271,6,FALSE)</f>
        <v>#N/A</v>
      </c>
    </row>
    <row r="434" spans="1:12" hidden="1" x14ac:dyDescent="0.35">
      <c r="A434" s="6">
        <v>1351146</v>
      </c>
      <c r="B434" s="7" t="str">
        <f>"3328032708030001"</f>
        <v>3328032708030001</v>
      </c>
      <c r="C434" s="7" t="s">
        <v>1101</v>
      </c>
      <c r="D434" s="7" t="s">
        <v>10</v>
      </c>
      <c r="E434" s="7" t="s">
        <v>57</v>
      </c>
      <c r="F434" s="7" t="s">
        <v>303</v>
      </c>
      <c r="G434" s="7" t="s">
        <v>608</v>
      </c>
      <c r="H434" s="7" t="s">
        <v>609</v>
      </c>
      <c r="I434" s="8" t="s">
        <v>610</v>
      </c>
    </row>
    <row r="435" spans="1:12" hidden="1" x14ac:dyDescent="0.35">
      <c r="A435" s="6">
        <v>1572956</v>
      </c>
      <c r="B435" s="7" t="str">
        <f>"3328032912030001"</f>
        <v>3328032912030001</v>
      </c>
      <c r="C435" s="7" t="s">
        <v>1102</v>
      </c>
      <c r="D435" s="7" t="s">
        <v>10</v>
      </c>
      <c r="E435" s="7" t="s">
        <v>11</v>
      </c>
      <c r="F435" s="7" t="s">
        <v>18</v>
      </c>
      <c r="G435" s="7" t="s">
        <v>19</v>
      </c>
      <c r="H435" s="7" t="s">
        <v>906</v>
      </c>
      <c r="I435" s="8" t="s">
        <v>942</v>
      </c>
      <c r="J435" t="e">
        <f>VLOOKUP(B435,baru!$B$2:$I$2271,4,FALSE)</f>
        <v>#N/A</v>
      </c>
      <c r="K435" t="e">
        <f>VLOOKUP(B435,baru!$B$2:$I$2271,5,FALSE)</f>
        <v>#N/A</v>
      </c>
      <c r="L435" t="e">
        <f>VLOOKUP(B435,baru!$B$2:$I$2271,6,FALSE)</f>
        <v>#N/A</v>
      </c>
    </row>
    <row r="436" spans="1:12" hidden="1" x14ac:dyDescent="0.35">
      <c r="A436" s="6">
        <v>1351182</v>
      </c>
      <c r="B436" s="7" t="str">
        <f>"3328032912030001"</f>
        <v>3328032912030001</v>
      </c>
      <c r="C436" s="7" t="s">
        <v>1102</v>
      </c>
      <c r="D436" s="7" t="s">
        <v>10</v>
      </c>
      <c r="E436" s="7" t="s">
        <v>57</v>
      </c>
      <c r="F436" s="7" t="s">
        <v>303</v>
      </c>
      <c r="G436" s="7" t="s">
        <v>608</v>
      </c>
      <c r="H436" s="7" t="s">
        <v>609</v>
      </c>
      <c r="I436" s="8" t="s">
        <v>610</v>
      </c>
    </row>
    <row r="437" spans="1:12" hidden="1" x14ac:dyDescent="0.35">
      <c r="A437" s="6">
        <v>1351183</v>
      </c>
      <c r="B437" s="7" t="str">
        <f>"3328033008020001"</f>
        <v>3328033008020001</v>
      </c>
      <c r="C437" s="7" t="s">
        <v>1103</v>
      </c>
      <c r="D437" s="7" t="s">
        <v>10</v>
      </c>
      <c r="E437" s="7" t="s">
        <v>57</v>
      </c>
      <c r="F437" s="7" t="s">
        <v>303</v>
      </c>
      <c r="G437" s="7" t="s">
        <v>608</v>
      </c>
      <c r="H437" s="7" t="s">
        <v>609</v>
      </c>
      <c r="I437" s="8" t="s">
        <v>610</v>
      </c>
    </row>
    <row r="438" spans="1:12" hidden="1" x14ac:dyDescent="0.35">
      <c r="A438" s="6">
        <v>1573882</v>
      </c>
      <c r="B438" s="7" t="str">
        <f>"3328033103060001"</f>
        <v>3328033103060001</v>
      </c>
      <c r="C438" s="7" t="s">
        <v>1104</v>
      </c>
      <c r="D438" s="7" t="s">
        <v>10</v>
      </c>
      <c r="E438" s="7" t="s">
        <v>11</v>
      </c>
      <c r="F438" s="7" t="s">
        <v>18</v>
      </c>
      <c r="G438" s="7" t="s">
        <v>19</v>
      </c>
      <c r="H438" s="7" t="s">
        <v>906</v>
      </c>
      <c r="I438" s="8" t="s">
        <v>942</v>
      </c>
      <c r="J438" t="e">
        <f>VLOOKUP(B438,baru!$B$2:$I$2271,4,FALSE)</f>
        <v>#N/A</v>
      </c>
      <c r="K438" t="e">
        <f>VLOOKUP(B438,baru!$B$2:$I$2271,5,FALSE)</f>
        <v>#N/A</v>
      </c>
      <c r="L438" t="e">
        <f>VLOOKUP(B438,baru!$B$2:$I$2271,6,FALSE)</f>
        <v>#N/A</v>
      </c>
    </row>
    <row r="439" spans="1:12" hidden="1" x14ac:dyDescent="0.35">
      <c r="A439" s="6">
        <v>1351148</v>
      </c>
      <c r="B439" s="7" t="str">
        <f>"3328033103060001"</f>
        <v>3328033103060001</v>
      </c>
      <c r="C439" s="7" t="s">
        <v>1104</v>
      </c>
      <c r="D439" s="7" t="s">
        <v>10</v>
      </c>
      <c r="E439" s="7" t="s">
        <v>57</v>
      </c>
      <c r="F439" s="7" t="s">
        <v>303</v>
      </c>
      <c r="G439" s="7" t="s">
        <v>608</v>
      </c>
      <c r="H439" s="7" t="s">
        <v>609</v>
      </c>
      <c r="I439" s="8" t="s">
        <v>610</v>
      </c>
    </row>
    <row r="440" spans="1:12" hidden="1" x14ac:dyDescent="0.35">
      <c r="A440" s="6">
        <v>1621923</v>
      </c>
      <c r="B440" s="7" t="str">
        <f>"3328033112620077"</f>
        <v>3328033112620077</v>
      </c>
      <c r="C440" s="7" t="s">
        <v>1105</v>
      </c>
      <c r="D440" s="7" t="s">
        <v>10</v>
      </c>
      <c r="E440" s="7" t="s">
        <v>11</v>
      </c>
      <c r="F440" s="7" t="s">
        <v>91</v>
      </c>
      <c r="G440" s="7" t="s">
        <v>101</v>
      </c>
      <c r="H440" s="7" t="s">
        <v>1106</v>
      </c>
      <c r="I440" s="8" t="s">
        <v>1106</v>
      </c>
    </row>
    <row r="441" spans="1:12" hidden="1" x14ac:dyDescent="0.35">
      <c r="A441" s="6">
        <v>1575110</v>
      </c>
      <c r="B441" s="7" t="str">
        <f>"3328034107020143"</f>
        <v>3328034107020143</v>
      </c>
      <c r="C441" s="7" t="s">
        <v>1107</v>
      </c>
      <c r="D441" s="7" t="s">
        <v>10</v>
      </c>
      <c r="E441" s="7" t="s">
        <v>11</v>
      </c>
      <c r="F441" s="7" t="s">
        <v>67</v>
      </c>
      <c r="G441" s="7" t="s">
        <v>791</v>
      </c>
      <c r="H441" s="7" t="s">
        <v>1108</v>
      </c>
      <c r="I441" s="8" t="s">
        <v>1109</v>
      </c>
    </row>
    <row r="442" spans="1:12" hidden="1" x14ac:dyDescent="0.35">
      <c r="A442" s="6">
        <v>542909</v>
      </c>
      <c r="B442" s="7" t="str">
        <f>"3328034111880002"</f>
        <v>3328034111880002</v>
      </c>
      <c r="C442" s="7" t="s">
        <v>1111</v>
      </c>
      <c r="D442" s="7" t="s">
        <v>10</v>
      </c>
      <c r="E442" s="7" t="s">
        <v>11</v>
      </c>
      <c r="F442" s="7" t="s">
        <v>783</v>
      </c>
      <c r="G442" s="7" t="s">
        <v>1112</v>
      </c>
      <c r="H442" s="7" t="s">
        <v>1113</v>
      </c>
      <c r="I442" s="8" t="s">
        <v>1114</v>
      </c>
    </row>
    <row r="443" spans="1:12" hidden="1" x14ac:dyDescent="0.35">
      <c r="A443" s="6">
        <v>1583518</v>
      </c>
      <c r="B443" s="7" t="str">
        <f>"3328034202050004"</f>
        <v>3328034202050004</v>
      </c>
      <c r="C443" s="7" t="s">
        <v>1115</v>
      </c>
      <c r="D443" s="7" t="s">
        <v>10</v>
      </c>
      <c r="E443" s="7" t="s">
        <v>11</v>
      </c>
      <c r="F443" s="7" t="s">
        <v>18</v>
      </c>
      <c r="G443" s="7" t="s">
        <v>19</v>
      </c>
      <c r="H443" s="7" t="s">
        <v>906</v>
      </c>
      <c r="I443" s="8" t="s">
        <v>906</v>
      </c>
      <c r="J443" t="e">
        <f>VLOOKUP(B443,baru!$B$2:$I$2271,4,FALSE)</f>
        <v>#N/A</v>
      </c>
      <c r="K443" t="e">
        <f>VLOOKUP(B443,baru!$B$2:$I$2271,5,FALSE)</f>
        <v>#N/A</v>
      </c>
      <c r="L443" t="e">
        <f>VLOOKUP(B443,baru!$B$2:$I$2271,6,FALSE)</f>
        <v>#N/A</v>
      </c>
    </row>
    <row r="444" spans="1:12" hidden="1" x14ac:dyDescent="0.35">
      <c r="A444" s="6">
        <v>762806</v>
      </c>
      <c r="B444" s="7" t="str">
        <f>"3328034202050004"</f>
        <v>3328034202050004</v>
      </c>
      <c r="C444" s="7" t="s">
        <v>1116</v>
      </c>
      <c r="D444" s="7" t="s">
        <v>10</v>
      </c>
      <c r="E444" s="7" t="s">
        <v>57</v>
      </c>
      <c r="F444" s="7" t="s">
        <v>379</v>
      </c>
      <c r="G444" s="7" t="s">
        <v>711</v>
      </c>
      <c r="H444" s="7" t="s">
        <v>718</v>
      </c>
      <c r="I444" s="8" t="s">
        <v>719</v>
      </c>
    </row>
    <row r="445" spans="1:12" hidden="1" x14ac:dyDescent="0.35">
      <c r="A445" s="6">
        <v>1414197</v>
      </c>
      <c r="B445" s="7" t="str">
        <f>"3328034205950004"</f>
        <v>3328034205950004</v>
      </c>
      <c r="C445" s="7" t="s">
        <v>1117</v>
      </c>
      <c r="D445" s="7" t="s">
        <v>10</v>
      </c>
      <c r="E445" s="7" t="s">
        <v>11</v>
      </c>
      <c r="F445" s="7" t="s">
        <v>50</v>
      </c>
      <c r="G445" s="7" t="s">
        <v>86</v>
      </c>
      <c r="H445" s="7" t="s">
        <v>313</v>
      </c>
      <c r="I445" s="8" t="s">
        <v>977</v>
      </c>
    </row>
    <row r="446" spans="1:12" hidden="1" x14ac:dyDescent="0.35">
      <c r="A446" s="6">
        <v>1053172</v>
      </c>
      <c r="B446" s="7" t="str">
        <f>"3328034302860003"</f>
        <v>3328034302860003</v>
      </c>
      <c r="C446" s="7" t="s">
        <v>1119</v>
      </c>
      <c r="D446" s="7" t="s">
        <v>10</v>
      </c>
      <c r="E446" s="7" t="s">
        <v>11</v>
      </c>
      <c r="F446" s="7" t="s">
        <v>67</v>
      </c>
      <c r="G446" s="7" t="s">
        <v>68</v>
      </c>
      <c r="H446" s="7" t="s">
        <v>69</v>
      </c>
      <c r="I446" s="8" t="s">
        <v>1083</v>
      </c>
    </row>
    <row r="447" spans="1:12" hidden="1" x14ac:dyDescent="0.35">
      <c r="A447" s="6">
        <v>544038</v>
      </c>
      <c r="B447" s="7" t="str">
        <f>"3328034303870007"</f>
        <v>3328034303870007</v>
      </c>
      <c r="C447" s="7" t="s">
        <v>1120</v>
      </c>
      <c r="D447" s="7" t="s">
        <v>10</v>
      </c>
      <c r="E447" s="7" t="s">
        <v>11</v>
      </c>
      <c r="F447" s="7" t="s">
        <v>50</v>
      </c>
      <c r="G447" s="7" t="s">
        <v>280</v>
      </c>
      <c r="H447" s="7" t="s">
        <v>1121</v>
      </c>
      <c r="I447" s="8" t="s">
        <v>1122</v>
      </c>
    </row>
    <row r="448" spans="1:12" hidden="1" x14ac:dyDescent="0.35">
      <c r="A448" s="6">
        <v>1579413</v>
      </c>
      <c r="B448" s="7" t="str">
        <f>"3328034304840002"</f>
        <v>3328034304840002</v>
      </c>
      <c r="C448" s="7" t="s">
        <v>1124</v>
      </c>
      <c r="D448" s="7" t="s">
        <v>10</v>
      </c>
      <c r="E448" s="7" t="s">
        <v>11</v>
      </c>
      <c r="F448" s="7" t="s">
        <v>18</v>
      </c>
      <c r="G448" s="7" t="s">
        <v>19</v>
      </c>
      <c r="H448" s="7" t="s">
        <v>906</v>
      </c>
      <c r="I448" s="8" t="s">
        <v>942</v>
      </c>
      <c r="J448" t="e">
        <f>VLOOKUP(B448,baru!$B$2:$I$2271,4,FALSE)</f>
        <v>#N/A</v>
      </c>
      <c r="K448" t="e">
        <f>VLOOKUP(B448,baru!$B$2:$I$2271,5,FALSE)</f>
        <v>#N/A</v>
      </c>
      <c r="L448" t="e">
        <f>VLOOKUP(B448,baru!$B$2:$I$2271,6,FALSE)</f>
        <v>#N/A</v>
      </c>
    </row>
    <row r="449" spans="1:12" hidden="1" x14ac:dyDescent="0.35">
      <c r="A449" s="6">
        <v>1352172</v>
      </c>
      <c r="B449" s="7" t="str">
        <f>"3328034304840002"</f>
        <v>3328034304840002</v>
      </c>
      <c r="C449" s="7" t="s">
        <v>1125</v>
      </c>
      <c r="D449" s="7" t="s">
        <v>10</v>
      </c>
      <c r="E449" s="7" t="s">
        <v>57</v>
      </c>
      <c r="F449" s="7" t="s">
        <v>303</v>
      </c>
      <c r="G449" s="7" t="s">
        <v>608</v>
      </c>
      <c r="H449" s="7" t="s">
        <v>609</v>
      </c>
      <c r="I449" s="8" t="s">
        <v>610</v>
      </c>
    </row>
    <row r="450" spans="1:12" hidden="1" x14ac:dyDescent="0.35">
      <c r="A450" s="6">
        <v>1555328</v>
      </c>
      <c r="B450" s="7" t="str">
        <f>"3328034308040003"</f>
        <v>3328034308040003</v>
      </c>
      <c r="C450" s="7" t="s">
        <v>1126</v>
      </c>
      <c r="D450" s="7" t="s">
        <v>10</v>
      </c>
      <c r="E450" s="7" t="s">
        <v>11</v>
      </c>
      <c r="F450" s="7" t="s">
        <v>18</v>
      </c>
      <c r="G450" s="7" t="s">
        <v>19</v>
      </c>
      <c r="H450" s="7" t="s">
        <v>906</v>
      </c>
      <c r="I450" s="8" t="s">
        <v>1011</v>
      </c>
      <c r="J450" t="e">
        <f>VLOOKUP(B450,baru!$B$2:$I$2271,4,FALSE)</f>
        <v>#N/A</v>
      </c>
      <c r="K450" t="e">
        <f>VLOOKUP(B450,baru!$B$2:$I$2271,5,FALSE)</f>
        <v>#N/A</v>
      </c>
      <c r="L450" t="e">
        <f>VLOOKUP(B450,baru!$B$2:$I$2271,6,FALSE)</f>
        <v>#N/A</v>
      </c>
    </row>
    <row r="451" spans="1:12" hidden="1" x14ac:dyDescent="0.35">
      <c r="A451" s="6">
        <v>1862956</v>
      </c>
      <c r="B451" s="7" t="str">
        <f>"3328034308040003"</f>
        <v>3328034308040003</v>
      </c>
      <c r="C451" s="7" t="s">
        <v>1126</v>
      </c>
      <c r="D451" s="7" t="s">
        <v>10</v>
      </c>
      <c r="E451" s="7" t="s">
        <v>57</v>
      </c>
      <c r="F451" s="7" t="s">
        <v>18</v>
      </c>
      <c r="G451" s="7" t="s">
        <v>733</v>
      </c>
      <c r="H451" s="7" t="s">
        <v>1127</v>
      </c>
      <c r="I451" s="8" t="s">
        <v>1127</v>
      </c>
    </row>
    <row r="452" spans="1:12" hidden="1" x14ac:dyDescent="0.35">
      <c r="A452" s="13">
        <v>1591855</v>
      </c>
      <c r="B452" s="14" t="str">
        <f>"3328034404020001"</f>
        <v>3328034404020001</v>
      </c>
      <c r="C452" s="14" t="s">
        <v>1128</v>
      </c>
      <c r="D452" s="14" t="s">
        <v>10</v>
      </c>
      <c r="E452" s="14" t="s">
        <v>11</v>
      </c>
      <c r="F452" s="14" t="s">
        <v>18</v>
      </c>
      <c r="G452" s="14" t="s">
        <v>19</v>
      </c>
      <c r="H452" s="14" t="s">
        <v>906</v>
      </c>
      <c r="I452" s="15" t="s">
        <v>992</v>
      </c>
      <c r="J452" s="16" t="str">
        <f>VLOOKUP(B452,baru!$B$2:$I$2271,4,FALSE)</f>
        <v>Reguler</v>
      </c>
      <c r="K452" s="16" t="str">
        <f>VLOOKUP(B452,baru!$B$2:$I$2271,5,FALSE)</f>
        <v>JAWA TENGAH</v>
      </c>
      <c r="L452" s="16" t="str">
        <f>VLOOKUP(B452,baru!$B$2:$I$2271,6,FALSE)</f>
        <v>PEKALONGAN</v>
      </c>
    </row>
    <row r="453" spans="1:12" hidden="1" x14ac:dyDescent="0.35">
      <c r="A453" s="13">
        <v>1565717</v>
      </c>
      <c r="B453" s="14" t="str">
        <f>"3328034406580002"</f>
        <v>3328034406580002</v>
      </c>
      <c r="C453" s="14" t="s">
        <v>1130</v>
      </c>
      <c r="D453" s="14" t="s">
        <v>10</v>
      </c>
      <c r="E453" s="14" t="s">
        <v>11</v>
      </c>
      <c r="F453" s="14" t="s">
        <v>18</v>
      </c>
      <c r="G453" s="14" t="s">
        <v>19</v>
      </c>
      <c r="H453" s="14" t="s">
        <v>906</v>
      </c>
      <c r="I453" s="15" t="s">
        <v>959</v>
      </c>
      <c r="J453" s="16" t="str">
        <f>VLOOKUP(B453,baru!$B$2:$I$2271,4,FALSE)</f>
        <v>Reguler</v>
      </c>
      <c r="K453" s="16" t="str">
        <f>VLOOKUP(B453,baru!$B$2:$I$2271,5,FALSE)</f>
        <v>DKI JAKARTA</v>
      </c>
      <c r="L453" s="16" t="str">
        <f>VLOOKUP(B453,baru!$B$2:$I$2271,6,FALSE)</f>
        <v>KOTA JAKARTA TIMUR</v>
      </c>
    </row>
    <row r="454" spans="1:12" hidden="1" x14ac:dyDescent="0.35">
      <c r="A454" s="6">
        <v>1172163</v>
      </c>
      <c r="B454" s="7" t="str">
        <f>"3328034607920001"</f>
        <v>3328034607920001</v>
      </c>
      <c r="C454" s="7" t="s">
        <v>1132</v>
      </c>
      <c r="D454" s="7" t="s">
        <v>10</v>
      </c>
      <c r="E454" s="7" t="s">
        <v>11</v>
      </c>
      <c r="F454" s="7" t="s">
        <v>91</v>
      </c>
      <c r="G454" s="7" t="s">
        <v>903</v>
      </c>
      <c r="H454" s="7" t="s">
        <v>1133</v>
      </c>
      <c r="I454" s="8" t="s">
        <v>1134</v>
      </c>
    </row>
    <row r="455" spans="1:12" hidden="1" x14ac:dyDescent="0.35">
      <c r="A455" s="6">
        <v>1575020</v>
      </c>
      <c r="B455" s="7" t="str">
        <f>"3328034704020001"</f>
        <v>3328034704020001</v>
      </c>
      <c r="C455" s="7" t="s">
        <v>1135</v>
      </c>
      <c r="D455" s="7" t="s">
        <v>10</v>
      </c>
      <c r="E455" s="7" t="s">
        <v>11</v>
      </c>
      <c r="F455" s="7" t="s">
        <v>18</v>
      </c>
      <c r="G455" s="7" t="s">
        <v>19</v>
      </c>
      <c r="H455" s="7" t="s">
        <v>906</v>
      </c>
      <c r="I455" s="8" t="s">
        <v>942</v>
      </c>
      <c r="J455" t="e">
        <f>VLOOKUP(B455,baru!$B$2:$I$2271,4,FALSE)</f>
        <v>#N/A</v>
      </c>
      <c r="K455" t="e">
        <f>VLOOKUP(B455,baru!$B$2:$I$2271,5,FALSE)</f>
        <v>#N/A</v>
      </c>
      <c r="L455" t="e">
        <f>VLOOKUP(B455,baru!$B$2:$I$2271,6,FALSE)</f>
        <v>#N/A</v>
      </c>
    </row>
    <row r="456" spans="1:12" hidden="1" x14ac:dyDescent="0.35">
      <c r="A456" s="6">
        <v>1352884</v>
      </c>
      <c r="B456" s="7" t="str">
        <f>"3328034704020001"</f>
        <v>3328034704020001</v>
      </c>
      <c r="C456" s="7" t="s">
        <v>1136</v>
      </c>
      <c r="D456" s="7" t="s">
        <v>10</v>
      </c>
      <c r="E456" s="7" t="s">
        <v>57</v>
      </c>
      <c r="F456" s="7" t="s">
        <v>303</v>
      </c>
      <c r="G456" s="7" t="s">
        <v>608</v>
      </c>
      <c r="H456" s="7" t="s">
        <v>609</v>
      </c>
      <c r="I456" s="8" t="s">
        <v>610</v>
      </c>
    </row>
    <row r="457" spans="1:12" hidden="1" x14ac:dyDescent="0.35">
      <c r="A457" s="6">
        <v>1352887</v>
      </c>
      <c r="B457" s="7" t="str">
        <f>"3328035003050002"</f>
        <v>3328035003050002</v>
      </c>
      <c r="C457" s="7" t="s">
        <v>1138</v>
      </c>
      <c r="D457" s="7" t="s">
        <v>10</v>
      </c>
      <c r="E457" s="7" t="s">
        <v>57</v>
      </c>
      <c r="F457" s="7" t="s">
        <v>303</v>
      </c>
      <c r="G457" s="7" t="s">
        <v>608</v>
      </c>
      <c r="H457" s="7" t="s">
        <v>609</v>
      </c>
      <c r="I457" s="8" t="s">
        <v>610</v>
      </c>
    </row>
    <row r="458" spans="1:12" hidden="1" x14ac:dyDescent="0.35">
      <c r="A458" s="6">
        <v>1577165</v>
      </c>
      <c r="B458" s="7" t="str">
        <f>"3328035009010003"</f>
        <v>3328035009010003</v>
      </c>
      <c r="C458" s="7" t="s">
        <v>1139</v>
      </c>
      <c r="D458" s="7" t="s">
        <v>10</v>
      </c>
      <c r="E458" s="7" t="s">
        <v>11</v>
      </c>
      <c r="F458" s="7" t="s">
        <v>18</v>
      </c>
      <c r="G458" s="7" t="s">
        <v>19</v>
      </c>
      <c r="H458" s="7" t="s">
        <v>906</v>
      </c>
      <c r="I458" s="8" t="s">
        <v>942</v>
      </c>
      <c r="J458" t="e">
        <f>VLOOKUP(B458,baru!$B$2:$I$2271,4,FALSE)</f>
        <v>#N/A</v>
      </c>
      <c r="K458" t="e">
        <f>VLOOKUP(B458,baru!$B$2:$I$2271,5,FALSE)</f>
        <v>#N/A</v>
      </c>
      <c r="L458" t="e">
        <f>VLOOKUP(B458,baru!$B$2:$I$2271,6,FALSE)</f>
        <v>#N/A</v>
      </c>
    </row>
    <row r="459" spans="1:12" hidden="1" x14ac:dyDescent="0.35">
      <c r="A459" s="6">
        <v>1352888</v>
      </c>
      <c r="B459" s="7" t="str">
        <f>"3328035009010003"</f>
        <v>3328035009010003</v>
      </c>
      <c r="C459" s="7" t="s">
        <v>1139</v>
      </c>
      <c r="D459" s="7" t="s">
        <v>10</v>
      </c>
      <c r="E459" s="7" t="s">
        <v>57</v>
      </c>
      <c r="F459" s="7" t="s">
        <v>303</v>
      </c>
      <c r="G459" s="7" t="s">
        <v>608</v>
      </c>
      <c r="H459" s="7" t="s">
        <v>609</v>
      </c>
      <c r="I459" s="8" t="s">
        <v>610</v>
      </c>
    </row>
    <row r="460" spans="1:12" hidden="1" x14ac:dyDescent="0.35">
      <c r="A460" s="6">
        <v>1563366</v>
      </c>
      <c r="B460" s="7" t="str">
        <f>"3328035211850001"</f>
        <v>3328035211850001</v>
      </c>
      <c r="C460" s="7" t="s">
        <v>1143</v>
      </c>
      <c r="D460" s="7" t="s">
        <v>10</v>
      </c>
      <c r="E460" s="7" t="s">
        <v>11</v>
      </c>
      <c r="F460" s="7" t="s">
        <v>18</v>
      </c>
      <c r="G460" s="7" t="s">
        <v>19</v>
      </c>
      <c r="H460" s="7" t="s">
        <v>906</v>
      </c>
      <c r="I460" s="8" t="s">
        <v>939</v>
      </c>
      <c r="J460" t="e">
        <f>VLOOKUP(B460,baru!$B$2:$I$2271,4,FALSE)</f>
        <v>#N/A</v>
      </c>
      <c r="K460" t="e">
        <f>VLOOKUP(B460,baru!$B$2:$I$2271,5,FALSE)</f>
        <v>#N/A</v>
      </c>
      <c r="L460" t="e">
        <f>VLOOKUP(B460,baru!$B$2:$I$2271,6,FALSE)</f>
        <v>#N/A</v>
      </c>
    </row>
    <row r="461" spans="1:12" hidden="1" x14ac:dyDescent="0.35">
      <c r="A461" s="6">
        <v>1352170</v>
      </c>
      <c r="B461" s="7" t="str">
        <f>"3328035211850001"</f>
        <v>3328035211850001</v>
      </c>
      <c r="C461" s="7" t="s">
        <v>1144</v>
      </c>
      <c r="D461" s="7" t="s">
        <v>10</v>
      </c>
      <c r="E461" s="7" t="s">
        <v>57</v>
      </c>
      <c r="F461" s="7" t="s">
        <v>303</v>
      </c>
      <c r="G461" s="7" t="s">
        <v>608</v>
      </c>
      <c r="H461" s="7" t="s">
        <v>609</v>
      </c>
      <c r="I461" s="8" t="s">
        <v>610</v>
      </c>
    </row>
    <row r="462" spans="1:12" x14ac:dyDescent="0.35">
      <c r="A462" s="17">
        <v>1579357</v>
      </c>
      <c r="B462" s="18" t="str">
        <f>"3328035304060001"</f>
        <v>3328035304060001</v>
      </c>
      <c r="C462" s="18" t="s">
        <v>1145</v>
      </c>
      <c r="D462" s="18" t="s">
        <v>189</v>
      </c>
      <c r="E462" s="18" t="s">
        <v>11</v>
      </c>
      <c r="F462" s="18" t="s">
        <v>18</v>
      </c>
      <c r="G462" s="18" t="s">
        <v>19</v>
      </c>
      <c r="H462" s="18" t="s">
        <v>906</v>
      </c>
      <c r="I462" s="19" t="s">
        <v>942</v>
      </c>
      <c r="J462" s="20" t="str">
        <f>VLOOKUP(B462,baru!$B$2:$I$2271,4,FALSE)</f>
        <v>Khusus</v>
      </c>
      <c r="K462" s="20" t="str">
        <f>VLOOKUP(B462,baru!$B$2:$I$2271,5,FALSE)</f>
        <v>JAWA TENGAH</v>
      </c>
      <c r="L462" s="20" t="str">
        <f>VLOOKUP(B462,baru!$B$2:$I$2271,6,FALSE)</f>
        <v>MAGELANG</v>
      </c>
    </row>
    <row r="463" spans="1:12" hidden="1" x14ac:dyDescent="0.35">
      <c r="A463" s="6">
        <v>1584310</v>
      </c>
      <c r="B463" s="7" t="str">
        <f>"3328035408720003"</f>
        <v>3328035408720003</v>
      </c>
      <c r="C463" s="7" t="s">
        <v>1147</v>
      </c>
      <c r="D463" s="7" t="s">
        <v>10</v>
      </c>
      <c r="E463" s="7" t="s">
        <v>11</v>
      </c>
      <c r="F463" s="7" t="s">
        <v>18</v>
      </c>
      <c r="G463" s="7" t="s">
        <v>19</v>
      </c>
      <c r="H463" s="7" t="s">
        <v>906</v>
      </c>
      <c r="I463" s="8" t="s">
        <v>906</v>
      </c>
      <c r="J463" t="e">
        <f>VLOOKUP(B463,baru!$B$2:$I$2271,4,FALSE)</f>
        <v>#N/A</v>
      </c>
      <c r="K463" t="e">
        <f>VLOOKUP(B463,baru!$B$2:$I$2271,5,FALSE)</f>
        <v>#N/A</v>
      </c>
      <c r="L463" t="e">
        <f>VLOOKUP(B463,baru!$B$2:$I$2271,6,FALSE)</f>
        <v>#N/A</v>
      </c>
    </row>
    <row r="464" spans="1:12" hidden="1" x14ac:dyDescent="0.35">
      <c r="A464" s="6">
        <v>1349030</v>
      </c>
      <c r="B464" s="7" t="str">
        <f>"3328035408720003"</f>
        <v>3328035408720003</v>
      </c>
      <c r="C464" s="7" t="s">
        <v>1148</v>
      </c>
      <c r="D464" s="7" t="s">
        <v>10</v>
      </c>
      <c r="E464" s="7" t="s">
        <v>57</v>
      </c>
      <c r="F464" s="7" t="s">
        <v>303</v>
      </c>
      <c r="G464" s="7" t="s">
        <v>608</v>
      </c>
      <c r="H464" s="7" t="s">
        <v>609</v>
      </c>
      <c r="I464" s="8" t="s">
        <v>610</v>
      </c>
    </row>
    <row r="465" spans="1:12" x14ac:dyDescent="0.35">
      <c r="A465" s="6">
        <v>1557347</v>
      </c>
      <c r="B465" s="7" t="str">
        <f>"3328035607940002"</f>
        <v>3328035607940002</v>
      </c>
      <c r="C465" s="7" t="s">
        <v>1149</v>
      </c>
      <c r="D465" s="7" t="s">
        <v>189</v>
      </c>
      <c r="E465" s="7" t="s">
        <v>11</v>
      </c>
      <c r="F465" s="7" t="s">
        <v>18</v>
      </c>
      <c r="G465" s="7" t="s">
        <v>19</v>
      </c>
      <c r="H465" s="7" t="s">
        <v>906</v>
      </c>
      <c r="I465" s="8" t="s">
        <v>1011</v>
      </c>
      <c r="J465" t="e">
        <f>VLOOKUP(B465,baru!$B$2:$I$2271,4,FALSE)</f>
        <v>#N/A</v>
      </c>
      <c r="K465" t="e">
        <f>VLOOKUP(B465,baru!$B$2:$I$2271,5,FALSE)</f>
        <v>#N/A</v>
      </c>
      <c r="L465" t="e">
        <f>VLOOKUP(B465,baru!$B$2:$I$2271,6,FALSE)</f>
        <v>#N/A</v>
      </c>
    </row>
    <row r="466" spans="1:12" x14ac:dyDescent="0.35">
      <c r="A466" s="6">
        <v>1124759</v>
      </c>
      <c r="B466" s="7" t="str">
        <f>"3328035607940002"</f>
        <v>3328035607940002</v>
      </c>
      <c r="C466" s="7" t="s">
        <v>1150</v>
      </c>
      <c r="D466" s="7" t="s">
        <v>189</v>
      </c>
      <c r="E466" s="7" t="s">
        <v>11</v>
      </c>
      <c r="F466" s="7" t="s">
        <v>18</v>
      </c>
      <c r="G466" s="7" t="s">
        <v>264</v>
      </c>
      <c r="H466" s="7" t="s">
        <v>330</v>
      </c>
      <c r="I466" s="8" t="s">
        <v>489</v>
      </c>
    </row>
    <row r="467" spans="1:12" hidden="1" x14ac:dyDescent="0.35">
      <c r="A467" s="6">
        <v>1590149</v>
      </c>
      <c r="B467" s="7" t="str">
        <f>"3328035608740001"</f>
        <v>3328035608740001</v>
      </c>
      <c r="C467" s="7" t="s">
        <v>1151</v>
      </c>
      <c r="D467" s="7" t="s">
        <v>10</v>
      </c>
      <c r="E467" s="7" t="s">
        <v>11</v>
      </c>
      <c r="F467" s="7" t="s">
        <v>18</v>
      </c>
      <c r="G467" s="7" t="s">
        <v>19</v>
      </c>
      <c r="H467" s="7" t="s">
        <v>906</v>
      </c>
      <c r="I467" s="8" t="s">
        <v>929</v>
      </c>
      <c r="J467" t="e">
        <f>VLOOKUP(B467,baru!$B$2:$I$2271,4,FALSE)</f>
        <v>#N/A</v>
      </c>
      <c r="K467" t="e">
        <f>VLOOKUP(B467,baru!$B$2:$I$2271,5,FALSE)</f>
        <v>#N/A</v>
      </c>
      <c r="L467" t="e">
        <f>VLOOKUP(B467,baru!$B$2:$I$2271,6,FALSE)</f>
        <v>#N/A</v>
      </c>
    </row>
    <row r="468" spans="1:12" hidden="1" x14ac:dyDescent="0.35">
      <c r="A468" s="6">
        <v>1349031</v>
      </c>
      <c r="B468" s="7" t="str">
        <f>"3328035608740001"</f>
        <v>3328035608740001</v>
      </c>
      <c r="C468" s="7" t="s">
        <v>1152</v>
      </c>
      <c r="D468" s="7" t="s">
        <v>10</v>
      </c>
      <c r="E468" s="7" t="s">
        <v>57</v>
      </c>
      <c r="F468" s="7" t="s">
        <v>303</v>
      </c>
      <c r="G468" s="7" t="s">
        <v>608</v>
      </c>
      <c r="H468" s="7" t="s">
        <v>609</v>
      </c>
      <c r="I468" s="8" t="s">
        <v>610</v>
      </c>
    </row>
    <row r="469" spans="1:12" hidden="1" x14ac:dyDescent="0.35">
      <c r="A469" s="6">
        <v>1576679</v>
      </c>
      <c r="B469" s="7" t="str">
        <f>"3328035911020003"</f>
        <v>3328035911020003</v>
      </c>
      <c r="C469" s="7" t="s">
        <v>1153</v>
      </c>
      <c r="D469" s="7" t="s">
        <v>10</v>
      </c>
      <c r="E469" s="7" t="s">
        <v>11</v>
      </c>
      <c r="F469" s="7" t="s">
        <v>18</v>
      </c>
      <c r="G469" s="7" t="s">
        <v>19</v>
      </c>
      <c r="H469" s="7" t="s">
        <v>906</v>
      </c>
      <c r="I469" s="8" t="s">
        <v>942</v>
      </c>
      <c r="J469" t="e">
        <f>VLOOKUP(B469,baru!$B$2:$I$2271,4,FALSE)</f>
        <v>#N/A</v>
      </c>
      <c r="K469" t="e">
        <f>VLOOKUP(B469,baru!$B$2:$I$2271,5,FALSE)</f>
        <v>#N/A</v>
      </c>
      <c r="L469" t="e">
        <f>VLOOKUP(B469,baru!$B$2:$I$2271,6,FALSE)</f>
        <v>#N/A</v>
      </c>
    </row>
    <row r="470" spans="1:12" hidden="1" x14ac:dyDescent="0.35">
      <c r="A470" s="6">
        <v>1352889</v>
      </c>
      <c r="B470" s="7" t="str">
        <f>"3328035911020003"</f>
        <v>3328035911020003</v>
      </c>
      <c r="C470" s="7" t="s">
        <v>1154</v>
      </c>
      <c r="D470" s="7" t="s">
        <v>10</v>
      </c>
      <c r="E470" s="7" t="s">
        <v>57</v>
      </c>
      <c r="F470" s="7" t="s">
        <v>303</v>
      </c>
      <c r="G470" s="7" t="s">
        <v>608</v>
      </c>
      <c r="H470" s="7" t="s">
        <v>609</v>
      </c>
      <c r="I470" s="8" t="s">
        <v>610</v>
      </c>
    </row>
    <row r="471" spans="1:12" hidden="1" x14ac:dyDescent="0.35">
      <c r="A471" s="6">
        <v>971171</v>
      </c>
      <c r="B471" s="7" t="str">
        <f>"3328036012030002"</f>
        <v>3328036012030002</v>
      </c>
      <c r="C471" s="7" t="s">
        <v>1155</v>
      </c>
      <c r="D471" s="7" t="s">
        <v>10</v>
      </c>
      <c r="E471" s="7" t="s">
        <v>11</v>
      </c>
      <c r="F471" s="7" t="s">
        <v>91</v>
      </c>
      <c r="G471" s="7" t="s">
        <v>985</v>
      </c>
      <c r="H471" s="7" t="s">
        <v>1156</v>
      </c>
      <c r="I471" s="8" t="s">
        <v>1157</v>
      </c>
    </row>
    <row r="472" spans="1:12" hidden="1" x14ac:dyDescent="0.35">
      <c r="A472" s="6">
        <v>1352879</v>
      </c>
      <c r="B472" s="7" t="str">
        <f>"3328036103040006"</f>
        <v>3328036103040006</v>
      </c>
      <c r="C472" s="7" t="s">
        <v>1158</v>
      </c>
      <c r="D472" s="7" t="s">
        <v>10</v>
      </c>
      <c r="E472" s="7" t="s">
        <v>57</v>
      </c>
      <c r="F472" s="7" t="s">
        <v>303</v>
      </c>
      <c r="G472" s="7" t="s">
        <v>608</v>
      </c>
      <c r="H472" s="7" t="s">
        <v>609</v>
      </c>
      <c r="I472" s="8" t="s">
        <v>610</v>
      </c>
    </row>
    <row r="473" spans="1:12" hidden="1" x14ac:dyDescent="0.35">
      <c r="A473" s="6">
        <v>1573398</v>
      </c>
      <c r="B473" s="7" t="str">
        <f>"3328036304030001"</f>
        <v>3328036304030001</v>
      </c>
      <c r="C473" s="7" t="s">
        <v>1159</v>
      </c>
      <c r="D473" s="7" t="s">
        <v>10</v>
      </c>
      <c r="E473" s="7" t="s">
        <v>11</v>
      </c>
      <c r="F473" s="7" t="s">
        <v>18</v>
      </c>
      <c r="G473" s="7" t="s">
        <v>19</v>
      </c>
      <c r="H473" s="7" t="s">
        <v>906</v>
      </c>
      <c r="I473" s="8" t="s">
        <v>942</v>
      </c>
      <c r="J473" t="e">
        <f>VLOOKUP(B473,baru!$B$2:$I$2271,4,FALSE)</f>
        <v>#N/A</v>
      </c>
      <c r="K473" t="e">
        <f>VLOOKUP(B473,baru!$B$2:$I$2271,5,FALSE)</f>
        <v>#N/A</v>
      </c>
      <c r="L473" t="e">
        <f>VLOOKUP(B473,baru!$B$2:$I$2271,6,FALSE)</f>
        <v>#N/A</v>
      </c>
    </row>
    <row r="474" spans="1:12" hidden="1" x14ac:dyDescent="0.35">
      <c r="A474" s="6">
        <v>1351179</v>
      </c>
      <c r="B474" s="7" t="str">
        <f>"3328036304030001"</f>
        <v>3328036304030001</v>
      </c>
      <c r="C474" s="7" t="s">
        <v>1159</v>
      </c>
      <c r="D474" s="7" t="s">
        <v>10</v>
      </c>
      <c r="E474" s="7" t="s">
        <v>57</v>
      </c>
      <c r="F474" s="7" t="s">
        <v>303</v>
      </c>
      <c r="G474" s="7" t="s">
        <v>608</v>
      </c>
      <c r="H474" s="7" t="s">
        <v>609</v>
      </c>
      <c r="I474" s="8" t="s">
        <v>610</v>
      </c>
    </row>
    <row r="475" spans="1:12" hidden="1" x14ac:dyDescent="0.35">
      <c r="A475" s="6">
        <v>1288963</v>
      </c>
      <c r="B475" s="7" t="str">
        <f>"3328036501960003"</f>
        <v>3328036501960003</v>
      </c>
      <c r="C475" s="7" t="s">
        <v>1160</v>
      </c>
      <c r="D475" s="7" t="s">
        <v>10</v>
      </c>
      <c r="E475" s="7" t="s">
        <v>11</v>
      </c>
      <c r="F475" s="7" t="s">
        <v>91</v>
      </c>
      <c r="G475" s="7" t="s">
        <v>903</v>
      </c>
      <c r="H475" s="7" t="s">
        <v>904</v>
      </c>
      <c r="I475" s="8" t="s">
        <v>905</v>
      </c>
    </row>
    <row r="476" spans="1:12" hidden="1" x14ac:dyDescent="0.35">
      <c r="A476" s="6">
        <v>1555644</v>
      </c>
      <c r="B476" s="7" t="str">
        <f>"3328036511060002"</f>
        <v>3328036511060002</v>
      </c>
      <c r="C476" s="7" t="s">
        <v>1161</v>
      </c>
      <c r="D476" s="7" t="s">
        <v>10</v>
      </c>
      <c r="E476" s="7" t="s">
        <v>11</v>
      </c>
      <c r="F476" s="7" t="s">
        <v>18</v>
      </c>
      <c r="G476" s="7" t="s">
        <v>19</v>
      </c>
      <c r="H476" s="7" t="s">
        <v>906</v>
      </c>
      <c r="I476" s="8" t="s">
        <v>1011</v>
      </c>
      <c r="J476" t="e">
        <f>VLOOKUP(B476,baru!$B$2:$I$2271,4,FALSE)</f>
        <v>#N/A</v>
      </c>
      <c r="K476" t="e">
        <f>VLOOKUP(B476,baru!$B$2:$I$2271,5,FALSE)</f>
        <v>#N/A</v>
      </c>
      <c r="L476" t="e">
        <f>VLOOKUP(B476,baru!$B$2:$I$2271,6,FALSE)</f>
        <v>#N/A</v>
      </c>
    </row>
    <row r="477" spans="1:12" hidden="1" x14ac:dyDescent="0.35">
      <c r="A477" s="6">
        <v>1352882</v>
      </c>
      <c r="B477" s="7" t="str">
        <f>"3328036511060002"</f>
        <v>3328036511060002</v>
      </c>
      <c r="C477" s="7" t="s">
        <v>1162</v>
      </c>
      <c r="D477" s="7" t="s">
        <v>10</v>
      </c>
      <c r="E477" s="7" t="s">
        <v>57</v>
      </c>
      <c r="F477" s="7" t="s">
        <v>303</v>
      </c>
      <c r="G477" s="7" t="s">
        <v>608</v>
      </c>
      <c r="H477" s="7" t="s">
        <v>609</v>
      </c>
      <c r="I477" s="8" t="s">
        <v>610</v>
      </c>
    </row>
    <row r="478" spans="1:12" hidden="1" x14ac:dyDescent="0.35">
      <c r="A478" s="6">
        <v>277237</v>
      </c>
      <c r="B478" s="7" t="str">
        <f>"3328036601860004"</f>
        <v>3328036601860004</v>
      </c>
      <c r="C478" s="7" t="s">
        <v>1163</v>
      </c>
      <c r="D478" s="7" t="s">
        <v>10</v>
      </c>
      <c r="E478" s="7" t="s">
        <v>11</v>
      </c>
      <c r="F478" s="7" t="s">
        <v>412</v>
      </c>
      <c r="G478" s="7" t="s">
        <v>1053</v>
      </c>
      <c r="H478" s="7" t="s">
        <v>1054</v>
      </c>
      <c r="I478" s="8" t="s">
        <v>1055</v>
      </c>
    </row>
    <row r="479" spans="1:12" hidden="1" x14ac:dyDescent="0.35">
      <c r="A479" s="13">
        <v>1604749</v>
      </c>
      <c r="B479" s="14" t="str">
        <f>"3328036703780001"</f>
        <v>3328036703780001</v>
      </c>
      <c r="C479" s="14" t="s">
        <v>1164</v>
      </c>
      <c r="D479" s="14" t="s">
        <v>10</v>
      </c>
      <c r="E479" s="14" t="s">
        <v>11</v>
      </c>
      <c r="F479" s="14" t="s">
        <v>18</v>
      </c>
      <c r="G479" s="14" t="s">
        <v>19</v>
      </c>
      <c r="H479" s="14" t="s">
        <v>906</v>
      </c>
      <c r="I479" s="15" t="s">
        <v>907</v>
      </c>
      <c r="J479" s="16" t="str">
        <f>VLOOKUP(B479,baru!$B$2:$I$2271,4,FALSE)</f>
        <v>Reguler</v>
      </c>
      <c r="K479" s="16" t="str">
        <f>VLOOKUP(B479,baru!$B$2:$I$2271,5,FALSE)</f>
        <v>JAWA TENGAH</v>
      </c>
      <c r="L479" s="16" t="str">
        <f>VLOOKUP(B479,baru!$B$2:$I$2271,6,FALSE)</f>
        <v>BANJARNEGARA</v>
      </c>
    </row>
    <row r="480" spans="1:12" hidden="1" x14ac:dyDescent="0.35">
      <c r="A480" s="6">
        <v>978838</v>
      </c>
      <c r="B480" s="7" t="str">
        <f>"3328036704820001"</f>
        <v>3328036704820001</v>
      </c>
      <c r="C480" s="7" t="s">
        <v>1167</v>
      </c>
      <c r="D480" s="7" t="s">
        <v>10</v>
      </c>
      <c r="E480" s="7" t="s">
        <v>11</v>
      </c>
      <c r="F480" s="7" t="s">
        <v>954</v>
      </c>
      <c r="G480" s="7" t="s">
        <v>1024</v>
      </c>
      <c r="H480" s="7" t="s">
        <v>1025</v>
      </c>
      <c r="I480" s="8" t="s">
        <v>1025</v>
      </c>
    </row>
    <row r="481" spans="1:12" hidden="1" x14ac:dyDescent="0.35">
      <c r="A481" s="6">
        <v>1352876</v>
      </c>
      <c r="B481" s="7" t="str">
        <f>"3328036905040005"</f>
        <v>3328036905040005</v>
      </c>
      <c r="C481" s="7" t="s">
        <v>1168</v>
      </c>
      <c r="D481" s="7" t="s">
        <v>10</v>
      </c>
      <c r="E481" s="7" t="s">
        <v>57</v>
      </c>
      <c r="F481" s="7" t="s">
        <v>303</v>
      </c>
      <c r="G481" s="7" t="s">
        <v>608</v>
      </c>
      <c r="H481" s="7" t="s">
        <v>609</v>
      </c>
      <c r="I481" s="8" t="s">
        <v>610</v>
      </c>
    </row>
    <row r="482" spans="1:12" hidden="1" x14ac:dyDescent="0.35">
      <c r="A482" s="6">
        <v>83213</v>
      </c>
      <c r="B482" s="7" t="str">
        <f>"3328037006940002"</f>
        <v>3328037006940002</v>
      </c>
      <c r="C482" s="7" t="s">
        <v>1169</v>
      </c>
      <c r="D482" s="7" t="s">
        <v>10</v>
      </c>
      <c r="E482" s="7" t="s">
        <v>11</v>
      </c>
      <c r="F482" s="7" t="s">
        <v>91</v>
      </c>
      <c r="G482" s="7" t="s">
        <v>159</v>
      </c>
      <c r="H482" s="7" t="s">
        <v>1170</v>
      </c>
      <c r="I482" s="8" t="s">
        <v>1170</v>
      </c>
    </row>
    <row r="483" spans="1:12" hidden="1" x14ac:dyDescent="0.35">
      <c r="A483" s="6">
        <v>1629627</v>
      </c>
      <c r="B483" s="7" t="str">
        <f>"3328037010990003"</f>
        <v>3328037010990003</v>
      </c>
      <c r="C483" s="7" t="s">
        <v>1171</v>
      </c>
      <c r="D483" s="7" t="s">
        <v>10</v>
      </c>
      <c r="E483" s="7" t="s">
        <v>11</v>
      </c>
      <c r="F483" s="7" t="s">
        <v>50</v>
      </c>
      <c r="G483" s="7" t="s">
        <v>72</v>
      </c>
      <c r="H483" s="7" t="s">
        <v>1172</v>
      </c>
      <c r="I483" s="8" t="s">
        <v>1173</v>
      </c>
    </row>
    <row r="484" spans="1:12" hidden="1" x14ac:dyDescent="0.35">
      <c r="A484" s="13">
        <v>1588556</v>
      </c>
      <c r="B484" s="14" t="str">
        <f>"3328042702840001"</f>
        <v>3328042702840001</v>
      </c>
      <c r="C484" s="14" t="s">
        <v>1175</v>
      </c>
      <c r="D484" s="14" t="s">
        <v>10</v>
      </c>
      <c r="E484" s="14" t="s">
        <v>11</v>
      </c>
      <c r="F484" s="14" t="s">
        <v>18</v>
      </c>
      <c r="G484" s="14" t="s">
        <v>19</v>
      </c>
      <c r="H484" s="14" t="s">
        <v>906</v>
      </c>
      <c r="I484" s="15" t="s">
        <v>929</v>
      </c>
      <c r="J484" s="16" t="str">
        <f>VLOOKUP(B484,baru!$B$2:$I$2271,4,FALSE)</f>
        <v>Reguler</v>
      </c>
      <c r="K484" s="16" t="str">
        <f>VLOOKUP(B484,baru!$B$2:$I$2271,5,FALSE)</f>
        <v>JAWA TENGAH</v>
      </c>
      <c r="L484" s="16" t="str">
        <f>VLOOKUP(B484,baru!$B$2:$I$2271,6,FALSE)</f>
        <v>TEGAL</v>
      </c>
    </row>
    <row r="485" spans="1:12" hidden="1" x14ac:dyDescent="0.35">
      <c r="A485" s="6">
        <v>323169</v>
      </c>
      <c r="B485" s="7" t="str">
        <f>"3328160105830001"</f>
        <v>3328160105830001</v>
      </c>
      <c r="C485" s="7" t="s">
        <v>1176</v>
      </c>
      <c r="D485" s="7" t="s">
        <v>10</v>
      </c>
      <c r="E485" s="7" t="s">
        <v>11</v>
      </c>
      <c r="F485" s="7" t="s">
        <v>18</v>
      </c>
      <c r="G485" s="7" t="s">
        <v>268</v>
      </c>
      <c r="H485" s="7" t="s">
        <v>277</v>
      </c>
      <c r="I485" s="8" t="s">
        <v>278</v>
      </c>
    </row>
    <row r="486" spans="1:12" hidden="1" x14ac:dyDescent="0.35">
      <c r="A486" s="6">
        <v>323167</v>
      </c>
      <c r="B486" s="7" t="str">
        <f>"3328160812060002"</f>
        <v>3328160812060002</v>
      </c>
      <c r="C486" s="7" t="s">
        <v>1177</v>
      </c>
      <c r="D486" s="7" t="s">
        <v>10</v>
      </c>
      <c r="E486" s="7" t="s">
        <v>11</v>
      </c>
      <c r="F486" s="7" t="s">
        <v>18</v>
      </c>
      <c r="G486" s="7" t="s">
        <v>268</v>
      </c>
      <c r="H486" s="7" t="s">
        <v>277</v>
      </c>
      <c r="I486" s="8" t="s">
        <v>278</v>
      </c>
    </row>
    <row r="487" spans="1:12" hidden="1" x14ac:dyDescent="0.35">
      <c r="A487" s="6">
        <v>323168</v>
      </c>
      <c r="B487" s="7" t="str">
        <f>"3328164406860002"</f>
        <v>3328164406860002</v>
      </c>
      <c r="C487" s="7" t="s">
        <v>1178</v>
      </c>
      <c r="D487" s="7" t="s">
        <v>10</v>
      </c>
      <c r="E487" s="7" t="s">
        <v>11</v>
      </c>
      <c r="F487" s="7" t="s">
        <v>18</v>
      </c>
      <c r="G487" s="7" t="s">
        <v>268</v>
      </c>
      <c r="H487" s="7" t="s">
        <v>277</v>
      </c>
      <c r="I487" s="8" t="s">
        <v>278</v>
      </c>
    </row>
    <row r="488" spans="1:12" hidden="1" x14ac:dyDescent="0.35">
      <c r="A488" s="13">
        <v>1599065</v>
      </c>
      <c r="B488" s="14" t="str">
        <f>"3329030508910006"</f>
        <v>3329030508910006</v>
      </c>
      <c r="C488" s="14" t="s">
        <v>1179</v>
      </c>
      <c r="D488" s="14" t="s">
        <v>10</v>
      </c>
      <c r="E488" s="14" t="s">
        <v>11</v>
      </c>
      <c r="F488" s="14" t="s">
        <v>18</v>
      </c>
      <c r="G488" s="14" t="s">
        <v>19</v>
      </c>
      <c r="H488" s="14" t="s">
        <v>906</v>
      </c>
      <c r="I488" s="15" t="s">
        <v>920</v>
      </c>
      <c r="J488" s="16" t="str">
        <f>VLOOKUP(B488,baru!$B$2:$I$2271,4,FALSE)</f>
        <v>Reguler</v>
      </c>
      <c r="K488" s="16" t="str">
        <f>VLOOKUP(B488,baru!$B$2:$I$2271,5,FALSE)</f>
        <v>JAWA TENGAH</v>
      </c>
      <c r="L488" s="16" t="str">
        <f>VLOOKUP(B488,baru!$B$2:$I$2271,6,FALSE)</f>
        <v>BREBES</v>
      </c>
    </row>
    <row r="489" spans="1:12" hidden="1" x14ac:dyDescent="0.35">
      <c r="A489" s="6">
        <v>1364891</v>
      </c>
      <c r="B489" s="7" t="str">
        <f>"3329045007980001"</f>
        <v>3329045007980001</v>
      </c>
      <c r="C489" s="7" t="s">
        <v>1182</v>
      </c>
      <c r="D489" s="7" t="s">
        <v>10</v>
      </c>
      <c r="E489" s="7" t="s">
        <v>11</v>
      </c>
      <c r="F489" s="7" t="s">
        <v>18</v>
      </c>
      <c r="G489" s="7" t="s">
        <v>264</v>
      </c>
      <c r="H489" s="7" t="s">
        <v>461</v>
      </c>
      <c r="I489" s="8" t="s">
        <v>461</v>
      </c>
    </row>
    <row r="490" spans="1:12" hidden="1" x14ac:dyDescent="0.35">
      <c r="A490" s="13">
        <v>1565923</v>
      </c>
      <c r="B490" s="14" t="str">
        <f>"3329050604740001"</f>
        <v>3329050604740001</v>
      </c>
      <c r="C490" s="14" t="s">
        <v>1183</v>
      </c>
      <c r="D490" s="14" t="s">
        <v>10</v>
      </c>
      <c r="E490" s="14" t="s">
        <v>11</v>
      </c>
      <c r="F490" s="14" t="s">
        <v>18</v>
      </c>
      <c r="G490" s="14" t="s">
        <v>19</v>
      </c>
      <c r="H490" s="14" t="s">
        <v>906</v>
      </c>
      <c r="I490" s="15" t="s">
        <v>959</v>
      </c>
      <c r="J490" s="16" t="str">
        <f>VLOOKUP(B490,baru!$B$2:$I$2271,4,FALSE)</f>
        <v>Reguler</v>
      </c>
      <c r="K490" s="16" t="str">
        <f>VLOOKUP(B490,baru!$B$2:$I$2271,5,FALSE)</f>
        <v>JAWA TENGAH</v>
      </c>
      <c r="L490" s="16" t="str">
        <f>VLOOKUP(B490,baru!$B$2:$I$2271,6,FALSE)</f>
        <v>BREBES</v>
      </c>
    </row>
    <row r="491" spans="1:12" hidden="1" x14ac:dyDescent="0.35">
      <c r="A491" s="13">
        <v>1565922</v>
      </c>
      <c r="B491" s="14" t="str">
        <f>"3329056807750001"</f>
        <v>3329056807750001</v>
      </c>
      <c r="C491" s="14" t="s">
        <v>1185</v>
      </c>
      <c r="D491" s="14" t="s">
        <v>10</v>
      </c>
      <c r="E491" s="14" t="s">
        <v>11</v>
      </c>
      <c r="F491" s="14" t="s">
        <v>18</v>
      </c>
      <c r="G491" s="14" t="s">
        <v>19</v>
      </c>
      <c r="H491" s="14" t="s">
        <v>906</v>
      </c>
      <c r="I491" s="15" t="s">
        <v>959</v>
      </c>
      <c r="J491" s="16" t="str">
        <f>VLOOKUP(B491,baru!$B$2:$I$2271,4,FALSE)</f>
        <v>Reguler</v>
      </c>
      <c r="K491" s="16" t="str">
        <f>VLOOKUP(B491,baru!$B$2:$I$2271,5,FALSE)</f>
        <v>JAWA TENGAH</v>
      </c>
      <c r="L491" s="16" t="str">
        <f>VLOOKUP(B491,baru!$B$2:$I$2271,6,FALSE)</f>
        <v>BREBES</v>
      </c>
    </row>
    <row r="492" spans="1:12" hidden="1" x14ac:dyDescent="0.35">
      <c r="A492" s="6">
        <v>251907</v>
      </c>
      <c r="B492" s="7" t="str">
        <f>"3329066110950002"</f>
        <v>3329066110950002</v>
      </c>
      <c r="C492" s="7" t="s">
        <v>1187</v>
      </c>
      <c r="D492" s="7" t="s">
        <v>10</v>
      </c>
      <c r="E492" s="7" t="s">
        <v>11</v>
      </c>
      <c r="F492" s="7" t="s">
        <v>18</v>
      </c>
      <c r="G492" s="7" t="s">
        <v>264</v>
      </c>
      <c r="H492" s="7" t="s">
        <v>468</v>
      </c>
      <c r="I492" s="8" t="s">
        <v>1188</v>
      </c>
    </row>
    <row r="493" spans="1:12" hidden="1" x14ac:dyDescent="0.35">
      <c r="A493" s="6">
        <v>1509952</v>
      </c>
      <c r="B493" s="7" t="str">
        <f>"3329104709830006"</f>
        <v>3329104709830006</v>
      </c>
      <c r="C493" s="7" t="s">
        <v>1189</v>
      </c>
      <c r="D493" s="7" t="s">
        <v>10</v>
      </c>
      <c r="E493" s="7" t="s">
        <v>11</v>
      </c>
      <c r="F493" s="7" t="s">
        <v>18</v>
      </c>
      <c r="G493" s="7" t="s">
        <v>264</v>
      </c>
      <c r="H493" s="7" t="s">
        <v>273</v>
      </c>
      <c r="I493" s="8" t="s">
        <v>274</v>
      </c>
    </row>
    <row r="494" spans="1:12" hidden="1" x14ac:dyDescent="0.35">
      <c r="A494" s="6">
        <v>489259</v>
      </c>
      <c r="B494" s="7" t="str">
        <f>"3329120708950007"</f>
        <v>3329120708950007</v>
      </c>
      <c r="C494" s="7" t="s">
        <v>1190</v>
      </c>
      <c r="D494" s="7" t="s">
        <v>10</v>
      </c>
      <c r="E494" s="7" t="s">
        <v>11</v>
      </c>
      <c r="F494" s="7" t="s">
        <v>18</v>
      </c>
      <c r="G494" s="7" t="s">
        <v>264</v>
      </c>
      <c r="H494" s="7" t="s">
        <v>877</v>
      </c>
      <c r="I494" s="8" t="s">
        <v>1191</v>
      </c>
    </row>
    <row r="495" spans="1:12" hidden="1" x14ac:dyDescent="0.35">
      <c r="A495" s="6">
        <v>94942</v>
      </c>
      <c r="B495" s="7" t="str">
        <f>"3329140706740005"</f>
        <v>3329140706740005</v>
      </c>
      <c r="C495" s="7" t="s">
        <v>1192</v>
      </c>
      <c r="D495" s="7" t="s">
        <v>10</v>
      </c>
      <c r="E495" s="7" t="s">
        <v>11</v>
      </c>
      <c r="F495" s="7" t="s">
        <v>18</v>
      </c>
      <c r="G495" s="7" t="s">
        <v>264</v>
      </c>
      <c r="H495" s="7" t="s">
        <v>477</v>
      </c>
      <c r="I495" s="8" t="s">
        <v>480</v>
      </c>
    </row>
    <row r="496" spans="1:12" hidden="1" x14ac:dyDescent="0.35">
      <c r="A496" s="6">
        <v>1553434</v>
      </c>
      <c r="B496" s="7" t="str">
        <f>"3329154106960008"</f>
        <v>3329154106960008</v>
      </c>
      <c r="C496" s="7" t="s">
        <v>1194</v>
      </c>
      <c r="D496" s="7" t="s">
        <v>10</v>
      </c>
      <c r="E496" s="7" t="s">
        <v>11</v>
      </c>
      <c r="F496" s="7" t="s">
        <v>18</v>
      </c>
      <c r="G496" s="7" t="s">
        <v>264</v>
      </c>
      <c r="H496" s="7" t="s">
        <v>330</v>
      </c>
      <c r="I496" s="8" t="s">
        <v>331</v>
      </c>
    </row>
    <row r="497" spans="1:12" hidden="1" x14ac:dyDescent="0.35">
      <c r="A497" s="6">
        <v>853642</v>
      </c>
      <c r="B497" s="7" t="str">
        <f>"3329165011940006"</f>
        <v>3329165011940006</v>
      </c>
      <c r="C497" s="7" t="s">
        <v>1195</v>
      </c>
      <c r="D497" s="7" t="s">
        <v>10</v>
      </c>
      <c r="E497" s="7" t="s">
        <v>11</v>
      </c>
      <c r="F497" s="7" t="s">
        <v>18</v>
      </c>
      <c r="G497" s="7" t="s">
        <v>264</v>
      </c>
      <c r="H497" s="7" t="s">
        <v>344</v>
      </c>
      <c r="I497" s="8" t="s">
        <v>492</v>
      </c>
    </row>
    <row r="498" spans="1:12" hidden="1" x14ac:dyDescent="0.35">
      <c r="A498" s="6">
        <v>128574</v>
      </c>
      <c r="B498" s="7" t="str">
        <f>"3376020804950002"</f>
        <v>3376020804950002</v>
      </c>
      <c r="C498" s="7" t="s">
        <v>1197</v>
      </c>
      <c r="D498" s="7" t="s">
        <v>10</v>
      </c>
      <c r="E498" s="7" t="s">
        <v>11</v>
      </c>
      <c r="F498" s="7" t="s">
        <v>91</v>
      </c>
      <c r="G498" s="7" t="s">
        <v>92</v>
      </c>
      <c r="H498" s="7" t="s">
        <v>673</v>
      </c>
      <c r="I498" s="8" t="s">
        <v>1198</v>
      </c>
    </row>
    <row r="499" spans="1:12" hidden="1" x14ac:dyDescent="0.35">
      <c r="A499" s="6">
        <v>418122</v>
      </c>
      <c r="B499" s="7" t="str">
        <f>"3376041903670001"</f>
        <v>3376041903670001</v>
      </c>
      <c r="C499" s="7" t="s">
        <v>1199</v>
      </c>
      <c r="D499" s="7" t="s">
        <v>10</v>
      </c>
      <c r="E499" s="7" t="s">
        <v>11</v>
      </c>
      <c r="F499" s="7" t="s">
        <v>18</v>
      </c>
      <c r="G499" s="7" t="s">
        <v>268</v>
      </c>
      <c r="H499" s="7" t="s">
        <v>448</v>
      </c>
      <c r="I499" s="8" t="s">
        <v>888</v>
      </c>
    </row>
    <row r="500" spans="1:12" hidden="1" x14ac:dyDescent="0.35">
      <c r="A500" s="6">
        <v>409242</v>
      </c>
      <c r="B500" s="7" t="str">
        <f>"3403100809760001"</f>
        <v>3403100809760001</v>
      </c>
      <c r="C500" s="7" t="s">
        <v>1201</v>
      </c>
      <c r="D500" s="7" t="s">
        <v>10</v>
      </c>
      <c r="E500" s="7" t="s">
        <v>11</v>
      </c>
      <c r="F500" s="7" t="s">
        <v>379</v>
      </c>
      <c r="G500" s="7" t="s">
        <v>1202</v>
      </c>
      <c r="H500" s="7" t="s">
        <v>1203</v>
      </c>
      <c r="I500" s="8" t="s">
        <v>1204</v>
      </c>
    </row>
    <row r="501" spans="1:12" hidden="1" x14ac:dyDescent="0.35">
      <c r="A501" s="13">
        <v>1594987</v>
      </c>
      <c r="B501" s="14" t="str">
        <f>"3404071111810012"</f>
        <v>3404071111810012</v>
      </c>
      <c r="C501" s="14" t="s">
        <v>1205</v>
      </c>
      <c r="D501" s="14" t="s">
        <v>10</v>
      </c>
      <c r="E501" s="14" t="s">
        <v>11</v>
      </c>
      <c r="F501" s="14" t="s">
        <v>18</v>
      </c>
      <c r="G501" s="14" t="s">
        <v>19</v>
      </c>
      <c r="H501" s="14" t="s">
        <v>906</v>
      </c>
      <c r="I501" s="15" t="s">
        <v>978</v>
      </c>
      <c r="J501" s="16" t="str">
        <f>VLOOKUP(B501,baru!$B$2:$I$2271,4,FALSE)</f>
        <v>Reguler</v>
      </c>
      <c r="K501" s="16" t="str">
        <f>VLOOKUP(B501,baru!$B$2:$I$2271,5,FALSE)</f>
        <v>DAERAH ISTIMEWA YOGYAKARTA</v>
      </c>
      <c r="L501" s="16" t="str">
        <f>VLOOKUP(B501,baru!$B$2:$I$2271,6,FALSE)</f>
        <v>SLEMAN</v>
      </c>
    </row>
    <row r="502" spans="1:12" hidden="1" x14ac:dyDescent="0.35">
      <c r="A502" s="13">
        <v>1590036</v>
      </c>
      <c r="B502" s="14" t="str">
        <f>"3602071604970001"</f>
        <v>3602071604970001</v>
      </c>
      <c r="C502" s="14" t="s">
        <v>1209</v>
      </c>
      <c r="D502" s="14" t="s">
        <v>10</v>
      </c>
      <c r="E502" s="14" t="s">
        <v>11</v>
      </c>
      <c r="F502" s="14" t="s">
        <v>18</v>
      </c>
      <c r="G502" s="14" t="s">
        <v>19</v>
      </c>
      <c r="H502" s="14" t="s">
        <v>906</v>
      </c>
      <c r="I502" s="15" t="s">
        <v>929</v>
      </c>
      <c r="J502" s="16" t="str">
        <f>VLOOKUP(B502,baru!$B$2:$I$2271,4,FALSE)</f>
        <v>Reguler</v>
      </c>
      <c r="K502" s="16" t="str">
        <f>VLOOKUP(B502,baru!$B$2:$I$2271,5,FALSE)</f>
        <v>BANTEN</v>
      </c>
      <c r="L502" s="16" t="str">
        <f>VLOOKUP(B502,baru!$B$2:$I$2271,6,FALSE)</f>
        <v>LEBAK</v>
      </c>
    </row>
    <row r="503" spans="1:12" hidden="1" x14ac:dyDescent="0.35">
      <c r="A503" s="6">
        <v>2785567</v>
      </c>
      <c r="B503" s="7" t="str">
        <f>"3671032707930003"</f>
        <v>3671032707930003</v>
      </c>
      <c r="C503" s="7" t="s">
        <v>1213</v>
      </c>
      <c r="D503" s="7" t="s">
        <v>10</v>
      </c>
      <c r="E503" s="7" t="s">
        <v>11</v>
      </c>
      <c r="F503" s="7" t="s">
        <v>67</v>
      </c>
      <c r="G503" s="7" t="s">
        <v>512</v>
      </c>
      <c r="H503" s="7" t="s">
        <v>1214</v>
      </c>
      <c r="I503" s="8" t="s">
        <v>1215</v>
      </c>
    </row>
    <row r="504" spans="1:12" hidden="1" x14ac:dyDescent="0.35">
      <c r="A504" s="6">
        <v>127261</v>
      </c>
      <c r="B504" s="7" t="str">
        <f>"7372024607980005"</f>
        <v>7372024607980005</v>
      </c>
      <c r="C504" s="7" t="s">
        <v>1221</v>
      </c>
      <c r="D504" s="7" t="s">
        <v>10</v>
      </c>
      <c r="E504" s="7" t="s">
        <v>11</v>
      </c>
      <c r="F504" s="7" t="s">
        <v>954</v>
      </c>
      <c r="G504" s="7" t="s">
        <v>1222</v>
      </c>
      <c r="H504" s="7" t="s">
        <v>1223</v>
      </c>
      <c r="I504" s="8" t="s">
        <v>1224</v>
      </c>
    </row>
    <row r="505" spans="1:12" x14ac:dyDescent="0.35">
      <c r="A505" s="13">
        <v>2405439</v>
      </c>
      <c r="B505" s="14" t="str">
        <f>"1205016609940001"</f>
        <v>1205016609940001</v>
      </c>
      <c r="C505" s="14" t="s">
        <v>1229</v>
      </c>
      <c r="D505" s="14" t="s">
        <v>189</v>
      </c>
      <c r="E505" s="14" t="s">
        <v>11</v>
      </c>
      <c r="F505" s="14" t="s">
        <v>18</v>
      </c>
      <c r="G505" s="14" t="s">
        <v>19</v>
      </c>
      <c r="H505" s="14" t="s">
        <v>745</v>
      </c>
      <c r="I505" s="15" t="s">
        <v>1230</v>
      </c>
      <c r="J505" s="16" t="str">
        <f>VLOOKUP(B505,baru!$B$2:$I$2271,4,FALSE)</f>
        <v>Reguler</v>
      </c>
      <c r="K505" s="16" t="str">
        <f>VLOOKUP(B505,baru!$B$2:$I$2271,5,FALSE)</f>
        <v>SUMATERA UTARA</v>
      </c>
      <c r="L505" s="16" t="str">
        <f>VLOOKUP(B505,baru!$B$2:$I$2271,6,FALSE)</f>
        <v>LANGKAT</v>
      </c>
    </row>
    <row r="506" spans="1:12" hidden="1" x14ac:dyDescent="0.35">
      <c r="A506" s="6">
        <v>679977</v>
      </c>
      <c r="B506" s="7" t="str">
        <f>"1371012009780009"</f>
        <v>1371012009780009</v>
      </c>
      <c r="C506" s="7" t="s">
        <v>1231</v>
      </c>
      <c r="D506" s="7" t="s">
        <v>10</v>
      </c>
      <c r="E506" s="7" t="s">
        <v>11</v>
      </c>
      <c r="F506" s="7" t="s">
        <v>12</v>
      </c>
      <c r="G506" s="7" t="s">
        <v>1232</v>
      </c>
      <c r="H506" s="7" t="s">
        <v>1233</v>
      </c>
      <c r="I506" s="8" t="s">
        <v>1234</v>
      </c>
    </row>
    <row r="507" spans="1:12" hidden="1" x14ac:dyDescent="0.35">
      <c r="A507" s="6">
        <v>679978</v>
      </c>
      <c r="B507" s="7" t="str">
        <f>"1371014505860014"</f>
        <v>1371014505860014</v>
      </c>
      <c r="C507" s="7" t="s">
        <v>1236</v>
      </c>
      <c r="D507" s="7" t="s">
        <v>10</v>
      </c>
      <c r="E507" s="7" t="s">
        <v>11</v>
      </c>
      <c r="F507" s="7" t="s">
        <v>12</v>
      </c>
      <c r="G507" s="7" t="s">
        <v>1232</v>
      </c>
      <c r="H507" s="7" t="s">
        <v>1233</v>
      </c>
      <c r="I507" s="8" t="s">
        <v>1234</v>
      </c>
    </row>
    <row r="508" spans="1:12" hidden="1" x14ac:dyDescent="0.35">
      <c r="A508" s="6">
        <v>568326</v>
      </c>
      <c r="B508" s="7" t="str">
        <f>"1371061008810001"</f>
        <v>1371061008810001</v>
      </c>
      <c r="C508" s="7" t="s">
        <v>1237</v>
      </c>
      <c r="D508" s="7" t="s">
        <v>10</v>
      </c>
      <c r="E508" s="7" t="s">
        <v>11</v>
      </c>
      <c r="F508" s="7" t="s">
        <v>12</v>
      </c>
      <c r="G508" s="7" t="s">
        <v>1232</v>
      </c>
      <c r="H508" s="7" t="s">
        <v>1238</v>
      </c>
      <c r="I508" s="8" t="s">
        <v>1239</v>
      </c>
    </row>
    <row r="509" spans="1:12" hidden="1" x14ac:dyDescent="0.35">
      <c r="A509" s="6">
        <v>566664</v>
      </c>
      <c r="B509" s="7" t="str">
        <f>"1371062107720007"</f>
        <v>1371062107720007</v>
      </c>
      <c r="C509" s="7" t="s">
        <v>1241</v>
      </c>
      <c r="D509" s="7" t="s">
        <v>10</v>
      </c>
      <c r="E509" s="7" t="s">
        <v>11</v>
      </c>
      <c r="F509" s="7" t="s">
        <v>12</v>
      </c>
      <c r="G509" s="7" t="s">
        <v>1232</v>
      </c>
      <c r="H509" s="7" t="s">
        <v>1238</v>
      </c>
      <c r="I509" s="8" t="s">
        <v>1239</v>
      </c>
    </row>
    <row r="510" spans="1:12" hidden="1" x14ac:dyDescent="0.35">
      <c r="A510" s="6">
        <v>577697</v>
      </c>
      <c r="B510" s="7" t="str">
        <f>"1371064807000007"</f>
        <v>1371064807000007</v>
      </c>
      <c r="C510" s="7" t="s">
        <v>1242</v>
      </c>
      <c r="D510" s="7" t="s">
        <v>10</v>
      </c>
      <c r="E510" s="7" t="s">
        <v>11</v>
      </c>
      <c r="F510" s="7" t="s">
        <v>12</v>
      </c>
      <c r="G510" s="7" t="s">
        <v>1232</v>
      </c>
      <c r="H510" s="7" t="s">
        <v>1238</v>
      </c>
      <c r="I510" s="8" t="s">
        <v>1243</v>
      </c>
    </row>
    <row r="511" spans="1:12" hidden="1" x14ac:dyDescent="0.35">
      <c r="A511" s="6">
        <v>568328</v>
      </c>
      <c r="B511" s="7" t="str">
        <f>"1371065310870001"</f>
        <v>1371065310870001</v>
      </c>
      <c r="C511" s="7" t="s">
        <v>1245</v>
      </c>
      <c r="D511" s="7" t="s">
        <v>10</v>
      </c>
      <c r="E511" s="7" t="s">
        <v>11</v>
      </c>
      <c r="F511" s="7" t="s">
        <v>12</v>
      </c>
      <c r="G511" s="7" t="s">
        <v>1232</v>
      </c>
      <c r="H511" s="7" t="s">
        <v>1238</v>
      </c>
      <c r="I511" s="8" t="s">
        <v>1239</v>
      </c>
    </row>
    <row r="512" spans="1:12" hidden="1" x14ac:dyDescent="0.35">
      <c r="A512" s="6">
        <v>566662</v>
      </c>
      <c r="B512" s="7" t="str">
        <f>"1371065907750001"</f>
        <v>1371065907750001</v>
      </c>
      <c r="C512" s="7" t="s">
        <v>1247</v>
      </c>
      <c r="D512" s="7" t="s">
        <v>10</v>
      </c>
      <c r="E512" s="7" t="s">
        <v>11</v>
      </c>
      <c r="F512" s="7" t="s">
        <v>12</v>
      </c>
      <c r="G512" s="7" t="s">
        <v>1232</v>
      </c>
      <c r="H512" s="7" t="s">
        <v>1238</v>
      </c>
      <c r="I512" s="8" t="s">
        <v>1239</v>
      </c>
    </row>
    <row r="513" spans="1:9" hidden="1" x14ac:dyDescent="0.35">
      <c r="A513" s="6">
        <v>701307</v>
      </c>
      <c r="B513" s="7" t="str">
        <f>"3171031902050003"</f>
        <v>3171031902050003</v>
      </c>
      <c r="C513" s="7" t="s">
        <v>1248</v>
      </c>
      <c r="D513" s="7" t="s">
        <v>10</v>
      </c>
      <c r="E513" s="7" t="s">
        <v>11</v>
      </c>
      <c r="F513" s="7" t="s">
        <v>50</v>
      </c>
      <c r="G513" s="7" t="s">
        <v>280</v>
      </c>
      <c r="H513" s="7" t="s">
        <v>402</v>
      </c>
      <c r="I513" s="8" t="s">
        <v>1249</v>
      </c>
    </row>
    <row r="514" spans="1:9" hidden="1" x14ac:dyDescent="0.35">
      <c r="A514" s="6">
        <v>701463</v>
      </c>
      <c r="B514" s="7" t="str">
        <f>"3171032905720005"</f>
        <v>3171032905720005</v>
      </c>
      <c r="C514" s="7" t="s">
        <v>1251</v>
      </c>
      <c r="D514" s="7" t="s">
        <v>10</v>
      </c>
      <c r="E514" s="7" t="s">
        <v>11</v>
      </c>
      <c r="F514" s="7" t="s">
        <v>50</v>
      </c>
      <c r="G514" s="7" t="s">
        <v>280</v>
      </c>
      <c r="H514" s="7" t="s">
        <v>402</v>
      </c>
      <c r="I514" s="8" t="s">
        <v>1249</v>
      </c>
    </row>
    <row r="515" spans="1:9" hidden="1" x14ac:dyDescent="0.35">
      <c r="A515" s="6">
        <v>701462</v>
      </c>
      <c r="B515" s="7" t="str">
        <f>"3171036911830001"</f>
        <v>3171036911830001</v>
      </c>
      <c r="C515" s="7" t="s">
        <v>1253</v>
      </c>
      <c r="D515" s="7" t="s">
        <v>10</v>
      </c>
      <c r="E515" s="7" t="s">
        <v>11</v>
      </c>
      <c r="F515" s="7" t="s">
        <v>50</v>
      </c>
      <c r="G515" s="7" t="s">
        <v>280</v>
      </c>
      <c r="H515" s="7" t="s">
        <v>402</v>
      </c>
      <c r="I515" s="8" t="s">
        <v>1249</v>
      </c>
    </row>
    <row r="516" spans="1:9" hidden="1" x14ac:dyDescent="0.35">
      <c r="A516" s="6">
        <v>426541</v>
      </c>
      <c r="B516" s="7" t="str">
        <f>"3171070712860001"</f>
        <v>3171070712860001</v>
      </c>
      <c r="C516" s="7" t="s">
        <v>1255</v>
      </c>
      <c r="D516" s="7" t="s">
        <v>10</v>
      </c>
      <c r="E516" s="7" t="s">
        <v>11</v>
      </c>
      <c r="F516" s="7" t="s">
        <v>50</v>
      </c>
      <c r="G516" s="7" t="s">
        <v>280</v>
      </c>
      <c r="H516" s="7" t="s">
        <v>281</v>
      </c>
      <c r="I516" s="8" t="s">
        <v>1256</v>
      </c>
    </row>
    <row r="517" spans="1:9" hidden="1" x14ac:dyDescent="0.35">
      <c r="A517" s="6">
        <v>55087</v>
      </c>
      <c r="B517" s="7" t="str">
        <f>"3171071301830001"</f>
        <v>3171071301830001</v>
      </c>
      <c r="C517" s="7" t="s">
        <v>1258</v>
      </c>
      <c r="D517" s="7" t="s">
        <v>10</v>
      </c>
      <c r="E517" s="7" t="s">
        <v>11</v>
      </c>
      <c r="F517" s="7" t="s">
        <v>50</v>
      </c>
      <c r="G517" s="7" t="s">
        <v>72</v>
      </c>
      <c r="H517" s="7" t="s">
        <v>703</v>
      </c>
      <c r="I517" s="8" t="s">
        <v>1259</v>
      </c>
    </row>
    <row r="518" spans="1:9" hidden="1" x14ac:dyDescent="0.35">
      <c r="A518" s="6">
        <v>1084426</v>
      </c>
      <c r="B518" s="7" t="str">
        <f>"3172010607790001"</f>
        <v>3172010607790001</v>
      </c>
      <c r="C518" s="7" t="s">
        <v>1261</v>
      </c>
      <c r="D518" s="7" t="s">
        <v>10</v>
      </c>
      <c r="E518" s="7" t="s">
        <v>11</v>
      </c>
      <c r="F518" s="7" t="s">
        <v>50</v>
      </c>
      <c r="G518" s="7" t="s">
        <v>51</v>
      </c>
      <c r="H518" s="7" t="s">
        <v>52</v>
      </c>
      <c r="I518" s="8" t="s">
        <v>52</v>
      </c>
    </row>
    <row r="519" spans="1:9" hidden="1" x14ac:dyDescent="0.35">
      <c r="A519" s="6">
        <v>1075217</v>
      </c>
      <c r="B519" s="7" t="str">
        <f>"3172012704910009"</f>
        <v>3172012704910009</v>
      </c>
      <c r="C519" s="7" t="s">
        <v>1263</v>
      </c>
      <c r="D519" s="7" t="s">
        <v>10</v>
      </c>
      <c r="E519" s="7" t="s">
        <v>11</v>
      </c>
      <c r="F519" s="7" t="s">
        <v>50</v>
      </c>
      <c r="G519" s="7" t="s">
        <v>51</v>
      </c>
      <c r="H519" s="7" t="s">
        <v>52</v>
      </c>
      <c r="I519" s="8" t="s">
        <v>52</v>
      </c>
    </row>
    <row r="520" spans="1:9" hidden="1" x14ac:dyDescent="0.35">
      <c r="A520" s="6">
        <v>875062</v>
      </c>
      <c r="B520" s="7" t="str">
        <f>"3172050207900004"</f>
        <v>3172050207900004</v>
      </c>
      <c r="C520" s="7" t="s">
        <v>1265</v>
      </c>
      <c r="D520" s="7" t="s">
        <v>10</v>
      </c>
      <c r="E520" s="7" t="s">
        <v>11</v>
      </c>
      <c r="F520" s="7" t="s">
        <v>50</v>
      </c>
      <c r="G520" s="7" t="s">
        <v>51</v>
      </c>
      <c r="H520" s="7" t="s">
        <v>922</v>
      </c>
      <c r="I520" s="8" t="s">
        <v>923</v>
      </c>
    </row>
    <row r="521" spans="1:9" hidden="1" x14ac:dyDescent="0.35">
      <c r="A521" s="6">
        <v>1888636</v>
      </c>
      <c r="B521" s="7" t="str">
        <f>"3173011509810015"</f>
        <v>3173011509810015</v>
      </c>
      <c r="C521" s="7" t="s">
        <v>1267</v>
      </c>
      <c r="D521" s="7" t="s">
        <v>10</v>
      </c>
      <c r="E521" s="7" t="s">
        <v>11</v>
      </c>
      <c r="F521" s="7" t="s">
        <v>50</v>
      </c>
      <c r="G521" s="7" t="s">
        <v>86</v>
      </c>
      <c r="H521" s="7" t="s">
        <v>1268</v>
      </c>
      <c r="I521" s="8" t="s">
        <v>1269</v>
      </c>
    </row>
    <row r="522" spans="1:9" hidden="1" x14ac:dyDescent="0.35">
      <c r="A522" s="6">
        <v>443433</v>
      </c>
      <c r="B522" s="7" t="str">
        <f>"3173041008860008"</f>
        <v>3173041008860008</v>
      </c>
      <c r="C522" s="7" t="s">
        <v>1270</v>
      </c>
      <c r="D522" s="7" t="s">
        <v>10</v>
      </c>
      <c r="E522" s="7" t="s">
        <v>11</v>
      </c>
      <c r="F522" s="7" t="s">
        <v>18</v>
      </c>
      <c r="G522" s="7" t="s">
        <v>1271</v>
      </c>
      <c r="H522" s="7" t="s">
        <v>1272</v>
      </c>
      <c r="I522" s="8" t="s">
        <v>1273</v>
      </c>
    </row>
    <row r="523" spans="1:9" x14ac:dyDescent="0.35">
      <c r="A523" s="6">
        <v>246225</v>
      </c>
      <c r="B523" s="7" t="str">
        <f>"3173055311000001"</f>
        <v>3173055311000001</v>
      </c>
      <c r="C523" s="7" t="s">
        <v>1275</v>
      </c>
      <c r="D523" s="7" t="s">
        <v>189</v>
      </c>
      <c r="E523" s="7" t="s">
        <v>11</v>
      </c>
      <c r="F523" s="7" t="s">
        <v>18</v>
      </c>
      <c r="G523" s="7" t="s">
        <v>268</v>
      </c>
      <c r="H523" s="7" t="s">
        <v>371</v>
      </c>
      <c r="I523" s="8" t="s">
        <v>497</v>
      </c>
    </row>
    <row r="524" spans="1:9" hidden="1" x14ac:dyDescent="0.35">
      <c r="A524" s="6">
        <v>987825</v>
      </c>
      <c r="B524" s="7" t="str">
        <f>"3173064706820025"</f>
        <v>3173064706820025</v>
      </c>
      <c r="C524" s="7" t="s">
        <v>1276</v>
      </c>
      <c r="D524" s="7" t="s">
        <v>10</v>
      </c>
      <c r="E524" s="7" t="s">
        <v>11</v>
      </c>
      <c r="F524" s="7" t="s">
        <v>50</v>
      </c>
      <c r="G524" s="7" t="s">
        <v>86</v>
      </c>
      <c r="H524" s="7" t="s">
        <v>87</v>
      </c>
      <c r="I524" s="8" t="s">
        <v>88</v>
      </c>
    </row>
    <row r="525" spans="1:9" hidden="1" x14ac:dyDescent="0.35">
      <c r="A525" s="6">
        <v>924666</v>
      </c>
      <c r="B525" s="7" t="str">
        <f>"3174021512011001"</f>
        <v>3174021512011001</v>
      </c>
      <c r="C525" s="7" t="s">
        <v>1278</v>
      </c>
      <c r="D525" s="7" t="s">
        <v>10</v>
      </c>
      <c r="E525" s="7" t="s">
        <v>11</v>
      </c>
      <c r="F525" s="7" t="s">
        <v>50</v>
      </c>
      <c r="G525" s="7" t="s">
        <v>72</v>
      </c>
      <c r="H525" s="7" t="s">
        <v>703</v>
      </c>
      <c r="I525" s="8" t="s">
        <v>1061</v>
      </c>
    </row>
    <row r="526" spans="1:9" hidden="1" x14ac:dyDescent="0.35">
      <c r="A526" s="6">
        <v>924665</v>
      </c>
      <c r="B526" s="7" t="str">
        <f>"3174024806680003"</f>
        <v>3174024806680003</v>
      </c>
      <c r="C526" s="7" t="s">
        <v>1279</v>
      </c>
      <c r="D526" s="7" t="s">
        <v>10</v>
      </c>
      <c r="E526" s="7" t="s">
        <v>11</v>
      </c>
      <c r="F526" s="7" t="s">
        <v>50</v>
      </c>
      <c r="G526" s="7" t="s">
        <v>72</v>
      </c>
      <c r="H526" s="7" t="s">
        <v>703</v>
      </c>
      <c r="I526" s="8" t="s">
        <v>1061</v>
      </c>
    </row>
    <row r="527" spans="1:9" hidden="1" x14ac:dyDescent="0.35">
      <c r="A527" s="6">
        <v>516298</v>
      </c>
      <c r="B527" s="7" t="str">
        <f>"3174073011410003"</f>
        <v>3174073011410003</v>
      </c>
      <c r="C527" s="7" t="s">
        <v>1280</v>
      </c>
      <c r="D527" s="7" t="s">
        <v>10</v>
      </c>
      <c r="E527" s="7" t="s">
        <v>11</v>
      </c>
      <c r="F527" s="7" t="s">
        <v>50</v>
      </c>
      <c r="G527" s="7" t="s">
        <v>72</v>
      </c>
      <c r="H527" s="7" t="s">
        <v>628</v>
      </c>
      <c r="I527" s="8" t="s">
        <v>1281</v>
      </c>
    </row>
    <row r="528" spans="1:9" hidden="1" x14ac:dyDescent="0.35">
      <c r="A528" s="6">
        <v>863732</v>
      </c>
      <c r="B528" s="7" t="str">
        <f>"3175011010760009"</f>
        <v>3175011010760009</v>
      </c>
      <c r="C528" s="7" t="s">
        <v>1282</v>
      </c>
      <c r="D528" s="7" t="s">
        <v>10</v>
      </c>
      <c r="E528" s="7" t="s">
        <v>11</v>
      </c>
      <c r="F528" s="7" t="s">
        <v>50</v>
      </c>
      <c r="G528" s="7" t="s">
        <v>58</v>
      </c>
      <c r="H528" s="7" t="s">
        <v>1283</v>
      </c>
      <c r="I528" s="8" t="s">
        <v>1284</v>
      </c>
    </row>
    <row r="529" spans="1:12" hidden="1" x14ac:dyDescent="0.35">
      <c r="A529" s="6">
        <v>2371742</v>
      </c>
      <c r="B529" s="7" t="str">
        <f>"3175054606861002"</f>
        <v>3175054606861002</v>
      </c>
      <c r="C529" s="7" t="s">
        <v>1285</v>
      </c>
      <c r="D529" s="7" t="s">
        <v>10</v>
      </c>
      <c r="E529" s="7" t="s">
        <v>11</v>
      </c>
      <c r="F529" s="7" t="s">
        <v>18</v>
      </c>
      <c r="G529" s="7" t="s">
        <v>19</v>
      </c>
      <c r="H529" s="7" t="s">
        <v>745</v>
      </c>
      <c r="I529" s="8" t="s">
        <v>746</v>
      </c>
      <c r="J529" t="e">
        <f>VLOOKUP(B529,baru!$B$2:$I$2271,4,FALSE)</f>
        <v>#N/A</v>
      </c>
      <c r="K529" t="e">
        <f>VLOOKUP(B529,baru!$B$2:$I$2271,5,FALSE)</f>
        <v>#N/A</v>
      </c>
      <c r="L529" t="e">
        <f>VLOOKUP(B529,baru!$B$2:$I$2271,6,FALSE)</f>
        <v>#N/A</v>
      </c>
    </row>
    <row r="530" spans="1:12" hidden="1" x14ac:dyDescent="0.35">
      <c r="A530" s="6">
        <v>1352168</v>
      </c>
      <c r="B530" s="7" t="str">
        <f>"3175054606861002"</f>
        <v>3175054606861002</v>
      </c>
      <c r="C530" s="7" t="s">
        <v>1286</v>
      </c>
      <c r="D530" s="7" t="s">
        <v>10</v>
      </c>
      <c r="E530" s="7" t="s">
        <v>57</v>
      </c>
      <c r="F530" s="7" t="s">
        <v>303</v>
      </c>
      <c r="G530" s="7" t="s">
        <v>608</v>
      </c>
      <c r="H530" s="7" t="s">
        <v>609</v>
      </c>
      <c r="I530" s="8" t="s">
        <v>610</v>
      </c>
    </row>
    <row r="531" spans="1:12" hidden="1" x14ac:dyDescent="0.35">
      <c r="A531" s="6">
        <v>617234</v>
      </c>
      <c r="B531" s="7" t="str">
        <f>"3175060510760021"</f>
        <v>3175060510760021</v>
      </c>
      <c r="C531" s="7" t="s">
        <v>1287</v>
      </c>
      <c r="D531" s="7" t="s">
        <v>10</v>
      </c>
      <c r="E531" s="7" t="s">
        <v>11</v>
      </c>
      <c r="F531" s="7" t="s">
        <v>91</v>
      </c>
      <c r="G531" s="7" t="s">
        <v>159</v>
      </c>
      <c r="H531" s="7" t="s">
        <v>1288</v>
      </c>
      <c r="I531" s="8" t="s">
        <v>1289</v>
      </c>
    </row>
    <row r="532" spans="1:12" hidden="1" x14ac:dyDescent="0.35">
      <c r="A532" s="6">
        <v>1613407</v>
      </c>
      <c r="B532" s="7" t="str">
        <f>"3175071708760017"</f>
        <v>3175071708760017</v>
      </c>
      <c r="C532" s="7" t="s">
        <v>1290</v>
      </c>
      <c r="D532" s="7" t="s">
        <v>10</v>
      </c>
      <c r="E532" s="7" t="s">
        <v>11</v>
      </c>
      <c r="F532" s="7" t="s">
        <v>50</v>
      </c>
      <c r="G532" s="7" t="s">
        <v>58</v>
      </c>
      <c r="H532" s="7" t="s">
        <v>1283</v>
      </c>
      <c r="I532" s="8" t="s">
        <v>1291</v>
      </c>
    </row>
    <row r="533" spans="1:12" hidden="1" x14ac:dyDescent="0.35">
      <c r="A533" s="6">
        <v>540259</v>
      </c>
      <c r="B533" s="7" t="str">
        <f>"3175105704850002"</f>
        <v>3175105704850002</v>
      </c>
      <c r="C533" s="7" t="s">
        <v>421</v>
      </c>
      <c r="D533" s="7" t="s">
        <v>10</v>
      </c>
      <c r="E533" s="7" t="s">
        <v>11</v>
      </c>
      <c r="F533" s="7" t="s">
        <v>50</v>
      </c>
      <c r="G533" s="7" t="s">
        <v>58</v>
      </c>
      <c r="H533" s="7" t="s">
        <v>316</v>
      </c>
      <c r="I533" s="8" t="s">
        <v>1293</v>
      </c>
    </row>
    <row r="534" spans="1:12" hidden="1" x14ac:dyDescent="0.35">
      <c r="A534" s="6">
        <v>4467147</v>
      </c>
      <c r="B534" s="7" t="str">
        <f>"3205380404760001"</f>
        <v>3205380404760001</v>
      </c>
      <c r="C534" s="7" t="s">
        <v>1294</v>
      </c>
      <c r="D534" s="7" t="s">
        <v>10</v>
      </c>
      <c r="E534" s="7" t="s">
        <v>11</v>
      </c>
      <c r="F534" s="7" t="s">
        <v>91</v>
      </c>
      <c r="G534" s="7" t="s">
        <v>1295</v>
      </c>
      <c r="H534" s="7" t="s">
        <v>1296</v>
      </c>
      <c r="I534" s="8" t="s">
        <v>1297</v>
      </c>
    </row>
    <row r="535" spans="1:12" hidden="1" x14ac:dyDescent="0.35">
      <c r="A535" s="6">
        <v>488818</v>
      </c>
      <c r="B535" s="7" t="str">
        <f>"3206230605670001"</f>
        <v>3206230605670001</v>
      </c>
      <c r="C535" s="7" t="s">
        <v>1299</v>
      </c>
      <c r="D535" s="7" t="s">
        <v>10</v>
      </c>
      <c r="E535" s="7" t="s">
        <v>11</v>
      </c>
      <c r="F535" s="7" t="s">
        <v>91</v>
      </c>
      <c r="G535" s="7" t="s">
        <v>1300</v>
      </c>
      <c r="H535" s="7" t="s">
        <v>1301</v>
      </c>
      <c r="I535" s="8" t="s">
        <v>1302</v>
      </c>
    </row>
    <row r="536" spans="1:12" hidden="1" x14ac:dyDescent="0.35">
      <c r="A536" s="6">
        <v>783535</v>
      </c>
      <c r="B536" s="7" t="str">
        <f>"3209065704940005"</f>
        <v>3209065704940005</v>
      </c>
      <c r="C536" s="7" t="s">
        <v>1304</v>
      </c>
      <c r="D536" s="7" t="s">
        <v>10</v>
      </c>
      <c r="E536" s="7" t="s">
        <v>11</v>
      </c>
      <c r="F536" s="7" t="s">
        <v>91</v>
      </c>
      <c r="G536" s="7" t="s">
        <v>903</v>
      </c>
      <c r="H536" s="7" t="s">
        <v>316</v>
      </c>
      <c r="I536" s="8" t="s">
        <v>1305</v>
      </c>
    </row>
    <row r="537" spans="1:12" hidden="1" x14ac:dyDescent="0.35">
      <c r="A537" s="6">
        <v>1494862</v>
      </c>
      <c r="B537" s="7" t="str">
        <f>"3209195607000009"</f>
        <v>3209195607000009</v>
      </c>
      <c r="C537" s="7" t="s">
        <v>1307</v>
      </c>
      <c r="D537" s="7" t="s">
        <v>10</v>
      </c>
      <c r="E537" s="7" t="s">
        <v>11</v>
      </c>
      <c r="F537" s="7" t="s">
        <v>91</v>
      </c>
      <c r="G537" s="7" t="s">
        <v>985</v>
      </c>
      <c r="H537" s="7" t="s">
        <v>1308</v>
      </c>
      <c r="I537" s="8" t="s">
        <v>1309</v>
      </c>
    </row>
    <row r="538" spans="1:12" hidden="1" x14ac:dyDescent="0.35">
      <c r="A538" s="6">
        <v>682106</v>
      </c>
      <c r="B538" s="7" t="str">
        <f>"3214120602670001"</f>
        <v>3214120602670001</v>
      </c>
      <c r="C538" s="7" t="s">
        <v>1310</v>
      </c>
      <c r="D538" s="7" t="s">
        <v>10</v>
      </c>
      <c r="E538" s="7" t="s">
        <v>11</v>
      </c>
      <c r="F538" s="7" t="s">
        <v>91</v>
      </c>
      <c r="G538" s="7" t="s">
        <v>119</v>
      </c>
      <c r="H538" s="7" t="s">
        <v>1311</v>
      </c>
      <c r="I538" s="8" t="s">
        <v>1312</v>
      </c>
    </row>
    <row r="539" spans="1:12" hidden="1" x14ac:dyDescent="0.35">
      <c r="A539" s="13">
        <v>2360492</v>
      </c>
      <c r="B539" s="14" t="str">
        <f>"3215024711010001"</f>
        <v>3215024711010001</v>
      </c>
      <c r="C539" s="14" t="s">
        <v>1313</v>
      </c>
      <c r="D539" s="14" t="s">
        <v>10</v>
      </c>
      <c r="E539" s="14" t="s">
        <v>11</v>
      </c>
      <c r="F539" s="14" t="s">
        <v>18</v>
      </c>
      <c r="G539" s="14" t="s">
        <v>19</v>
      </c>
      <c r="H539" s="14" t="s">
        <v>745</v>
      </c>
      <c r="I539" s="15" t="s">
        <v>1314</v>
      </c>
      <c r="J539" s="16" t="str">
        <f>VLOOKUP(B539,baru!$B$2:$I$2271,4,FALSE)</f>
        <v>Reguler</v>
      </c>
      <c r="K539" s="16" t="str">
        <f>VLOOKUP(B539,baru!$B$2:$I$2271,5,FALSE)</f>
        <v>JAWA BARAT</v>
      </c>
      <c r="L539" s="16" t="str">
        <f>VLOOKUP(B539,baru!$B$2:$I$2271,6,FALSE)</f>
        <v>KARAWANG</v>
      </c>
    </row>
    <row r="540" spans="1:12" x14ac:dyDescent="0.35">
      <c r="A540" s="6">
        <v>919364</v>
      </c>
      <c r="B540" s="7" t="str">
        <f>"3215216705000001"</f>
        <v>3215216705000001</v>
      </c>
      <c r="C540" s="7" t="s">
        <v>1317</v>
      </c>
      <c r="D540" s="7" t="s">
        <v>189</v>
      </c>
      <c r="E540" s="7" t="s">
        <v>11</v>
      </c>
      <c r="F540" s="7" t="s">
        <v>91</v>
      </c>
      <c r="G540" s="7" t="s">
        <v>320</v>
      </c>
      <c r="H540" s="7" t="s">
        <v>1319</v>
      </c>
      <c r="I540" s="8" t="s">
        <v>1320</v>
      </c>
    </row>
    <row r="541" spans="1:12" hidden="1" x14ac:dyDescent="0.35">
      <c r="A541" s="6">
        <v>1165245</v>
      </c>
      <c r="B541" s="7" t="str">
        <f>"3216196412890002"</f>
        <v>3216196412890002</v>
      </c>
      <c r="C541" s="7" t="s">
        <v>1321</v>
      </c>
      <c r="D541" s="7" t="s">
        <v>10</v>
      </c>
      <c r="E541" s="7" t="s">
        <v>11</v>
      </c>
      <c r="F541" s="7" t="s">
        <v>91</v>
      </c>
      <c r="G541" s="7" t="s">
        <v>92</v>
      </c>
      <c r="H541" s="7" t="s">
        <v>571</v>
      </c>
      <c r="I541" s="8" t="s">
        <v>1322</v>
      </c>
    </row>
    <row r="542" spans="1:12" hidden="1" x14ac:dyDescent="0.35">
      <c r="A542" s="6">
        <v>1310416</v>
      </c>
      <c r="B542" s="7" t="str">
        <f>"3273140604650001"</f>
        <v>3273140604650001</v>
      </c>
      <c r="C542" s="7" t="s">
        <v>1323</v>
      </c>
      <c r="D542" s="7" t="s">
        <v>10</v>
      </c>
      <c r="E542" s="7" t="s">
        <v>11</v>
      </c>
      <c r="F542" s="7" t="s">
        <v>91</v>
      </c>
      <c r="G542" s="7" t="s">
        <v>149</v>
      </c>
      <c r="H542" s="7" t="s">
        <v>1324</v>
      </c>
      <c r="I542" s="8" t="s">
        <v>1325</v>
      </c>
    </row>
    <row r="543" spans="1:12" hidden="1" x14ac:dyDescent="0.35">
      <c r="A543" s="6">
        <v>207654</v>
      </c>
      <c r="B543" s="7" t="str">
        <f>"3274042103800005"</f>
        <v>3274042103800005</v>
      </c>
      <c r="C543" s="7" t="s">
        <v>1326</v>
      </c>
      <c r="D543" s="7" t="s">
        <v>10</v>
      </c>
      <c r="E543" s="7" t="s">
        <v>11</v>
      </c>
      <c r="F543" s="7" t="s">
        <v>91</v>
      </c>
      <c r="G543" s="7" t="s">
        <v>155</v>
      </c>
      <c r="H543" s="7" t="s">
        <v>1327</v>
      </c>
      <c r="I543" s="8" t="s">
        <v>1327</v>
      </c>
    </row>
    <row r="544" spans="1:12" hidden="1" x14ac:dyDescent="0.35">
      <c r="A544" s="6">
        <v>149342</v>
      </c>
      <c r="B544" s="7" t="str">
        <f>"3275017101840008"</f>
        <v>3275017101840008</v>
      </c>
      <c r="C544" s="7" t="s">
        <v>1329</v>
      </c>
      <c r="D544" s="7" t="s">
        <v>10</v>
      </c>
      <c r="E544" s="7" t="s">
        <v>11</v>
      </c>
      <c r="F544" s="7" t="s">
        <v>91</v>
      </c>
      <c r="G544" s="7" t="s">
        <v>159</v>
      </c>
      <c r="H544" s="7" t="s">
        <v>685</v>
      </c>
      <c r="I544" s="8" t="s">
        <v>686</v>
      </c>
    </row>
    <row r="545" spans="1:12" hidden="1" x14ac:dyDescent="0.35">
      <c r="A545" s="6">
        <v>617238</v>
      </c>
      <c r="B545" s="7" t="str">
        <f>"3275022110740020"</f>
        <v>3275022110740020</v>
      </c>
      <c r="C545" s="7" t="s">
        <v>1330</v>
      </c>
      <c r="D545" s="7" t="s">
        <v>10</v>
      </c>
      <c r="E545" s="7" t="s">
        <v>11</v>
      </c>
      <c r="F545" s="7" t="s">
        <v>91</v>
      </c>
      <c r="G545" s="7" t="s">
        <v>159</v>
      </c>
      <c r="H545" s="7" t="s">
        <v>1288</v>
      </c>
      <c r="I545" s="8" t="s">
        <v>1289</v>
      </c>
    </row>
    <row r="546" spans="1:12" hidden="1" x14ac:dyDescent="0.35">
      <c r="A546" s="6">
        <v>952924</v>
      </c>
      <c r="B546" s="7" t="str">
        <f>"3275045711630019"</f>
        <v>3275045711630019</v>
      </c>
      <c r="C546" s="7" t="s">
        <v>1331</v>
      </c>
      <c r="D546" s="7" t="s">
        <v>10</v>
      </c>
      <c r="E546" s="7" t="s">
        <v>11</v>
      </c>
      <c r="F546" s="7" t="s">
        <v>91</v>
      </c>
      <c r="G546" s="7" t="s">
        <v>159</v>
      </c>
      <c r="H546" s="7" t="s">
        <v>1332</v>
      </c>
      <c r="I546" s="8" t="s">
        <v>1333</v>
      </c>
    </row>
    <row r="547" spans="1:12" hidden="1" x14ac:dyDescent="0.35">
      <c r="A547" s="6">
        <v>1329005</v>
      </c>
      <c r="B547" s="7" t="str">
        <f>"3275054103030012"</f>
        <v>3275054103030012</v>
      </c>
      <c r="C547" s="7" t="s">
        <v>1334</v>
      </c>
      <c r="D547" s="7" t="s">
        <v>10</v>
      </c>
      <c r="E547" s="7" t="s">
        <v>11</v>
      </c>
      <c r="F547" s="7" t="s">
        <v>91</v>
      </c>
      <c r="G547" s="7" t="s">
        <v>159</v>
      </c>
      <c r="H547" s="7" t="s">
        <v>160</v>
      </c>
      <c r="I547" s="8" t="s">
        <v>161</v>
      </c>
    </row>
    <row r="548" spans="1:12" hidden="1" x14ac:dyDescent="0.35">
      <c r="A548" s="6">
        <v>1035660</v>
      </c>
      <c r="B548" s="7" t="str">
        <f>"3275086303860032"</f>
        <v>3275086303860032</v>
      </c>
      <c r="C548" s="7" t="s">
        <v>1336</v>
      </c>
      <c r="D548" s="7" t="s">
        <v>10</v>
      </c>
      <c r="E548" s="7" t="s">
        <v>11</v>
      </c>
      <c r="F548" s="7" t="s">
        <v>91</v>
      </c>
      <c r="G548" s="7" t="s">
        <v>159</v>
      </c>
      <c r="H548" s="7" t="s">
        <v>1337</v>
      </c>
      <c r="I548" s="8" t="s">
        <v>1338</v>
      </c>
    </row>
    <row r="549" spans="1:12" hidden="1" x14ac:dyDescent="0.35">
      <c r="A549" s="6">
        <v>2347644</v>
      </c>
      <c r="B549" s="7" t="str">
        <f>"3276040410880004"</f>
        <v>3276040410880004</v>
      </c>
      <c r="C549" s="7" t="s">
        <v>1339</v>
      </c>
      <c r="D549" s="7" t="s">
        <v>10</v>
      </c>
      <c r="E549" s="7" t="s">
        <v>11</v>
      </c>
      <c r="F549" s="7" t="s">
        <v>18</v>
      </c>
      <c r="G549" s="7" t="s">
        <v>19</v>
      </c>
      <c r="H549" s="7" t="s">
        <v>745</v>
      </c>
      <c r="I549" s="8" t="s">
        <v>1262</v>
      </c>
      <c r="J549" t="e">
        <f>VLOOKUP(B549,baru!$B$2:$I$2271,4,FALSE)</f>
        <v>#N/A</v>
      </c>
      <c r="K549" t="e">
        <f>VLOOKUP(B549,baru!$B$2:$I$2271,5,FALSE)</f>
        <v>#N/A</v>
      </c>
      <c r="L549" t="e">
        <f>VLOOKUP(B549,baru!$B$2:$I$2271,6,FALSE)</f>
        <v>#N/A</v>
      </c>
    </row>
    <row r="550" spans="1:12" hidden="1" x14ac:dyDescent="0.35">
      <c r="A550" s="6">
        <v>2422580</v>
      </c>
      <c r="B550" s="7" t="str">
        <f>"3276040410880004"</f>
        <v>3276040410880004</v>
      </c>
      <c r="C550" s="7" t="s">
        <v>1340</v>
      </c>
      <c r="D550" s="7" t="s">
        <v>10</v>
      </c>
      <c r="E550" s="7" t="s">
        <v>57</v>
      </c>
      <c r="F550" s="7" t="s">
        <v>50</v>
      </c>
      <c r="G550" s="7" t="s">
        <v>58</v>
      </c>
      <c r="H550" s="7" t="s">
        <v>59</v>
      </c>
      <c r="I550" s="8" t="s">
        <v>60</v>
      </c>
    </row>
    <row r="551" spans="1:12" hidden="1" x14ac:dyDescent="0.35">
      <c r="A551" s="6">
        <v>146807</v>
      </c>
      <c r="B551" s="7" t="str">
        <f>"3279034712360001"</f>
        <v>3279034712360001</v>
      </c>
      <c r="C551" s="7" t="s">
        <v>1341</v>
      </c>
      <c r="D551" s="7" t="s">
        <v>10</v>
      </c>
      <c r="E551" s="7" t="s">
        <v>11</v>
      </c>
      <c r="F551" s="7" t="s">
        <v>91</v>
      </c>
      <c r="G551" s="7" t="s">
        <v>1342</v>
      </c>
      <c r="H551" s="7" t="s">
        <v>1343</v>
      </c>
      <c r="I551" s="8" t="s">
        <v>1343</v>
      </c>
    </row>
    <row r="552" spans="1:12" hidden="1" x14ac:dyDescent="0.35">
      <c r="A552" s="13">
        <v>2346201</v>
      </c>
      <c r="B552" s="14" t="str">
        <f>"3301051010990005"</f>
        <v>3301051010990005</v>
      </c>
      <c r="C552" s="14" t="s">
        <v>1344</v>
      </c>
      <c r="D552" s="14" t="s">
        <v>10</v>
      </c>
      <c r="E552" s="14" t="s">
        <v>11</v>
      </c>
      <c r="F552" s="14" t="s">
        <v>18</v>
      </c>
      <c r="G552" s="14" t="s">
        <v>19</v>
      </c>
      <c r="H552" s="14" t="s">
        <v>745</v>
      </c>
      <c r="I552" s="15" t="s">
        <v>1262</v>
      </c>
      <c r="J552" s="16" t="str">
        <f>VLOOKUP(B552,baru!$B$2:$I$2271,4,FALSE)</f>
        <v>Reguler</v>
      </c>
      <c r="K552" s="16" t="str">
        <f>VLOOKUP(B552,baru!$B$2:$I$2271,5,FALSE)</f>
        <v>JAWA TENGAH</v>
      </c>
      <c r="L552" s="16" t="str">
        <f>VLOOKUP(B552,baru!$B$2:$I$2271,6,FALSE)</f>
        <v>CILACAP</v>
      </c>
    </row>
    <row r="553" spans="1:12" x14ac:dyDescent="0.35">
      <c r="A553" s="13">
        <v>2273981</v>
      </c>
      <c r="B553" s="14" t="str">
        <f>"3303082105030003"</f>
        <v>3303082105030003</v>
      </c>
      <c r="C553" s="14" t="s">
        <v>1347</v>
      </c>
      <c r="D553" s="14" t="s">
        <v>189</v>
      </c>
      <c r="E553" s="14" t="s">
        <v>11</v>
      </c>
      <c r="F553" s="14" t="s">
        <v>18</v>
      </c>
      <c r="G553" s="14" t="s">
        <v>19</v>
      </c>
      <c r="H553" s="14" t="s">
        <v>745</v>
      </c>
      <c r="I553" s="15" t="s">
        <v>1348</v>
      </c>
      <c r="J553" s="16" t="str">
        <f>VLOOKUP(B553,baru!$B$2:$I$2271,4,FALSE)</f>
        <v>Reguler</v>
      </c>
      <c r="K553" s="16" t="str">
        <f>VLOOKUP(B553,baru!$B$2:$I$2271,5,FALSE)</f>
        <v>JAWA TENGAH</v>
      </c>
      <c r="L553" s="16" t="str">
        <f>VLOOKUP(B553,baru!$B$2:$I$2271,6,FALSE)</f>
        <v>PURBALINGGA</v>
      </c>
    </row>
    <row r="554" spans="1:12" hidden="1" x14ac:dyDescent="0.35">
      <c r="A554" s="6">
        <v>468337</v>
      </c>
      <c r="B554" s="7" t="str">
        <f>"3304112809870001"</f>
        <v>3304112809870001</v>
      </c>
      <c r="C554" s="7" t="s">
        <v>1352</v>
      </c>
      <c r="D554" s="7" t="s">
        <v>10</v>
      </c>
      <c r="E554" s="7" t="s">
        <v>11</v>
      </c>
      <c r="F554" s="7" t="s">
        <v>18</v>
      </c>
      <c r="G554" s="7" t="s">
        <v>951</v>
      </c>
      <c r="H554" s="7" t="s">
        <v>1353</v>
      </c>
      <c r="I554" s="8" t="s">
        <v>1353</v>
      </c>
    </row>
    <row r="555" spans="1:12" hidden="1" x14ac:dyDescent="0.35">
      <c r="A555" s="6">
        <v>1443843</v>
      </c>
      <c r="B555" s="7" t="str">
        <f>"3324033005910003"</f>
        <v>3324033005910003</v>
      </c>
      <c r="C555" s="7" t="s">
        <v>1354</v>
      </c>
      <c r="D555" s="7" t="s">
        <v>10</v>
      </c>
      <c r="E555" s="7" t="s">
        <v>11</v>
      </c>
      <c r="F555" s="7" t="s">
        <v>18</v>
      </c>
      <c r="G555" s="7" t="s">
        <v>184</v>
      </c>
      <c r="H555" s="7" t="s">
        <v>1355</v>
      </c>
      <c r="I555" s="8" t="s">
        <v>1356</v>
      </c>
    </row>
    <row r="556" spans="1:12" hidden="1" x14ac:dyDescent="0.35">
      <c r="A556" s="6">
        <v>1517752</v>
      </c>
      <c r="B556" s="7" t="str">
        <f>"3324082605920001"</f>
        <v>3324082605920001</v>
      </c>
      <c r="C556" s="7" t="s">
        <v>1358</v>
      </c>
      <c r="D556" s="7" t="s">
        <v>10</v>
      </c>
      <c r="E556" s="7" t="s">
        <v>11</v>
      </c>
      <c r="F556" s="7" t="s">
        <v>18</v>
      </c>
      <c r="G556" s="7" t="s">
        <v>184</v>
      </c>
      <c r="H556" s="7" t="s">
        <v>1266</v>
      </c>
      <c r="I556" s="8" t="s">
        <v>1359</v>
      </c>
    </row>
    <row r="557" spans="1:12" hidden="1" x14ac:dyDescent="0.35">
      <c r="A557" s="6">
        <v>1352877</v>
      </c>
      <c r="B557" s="7" t="str">
        <f>"3328032905050002"</f>
        <v>3328032905050002</v>
      </c>
      <c r="C557" s="7" t="s">
        <v>1361</v>
      </c>
      <c r="D557" s="7" t="s">
        <v>10</v>
      </c>
      <c r="E557" s="7" t="s">
        <v>57</v>
      </c>
      <c r="F557" s="7" t="s">
        <v>303</v>
      </c>
      <c r="G557" s="7" t="s">
        <v>608</v>
      </c>
      <c r="H557" s="7" t="s">
        <v>609</v>
      </c>
      <c r="I557" s="8" t="s">
        <v>610</v>
      </c>
    </row>
    <row r="558" spans="1:12" hidden="1" x14ac:dyDescent="0.35">
      <c r="A558" s="6">
        <v>2295552</v>
      </c>
      <c r="B558" s="7" t="str">
        <f>"3328040103060003"</f>
        <v>3328040103060003</v>
      </c>
      <c r="C558" s="7" t="s">
        <v>1362</v>
      </c>
      <c r="D558" s="7" t="s">
        <v>10</v>
      </c>
      <c r="E558" s="7" t="s">
        <v>11</v>
      </c>
      <c r="F558" s="7" t="s">
        <v>18</v>
      </c>
      <c r="G558" s="7" t="s">
        <v>19</v>
      </c>
      <c r="H558" s="7" t="s">
        <v>745</v>
      </c>
      <c r="I558" s="8" t="s">
        <v>1264</v>
      </c>
      <c r="J558" t="e">
        <f>VLOOKUP(B558,baru!$B$2:$I$2271,4,FALSE)</f>
        <v>#N/A</v>
      </c>
      <c r="K558" t="e">
        <f>VLOOKUP(B558,baru!$B$2:$I$2271,5,FALSE)</f>
        <v>#N/A</v>
      </c>
      <c r="L558" t="e">
        <f>VLOOKUP(B558,baru!$B$2:$I$2271,6,FALSE)</f>
        <v>#N/A</v>
      </c>
    </row>
    <row r="559" spans="1:12" hidden="1" x14ac:dyDescent="0.35">
      <c r="A559" s="6">
        <v>1351118</v>
      </c>
      <c r="B559" s="7" t="str">
        <f>"3328040103060003"</f>
        <v>3328040103060003</v>
      </c>
      <c r="C559" s="7" t="s">
        <v>1363</v>
      </c>
      <c r="D559" s="7" t="s">
        <v>10</v>
      </c>
      <c r="E559" s="7" t="s">
        <v>57</v>
      </c>
      <c r="F559" s="7" t="s">
        <v>303</v>
      </c>
      <c r="G559" s="7" t="s">
        <v>608</v>
      </c>
      <c r="H559" s="7" t="s">
        <v>609</v>
      </c>
      <c r="I559" s="8" t="s">
        <v>610</v>
      </c>
    </row>
    <row r="560" spans="1:12" hidden="1" x14ac:dyDescent="0.35">
      <c r="A560" s="6">
        <v>343427</v>
      </c>
      <c r="B560" s="7" t="str">
        <f>"3328040107550015"</f>
        <v>3328040107550015</v>
      </c>
      <c r="C560" s="7" t="s">
        <v>1364</v>
      </c>
      <c r="D560" s="7" t="s">
        <v>10</v>
      </c>
      <c r="E560" s="7" t="s">
        <v>11</v>
      </c>
      <c r="F560" s="7" t="s">
        <v>91</v>
      </c>
      <c r="G560" s="7" t="s">
        <v>754</v>
      </c>
      <c r="H560" s="7" t="s">
        <v>1365</v>
      </c>
      <c r="I560" s="8" t="s">
        <v>1366</v>
      </c>
    </row>
    <row r="561" spans="1:12" hidden="1" x14ac:dyDescent="0.35">
      <c r="A561" s="6">
        <v>196855</v>
      </c>
      <c r="B561" s="7" t="str">
        <f>"3328040107840123"</f>
        <v>3328040107840123</v>
      </c>
      <c r="C561" s="7" t="s">
        <v>1367</v>
      </c>
      <c r="D561" s="7" t="s">
        <v>10</v>
      </c>
      <c r="E561" s="7" t="s">
        <v>11</v>
      </c>
      <c r="F561" s="7" t="s">
        <v>50</v>
      </c>
      <c r="G561" s="7" t="s">
        <v>58</v>
      </c>
      <c r="H561" s="7" t="s">
        <v>59</v>
      </c>
      <c r="I561" s="8" t="s">
        <v>1368</v>
      </c>
    </row>
    <row r="562" spans="1:12" hidden="1" x14ac:dyDescent="0.35">
      <c r="A562" s="6">
        <v>5249196</v>
      </c>
      <c r="B562" s="7" t="str">
        <f>"3328040107840201"</f>
        <v>3328040107840201</v>
      </c>
      <c r="C562" s="7" t="s">
        <v>1370</v>
      </c>
      <c r="D562" s="7" t="s">
        <v>10</v>
      </c>
      <c r="E562" s="7" t="s">
        <v>11</v>
      </c>
      <c r="F562" s="7" t="s">
        <v>91</v>
      </c>
      <c r="G562" s="7" t="s">
        <v>1295</v>
      </c>
      <c r="H562" s="7" t="s">
        <v>1371</v>
      </c>
      <c r="I562" s="8" t="s">
        <v>1372</v>
      </c>
    </row>
    <row r="563" spans="1:12" hidden="1" x14ac:dyDescent="0.35">
      <c r="A563" s="6">
        <v>52613</v>
      </c>
      <c r="B563" s="7" t="str">
        <f>"3328040110010007"</f>
        <v>3328040110010007</v>
      </c>
      <c r="C563" s="7" t="s">
        <v>1373</v>
      </c>
      <c r="D563" s="7" t="s">
        <v>10</v>
      </c>
      <c r="E563" s="7" t="s">
        <v>11</v>
      </c>
      <c r="F563" s="7" t="s">
        <v>1374</v>
      </c>
      <c r="G563" s="7" t="s">
        <v>1375</v>
      </c>
      <c r="H563" s="7" t="s">
        <v>1376</v>
      </c>
      <c r="I563" s="8" t="s">
        <v>1377</v>
      </c>
    </row>
    <row r="564" spans="1:12" hidden="1" x14ac:dyDescent="0.35">
      <c r="A564" s="13">
        <v>2371761</v>
      </c>
      <c r="B564" s="14" t="str">
        <f>"3328040110900008"</f>
        <v>3328040110900008</v>
      </c>
      <c r="C564" s="14" t="s">
        <v>1379</v>
      </c>
      <c r="D564" s="14" t="s">
        <v>10</v>
      </c>
      <c r="E564" s="14" t="s">
        <v>11</v>
      </c>
      <c r="F564" s="14" t="s">
        <v>18</v>
      </c>
      <c r="G564" s="14" t="s">
        <v>19</v>
      </c>
      <c r="H564" s="14" t="s">
        <v>745</v>
      </c>
      <c r="I564" s="15" t="s">
        <v>746</v>
      </c>
      <c r="J564" s="16" t="str">
        <f>VLOOKUP(B564,baru!$B$2:$I$2271,4,FALSE)</f>
        <v>Reguler</v>
      </c>
      <c r="K564" s="16" t="str">
        <f>VLOOKUP(B564,baru!$B$2:$I$2271,5,FALSE)</f>
        <v>JAWA TIMUR</v>
      </c>
      <c r="L564" s="16" t="str">
        <f>VLOOKUP(B564,baru!$B$2:$I$2271,6,FALSE)</f>
        <v>NGAWI</v>
      </c>
    </row>
    <row r="565" spans="1:12" hidden="1" x14ac:dyDescent="0.35">
      <c r="A565" s="6">
        <v>2294008</v>
      </c>
      <c r="B565" s="7" t="str">
        <f>"3328040111020003"</f>
        <v>3328040111020003</v>
      </c>
      <c r="C565" s="7" t="s">
        <v>1383</v>
      </c>
      <c r="D565" s="7" t="s">
        <v>10</v>
      </c>
      <c r="E565" s="7" t="s">
        <v>11</v>
      </c>
      <c r="F565" s="7" t="s">
        <v>18</v>
      </c>
      <c r="G565" s="7" t="s">
        <v>19</v>
      </c>
      <c r="H565" s="7" t="s">
        <v>745</v>
      </c>
      <c r="I565" s="8" t="s">
        <v>1264</v>
      </c>
      <c r="J565" t="e">
        <f>VLOOKUP(B565,baru!$B$2:$I$2271,4,FALSE)</f>
        <v>#N/A</v>
      </c>
      <c r="K565" t="e">
        <f>VLOOKUP(B565,baru!$B$2:$I$2271,5,FALSE)</f>
        <v>#N/A</v>
      </c>
      <c r="L565" t="e">
        <f>VLOOKUP(B565,baru!$B$2:$I$2271,6,FALSE)</f>
        <v>#N/A</v>
      </c>
    </row>
    <row r="566" spans="1:12" hidden="1" x14ac:dyDescent="0.35">
      <c r="A566" s="6">
        <v>1392758</v>
      </c>
      <c r="B566" s="7" t="str">
        <f>"3328040111020003"</f>
        <v>3328040111020003</v>
      </c>
      <c r="C566" s="7" t="s">
        <v>1383</v>
      </c>
      <c r="D566" s="7" t="s">
        <v>10</v>
      </c>
      <c r="E566" s="7" t="s">
        <v>57</v>
      </c>
      <c r="F566" s="7" t="s">
        <v>303</v>
      </c>
      <c r="G566" s="7" t="s">
        <v>608</v>
      </c>
      <c r="H566" s="7" t="s">
        <v>1384</v>
      </c>
      <c r="I566" s="8" t="s">
        <v>1385</v>
      </c>
    </row>
    <row r="567" spans="1:12" x14ac:dyDescent="0.35">
      <c r="A567" s="13">
        <v>2395267</v>
      </c>
      <c r="B567" s="14" t="str">
        <f>"3328040112860008"</f>
        <v>3328040112860008</v>
      </c>
      <c r="C567" s="14" t="s">
        <v>1386</v>
      </c>
      <c r="D567" s="14" t="s">
        <v>189</v>
      </c>
      <c r="E567" s="14" t="s">
        <v>11</v>
      </c>
      <c r="F567" s="14" t="s">
        <v>18</v>
      </c>
      <c r="G567" s="14" t="s">
        <v>19</v>
      </c>
      <c r="H567" s="14" t="s">
        <v>745</v>
      </c>
      <c r="I567" s="15" t="s">
        <v>1274</v>
      </c>
      <c r="J567" s="16" t="str">
        <f>VLOOKUP(B567,baru!$B$2:$I$2271,4,FALSE)</f>
        <v>Reguler</v>
      </c>
      <c r="K567" s="16" t="str">
        <f>VLOOKUP(B567,baru!$B$2:$I$2271,5,FALSE)</f>
        <v>JAWA TENGAH</v>
      </c>
      <c r="L567" s="16" t="str">
        <f>VLOOKUP(B567,baru!$B$2:$I$2271,6,FALSE)</f>
        <v>WONOSOBO</v>
      </c>
    </row>
    <row r="568" spans="1:12" hidden="1" x14ac:dyDescent="0.35">
      <c r="A568" s="6">
        <v>48796</v>
      </c>
      <c r="B568" s="7" t="str">
        <f>"3328040210820001"</f>
        <v>3328040210820001</v>
      </c>
      <c r="C568" s="7" t="s">
        <v>1389</v>
      </c>
      <c r="D568" s="7" t="s">
        <v>10</v>
      </c>
      <c r="E568" s="7" t="s">
        <v>11</v>
      </c>
      <c r="F568" s="7" t="s">
        <v>521</v>
      </c>
      <c r="G568" s="7" t="s">
        <v>657</v>
      </c>
      <c r="H568" s="7" t="s">
        <v>1390</v>
      </c>
      <c r="I568" s="8" t="s">
        <v>1391</v>
      </c>
    </row>
    <row r="569" spans="1:12" hidden="1" x14ac:dyDescent="0.35">
      <c r="A569" s="6">
        <v>2286638</v>
      </c>
      <c r="B569" s="7" t="str">
        <f>"3328040210900006"</f>
        <v>3328040210900006</v>
      </c>
      <c r="C569" s="7" t="s">
        <v>1392</v>
      </c>
      <c r="D569" s="7" t="s">
        <v>10</v>
      </c>
      <c r="E569" s="7" t="s">
        <v>11</v>
      </c>
      <c r="F569" s="7" t="s">
        <v>18</v>
      </c>
      <c r="G569" s="7" t="s">
        <v>19</v>
      </c>
      <c r="H569" s="7" t="s">
        <v>745</v>
      </c>
      <c r="I569" s="8" t="s">
        <v>1264</v>
      </c>
      <c r="J569" t="e">
        <f>VLOOKUP(B569,baru!$B$2:$I$2271,4,FALSE)</f>
        <v>#N/A</v>
      </c>
      <c r="K569" t="e">
        <f>VLOOKUP(B569,baru!$B$2:$I$2271,5,FALSE)</f>
        <v>#N/A</v>
      </c>
      <c r="L569" t="e">
        <f>VLOOKUP(B569,baru!$B$2:$I$2271,6,FALSE)</f>
        <v>#N/A</v>
      </c>
    </row>
    <row r="570" spans="1:12" hidden="1" x14ac:dyDescent="0.35">
      <c r="A570" s="6">
        <v>2571622</v>
      </c>
      <c r="B570" s="7" t="str">
        <f>"3328040210900006"</f>
        <v>3328040210900006</v>
      </c>
      <c r="C570" s="7" t="s">
        <v>1393</v>
      </c>
      <c r="D570" s="7" t="s">
        <v>10</v>
      </c>
      <c r="E570" s="7" t="s">
        <v>11</v>
      </c>
      <c r="F570" s="7" t="s">
        <v>18</v>
      </c>
      <c r="G570" s="7" t="s">
        <v>19</v>
      </c>
      <c r="H570" s="7" t="s">
        <v>1394</v>
      </c>
      <c r="I570" s="8" t="s">
        <v>1395</v>
      </c>
      <c r="J570" t="e">
        <f>VLOOKUP(B570,baru!$B$2:$I$2271,4,FALSE)</f>
        <v>#N/A</v>
      </c>
      <c r="K570" t="e">
        <f>VLOOKUP(B570,baru!$B$2:$I$2271,5,FALSE)</f>
        <v>#N/A</v>
      </c>
      <c r="L570" t="e">
        <f>VLOOKUP(B570,baru!$B$2:$I$2271,6,FALSE)</f>
        <v>#N/A</v>
      </c>
    </row>
    <row r="571" spans="1:12" hidden="1" x14ac:dyDescent="0.35">
      <c r="A571" s="6">
        <v>2368854</v>
      </c>
      <c r="B571" s="7" t="str">
        <f>"3328040302030001"</f>
        <v>3328040302030001</v>
      </c>
      <c r="C571" s="7" t="s">
        <v>1396</v>
      </c>
      <c r="D571" s="7" t="s">
        <v>10</v>
      </c>
      <c r="E571" s="7" t="s">
        <v>11</v>
      </c>
      <c r="F571" s="7" t="s">
        <v>18</v>
      </c>
      <c r="G571" s="7" t="s">
        <v>19</v>
      </c>
      <c r="H571" s="7" t="s">
        <v>745</v>
      </c>
      <c r="I571" s="8" t="s">
        <v>746</v>
      </c>
      <c r="J571" t="e">
        <f>VLOOKUP(B571,baru!$B$2:$I$2271,4,FALSE)</f>
        <v>#N/A</v>
      </c>
      <c r="K571" t="e">
        <f>VLOOKUP(B571,baru!$B$2:$I$2271,5,FALSE)</f>
        <v>#N/A</v>
      </c>
      <c r="L571" t="e">
        <f>VLOOKUP(B571,baru!$B$2:$I$2271,6,FALSE)</f>
        <v>#N/A</v>
      </c>
    </row>
    <row r="572" spans="1:12" hidden="1" x14ac:dyDescent="0.35">
      <c r="A572" s="6">
        <v>1351127</v>
      </c>
      <c r="B572" s="7" t="str">
        <f>"3328040302030001"</f>
        <v>3328040302030001</v>
      </c>
      <c r="C572" s="7" t="s">
        <v>1396</v>
      </c>
      <c r="D572" s="7" t="s">
        <v>10</v>
      </c>
      <c r="E572" s="7" t="s">
        <v>57</v>
      </c>
      <c r="F572" s="7" t="s">
        <v>303</v>
      </c>
      <c r="G572" s="7" t="s">
        <v>608</v>
      </c>
      <c r="H572" s="7" t="s">
        <v>609</v>
      </c>
      <c r="I572" s="8" t="s">
        <v>610</v>
      </c>
    </row>
    <row r="573" spans="1:12" hidden="1" x14ac:dyDescent="0.35">
      <c r="A573" s="6">
        <v>1264123</v>
      </c>
      <c r="B573" s="7" t="str">
        <f>"3328040305760006"</f>
        <v>3328040305760006</v>
      </c>
      <c r="C573" s="7" t="s">
        <v>1397</v>
      </c>
      <c r="D573" s="7" t="s">
        <v>10</v>
      </c>
      <c r="E573" s="7" t="s">
        <v>11</v>
      </c>
      <c r="F573" s="7" t="s">
        <v>91</v>
      </c>
      <c r="G573" s="7" t="s">
        <v>1398</v>
      </c>
      <c r="H573" s="7" t="s">
        <v>1399</v>
      </c>
      <c r="I573" s="8" t="s">
        <v>1400</v>
      </c>
    </row>
    <row r="574" spans="1:12" hidden="1" x14ac:dyDescent="0.35">
      <c r="A574" s="6">
        <v>388670</v>
      </c>
      <c r="B574" s="7" t="str">
        <f>"3328040309030006"</f>
        <v>3328040309030006</v>
      </c>
      <c r="C574" s="7" t="s">
        <v>1402</v>
      </c>
      <c r="D574" s="7" t="s">
        <v>10</v>
      </c>
      <c r="E574" s="7" t="s">
        <v>11</v>
      </c>
      <c r="F574" s="7" t="s">
        <v>91</v>
      </c>
      <c r="G574" s="7" t="s">
        <v>903</v>
      </c>
      <c r="H574" s="7" t="s">
        <v>1403</v>
      </c>
      <c r="I574" s="8" t="s">
        <v>1404</v>
      </c>
    </row>
    <row r="575" spans="1:12" hidden="1" x14ac:dyDescent="0.35">
      <c r="A575" s="6">
        <v>2345946</v>
      </c>
      <c r="B575" s="7" t="str">
        <f>"3328040310030004"</f>
        <v>3328040310030004</v>
      </c>
      <c r="C575" s="7" t="s">
        <v>1407</v>
      </c>
      <c r="D575" s="7" t="s">
        <v>10</v>
      </c>
      <c r="E575" s="7" t="s">
        <v>11</v>
      </c>
      <c r="F575" s="7" t="s">
        <v>18</v>
      </c>
      <c r="G575" s="7" t="s">
        <v>19</v>
      </c>
      <c r="H575" s="7" t="s">
        <v>745</v>
      </c>
      <c r="I575" s="8" t="s">
        <v>1262</v>
      </c>
      <c r="J575" t="e">
        <f>VLOOKUP(B575,baru!$B$2:$I$2271,4,FALSE)</f>
        <v>#N/A</v>
      </c>
      <c r="K575" t="e">
        <f>VLOOKUP(B575,baru!$B$2:$I$2271,5,FALSE)</f>
        <v>#N/A</v>
      </c>
      <c r="L575" t="e">
        <f>VLOOKUP(B575,baru!$B$2:$I$2271,6,FALSE)</f>
        <v>#N/A</v>
      </c>
    </row>
    <row r="576" spans="1:12" hidden="1" x14ac:dyDescent="0.35">
      <c r="A576" s="6">
        <v>1351121</v>
      </c>
      <c r="B576" s="7" t="str">
        <f>"3328040310030004"</f>
        <v>3328040310030004</v>
      </c>
      <c r="C576" s="7" t="s">
        <v>1408</v>
      </c>
      <c r="D576" s="7" t="s">
        <v>10</v>
      </c>
      <c r="E576" s="7" t="s">
        <v>57</v>
      </c>
      <c r="F576" s="7" t="s">
        <v>303</v>
      </c>
      <c r="G576" s="7" t="s">
        <v>608</v>
      </c>
      <c r="H576" s="7" t="s">
        <v>609</v>
      </c>
      <c r="I576" s="8" t="s">
        <v>610</v>
      </c>
    </row>
    <row r="577" spans="1:12" hidden="1" x14ac:dyDescent="0.35">
      <c r="A577" s="6">
        <v>477035</v>
      </c>
      <c r="B577" s="7" t="str">
        <f>"3328040502030002"</f>
        <v>3328040502030002</v>
      </c>
      <c r="C577" s="7" t="s">
        <v>1409</v>
      </c>
      <c r="D577" s="7" t="s">
        <v>10</v>
      </c>
      <c r="E577" s="7" t="s">
        <v>11</v>
      </c>
      <c r="F577" s="7" t="s">
        <v>91</v>
      </c>
      <c r="G577" s="7" t="s">
        <v>903</v>
      </c>
      <c r="H577" s="7" t="s">
        <v>1403</v>
      </c>
      <c r="I577" s="8" t="s">
        <v>1410</v>
      </c>
    </row>
    <row r="578" spans="1:12" hidden="1" x14ac:dyDescent="0.35">
      <c r="A578" s="6">
        <v>2161649</v>
      </c>
      <c r="B578" s="7" t="str">
        <f>"3328040503000007"</f>
        <v>3328040503000007</v>
      </c>
      <c r="C578" s="7" t="s">
        <v>1411</v>
      </c>
      <c r="D578" s="7" t="s">
        <v>10</v>
      </c>
      <c r="E578" s="7" t="s">
        <v>11</v>
      </c>
      <c r="F578" s="7" t="s">
        <v>91</v>
      </c>
      <c r="G578" s="7" t="s">
        <v>101</v>
      </c>
      <c r="H578" s="7" t="s">
        <v>1412</v>
      </c>
      <c r="I578" s="8" t="s">
        <v>1413</v>
      </c>
    </row>
    <row r="579" spans="1:12" hidden="1" x14ac:dyDescent="0.35">
      <c r="A579" s="13">
        <v>2393638</v>
      </c>
      <c r="B579" s="14" t="str">
        <f>"3328040508600002"</f>
        <v>3328040508600002</v>
      </c>
      <c r="C579" s="14" t="s">
        <v>1414</v>
      </c>
      <c r="D579" s="14" t="s">
        <v>10</v>
      </c>
      <c r="E579" s="14" t="s">
        <v>11</v>
      </c>
      <c r="F579" s="14" t="s">
        <v>18</v>
      </c>
      <c r="G579" s="14" t="s">
        <v>19</v>
      </c>
      <c r="H579" s="14" t="s">
        <v>745</v>
      </c>
      <c r="I579" s="15" t="s">
        <v>1274</v>
      </c>
      <c r="J579" s="16" t="str">
        <f>VLOOKUP(B579,baru!$B$2:$I$2271,4,FALSE)</f>
        <v>Reguler</v>
      </c>
      <c r="K579" s="16" t="str">
        <f>VLOOKUP(B579,baru!$B$2:$I$2271,5,FALSE)</f>
        <v>JAWA TENGAH</v>
      </c>
      <c r="L579" s="16" t="str">
        <f>VLOOKUP(B579,baru!$B$2:$I$2271,6,FALSE)</f>
        <v>TEGAL</v>
      </c>
    </row>
    <row r="580" spans="1:12" hidden="1" x14ac:dyDescent="0.35">
      <c r="A580" s="6">
        <v>487841</v>
      </c>
      <c r="B580" s="7" t="str">
        <f>"3328040510870003"</f>
        <v>3328040510870003</v>
      </c>
      <c r="C580" s="7" t="s">
        <v>1416</v>
      </c>
      <c r="D580" s="7" t="s">
        <v>10</v>
      </c>
      <c r="E580" s="7" t="s">
        <v>11</v>
      </c>
      <c r="F580" s="7" t="s">
        <v>954</v>
      </c>
      <c r="G580" s="7" t="s">
        <v>1417</v>
      </c>
      <c r="H580" s="7" t="s">
        <v>1418</v>
      </c>
      <c r="I580" s="8" t="s">
        <v>1419</v>
      </c>
    </row>
    <row r="581" spans="1:12" hidden="1" x14ac:dyDescent="0.35">
      <c r="A581" s="6">
        <v>86275</v>
      </c>
      <c r="B581" s="7" t="str">
        <f>"3328040512920004"</f>
        <v>3328040512920004</v>
      </c>
      <c r="C581" s="7" t="s">
        <v>1421</v>
      </c>
      <c r="D581" s="7" t="s">
        <v>10</v>
      </c>
      <c r="E581" s="7" t="s">
        <v>11</v>
      </c>
      <c r="F581" s="7" t="s">
        <v>225</v>
      </c>
      <c r="G581" s="7" t="s">
        <v>1422</v>
      </c>
      <c r="H581" s="7" t="s">
        <v>1423</v>
      </c>
      <c r="I581" s="8" t="s">
        <v>1424</v>
      </c>
    </row>
    <row r="582" spans="1:12" hidden="1" x14ac:dyDescent="0.35">
      <c r="A582" s="13">
        <v>2395938</v>
      </c>
      <c r="B582" s="14" t="str">
        <f>"3328040604590001"</f>
        <v>3328040604590001</v>
      </c>
      <c r="C582" s="14" t="s">
        <v>1425</v>
      </c>
      <c r="D582" s="14" t="s">
        <v>10</v>
      </c>
      <c r="E582" s="14" t="s">
        <v>11</v>
      </c>
      <c r="F582" s="14" t="s">
        <v>18</v>
      </c>
      <c r="G582" s="14" t="s">
        <v>19</v>
      </c>
      <c r="H582" s="14" t="s">
        <v>745</v>
      </c>
      <c r="I582" s="15" t="s">
        <v>1274</v>
      </c>
      <c r="J582" s="16" t="str">
        <f>VLOOKUP(B582,baru!$B$2:$I$2271,4,FALSE)</f>
        <v>Reguler</v>
      </c>
      <c r="K582" s="16" t="str">
        <f>VLOOKUP(B582,baru!$B$2:$I$2271,5,FALSE)</f>
        <v>JAWA TENGAH</v>
      </c>
      <c r="L582" s="16" t="str">
        <f>VLOOKUP(B582,baru!$B$2:$I$2271,6,FALSE)</f>
        <v>KEBUMEN</v>
      </c>
    </row>
    <row r="583" spans="1:12" hidden="1" x14ac:dyDescent="0.35">
      <c r="A583" s="6">
        <v>659724</v>
      </c>
      <c r="B583" s="7" t="str">
        <f>"3328040607980005"</f>
        <v>3328040607980005</v>
      </c>
      <c r="C583" s="7" t="s">
        <v>1429</v>
      </c>
      <c r="D583" s="7" t="s">
        <v>10</v>
      </c>
      <c r="E583" s="7" t="s">
        <v>11</v>
      </c>
      <c r="F583" s="7" t="s">
        <v>91</v>
      </c>
      <c r="G583" s="7" t="s">
        <v>320</v>
      </c>
      <c r="H583" s="7" t="s">
        <v>368</v>
      </c>
      <c r="I583" s="8" t="s">
        <v>368</v>
      </c>
    </row>
    <row r="584" spans="1:12" x14ac:dyDescent="0.35">
      <c r="A584" s="13">
        <v>2343065</v>
      </c>
      <c r="B584" s="14" t="str">
        <f>"3328040608850004"</f>
        <v>3328040608850004</v>
      </c>
      <c r="C584" s="14" t="s">
        <v>1430</v>
      </c>
      <c r="D584" s="14" t="s">
        <v>189</v>
      </c>
      <c r="E584" s="14" t="s">
        <v>11</v>
      </c>
      <c r="F584" s="14" t="s">
        <v>18</v>
      </c>
      <c r="G584" s="14" t="s">
        <v>19</v>
      </c>
      <c r="H584" s="14" t="s">
        <v>745</v>
      </c>
      <c r="I584" s="15" t="s">
        <v>1277</v>
      </c>
      <c r="J584" s="16" t="str">
        <f>VLOOKUP(B584,baru!$B$2:$I$2271,4,FALSE)</f>
        <v>Reguler</v>
      </c>
      <c r="K584" s="16" t="str">
        <f>VLOOKUP(B584,baru!$B$2:$I$2271,5,FALSE)</f>
        <v>JAWA TENGAH</v>
      </c>
      <c r="L584" s="16" t="str">
        <f>VLOOKUP(B584,baru!$B$2:$I$2271,6,FALSE)</f>
        <v>PURBALINGGA</v>
      </c>
    </row>
    <row r="585" spans="1:12" hidden="1" x14ac:dyDescent="0.35">
      <c r="A585" s="13">
        <v>2338873</v>
      </c>
      <c r="B585" s="14" t="str">
        <f>"3328040608990003"</f>
        <v>3328040608990003</v>
      </c>
      <c r="C585" s="14" t="s">
        <v>1433</v>
      </c>
      <c r="D585" s="14" t="s">
        <v>10</v>
      </c>
      <c r="E585" s="14" t="s">
        <v>11</v>
      </c>
      <c r="F585" s="14" t="s">
        <v>18</v>
      </c>
      <c r="G585" s="14" t="s">
        <v>19</v>
      </c>
      <c r="H585" s="14" t="s">
        <v>745</v>
      </c>
      <c r="I585" s="15" t="s">
        <v>1277</v>
      </c>
      <c r="J585" s="16" t="str">
        <f>VLOOKUP(B585,baru!$B$2:$I$2271,4,FALSE)</f>
        <v>Reguler</v>
      </c>
      <c r="K585" s="16" t="str">
        <f>VLOOKUP(B585,baru!$B$2:$I$2271,5,FALSE)</f>
        <v>JAWA TENGAH</v>
      </c>
      <c r="L585" s="16" t="str">
        <f>VLOOKUP(B585,baru!$B$2:$I$2271,6,FALSE)</f>
        <v>PEKALONGAN</v>
      </c>
    </row>
    <row r="586" spans="1:12" hidden="1" x14ac:dyDescent="0.35">
      <c r="A586" s="6">
        <v>2373093</v>
      </c>
      <c r="B586" s="7" t="str">
        <f>"3328040703060002"</f>
        <v>3328040703060002</v>
      </c>
      <c r="C586" s="7" t="s">
        <v>1436</v>
      </c>
      <c r="D586" s="7" t="s">
        <v>10</v>
      </c>
      <c r="E586" s="7" t="s">
        <v>11</v>
      </c>
      <c r="F586" s="7" t="s">
        <v>18</v>
      </c>
      <c r="G586" s="7" t="s">
        <v>19</v>
      </c>
      <c r="H586" s="7" t="s">
        <v>745</v>
      </c>
      <c r="I586" s="8" t="s">
        <v>746</v>
      </c>
      <c r="J586" t="e">
        <f>VLOOKUP(B586,baru!$B$2:$I$2271,4,FALSE)</f>
        <v>#N/A</v>
      </c>
      <c r="K586" t="e">
        <f>VLOOKUP(B586,baru!$B$2:$I$2271,5,FALSE)</f>
        <v>#N/A</v>
      </c>
      <c r="L586" t="e">
        <f>VLOOKUP(B586,baru!$B$2:$I$2271,6,FALSE)</f>
        <v>#N/A</v>
      </c>
    </row>
    <row r="587" spans="1:12" hidden="1" x14ac:dyDescent="0.35">
      <c r="A587" s="6">
        <v>2618072</v>
      </c>
      <c r="B587" s="7" t="str">
        <f>"3328040703060002"</f>
        <v>3328040703060002</v>
      </c>
      <c r="C587" s="7" t="s">
        <v>1437</v>
      </c>
      <c r="D587" s="7" t="s">
        <v>10</v>
      </c>
      <c r="E587" s="7" t="s">
        <v>57</v>
      </c>
      <c r="F587" s="7" t="s">
        <v>18</v>
      </c>
      <c r="G587" s="7" t="s">
        <v>1438</v>
      </c>
      <c r="H587" s="7" t="s">
        <v>1439</v>
      </c>
      <c r="I587" s="8" t="s">
        <v>1440</v>
      </c>
    </row>
    <row r="588" spans="1:12" hidden="1" x14ac:dyDescent="0.35">
      <c r="A588" s="6">
        <v>1707829</v>
      </c>
      <c r="B588" s="7" t="str">
        <f>"3328040706760003"</f>
        <v>3328040706760003</v>
      </c>
      <c r="C588" s="7" t="s">
        <v>1441</v>
      </c>
      <c r="D588" s="7" t="s">
        <v>10</v>
      </c>
      <c r="E588" s="7" t="s">
        <v>11</v>
      </c>
      <c r="F588" s="7" t="s">
        <v>50</v>
      </c>
      <c r="G588" s="7" t="s">
        <v>72</v>
      </c>
      <c r="H588" s="7" t="s">
        <v>1172</v>
      </c>
      <c r="I588" s="8" t="s">
        <v>226</v>
      </c>
    </row>
    <row r="589" spans="1:12" x14ac:dyDescent="0.35">
      <c r="A589" s="6">
        <v>2351069</v>
      </c>
      <c r="B589" s="7" t="str">
        <f>"3328040706760003"</f>
        <v>3328040706760003</v>
      </c>
      <c r="C589" s="7" t="s">
        <v>1442</v>
      </c>
      <c r="D589" s="7" t="s">
        <v>189</v>
      </c>
      <c r="E589" s="7" t="s">
        <v>11</v>
      </c>
      <c r="F589" s="7" t="s">
        <v>18</v>
      </c>
      <c r="G589" s="7" t="s">
        <v>19</v>
      </c>
      <c r="H589" s="7" t="s">
        <v>745</v>
      </c>
      <c r="I589" s="8" t="s">
        <v>1406</v>
      </c>
      <c r="J589" t="e">
        <f>VLOOKUP(B589,baru!$B$2:$I$2271,4,FALSE)</f>
        <v>#N/A</v>
      </c>
      <c r="K589" t="e">
        <f>VLOOKUP(B589,baru!$B$2:$I$2271,5,FALSE)</f>
        <v>#N/A</v>
      </c>
      <c r="L589" t="e">
        <f>VLOOKUP(B589,baru!$B$2:$I$2271,6,FALSE)</f>
        <v>#N/A</v>
      </c>
    </row>
    <row r="590" spans="1:12" hidden="1" x14ac:dyDescent="0.35">
      <c r="A590" s="13">
        <v>2337769</v>
      </c>
      <c r="B590" s="14" t="str">
        <f>"3328040708950001"</f>
        <v>3328040708950001</v>
      </c>
      <c r="C590" s="14" t="s">
        <v>1443</v>
      </c>
      <c r="D590" s="14" t="s">
        <v>10</v>
      </c>
      <c r="E590" s="14" t="s">
        <v>11</v>
      </c>
      <c r="F590" s="14" t="s">
        <v>18</v>
      </c>
      <c r="G590" s="14" t="s">
        <v>19</v>
      </c>
      <c r="H590" s="14" t="s">
        <v>745</v>
      </c>
      <c r="I590" s="15" t="s">
        <v>1277</v>
      </c>
      <c r="J590" s="16" t="str">
        <f>VLOOKUP(B590,baru!$B$2:$I$2271,4,FALSE)</f>
        <v>Reguler</v>
      </c>
      <c r="K590" s="16" t="str">
        <f>VLOOKUP(B590,baru!$B$2:$I$2271,5,FALSE)</f>
        <v>JAWA TENGAH</v>
      </c>
      <c r="L590" s="16" t="str">
        <f>VLOOKUP(B590,baru!$B$2:$I$2271,6,FALSE)</f>
        <v>KOTA TEGAL</v>
      </c>
    </row>
    <row r="591" spans="1:12" hidden="1" x14ac:dyDescent="0.35">
      <c r="A591" s="13">
        <v>2359082</v>
      </c>
      <c r="B591" s="14" t="str">
        <f>"3328040804860001"</f>
        <v>3328040804860001</v>
      </c>
      <c r="C591" s="14" t="s">
        <v>350</v>
      </c>
      <c r="D591" s="14" t="s">
        <v>10</v>
      </c>
      <c r="E591" s="14" t="s">
        <v>11</v>
      </c>
      <c r="F591" s="14" t="s">
        <v>18</v>
      </c>
      <c r="G591" s="14" t="s">
        <v>19</v>
      </c>
      <c r="H591" s="14" t="s">
        <v>745</v>
      </c>
      <c r="I591" s="15" t="s">
        <v>1314</v>
      </c>
      <c r="J591" s="16" t="str">
        <f>VLOOKUP(B591,baru!$B$2:$I$2271,4,FALSE)</f>
        <v>Reguler</v>
      </c>
      <c r="K591" s="16" t="str">
        <f>VLOOKUP(B591,baru!$B$2:$I$2271,5,FALSE)</f>
        <v>DKI JAKARTA</v>
      </c>
      <c r="L591" s="16" t="str">
        <f>VLOOKUP(B591,baru!$B$2:$I$2271,6,FALSE)</f>
        <v>KOTA JAKARTA BARAT</v>
      </c>
    </row>
    <row r="592" spans="1:12" hidden="1" x14ac:dyDescent="0.35">
      <c r="A592" s="17">
        <v>2272189</v>
      </c>
      <c r="B592" s="18" t="str">
        <f>"3328040806920001"</f>
        <v>3328040806920001</v>
      </c>
      <c r="C592" s="18" t="s">
        <v>1445</v>
      </c>
      <c r="D592" s="18" t="s">
        <v>10</v>
      </c>
      <c r="E592" s="18" t="s">
        <v>11</v>
      </c>
      <c r="F592" s="18" t="s">
        <v>18</v>
      </c>
      <c r="G592" s="18" t="s">
        <v>19</v>
      </c>
      <c r="H592" s="18" t="s">
        <v>745</v>
      </c>
      <c r="I592" s="19" t="s">
        <v>1348</v>
      </c>
      <c r="J592" s="20" t="str">
        <f>VLOOKUP(B592,baru!$B$2:$I$2271,4,FALSE)</f>
        <v>Khusus</v>
      </c>
      <c r="K592" s="20" t="str">
        <f>VLOOKUP(B592,baru!$B$2:$I$2271,5,FALSE)</f>
        <v>JAWA TENGAH</v>
      </c>
      <c r="L592" s="20" t="str">
        <f>VLOOKUP(B592,baru!$B$2:$I$2271,6,FALSE)</f>
        <v>CILACAP</v>
      </c>
    </row>
    <row r="593" spans="1:12" x14ac:dyDescent="0.35">
      <c r="A593" s="6">
        <v>2251326</v>
      </c>
      <c r="B593" s="7" t="str">
        <f>"3328040808940001"</f>
        <v>3328040808940001</v>
      </c>
      <c r="C593" s="7" t="s">
        <v>1446</v>
      </c>
      <c r="D593" s="7" t="s">
        <v>189</v>
      </c>
      <c r="E593" s="7" t="s">
        <v>11</v>
      </c>
      <c r="F593" s="7" t="s">
        <v>18</v>
      </c>
      <c r="G593" s="7" t="s">
        <v>19</v>
      </c>
      <c r="H593" s="7" t="s">
        <v>745</v>
      </c>
      <c r="I593" s="8" t="s">
        <v>1257</v>
      </c>
      <c r="J593" t="e">
        <f>VLOOKUP(B593,baru!$B$2:$I$2271,4,FALSE)</f>
        <v>#N/A</v>
      </c>
      <c r="K593" t="e">
        <f>VLOOKUP(B593,baru!$B$2:$I$2271,5,FALSE)</f>
        <v>#N/A</v>
      </c>
      <c r="L593" t="e">
        <f>VLOOKUP(B593,baru!$B$2:$I$2271,6,FALSE)</f>
        <v>#N/A</v>
      </c>
    </row>
    <row r="594" spans="1:12" hidden="1" x14ac:dyDescent="0.35">
      <c r="A594" s="6">
        <v>2422773</v>
      </c>
      <c r="B594" s="7" t="str">
        <f>"3328040808940001"</f>
        <v>3328040808940001</v>
      </c>
      <c r="C594" s="7" t="s">
        <v>1447</v>
      </c>
      <c r="D594" s="7" t="s">
        <v>10</v>
      </c>
      <c r="E594" s="7" t="s">
        <v>57</v>
      </c>
      <c r="F594" s="7" t="s">
        <v>50</v>
      </c>
      <c r="G594" s="7" t="s">
        <v>58</v>
      </c>
      <c r="H594" s="7" t="s">
        <v>59</v>
      </c>
      <c r="I594" s="8" t="s">
        <v>60</v>
      </c>
    </row>
    <row r="595" spans="1:12" hidden="1" x14ac:dyDescent="0.35">
      <c r="A595" s="6">
        <v>2213052</v>
      </c>
      <c r="B595" s="7" t="str">
        <f>"3328040907010001"</f>
        <v>3328040907010001</v>
      </c>
      <c r="C595" s="7" t="s">
        <v>1448</v>
      </c>
      <c r="D595" s="7" t="s">
        <v>10</v>
      </c>
      <c r="E595" s="7" t="s">
        <v>11</v>
      </c>
      <c r="F595" s="7" t="s">
        <v>18</v>
      </c>
      <c r="G595" s="7" t="s">
        <v>19</v>
      </c>
      <c r="H595" s="7" t="s">
        <v>745</v>
      </c>
      <c r="I595" s="8" t="s">
        <v>1235</v>
      </c>
      <c r="J595" t="e">
        <f>VLOOKUP(B595,baru!$B$2:$I$2271,4,FALSE)</f>
        <v>#N/A</v>
      </c>
      <c r="K595" t="e">
        <f>VLOOKUP(B595,baru!$B$2:$I$2271,5,FALSE)</f>
        <v>#N/A</v>
      </c>
      <c r="L595" t="e">
        <f>VLOOKUP(B595,baru!$B$2:$I$2271,6,FALSE)</f>
        <v>#N/A</v>
      </c>
    </row>
    <row r="596" spans="1:12" hidden="1" x14ac:dyDescent="0.35">
      <c r="A596" s="6">
        <v>1351129</v>
      </c>
      <c r="B596" s="7" t="str">
        <f>"3328040907010001"</f>
        <v>3328040907010001</v>
      </c>
      <c r="C596" s="7" t="s">
        <v>1448</v>
      </c>
      <c r="D596" s="7" t="s">
        <v>10</v>
      </c>
      <c r="E596" s="7" t="s">
        <v>57</v>
      </c>
      <c r="F596" s="7" t="s">
        <v>303</v>
      </c>
      <c r="G596" s="7" t="s">
        <v>608</v>
      </c>
      <c r="H596" s="7" t="s">
        <v>609</v>
      </c>
      <c r="I596" s="8" t="s">
        <v>610</v>
      </c>
    </row>
    <row r="597" spans="1:12" hidden="1" x14ac:dyDescent="0.35">
      <c r="A597" s="6">
        <v>205776</v>
      </c>
      <c r="B597" s="7" t="str">
        <f>"3328040909950009"</f>
        <v>3328040909950009</v>
      </c>
      <c r="C597" s="7" t="s">
        <v>1199</v>
      </c>
      <c r="D597" s="7" t="s">
        <v>10</v>
      </c>
      <c r="E597" s="7" t="s">
        <v>11</v>
      </c>
      <c r="F597" s="7" t="s">
        <v>521</v>
      </c>
      <c r="G597" s="7" t="s">
        <v>1449</v>
      </c>
      <c r="H597" s="7" t="s">
        <v>1450</v>
      </c>
      <c r="I597" s="8" t="s">
        <v>1451</v>
      </c>
    </row>
    <row r="598" spans="1:12" hidden="1" x14ac:dyDescent="0.35">
      <c r="A598" s="6">
        <v>1035661</v>
      </c>
      <c r="B598" s="7" t="str">
        <f>"3328041008900004"</f>
        <v>3328041008900004</v>
      </c>
      <c r="C598" s="7" t="s">
        <v>1452</v>
      </c>
      <c r="D598" s="7" t="s">
        <v>10</v>
      </c>
      <c r="E598" s="7" t="s">
        <v>11</v>
      </c>
      <c r="F598" s="7" t="s">
        <v>91</v>
      </c>
      <c r="G598" s="7" t="s">
        <v>159</v>
      </c>
      <c r="H598" s="7" t="s">
        <v>1337</v>
      </c>
      <c r="I598" s="8" t="s">
        <v>1338</v>
      </c>
    </row>
    <row r="599" spans="1:12" hidden="1" x14ac:dyDescent="0.35">
      <c r="A599" s="6">
        <v>759606</v>
      </c>
      <c r="B599" s="7" t="str">
        <f>"3328041105660001"</f>
        <v>3328041105660001</v>
      </c>
      <c r="C599" s="7" t="s">
        <v>1453</v>
      </c>
      <c r="D599" s="7" t="s">
        <v>10</v>
      </c>
      <c r="E599" s="7" t="s">
        <v>11</v>
      </c>
      <c r="F599" s="7" t="s">
        <v>18</v>
      </c>
      <c r="G599" s="7" t="s">
        <v>264</v>
      </c>
      <c r="H599" s="7" t="s">
        <v>773</v>
      </c>
      <c r="I599" s="8" t="s">
        <v>1454</v>
      </c>
    </row>
    <row r="600" spans="1:12" hidden="1" x14ac:dyDescent="0.35">
      <c r="A600" s="6">
        <v>2372748</v>
      </c>
      <c r="B600" s="7" t="str">
        <f>"3328041106020002"</f>
        <v>3328041106020002</v>
      </c>
      <c r="C600" s="7" t="s">
        <v>1456</v>
      </c>
      <c r="D600" s="7" t="s">
        <v>10</v>
      </c>
      <c r="E600" s="7" t="s">
        <v>11</v>
      </c>
      <c r="F600" s="7" t="s">
        <v>18</v>
      </c>
      <c r="G600" s="7" t="s">
        <v>19</v>
      </c>
      <c r="H600" s="7" t="s">
        <v>745</v>
      </c>
      <c r="I600" s="8" t="s">
        <v>746</v>
      </c>
      <c r="J600" t="e">
        <f>VLOOKUP(B600,baru!$B$2:$I$2271,4,FALSE)</f>
        <v>#N/A</v>
      </c>
      <c r="K600" t="e">
        <f>VLOOKUP(B600,baru!$B$2:$I$2271,5,FALSE)</f>
        <v>#N/A</v>
      </c>
      <c r="L600" t="e">
        <f>VLOOKUP(B600,baru!$B$2:$I$2271,6,FALSE)</f>
        <v>#N/A</v>
      </c>
    </row>
    <row r="601" spans="1:12" hidden="1" x14ac:dyDescent="0.35">
      <c r="A601" s="6">
        <v>1351126</v>
      </c>
      <c r="B601" s="7" t="str">
        <f>"3328041106020002"</f>
        <v>3328041106020002</v>
      </c>
      <c r="C601" s="7" t="s">
        <v>1456</v>
      </c>
      <c r="D601" s="7" t="s">
        <v>10</v>
      </c>
      <c r="E601" s="7" t="s">
        <v>57</v>
      </c>
      <c r="F601" s="7" t="s">
        <v>303</v>
      </c>
      <c r="G601" s="7" t="s">
        <v>608</v>
      </c>
      <c r="H601" s="7" t="s">
        <v>609</v>
      </c>
      <c r="I601" s="8" t="s">
        <v>610</v>
      </c>
    </row>
    <row r="602" spans="1:12" hidden="1" x14ac:dyDescent="0.35">
      <c r="A602" s="6">
        <v>2292348</v>
      </c>
      <c r="B602" s="7" t="str">
        <f>"3328041110940001"</f>
        <v>3328041110940001</v>
      </c>
      <c r="C602" s="7" t="s">
        <v>1460</v>
      </c>
      <c r="D602" s="7" t="s">
        <v>10</v>
      </c>
      <c r="E602" s="7" t="s">
        <v>11</v>
      </c>
      <c r="F602" s="7" t="s">
        <v>18</v>
      </c>
      <c r="G602" s="7" t="s">
        <v>19</v>
      </c>
      <c r="H602" s="7" t="s">
        <v>745</v>
      </c>
      <c r="I602" s="8" t="s">
        <v>1264</v>
      </c>
      <c r="J602" t="e">
        <f>VLOOKUP(B602,baru!$B$2:$I$2271,4,FALSE)</f>
        <v>#N/A</v>
      </c>
      <c r="K602" t="e">
        <f>VLOOKUP(B602,baru!$B$2:$I$2271,5,FALSE)</f>
        <v>#N/A</v>
      </c>
      <c r="L602" t="e">
        <f>VLOOKUP(B602,baru!$B$2:$I$2271,6,FALSE)</f>
        <v>#N/A</v>
      </c>
    </row>
    <row r="603" spans="1:12" hidden="1" x14ac:dyDescent="0.35">
      <c r="A603" s="6">
        <v>1351117</v>
      </c>
      <c r="B603" s="7" t="str">
        <f>"3328041110940001"</f>
        <v>3328041110940001</v>
      </c>
      <c r="C603" s="7" t="s">
        <v>1460</v>
      </c>
      <c r="D603" s="7" t="s">
        <v>10</v>
      </c>
      <c r="E603" s="7" t="s">
        <v>57</v>
      </c>
      <c r="F603" s="7" t="s">
        <v>303</v>
      </c>
      <c r="G603" s="7" t="s">
        <v>608</v>
      </c>
      <c r="H603" s="7" t="s">
        <v>609</v>
      </c>
      <c r="I603" s="8" t="s">
        <v>610</v>
      </c>
    </row>
    <row r="604" spans="1:12" hidden="1" x14ac:dyDescent="0.35">
      <c r="A604" s="6">
        <v>2346919</v>
      </c>
      <c r="B604" s="7" t="str">
        <f>"3328041208040005"</f>
        <v>3328041208040005</v>
      </c>
      <c r="C604" s="7" t="s">
        <v>1461</v>
      </c>
      <c r="D604" s="7" t="s">
        <v>10</v>
      </c>
      <c r="E604" s="7" t="s">
        <v>11</v>
      </c>
      <c r="F604" s="7" t="s">
        <v>18</v>
      </c>
      <c r="G604" s="7" t="s">
        <v>19</v>
      </c>
      <c r="H604" s="7" t="s">
        <v>745</v>
      </c>
      <c r="I604" s="8" t="s">
        <v>1262</v>
      </c>
      <c r="J604" t="e">
        <f>VLOOKUP(B604,baru!$B$2:$I$2271,4,FALSE)</f>
        <v>#N/A</v>
      </c>
      <c r="K604" t="e">
        <f>VLOOKUP(B604,baru!$B$2:$I$2271,5,FALSE)</f>
        <v>#N/A</v>
      </c>
      <c r="L604" t="e">
        <f>VLOOKUP(B604,baru!$B$2:$I$2271,6,FALSE)</f>
        <v>#N/A</v>
      </c>
    </row>
    <row r="605" spans="1:12" hidden="1" x14ac:dyDescent="0.35">
      <c r="A605" s="6">
        <v>1351123</v>
      </c>
      <c r="B605" s="7" t="str">
        <f>"3328041208040005"</f>
        <v>3328041208040005</v>
      </c>
      <c r="C605" s="7" t="s">
        <v>1461</v>
      </c>
      <c r="D605" s="7" t="s">
        <v>10</v>
      </c>
      <c r="E605" s="7" t="s">
        <v>57</v>
      </c>
      <c r="F605" s="7" t="s">
        <v>303</v>
      </c>
      <c r="G605" s="7" t="s">
        <v>608</v>
      </c>
      <c r="H605" s="7" t="s">
        <v>609</v>
      </c>
      <c r="I605" s="8" t="s">
        <v>610</v>
      </c>
    </row>
    <row r="606" spans="1:12" hidden="1" x14ac:dyDescent="0.35">
      <c r="A606" s="6">
        <v>639012</v>
      </c>
      <c r="B606" s="7" t="str">
        <f>"3328041212870003"</f>
        <v>3328041212870003</v>
      </c>
      <c r="C606" s="7" t="s">
        <v>1462</v>
      </c>
      <c r="D606" s="7" t="s">
        <v>10</v>
      </c>
      <c r="E606" s="7" t="s">
        <v>11</v>
      </c>
      <c r="F606" s="7" t="s">
        <v>50</v>
      </c>
      <c r="G606" s="7" t="s">
        <v>86</v>
      </c>
      <c r="H606" s="7" t="s">
        <v>1463</v>
      </c>
      <c r="I606" s="8" t="s">
        <v>1463</v>
      </c>
    </row>
    <row r="607" spans="1:12" hidden="1" x14ac:dyDescent="0.35">
      <c r="A607" s="6">
        <v>1351128</v>
      </c>
      <c r="B607" s="7" t="str">
        <f>"3328041304060006"</f>
        <v>3328041304060006</v>
      </c>
      <c r="C607" s="7" t="s">
        <v>1465</v>
      </c>
      <c r="D607" s="7" t="s">
        <v>10</v>
      </c>
      <c r="E607" s="7" t="s">
        <v>57</v>
      </c>
      <c r="F607" s="7" t="s">
        <v>303</v>
      </c>
      <c r="G607" s="7" t="s">
        <v>608</v>
      </c>
      <c r="H607" s="7" t="s">
        <v>609</v>
      </c>
      <c r="I607" s="8" t="s">
        <v>610</v>
      </c>
    </row>
    <row r="608" spans="1:12" x14ac:dyDescent="0.35">
      <c r="A608" s="6">
        <v>2369652</v>
      </c>
      <c r="B608" s="7" t="str">
        <f>"3328041304060006"</f>
        <v>3328041304060006</v>
      </c>
      <c r="C608" s="7" t="s">
        <v>1466</v>
      </c>
      <c r="D608" s="7" t="s">
        <v>189</v>
      </c>
      <c r="E608" s="7" t="s">
        <v>11</v>
      </c>
      <c r="F608" s="7" t="s">
        <v>18</v>
      </c>
      <c r="G608" s="7" t="s">
        <v>19</v>
      </c>
      <c r="H608" s="7" t="s">
        <v>745</v>
      </c>
      <c r="I608" s="8" t="s">
        <v>746</v>
      </c>
      <c r="J608" t="e">
        <f>VLOOKUP(B608,baru!$B$2:$I$2271,4,FALSE)</f>
        <v>#N/A</v>
      </c>
      <c r="K608" t="e">
        <f>VLOOKUP(B608,baru!$B$2:$I$2271,5,FALSE)</f>
        <v>#N/A</v>
      </c>
      <c r="L608" t="e">
        <f>VLOOKUP(B608,baru!$B$2:$I$2271,6,FALSE)</f>
        <v>#N/A</v>
      </c>
    </row>
    <row r="609" spans="1:12" hidden="1" x14ac:dyDescent="0.35">
      <c r="A609" s="13">
        <v>2383941</v>
      </c>
      <c r="B609" s="14" t="str">
        <f>"3328041502940004"</f>
        <v>3328041502940004</v>
      </c>
      <c r="C609" s="14" t="s">
        <v>1467</v>
      </c>
      <c r="D609" s="14" t="s">
        <v>10</v>
      </c>
      <c r="E609" s="14" t="s">
        <v>11</v>
      </c>
      <c r="F609" s="14" t="s">
        <v>18</v>
      </c>
      <c r="G609" s="14" t="s">
        <v>19</v>
      </c>
      <c r="H609" s="14" t="s">
        <v>745</v>
      </c>
      <c r="I609" s="15" t="s">
        <v>1306</v>
      </c>
      <c r="J609" s="16" t="str">
        <f>VLOOKUP(B609,baru!$B$2:$I$2271,4,FALSE)</f>
        <v>Reguler</v>
      </c>
      <c r="K609" s="16" t="str">
        <f>VLOOKUP(B609,baru!$B$2:$I$2271,5,FALSE)</f>
        <v>DKI JAKARTA</v>
      </c>
      <c r="L609" s="16" t="str">
        <f>VLOOKUP(B609,baru!$B$2:$I$2271,6,FALSE)</f>
        <v>KOTA JAKARTA BARAT</v>
      </c>
    </row>
    <row r="610" spans="1:12" hidden="1" x14ac:dyDescent="0.35">
      <c r="A610" s="6">
        <v>1354527</v>
      </c>
      <c r="B610" s="7" t="str">
        <f>"3328041507800007"</f>
        <v>3328041507800007</v>
      </c>
      <c r="C610" s="7" t="s">
        <v>458</v>
      </c>
      <c r="D610" s="7" t="s">
        <v>10</v>
      </c>
      <c r="E610" s="7" t="s">
        <v>11</v>
      </c>
      <c r="F610" s="7" t="s">
        <v>50</v>
      </c>
      <c r="G610" s="7" t="s">
        <v>72</v>
      </c>
      <c r="H610" s="7" t="s">
        <v>628</v>
      </c>
      <c r="I610" s="8" t="s">
        <v>1469</v>
      </c>
    </row>
    <row r="611" spans="1:12" hidden="1" x14ac:dyDescent="0.35">
      <c r="A611" s="6">
        <v>2345664</v>
      </c>
      <c r="B611" s="7" t="str">
        <f>"3328041603000007"</f>
        <v>3328041603000007</v>
      </c>
      <c r="C611" s="7" t="s">
        <v>1471</v>
      </c>
      <c r="D611" s="7" t="s">
        <v>10</v>
      </c>
      <c r="E611" s="7" t="s">
        <v>11</v>
      </c>
      <c r="F611" s="7" t="s">
        <v>18</v>
      </c>
      <c r="G611" s="7" t="s">
        <v>19</v>
      </c>
      <c r="H611" s="7" t="s">
        <v>745</v>
      </c>
      <c r="I611" s="8" t="s">
        <v>1262</v>
      </c>
      <c r="J611" t="e">
        <f>VLOOKUP(B611,baru!$B$2:$I$2271,4,FALSE)</f>
        <v>#N/A</v>
      </c>
      <c r="K611" t="e">
        <f>VLOOKUP(B611,baru!$B$2:$I$2271,5,FALSE)</f>
        <v>#N/A</v>
      </c>
      <c r="L611" t="e">
        <f>VLOOKUP(B611,baru!$B$2:$I$2271,6,FALSE)</f>
        <v>#N/A</v>
      </c>
    </row>
    <row r="612" spans="1:12" hidden="1" x14ac:dyDescent="0.35">
      <c r="A612" s="6">
        <v>1351124</v>
      </c>
      <c r="B612" s="7" t="str">
        <f>"3328041603000007"</f>
        <v>3328041603000007</v>
      </c>
      <c r="C612" s="7" t="s">
        <v>1471</v>
      </c>
      <c r="D612" s="7" t="s">
        <v>10</v>
      </c>
      <c r="E612" s="7" t="s">
        <v>57</v>
      </c>
      <c r="F612" s="7" t="s">
        <v>303</v>
      </c>
      <c r="G612" s="7" t="s">
        <v>608</v>
      </c>
      <c r="H612" s="7" t="s">
        <v>609</v>
      </c>
      <c r="I612" s="8" t="s">
        <v>610</v>
      </c>
    </row>
    <row r="613" spans="1:12" hidden="1" x14ac:dyDescent="0.35">
      <c r="A613" s="6">
        <v>1351119</v>
      </c>
      <c r="B613" s="7" t="str">
        <f>"3328041608060006"</f>
        <v>3328041608060006</v>
      </c>
      <c r="C613" s="7" t="s">
        <v>1473</v>
      </c>
      <c r="D613" s="7" t="s">
        <v>10</v>
      </c>
      <c r="E613" s="7" t="s">
        <v>57</v>
      </c>
      <c r="F613" s="7" t="s">
        <v>303</v>
      </c>
      <c r="G613" s="7" t="s">
        <v>608</v>
      </c>
      <c r="H613" s="7" t="s">
        <v>609</v>
      </c>
      <c r="I613" s="8" t="s">
        <v>610</v>
      </c>
    </row>
    <row r="614" spans="1:12" x14ac:dyDescent="0.35">
      <c r="A614" s="13">
        <v>2351750</v>
      </c>
      <c r="B614" s="14" t="str">
        <f>"3328041706970003"</f>
        <v>3328041706970003</v>
      </c>
      <c r="C614" s="14" t="s">
        <v>1474</v>
      </c>
      <c r="D614" s="14" t="s">
        <v>189</v>
      </c>
      <c r="E614" s="14" t="s">
        <v>11</v>
      </c>
      <c r="F614" s="14" t="s">
        <v>18</v>
      </c>
      <c r="G614" s="14" t="s">
        <v>19</v>
      </c>
      <c r="H614" s="14" t="s">
        <v>745</v>
      </c>
      <c r="I614" s="15" t="s">
        <v>1406</v>
      </c>
      <c r="J614" s="16" t="str">
        <f>VLOOKUP(B614,baru!$B$2:$I$2271,4,FALSE)</f>
        <v>Reguler</v>
      </c>
      <c r="K614" s="16" t="str">
        <f>VLOOKUP(B614,baru!$B$2:$I$2271,5,FALSE)</f>
        <v>JAWA TENGAH</v>
      </c>
      <c r="L614" s="16" t="str">
        <f>VLOOKUP(B614,baru!$B$2:$I$2271,6,FALSE)</f>
        <v>WONOSOBO</v>
      </c>
    </row>
    <row r="615" spans="1:12" hidden="1" x14ac:dyDescent="0.35">
      <c r="A615" s="6">
        <v>545502</v>
      </c>
      <c r="B615" s="7" t="str">
        <f>"3328041811970008"</f>
        <v>3328041811970008</v>
      </c>
      <c r="C615" s="7" t="s">
        <v>1476</v>
      </c>
      <c r="D615" s="7" t="s">
        <v>10</v>
      </c>
      <c r="E615" s="7" t="s">
        <v>11</v>
      </c>
      <c r="F615" s="7" t="s">
        <v>67</v>
      </c>
      <c r="G615" s="7" t="s">
        <v>696</v>
      </c>
      <c r="H615" s="7" t="s">
        <v>375</v>
      </c>
      <c r="I615" s="8" t="s">
        <v>1477</v>
      </c>
    </row>
    <row r="616" spans="1:12" hidden="1" x14ac:dyDescent="0.35">
      <c r="A616" s="6">
        <v>183316</v>
      </c>
      <c r="B616" s="7" t="str">
        <f>"3328041812930004"</f>
        <v>3328041812930004</v>
      </c>
      <c r="C616" s="7" t="s">
        <v>1478</v>
      </c>
      <c r="D616" s="7" t="s">
        <v>10</v>
      </c>
      <c r="E616" s="7" t="s">
        <v>11</v>
      </c>
      <c r="F616" s="7" t="s">
        <v>91</v>
      </c>
      <c r="G616" s="7" t="s">
        <v>985</v>
      </c>
      <c r="H616" s="7" t="s">
        <v>1479</v>
      </c>
      <c r="I616" s="8" t="s">
        <v>1480</v>
      </c>
    </row>
    <row r="617" spans="1:12" x14ac:dyDescent="0.35">
      <c r="A617" s="13">
        <v>2400811</v>
      </c>
      <c r="B617" s="14" t="str">
        <f>"3328041902970002"</f>
        <v>3328041902970002</v>
      </c>
      <c r="C617" s="14" t="s">
        <v>1481</v>
      </c>
      <c r="D617" s="14" t="s">
        <v>189</v>
      </c>
      <c r="E617" s="14" t="s">
        <v>11</v>
      </c>
      <c r="F617" s="14" t="s">
        <v>18</v>
      </c>
      <c r="G617" s="14" t="s">
        <v>19</v>
      </c>
      <c r="H617" s="14" t="s">
        <v>745</v>
      </c>
      <c r="I617" s="15" t="s">
        <v>1482</v>
      </c>
      <c r="J617" s="16" t="str">
        <f>VLOOKUP(B617,baru!$B$2:$I$2271,4,FALSE)</f>
        <v>Reguler</v>
      </c>
      <c r="K617" s="16" t="str">
        <f>VLOOKUP(B617,baru!$B$2:$I$2271,5,FALSE)</f>
        <v>JAWA TENGAH</v>
      </c>
      <c r="L617" s="16" t="str">
        <f>VLOOKUP(B617,baru!$B$2:$I$2271,6,FALSE)</f>
        <v>BREBES</v>
      </c>
    </row>
    <row r="618" spans="1:12" x14ac:dyDescent="0.35">
      <c r="A618" s="17">
        <v>2341146</v>
      </c>
      <c r="B618" s="18" t="str">
        <f>"3328041903860001"</f>
        <v>3328041903860001</v>
      </c>
      <c r="C618" s="18" t="s">
        <v>1484</v>
      </c>
      <c r="D618" s="18" t="s">
        <v>189</v>
      </c>
      <c r="E618" s="18" t="s">
        <v>11</v>
      </c>
      <c r="F618" s="18" t="s">
        <v>18</v>
      </c>
      <c r="G618" s="18" t="s">
        <v>19</v>
      </c>
      <c r="H618" s="18" t="s">
        <v>745</v>
      </c>
      <c r="I618" s="19" t="s">
        <v>1277</v>
      </c>
      <c r="J618" s="20" t="str">
        <f>VLOOKUP(B618,baru!$B$2:$I$2271,4,FALSE)</f>
        <v>Khusus</v>
      </c>
      <c r="K618" s="20" t="str">
        <f>VLOOKUP(B618,baru!$B$2:$I$2271,5,FALSE)</f>
        <v>JAWA TENGAH</v>
      </c>
      <c r="L618" s="20" t="str">
        <f>VLOOKUP(B618,baru!$B$2:$I$2271,6,FALSE)</f>
        <v>CILACAP</v>
      </c>
    </row>
    <row r="619" spans="1:12" x14ac:dyDescent="0.35">
      <c r="A619" s="13">
        <v>2217441</v>
      </c>
      <c r="B619" s="14" t="str">
        <f>"3328042008010008"</f>
        <v>3328042008010008</v>
      </c>
      <c r="C619" s="14" t="s">
        <v>1486</v>
      </c>
      <c r="D619" s="14" t="s">
        <v>189</v>
      </c>
      <c r="E619" s="14" t="s">
        <v>11</v>
      </c>
      <c r="F619" s="14" t="s">
        <v>18</v>
      </c>
      <c r="G619" s="14" t="s">
        <v>19</v>
      </c>
      <c r="H619" s="14" t="s">
        <v>745</v>
      </c>
      <c r="I619" s="15" t="s">
        <v>1235</v>
      </c>
      <c r="J619" s="16" t="str">
        <f>VLOOKUP(B619,baru!$B$2:$I$2271,4,FALSE)</f>
        <v>Reguler</v>
      </c>
      <c r="K619" s="16" t="str">
        <f>VLOOKUP(B619,baru!$B$2:$I$2271,5,FALSE)</f>
        <v>SUMATERA BARAT</v>
      </c>
      <c r="L619" s="16" t="str">
        <f>VLOOKUP(B619,baru!$B$2:$I$2271,6,FALSE)</f>
        <v>KOTA PADANG PANJANG</v>
      </c>
    </row>
    <row r="620" spans="1:12" hidden="1" x14ac:dyDescent="0.35">
      <c r="A620" s="6">
        <v>765433</v>
      </c>
      <c r="B620" s="7" t="str">
        <f>"3328042106790003"</f>
        <v>3328042106790003</v>
      </c>
      <c r="C620" s="7" t="s">
        <v>1490</v>
      </c>
      <c r="D620" s="7" t="s">
        <v>10</v>
      </c>
      <c r="E620" s="7" t="s">
        <v>11</v>
      </c>
      <c r="F620" s="7" t="s">
        <v>18</v>
      </c>
      <c r="G620" s="7" t="s">
        <v>264</v>
      </c>
      <c r="H620" s="7" t="s">
        <v>773</v>
      </c>
      <c r="I620" s="8" t="s">
        <v>1454</v>
      </c>
    </row>
    <row r="621" spans="1:12" hidden="1" x14ac:dyDescent="0.35">
      <c r="A621" s="6">
        <v>2050709</v>
      </c>
      <c r="B621" s="7" t="str">
        <f>"3328042106890012"</f>
        <v>3328042106890012</v>
      </c>
      <c r="C621" s="7" t="s">
        <v>1492</v>
      </c>
      <c r="D621" s="7" t="s">
        <v>10</v>
      </c>
      <c r="E621" s="7" t="s">
        <v>11</v>
      </c>
      <c r="F621" s="7" t="s">
        <v>91</v>
      </c>
      <c r="G621" s="7" t="s">
        <v>101</v>
      </c>
      <c r="H621" s="7" t="s">
        <v>1493</v>
      </c>
      <c r="I621" s="8" t="s">
        <v>1494</v>
      </c>
    </row>
    <row r="622" spans="1:12" hidden="1" x14ac:dyDescent="0.35">
      <c r="A622" s="13">
        <v>2349964</v>
      </c>
      <c r="B622" s="14" t="str">
        <f>"3328042110060002"</f>
        <v>3328042110060002</v>
      </c>
      <c r="C622" s="14" t="s">
        <v>1495</v>
      </c>
      <c r="D622" s="14" t="s">
        <v>10</v>
      </c>
      <c r="E622" s="14" t="s">
        <v>11</v>
      </c>
      <c r="F622" s="14" t="s">
        <v>18</v>
      </c>
      <c r="G622" s="14" t="s">
        <v>19</v>
      </c>
      <c r="H622" s="14" t="s">
        <v>745</v>
      </c>
      <c r="I622" s="15" t="s">
        <v>1406</v>
      </c>
      <c r="J622" s="16" t="str">
        <f>VLOOKUP(B622,baru!$B$2:$I$2271,4,FALSE)</f>
        <v>Reguler</v>
      </c>
      <c r="K622" s="16" t="str">
        <f>VLOOKUP(B622,baru!$B$2:$I$2271,5,FALSE)</f>
        <v>JAWA TENGAH</v>
      </c>
      <c r="L622" s="16" t="str">
        <f>VLOOKUP(B622,baru!$B$2:$I$2271,6,FALSE)</f>
        <v>BATANG</v>
      </c>
    </row>
    <row r="623" spans="1:12" hidden="1" x14ac:dyDescent="0.35">
      <c r="A623" s="6">
        <v>1415851</v>
      </c>
      <c r="B623" s="7" t="str">
        <f>"3328042111960004"</f>
        <v>3328042111960004</v>
      </c>
      <c r="C623" s="7" t="s">
        <v>1499</v>
      </c>
      <c r="D623" s="7" t="s">
        <v>10</v>
      </c>
      <c r="E623" s="7" t="s">
        <v>11</v>
      </c>
      <c r="F623" s="7" t="s">
        <v>91</v>
      </c>
      <c r="G623" s="7" t="s">
        <v>114</v>
      </c>
      <c r="H623" s="7" t="s">
        <v>1500</v>
      </c>
      <c r="I623" s="8" t="s">
        <v>1501</v>
      </c>
    </row>
    <row r="624" spans="1:12" hidden="1" x14ac:dyDescent="0.35">
      <c r="A624" s="6">
        <v>1065012</v>
      </c>
      <c r="B624" s="7" t="str">
        <f>"3328042302990001"</f>
        <v>3328042302990001</v>
      </c>
      <c r="C624" s="7" t="s">
        <v>1502</v>
      </c>
      <c r="D624" s="7" t="s">
        <v>10</v>
      </c>
      <c r="E624" s="7" t="s">
        <v>11</v>
      </c>
      <c r="F624" s="7" t="s">
        <v>91</v>
      </c>
      <c r="G624" s="7" t="s">
        <v>92</v>
      </c>
      <c r="H624" s="7" t="s">
        <v>128</v>
      </c>
      <c r="I624" s="8" t="s">
        <v>129</v>
      </c>
    </row>
    <row r="625" spans="1:12" hidden="1" x14ac:dyDescent="0.35">
      <c r="A625" s="6">
        <v>2295653</v>
      </c>
      <c r="B625" s="7" t="str">
        <f>"3328042502040002"</f>
        <v>3328042502040002</v>
      </c>
      <c r="C625" s="7" t="s">
        <v>1503</v>
      </c>
      <c r="D625" s="7" t="s">
        <v>10</v>
      </c>
      <c r="E625" s="7" t="s">
        <v>11</v>
      </c>
      <c r="F625" s="7" t="s">
        <v>18</v>
      </c>
      <c r="G625" s="7" t="s">
        <v>19</v>
      </c>
      <c r="H625" s="7" t="s">
        <v>745</v>
      </c>
      <c r="I625" s="8" t="s">
        <v>1264</v>
      </c>
      <c r="J625" t="e">
        <f>VLOOKUP(B625,baru!$B$2:$I$2271,4,FALSE)</f>
        <v>#N/A</v>
      </c>
      <c r="K625" t="e">
        <f>VLOOKUP(B625,baru!$B$2:$I$2271,5,FALSE)</f>
        <v>#N/A</v>
      </c>
      <c r="L625" t="e">
        <f>VLOOKUP(B625,baru!$B$2:$I$2271,6,FALSE)</f>
        <v>#N/A</v>
      </c>
    </row>
    <row r="626" spans="1:12" hidden="1" x14ac:dyDescent="0.35">
      <c r="A626" s="6">
        <v>1351120</v>
      </c>
      <c r="B626" s="7" t="str">
        <f>"3328042502040002"</f>
        <v>3328042502040002</v>
      </c>
      <c r="C626" s="7" t="s">
        <v>1504</v>
      </c>
      <c r="D626" s="7" t="s">
        <v>10</v>
      </c>
      <c r="E626" s="7" t="s">
        <v>57</v>
      </c>
      <c r="F626" s="7" t="s">
        <v>303</v>
      </c>
      <c r="G626" s="7" t="s">
        <v>608</v>
      </c>
      <c r="H626" s="7" t="s">
        <v>609</v>
      </c>
      <c r="I626" s="8" t="s">
        <v>610</v>
      </c>
    </row>
    <row r="627" spans="1:12" hidden="1" x14ac:dyDescent="0.35">
      <c r="A627" s="6">
        <v>352179</v>
      </c>
      <c r="B627" s="7" t="str">
        <f>"3328042502830002"</f>
        <v>3328042502830002</v>
      </c>
      <c r="C627" s="7" t="s">
        <v>1505</v>
      </c>
      <c r="D627" s="7" t="s">
        <v>10</v>
      </c>
      <c r="E627" s="7" t="s">
        <v>11</v>
      </c>
      <c r="F627" s="7" t="s">
        <v>18</v>
      </c>
      <c r="G627" s="7" t="s">
        <v>268</v>
      </c>
      <c r="H627" s="7" t="s">
        <v>269</v>
      </c>
      <c r="I627" s="8" t="s">
        <v>270</v>
      </c>
    </row>
    <row r="628" spans="1:12" hidden="1" x14ac:dyDescent="0.35">
      <c r="A628" s="13">
        <v>2288331</v>
      </c>
      <c r="B628" s="14" t="str">
        <f>"3328042504030001"</f>
        <v>3328042504030001</v>
      </c>
      <c r="C628" s="14" t="s">
        <v>1506</v>
      </c>
      <c r="D628" s="14" t="s">
        <v>10</v>
      </c>
      <c r="E628" s="14" t="s">
        <v>11</v>
      </c>
      <c r="F628" s="14" t="s">
        <v>18</v>
      </c>
      <c r="G628" s="14" t="s">
        <v>19</v>
      </c>
      <c r="H628" s="14" t="s">
        <v>745</v>
      </c>
      <c r="I628" s="15" t="s">
        <v>1264</v>
      </c>
      <c r="J628" s="16" t="str">
        <f>VLOOKUP(B628,baru!$B$2:$I$2271,4,FALSE)</f>
        <v>Reguler</v>
      </c>
      <c r="K628" s="16" t="str">
        <f>VLOOKUP(B628,baru!$B$2:$I$2271,5,FALSE)</f>
        <v>JAWA TENGAH</v>
      </c>
      <c r="L628" s="16" t="str">
        <f>VLOOKUP(B628,baru!$B$2:$I$2271,6,FALSE)</f>
        <v>KOTA TEGAL</v>
      </c>
    </row>
    <row r="629" spans="1:12" hidden="1" x14ac:dyDescent="0.35">
      <c r="A629" s="6">
        <v>278197</v>
      </c>
      <c r="B629" s="7" t="str">
        <f>"3328042704910002"</f>
        <v>3328042704910002</v>
      </c>
      <c r="C629" s="7" t="s">
        <v>1509</v>
      </c>
      <c r="D629" s="7" t="s">
        <v>10</v>
      </c>
      <c r="E629" s="7" t="s">
        <v>11</v>
      </c>
      <c r="F629" s="7" t="s">
        <v>12</v>
      </c>
      <c r="G629" s="7" t="s">
        <v>13</v>
      </c>
      <c r="H629" s="7" t="s">
        <v>1510</v>
      </c>
      <c r="I629" s="8" t="s">
        <v>1511</v>
      </c>
    </row>
    <row r="630" spans="1:12" hidden="1" x14ac:dyDescent="0.35">
      <c r="A630" s="6">
        <v>2404601</v>
      </c>
      <c r="B630" s="7" t="str">
        <f>"3328042904900005"</f>
        <v>3328042904900005</v>
      </c>
      <c r="C630" s="7" t="s">
        <v>1512</v>
      </c>
      <c r="D630" s="7" t="s">
        <v>10</v>
      </c>
      <c r="E630" s="7" t="s">
        <v>11</v>
      </c>
      <c r="F630" s="7" t="s">
        <v>18</v>
      </c>
      <c r="G630" s="7" t="s">
        <v>19</v>
      </c>
      <c r="H630" s="7" t="s">
        <v>745</v>
      </c>
      <c r="I630" s="8" t="s">
        <v>1230</v>
      </c>
      <c r="J630" t="e">
        <f>VLOOKUP(B630,baru!$B$2:$I$2271,4,FALSE)</f>
        <v>#N/A</v>
      </c>
      <c r="K630" t="e">
        <f>VLOOKUP(B630,baru!$B$2:$I$2271,5,FALSE)</f>
        <v>#N/A</v>
      </c>
      <c r="L630" t="e">
        <f>VLOOKUP(B630,baru!$B$2:$I$2271,6,FALSE)</f>
        <v>#N/A</v>
      </c>
    </row>
    <row r="631" spans="1:12" hidden="1" x14ac:dyDescent="0.35">
      <c r="A631" s="6">
        <v>1696350</v>
      </c>
      <c r="B631" s="7" t="str">
        <f>"3328042904900005"</f>
        <v>3328042904900005</v>
      </c>
      <c r="C631" s="7" t="s">
        <v>1513</v>
      </c>
      <c r="D631" s="7" t="s">
        <v>10</v>
      </c>
      <c r="E631" s="7" t="s">
        <v>57</v>
      </c>
      <c r="F631" s="7" t="s">
        <v>18</v>
      </c>
      <c r="G631" s="7" t="s">
        <v>1514</v>
      </c>
      <c r="H631" s="7" t="s">
        <v>1515</v>
      </c>
      <c r="I631" s="8" t="s">
        <v>1516</v>
      </c>
    </row>
    <row r="632" spans="1:12" hidden="1" x14ac:dyDescent="0.35">
      <c r="A632" s="13">
        <v>2345574</v>
      </c>
      <c r="B632" s="14" t="str">
        <f>"3328042906970003"</f>
        <v>3328042906970003</v>
      </c>
      <c r="C632" s="14" t="s">
        <v>1517</v>
      </c>
      <c r="D632" s="14" t="s">
        <v>10</v>
      </c>
      <c r="E632" s="14" t="s">
        <v>11</v>
      </c>
      <c r="F632" s="14" t="s">
        <v>18</v>
      </c>
      <c r="G632" s="14" t="s">
        <v>19</v>
      </c>
      <c r="H632" s="14" t="s">
        <v>745</v>
      </c>
      <c r="I632" s="15" t="s">
        <v>1262</v>
      </c>
      <c r="J632" s="16" t="str">
        <f>VLOOKUP(B632,baru!$B$2:$I$2271,4,FALSE)</f>
        <v>Reguler</v>
      </c>
      <c r="K632" s="16" t="str">
        <f>VLOOKUP(B632,baru!$B$2:$I$2271,5,FALSE)</f>
        <v>DKI JAKARTA</v>
      </c>
      <c r="L632" s="16" t="str">
        <f>VLOOKUP(B632,baru!$B$2:$I$2271,6,FALSE)</f>
        <v>KOTA JAKARTA TIMUR</v>
      </c>
    </row>
    <row r="633" spans="1:12" hidden="1" x14ac:dyDescent="0.35">
      <c r="A633" s="6">
        <v>1387501</v>
      </c>
      <c r="B633" s="7" t="str">
        <f>"3328043009880007"</f>
        <v>3328043009880007</v>
      </c>
      <c r="C633" s="7" t="s">
        <v>1519</v>
      </c>
      <c r="D633" s="7" t="s">
        <v>10</v>
      </c>
      <c r="E633" s="7" t="s">
        <v>11</v>
      </c>
      <c r="F633" s="7" t="s">
        <v>67</v>
      </c>
      <c r="G633" s="7" t="s">
        <v>512</v>
      </c>
      <c r="H633" s="7" t="s">
        <v>219</v>
      </c>
      <c r="I633" s="8" t="s">
        <v>1520</v>
      </c>
    </row>
    <row r="634" spans="1:12" hidden="1" x14ac:dyDescent="0.35">
      <c r="A634" s="6">
        <v>2272592</v>
      </c>
      <c r="B634" s="7" t="str">
        <f>"3328043012720013"</f>
        <v>3328043012720013</v>
      </c>
      <c r="C634" s="7" t="s">
        <v>1521</v>
      </c>
      <c r="D634" s="7" t="s">
        <v>10</v>
      </c>
      <c r="E634" s="7" t="s">
        <v>11</v>
      </c>
      <c r="F634" s="7" t="s">
        <v>18</v>
      </c>
      <c r="G634" s="7" t="s">
        <v>19</v>
      </c>
      <c r="H634" s="7" t="s">
        <v>745</v>
      </c>
      <c r="I634" s="8" t="s">
        <v>1348</v>
      </c>
      <c r="J634" t="e">
        <f>VLOOKUP(B634,baru!$B$2:$I$2271,4,FALSE)</f>
        <v>#N/A</v>
      </c>
      <c r="K634" t="e">
        <f>VLOOKUP(B634,baru!$B$2:$I$2271,5,FALSE)</f>
        <v>#N/A</v>
      </c>
      <c r="L634" t="e">
        <f>VLOOKUP(B634,baru!$B$2:$I$2271,6,FALSE)</f>
        <v>#N/A</v>
      </c>
    </row>
    <row r="635" spans="1:12" hidden="1" x14ac:dyDescent="0.35">
      <c r="A635" s="6">
        <v>884796</v>
      </c>
      <c r="B635" s="7" t="str">
        <f>"3328043012720013"</f>
        <v>3328043012720013</v>
      </c>
      <c r="C635" s="7" t="s">
        <v>1521</v>
      </c>
      <c r="D635" s="7" t="s">
        <v>10</v>
      </c>
      <c r="E635" s="7" t="s">
        <v>11</v>
      </c>
      <c r="F635" s="7" t="s">
        <v>18</v>
      </c>
      <c r="G635" s="7" t="s">
        <v>1522</v>
      </c>
      <c r="H635" s="7" t="s">
        <v>1523</v>
      </c>
      <c r="I635" s="8" t="s">
        <v>1524</v>
      </c>
    </row>
    <row r="636" spans="1:12" hidden="1" x14ac:dyDescent="0.35">
      <c r="A636" s="13">
        <v>2351323</v>
      </c>
      <c r="B636" s="14" t="str">
        <f>"3328043112850010"</f>
        <v>3328043112850010</v>
      </c>
      <c r="C636" s="14" t="s">
        <v>1525</v>
      </c>
      <c r="D636" s="14" t="s">
        <v>10</v>
      </c>
      <c r="E636" s="14" t="s">
        <v>11</v>
      </c>
      <c r="F636" s="14" t="s">
        <v>18</v>
      </c>
      <c r="G636" s="14" t="s">
        <v>19</v>
      </c>
      <c r="H636" s="14" t="s">
        <v>745</v>
      </c>
      <c r="I636" s="15" t="s">
        <v>1406</v>
      </c>
      <c r="J636" s="16" t="str">
        <f>VLOOKUP(B636,baru!$B$2:$I$2271,4,FALSE)</f>
        <v>Reguler</v>
      </c>
      <c r="K636" s="16" t="str">
        <f>VLOOKUP(B636,baru!$B$2:$I$2271,5,FALSE)</f>
        <v>DAERAH ISTIMEWA YOGYAKARTA</v>
      </c>
      <c r="L636" s="16" t="str">
        <f>VLOOKUP(B636,baru!$B$2:$I$2271,6,FALSE)</f>
        <v>SLEMAN</v>
      </c>
    </row>
    <row r="637" spans="1:12" hidden="1" x14ac:dyDescent="0.35">
      <c r="A637" s="13">
        <v>2395797</v>
      </c>
      <c r="B637" s="14" t="str">
        <f>"3328044101950007"</f>
        <v>3328044101950007</v>
      </c>
      <c r="C637" s="14" t="s">
        <v>1528</v>
      </c>
      <c r="D637" s="14" t="s">
        <v>10</v>
      </c>
      <c r="E637" s="14" t="s">
        <v>11</v>
      </c>
      <c r="F637" s="14" t="s">
        <v>18</v>
      </c>
      <c r="G637" s="14" t="s">
        <v>19</v>
      </c>
      <c r="H637" s="14" t="s">
        <v>745</v>
      </c>
      <c r="I637" s="15" t="s">
        <v>1274</v>
      </c>
      <c r="J637" s="16" t="str">
        <f>VLOOKUP(B637,baru!$B$2:$I$2271,4,FALSE)</f>
        <v>Reguler</v>
      </c>
      <c r="K637" s="16" t="str">
        <f>VLOOKUP(B637,baru!$B$2:$I$2271,5,FALSE)</f>
        <v>DKI JAKARTA</v>
      </c>
      <c r="L637" s="16" t="str">
        <f>VLOOKUP(B637,baru!$B$2:$I$2271,6,FALSE)</f>
        <v>KOTA JAKARTA BARAT</v>
      </c>
    </row>
    <row r="638" spans="1:12" hidden="1" x14ac:dyDescent="0.35">
      <c r="A638" s="13">
        <v>2250774</v>
      </c>
      <c r="B638" s="14" t="str">
        <f>"3328044101960011"</f>
        <v>3328044101960011</v>
      </c>
      <c r="C638" s="14" t="s">
        <v>1529</v>
      </c>
      <c r="D638" s="14" t="s">
        <v>10</v>
      </c>
      <c r="E638" s="14" t="s">
        <v>11</v>
      </c>
      <c r="F638" s="14" t="s">
        <v>18</v>
      </c>
      <c r="G638" s="14" t="s">
        <v>19</v>
      </c>
      <c r="H638" s="14" t="s">
        <v>745</v>
      </c>
      <c r="I638" s="15" t="s">
        <v>1257</v>
      </c>
      <c r="J638" s="16" t="str">
        <f>VLOOKUP(B638,baru!$B$2:$I$2271,4,FALSE)</f>
        <v>Reguler</v>
      </c>
      <c r="K638" s="16" t="str">
        <f>VLOOKUP(B638,baru!$B$2:$I$2271,5,FALSE)</f>
        <v>JAWA TENGAH</v>
      </c>
      <c r="L638" s="16" t="str">
        <f>VLOOKUP(B638,baru!$B$2:$I$2271,6,FALSE)</f>
        <v>KOTA SEMARANG</v>
      </c>
    </row>
    <row r="639" spans="1:12" x14ac:dyDescent="0.35">
      <c r="A639" s="13">
        <v>2219905</v>
      </c>
      <c r="B639" s="14" t="str">
        <f>"3328044107950035"</f>
        <v>3328044107950035</v>
      </c>
      <c r="C639" s="14" t="s">
        <v>1532</v>
      </c>
      <c r="D639" s="14" t="s">
        <v>189</v>
      </c>
      <c r="E639" s="14" t="s">
        <v>11</v>
      </c>
      <c r="F639" s="14" t="s">
        <v>18</v>
      </c>
      <c r="G639" s="14" t="s">
        <v>19</v>
      </c>
      <c r="H639" s="14" t="s">
        <v>745</v>
      </c>
      <c r="I639" s="15" t="s">
        <v>1235</v>
      </c>
      <c r="J639" s="16" t="str">
        <f>VLOOKUP(B639,baru!$B$2:$I$2271,4,FALSE)</f>
        <v>Reguler</v>
      </c>
      <c r="K639" s="16" t="str">
        <f>VLOOKUP(B639,baru!$B$2:$I$2271,5,FALSE)</f>
        <v>SUMATERA BARAT</v>
      </c>
      <c r="L639" s="16" t="str">
        <f>VLOOKUP(B639,baru!$B$2:$I$2271,6,FALSE)</f>
        <v>KOTA PADANG PANJANG</v>
      </c>
    </row>
    <row r="640" spans="1:12" hidden="1" x14ac:dyDescent="0.35">
      <c r="A640" s="6">
        <v>355804</v>
      </c>
      <c r="B640" s="7" t="str">
        <f>"3328044107950101"</f>
        <v>3328044107950101</v>
      </c>
      <c r="C640" s="7" t="s">
        <v>1533</v>
      </c>
      <c r="D640" s="7" t="s">
        <v>10</v>
      </c>
      <c r="E640" s="7" t="s">
        <v>11</v>
      </c>
      <c r="F640" s="7" t="s">
        <v>91</v>
      </c>
      <c r="G640" s="7" t="s">
        <v>320</v>
      </c>
      <c r="H640" s="7" t="s">
        <v>664</v>
      </c>
      <c r="I640" s="8" t="s">
        <v>665</v>
      </c>
    </row>
    <row r="641" spans="1:12" hidden="1" x14ac:dyDescent="0.35">
      <c r="A641" s="6">
        <v>40666</v>
      </c>
      <c r="B641" s="7" t="str">
        <f>"3328044111850001"</f>
        <v>3328044111850001</v>
      </c>
      <c r="C641" s="7" t="s">
        <v>1534</v>
      </c>
      <c r="D641" s="7" t="s">
        <v>10</v>
      </c>
      <c r="E641" s="7" t="s">
        <v>11</v>
      </c>
      <c r="F641" s="7" t="s">
        <v>18</v>
      </c>
      <c r="G641" s="7" t="s">
        <v>264</v>
      </c>
      <c r="H641" s="7" t="s">
        <v>324</v>
      </c>
      <c r="I641" s="8" t="s">
        <v>1535</v>
      </c>
    </row>
    <row r="642" spans="1:12" hidden="1" x14ac:dyDescent="0.35">
      <c r="A642" s="13">
        <v>2396086</v>
      </c>
      <c r="B642" s="14" t="str">
        <f>"3328044202916888"</f>
        <v>3328044202916888</v>
      </c>
      <c r="C642" s="14" t="s">
        <v>1536</v>
      </c>
      <c r="D642" s="14" t="s">
        <v>10</v>
      </c>
      <c r="E642" s="14" t="s">
        <v>11</v>
      </c>
      <c r="F642" s="14" t="s">
        <v>18</v>
      </c>
      <c r="G642" s="14" t="s">
        <v>19</v>
      </c>
      <c r="H642" s="14" t="s">
        <v>745</v>
      </c>
      <c r="I642" s="15" t="s">
        <v>1274</v>
      </c>
      <c r="J642" s="16" t="str">
        <f>VLOOKUP(B642,baru!$B$2:$I$2271,4,FALSE)</f>
        <v>Reguler</v>
      </c>
      <c r="K642" s="16" t="str">
        <f>VLOOKUP(B642,baru!$B$2:$I$2271,5,FALSE)</f>
        <v>JAWA BARAT</v>
      </c>
      <c r="L642" s="16" t="str">
        <f>VLOOKUP(B642,baru!$B$2:$I$2271,6,FALSE)</f>
        <v>PANGANDARAN</v>
      </c>
    </row>
    <row r="643" spans="1:12" hidden="1" x14ac:dyDescent="0.35">
      <c r="A643" s="6">
        <v>322197</v>
      </c>
      <c r="B643" s="7" t="str">
        <f>"3328044203030003"</f>
        <v>3328044203030003</v>
      </c>
      <c r="C643" s="7" t="s">
        <v>1538</v>
      </c>
      <c r="D643" s="7" t="s">
        <v>10</v>
      </c>
      <c r="E643" s="7" t="s">
        <v>11</v>
      </c>
      <c r="F643" s="7" t="s">
        <v>44</v>
      </c>
      <c r="G643" s="7" t="s">
        <v>1539</v>
      </c>
      <c r="H643" s="7" t="s">
        <v>1540</v>
      </c>
      <c r="I643" s="8" t="s">
        <v>1541</v>
      </c>
    </row>
    <row r="644" spans="1:12" hidden="1" x14ac:dyDescent="0.35">
      <c r="A644" s="6">
        <v>917702</v>
      </c>
      <c r="B644" s="7" t="str">
        <f>"3328044207870003"</f>
        <v>3328044207870003</v>
      </c>
      <c r="C644" s="7" t="s">
        <v>1543</v>
      </c>
      <c r="D644" s="7" t="s">
        <v>10</v>
      </c>
      <c r="E644" s="7" t="s">
        <v>11</v>
      </c>
      <c r="F644" s="7" t="s">
        <v>91</v>
      </c>
      <c r="G644" s="7" t="s">
        <v>631</v>
      </c>
      <c r="H644" s="7" t="s">
        <v>1544</v>
      </c>
      <c r="I644" s="8" t="s">
        <v>1545</v>
      </c>
    </row>
    <row r="645" spans="1:12" hidden="1" x14ac:dyDescent="0.35">
      <c r="A645" s="6">
        <v>1084427</v>
      </c>
      <c r="B645" s="7" t="str">
        <f>"3328044402840001"</f>
        <v>3328044402840001</v>
      </c>
      <c r="C645" s="7" t="s">
        <v>1546</v>
      </c>
      <c r="D645" s="7" t="s">
        <v>10</v>
      </c>
      <c r="E645" s="7" t="s">
        <v>11</v>
      </c>
      <c r="F645" s="7" t="s">
        <v>50</v>
      </c>
      <c r="G645" s="7" t="s">
        <v>51</v>
      </c>
      <c r="H645" s="7" t="s">
        <v>52</v>
      </c>
      <c r="I645" s="8" t="s">
        <v>52</v>
      </c>
    </row>
    <row r="646" spans="1:12" x14ac:dyDescent="0.35">
      <c r="A646" s="6">
        <v>2345212</v>
      </c>
      <c r="B646" s="7" t="str">
        <f>"3328044402840001"</f>
        <v>3328044402840001</v>
      </c>
      <c r="C646" s="7" t="s">
        <v>1546</v>
      </c>
      <c r="D646" s="7" t="s">
        <v>189</v>
      </c>
      <c r="E646" s="7" t="s">
        <v>11</v>
      </c>
      <c r="F646" s="7" t="s">
        <v>18</v>
      </c>
      <c r="G646" s="7" t="s">
        <v>19</v>
      </c>
      <c r="H646" s="7" t="s">
        <v>745</v>
      </c>
      <c r="I646" s="8" t="s">
        <v>1262</v>
      </c>
      <c r="J646" t="e">
        <f>VLOOKUP(B646,baru!$B$2:$I$2271,4,FALSE)</f>
        <v>#N/A</v>
      </c>
      <c r="K646" t="e">
        <f>VLOOKUP(B646,baru!$B$2:$I$2271,5,FALSE)</f>
        <v>#N/A</v>
      </c>
      <c r="L646" t="e">
        <f>VLOOKUP(B646,baru!$B$2:$I$2271,6,FALSE)</f>
        <v>#N/A</v>
      </c>
    </row>
    <row r="647" spans="1:12" hidden="1" x14ac:dyDescent="0.35">
      <c r="A647" s="6">
        <v>1282635</v>
      </c>
      <c r="B647" s="7" t="str">
        <f>"3328044403900002"</f>
        <v>3328044403900002</v>
      </c>
      <c r="C647" s="7" t="s">
        <v>1547</v>
      </c>
      <c r="D647" s="7" t="s">
        <v>10</v>
      </c>
      <c r="E647" s="7" t="s">
        <v>11</v>
      </c>
      <c r="F647" s="7" t="s">
        <v>91</v>
      </c>
      <c r="G647" s="7" t="s">
        <v>149</v>
      </c>
      <c r="H647" s="7" t="s">
        <v>1324</v>
      </c>
      <c r="I647" s="8" t="s">
        <v>1372</v>
      </c>
    </row>
    <row r="648" spans="1:12" hidden="1" x14ac:dyDescent="0.35">
      <c r="A648" s="6">
        <v>343425</v>
      </c>
      <c r="B648" s="7" t="str">
        <f>"3328044507570002"</f>
        <v>3328044507570002</v>
      </c>
      <c r="C648" s="7" t="s">
        <v>1549</v>
      </c>
      <c r="D648" s="7" t="s">
        <v>10</v>
      </c>
      <c r="E648" s="7" t="s">
        <v>11</v>
      </c>
      <c r="F648" s="7" t="s">
        <v>91</v>
      </c>
      <c r="G648" s="7" t="s">
        <v>754</v>
      </c>
      <c r="H648" s="7" t="s">
        <v>1365</v>
      </c>
      <c r="I648" s="8" t="s">
        <v>1366</v>
      </c>
    </row>
    <row r="649" spans="1:12" x14ac:dyDescent="0.35">
      <c r="A649" s="13">
        <v>2349139</v>
      </c>
      <c r="B649" s="14" t="str">
        <f>"3328044509950002"</f>
        <v>3328044509950002</v>
      </c>
      <c r="C649" s="14" t="s">
        <v>1550</v>
      </c>
      <c r="D649" s="14" t="s">
        <v>189</v>
      </c>
      <c r="E649" s="14" t="s">
        <v>11</v>
      </c>
      <c r="F649" s="14" t="s">
        <v>18</v>
      </c>
      <c r="G649" s="14" t="s">
        <v>19</v>
      </c>
      <c r="H649" s="14" t="s">
        <v>745</v>
      </c>
      <c r="I649" s="15" t="s">
        <v>1406</v>
      </c>
      <c r="J649" s="16" t="str">
        <f>VLOOKUP(B649,baru!$B$2:$I$2271,4,FALSE)</f>
        <v>Reguler</v>
      </c>
      <c r="K649" s="16" t="str">
        <f>VLOOKUP(B649,baru!$B$2:$I$2271,5,FALSE)</f>
        <v>DKI JAKARTA</v>
      </c>
      <c r="L649" s="16" t="str">
        <f>VLOOKUP(B649,baru!$B$2:$I$2271,6,FALSE)</f>
        <v>KOTA JAKARTA TIMUR</v>
      </c>
    </row>
    <row r="650" spans="1:12" hidden="1" x14ac:dyDescent="0.35">
      <c r="A650" s="6">
        <v>2344464</v>
      </c>
      <c r="B650" s="7" t="str">
        <f>"3328044511030001"</f>
        <v>3328044511030001</v>
      </c>
      <c r="C650" s="7" t="s">
        <v>1552</v>
      </c>
      <c r="D650" s="7" t="s">
        <v>10</v>
      </c>
      <c r="E650" s="7" t="s">
        <v>11</v>
      </c>
      <c r="F650" s="7" t="s">
        <v>18</v>
      </c>
      <c r="G650" s="7" t="s">
        <v>19</v>
      </c>
      <c r="H650" s="7" t="s">
        <v>745</v>
      </c>
      <c r="I650" s="8" t="s">
        <v>1262</v>
      </c>
      <c r="J650" t="e">
        <f>VLOOKUP(B650,baru!$B$2:$I$2271,4,FALSE)</f>
        <v>#N/A</v>
      </c>
      <c r="K650" t="e">
        <f>VLOOKUP(B650,baru!$B$2:$I$2271,5,FALSE)</f>
        <v>#N/A</v>
      </c>
      <c r="L650" t="e">
        <f>VLOOKUP(B650,baru!$B$2:$I$2271,6,FALSE)</f>
        <v>#N/A</v>
      </c>
    </row>
    <row r="651" spans="1:12" hidden="1" x14ac:dyDescent="0.35">
      <c r="A651" s="6">
        <v>1351122</v>
      </c>
      <c r="B651" s="7" t="str">
        <f>"3328044511030001"</f>
        <v>3328044511030001</v>
      </c>
      <c r="C651" s="7" t="s">
        <v>1553</v>
      </c>
      <c r="D651" s="7" t="s">
        <v>10</v>
      </c>
      <c r="E651" s="7" t="s">
        <v>57</v>
      </c>
      <c r="F651" s="7" t="s">
        <v>303</v>
      </c>
      <c r="G651" s="7" t="s">
        <v>608</v>
      </c>
      <c r="H651" s="7" t="s">
        <v>609</v>
      </c>
      <c r="I651" s="8" t="s">
        <v>610</v>
      </c>
    </row>
    <row r="652" spans="1:12" hidden="1" x14ac:dyDescent="0.35">
      <c r="A652" s="6">
        <v>180317</v>
      </c>
      <c r="B652" s="7" t="str">
        <f>"3328044602990005"</f>
        <v>3328044602990005</v>
      </c>
      <c r="C652" s="7" t="s">
        <v>1554</v>
      </c>
      <c r="D652" s="7" t="s">
        <v>10</v>
      </c>
      <c r="E652" s="7" t="s">
        <v>11</v>
      </c>
      <c r="F652" s="7" t="s">
        <v>811</v>
      </c>
      <c r="G652" s="7" t="s">
        <v>812</v>
      </c>
      <c r="H652" s="7" t="s">
        <v>1555</v>
      </c>
      <c r="I652" s="8" t="s">
        <v>1556</v>
      </c>
    </row>
    <row r="653" spans="1:12" hidden="1" x14ac:dyDescent="0.35">
      <c r="A653" s="6">
        <v>2617959</v>
      </c>
      <c r="B653" s="7" t="str">
        <f>"3328044603060006"</f>
        <v>3328044603060006</v>
      </c>
      <c r="C653" s="7" t="s">
        <v>1557</v>
      </c>
      <c r="D653" s="7" t="s">
        <v>10</v>
      </c>
      <c r="E653" s="7" t="s">
        <v>57</v>
      </c>
      <c r="F653" s="7" t="s">
        <v>18</v>
      </c>
      <c r="G653" s="7" t="s">
        <v>1438</v>
      </c>
      <c r="H653" s="7" t="s">
        <v>1439</v>
      </c>
      <c r="I653" s="8" t="s">
        <v>1440</v>
      </c>
    </row>
    <row r="654" spans="1:12" x14ac:dyDescent="0.35">
      <c r="A654" s="6">
        <v>2371415</v>
      </c>
      <c r="B654" s="7" t="str">
        <f>"3328044603060006"</f>
        <v>3328044603060006</v>
      </c>
      <c r="C654" s="7" t="s">
        <v>1558</v>
      </c>
      <c r="D654" s="7" t="s">
        <v>189</v>
      </c>
      <c r="E654" s="7" t="s">
        <v>11</v>
      </c>
      <c r="F654" s="7" t="s">
        <v>18</v>
      </c>
      <c r="G654" s="7" t="s">
        <v>19</v>
      </c>
      <c r="H654" s="7" t="s">
        <v>745</v>
      </c>
      <c r="I654" s="8" t="s">
        <v>746</v>
      </c>
      <c r="J654" t="e">
        <f>VLOOKUP(B654,baru!$B$2:$I$2271,4,FALSE)</f>
        <v>#N/A</v>
      </c>
      <c r="K654" t="e">
        <f>VLOOKUP(B654,baru!$B$2:$I$2271,5,FALSE)</f>
        <v>#N/A</v>
      </c>
      <c r="L654" t="e">
        <f>VLOOKUP(B654,baru!$B$2:$I$2271,6,FALSE)</f>
        <v>#N/A</v>
      </c>
    </row>
    <row r="655" spans="1:12" hidden="1" x14ac:dyDescent="0.35">
      <c r="A655" s="13">
        <v>2386259</v>
      </c>
      <c r="B655" s="14" t="str">
        <f>"3328044603970004"</f>
        <v>3328044603970004</v>
      </c>
      <c r="C655" s="14" t="s">
        <v>1559</v>
      </c>
      <c r="D655" s="14" t="s">
        <v>10</v>
      </c>
      <c r="E655" s="14" t="s">
        <v>11</v>
      </c>
      <c r="F655" s="14" t="s">
        <v>18</v>
      </c>
      <c r="G655" s="14" t="s">
        <v>19</v>
      </c>
      <c r="H655" s="14" t="s">
        <v>745</v>
      </c>
      <c r="I655" s="15" t="s">
        <v>352</v>
      </c>
      <c r="J655" s="16" t="str">
        <f>VLOOKUP(B655,baru!$B$2:$I$2271,4,FALSE)</f>
        <v>Reguler</v>
      </c>
      <c r="K655" s="16" t="str">
        <f>VLOOKUP(B655,baru!$B$2:$I$2271,5,FALSE)</f>
        <v>DKI JAKARTA</v>
      </c>
      <c r="L655" s="16" t="str">
        <f>VLOOKUP(B655,baru!$B$2:$I$2271,6,FALSE)</f>
        <v>KOTA JAKARTA PUSAT</v>
      </c>
    </row>
    <row r="656" spans="1:12" hidden="1" x14ac:dyDescent="0.35">
      <c r="A656" s="6">
        <v>1802703</v>
      </c>
      <c r="B656" s="7" t="str">
        <f>"3328044708670002"</f>
        <v>3328044708670002</v>
      </c>
      <c r="C656" s="7" t="s">
        <v>1562</v>
      </c>
      <c r="D656" s="7" t="s">
        <v>10</v>
      </c>
      <c r="E656" s="7" t="s">
        <v>11</v>
      </c>
      <c r="F656" s="7" t="s">
        <v>50</v>
      </c>
      <c r="G656" s="7" t="s">
        <v>58</v>
      </c>
      <c r="H656" s="7" t="s">
        <v>97</v>
      </c>
      <c r="I656" s="8" t="s">
        <v>97</v>
      </c>
    </row>
    <row r="657" spans="1:12" hidden="1" x14ac:dyDescent="0.35">
      <c r="A657" s="6">
        <v>2344250</v>
      </c>
      <c r="B657" s="7" t="str">
        <f>"3328044802020001"</f>
        <v>3328044802020001</v>
      </c>
      <c r="C657" s="7" t="s">
        <v>1563</v>
      </c>
      <c r="D657" s="7" t="s">
        <v>10</v>
      </c>
      <c r="E657" s="7" t="s">
        <v>11</v>
      </c>
      <c r="F657" s="7" t="s">
        <v>18</v>
      </c>
      <c r="G657" s="7" t="s">
        <v>19</v>
      </c>
      <c r="H657" s="7" t="s">
        <v>745</v>
      </c>
      <c r="I657" s="8" t="s">
        <v>1262</v>
      </c>
      <c r="J657" t="e">
        <f>VLOOKUP(B657,baru!$B$2:$I$2271,4,FALSE)</f>
        <v>#N/A</v>
      </c>
      <c r="K657" t="e">
        <f>VLOOKUP(B657,baru!$B$2:$I$2271,5,FALSE)</f>
        <v>#N/A</v>
      </c>
      <c r="L657" t="e">
        <f>VLOOKUP(B657,baru!$B$2:$I$2271,6,FALSE)</f>
        <v>#N/A</v>
      </c>
    </row>
    <row r="658" spans="1:12" hidden="1" x14ac:dyDescent="0.35">
      <c r="A658" s="6">
        <v>1862380</v>
      </c>
      <c r="B658" s="7" t="str">
        <f>"3328044802020001"</f>
        <v>3328044802020001</v>
      </c>
      <c r="C658" s="7" t="s">
        <v>1564</v>
      </c>
      <c r="D658" s="7" t="s">
        <v>10</v>
      </c>
      <c r="E658" s="7" t="s">
        <v>57</v>
      </c>
      <c r="F658" s="7" t="s">
        <v>18</v>
      </c>
      <c r="G658" s="7" t="s">
        <v>733</v>
      </c>
      <c r="H658" s="7" t="s">
        <v>733</v>
      </c>
      <c r="I658" s="8" t="s">
        <v>734</v>
      </c>
    </row>
    <row r="659" spans="1:12" hidden="1" x14ac:dyDescent="0.35">
      <c r="A659" s="6">
        <v>2385028</v>
      </c>
      <c r="B659" s="7" t="str">
        <f>"3328044902910005"</f>
        <v>3328044902910005</v>
      </c>
      <c r="C659" s="7" t="s">
        <v>1565</v>
      </c>
      <c r="D659" s="7" t="s">
        <v>10</v>
      </c>
      <c r="E659" s="7" t="s">
        <v>11</v>
      </c>
      <c r="F659" s="7" t="s">
        <v>18</v>
      </c>
      <c r="G659" s="7" t="s">
        <v>19</v>
      </c>
      <c r="H659" s="7" t="s">
        <v>745</v>
      </c>
      <c r="I659" s="8" t="s">
        <v>352</v>
      </c>
      <c r="J659" t="e">
        <f>VLOOKUP(B659,baru!$B$2:$I$2271,4,FALSE)</f>
        <v>#N/A</v>
      </c>
      <c r="K659" t="e">
        <f>VLOOKUP(B659,baru!$B$2:$I$2271,5,FALSE)</f>
        <v>#N/A</v>
      </c>
      <c r="L659" t="e">
        <f>VLOOKUP(B659,baru!$B$2:$I$2271,6,FALSE)</f>
        <v>#N/A</v>
      </c>
    </row>
    <row r="660" spans="1:12" hidden="1" x14ac:dyDescent="0.35">
      <c r="A660" s="6">
        <v>1434114</v>
      </c>
      <c r="B660" s="7" t="str">
        <f>"3328044902910005"</f>
        <v>3328044902910005</v>
      </c>
      <c r="C660" s="7" t="s">
        <v>1565</v>
      </c>
      <c r="D660" s="7" t="s">
        <v>10</v>
      </c>
      <c r="E660" s="7" t="s">
        <v>11</v>
      </c>
      <c r="F660" s="7" t="s">
        <v>91</v>
      </c>
      <c r="G660" s="7" t="s">
        <v>903</v>
      </c>
      <c r="H660" s="7" t="s">
        <v>767</v>
      </c>
      <c r="I660" s="8" t="s">
        <v>1566</v>
      </c>
    </row>
    <row r="661" spans="1:12" hidden="1" x14ac:dyDescent="0.35">
      <c r="A661" s="6">
        <v>155151</v>
      </c>
      <c r="B661" s="7" t="str">
        <f>"3328044905950002"</f>
        <v>3328044905950002</v>
      </c>
      <c r="C661" s="7" t="s">
        <v>1567</v>
      </c>
      <c r="D661" s="7" t="s">
        <v>10</v>
      </c>
      <c r="E661" s="7" t="s">
        <v>11</v>
      </c>
      <c r="F661" s="7" t="s">
        <v>50</v>
      </c>
      <c r="G661" s="7" t="s">
        <v>280</v>
      </c>
      <c r="H661" s="7" t="s">
        <v>776</v>
      </c>
      <c r="I661" s="8" t="s">
        <v>1568</v>
      </c>
    </row>
    <row r="662" spans="1:12" hidden="1" x14ac:dyDescent="0.35">
      <c r="A662" s="6">
        <v>343426</v>
      </c>
      <c r="B662" s="7" t="str">
        <f>"3328045106010003"</f>
        <v>3328045106010003</v>
      </c>
      <c r="C662" s="7" t="s">
        <v>1570</v>
      </c>
      <c r="D662" s="7" t="s">
        <v>10</v>
      </c>
      <c r="E662" s="7" t="s">
        <v>11</v>
      </c>
      <c r="F662" s="7" t="s">
        <v>91</v>
      </c>
      <c r="G662" s="7" t="s">
        <v>754</v>
      </c>
      <c r="H662" s="7" t="s">
        <v>1365</v>
      </c>
      <c r="I662" s="8" t="s">
        <v>1366</v>
      </c>
    </row>
    <row r="663" spans="1:12" hidden="1" x14ac:dyDescent="0.35">
      <c r="A663" s="6">
        <v>1501756</v>
      </c>
      <c r="B663" s="7" t="str">
        <f>"3328045106910003"</f>
        <v>3328045106910003</v>
      </c>
      <c r="C663" s="7" t="s">
        <v>1571</v>
      </c>
      <c r="D663" s="7" t="s">
        <v>10</v>
      </c>
      <c r="E663" s="7" t="s">
        <v>11</v>
      </c>
      <c r="F663" s="7" t="s">
        <v>91</v>
      </c>
      <c r="G663" s="7" t="s">
        <v>149</v>
      </c>
      <c r="H663" s="7" t="s">
        <v>1572</v>
      </c>
      <c r="I663" s="8" t="s">
        <v>1573</v>
      </c>
    </row>
    <row r="664" spans="1:12" hidden="1" x14ac:dyDescent="0.35">
      <c r="A664" s="13">
        <v>2393987</v>
      </c>
      <c r="B664" s="14" t="str">
        <f>"3328045107850002"</f>
        <v>3328045107850002</v>
      </c>
      <c r="C664" s="14" t="s">
        <v>1574</v>
      </c>
      <c r="D664" s="14" t="s">
        <v>10</v>
      </c>
      <c r="E664" s="14" t="s">
        <v>11</v>
      </c>
      <c r="F664" s="14" t="s">
        <v>18</v>
      </c>
      <c r="G664" s="14" t="s">
        <v>19</v>
      </c>
      <c r="H664" s="14" t="s">
        <v>745</v>
      </c>
      <c r="I664" s="15" t="s">
        <v>1274</v>
      </c>
      <c r="J664" s="16" t="str">
        <f>VLOOKUP(B664,baru!$B$2:$I$2271,4,FALSE)</f>
        <v>Reguler</v>
      </c>
      <c r="K664" s="16" t="str">
        <f>VLOOKUP(B664,baru!$B$2:$I$2271,5,FALSE)</f>
        <v>JAWA TENGAH</v>
      </c>
      <c r="L664" s="16" t="str">
        <f>VLOOKUP(B664,baru!$B$2:$I$2271,6,FALSE)</f>
        <v>BREBES</v>
      </c>
    </row>
    <row r="665" spans="1:12" hidden="1" x14ac:dyDescent="0.35">
      <c r="A665" s="6">
        <v>2402035</v>
      </c>
      <c r="B665" s="7" t="str">
        <f>"3328045207670004"</f>
        <v>3328045207670004</v>
      </c>
      <c r="C665" s="7" t="s">
        <v>1577</v>
      </c>
      <c r="D665" s="7" t="s">
        <v>10</v>
      </c>
      <c r="E665" s="7" t="s">
        <v>11</v>
      </c>
      <c r="F665" s="7" t="s">
        <v>18</v>
      </c>
      <c r="G665" s="7" t="s">
        <v>19</v>
      </c>
      <c r="H665" s="7" t="s">
        <v>745</v>
      </c>
      <c r="I665" s="8" t="s">
        <v>1303</v>
      </c>
      <c r="J665" t="e">
        <f>VLOOKUP(B665,baru!$B$2:$I$2271,4,FALSE)</f>
        <v>#N/A</v>
      </c>
      <c r="K665" t="e">
        <f>VLOOKUP(B665,baru!$B$2:$I$2271,5,FALSE)</f>
        <v>#N/A</v>
      </c>
      <c r="L665" t="e">
        <f>VLOOKUP(B665,baru!$B$2:$I$2271,6,FALSE)</f>
        <v>#N/A</v>
      </c>
    </row>
    <row r="666" spans="1:12" hidden="1" x14ac:dyDescent="0.35">
      <c r="A666" s="6">
        <v>1349029</v>
      </c>
      <c r="B666" s="7" t="str">
        <f>"3328045207670004"</f>
        <v>3328045207670004</v>
      </c>
      <c r="C666" s="7" t="s">
        <v>1578</v>
      </c>
      <c r="D666" s="7" t="s">
        <v>10</v>
      </c>
      <c r="E666" s="7" t="s">
        <v>57</v>
      </c>
      <c r="F666" s="7" t="s">
        <v>303</v>
      </c>
      <c r="G666" s="7" t="s">
        <v>608</v>
      </c>
      <c r="H666" s="7" t="s">
        <v>609</v>
      </c>
      <c r="I666" s="8" t="s">
        <v>610</v>
      </c>
    </row>
    <row r="667" spans="1:12" hidden="1" x14ac:dyDescent="0.35">
      <c r="A667" s="13">
        <v>2345665</v>
      </c>
      <c r="B667" s="14" t="str">
        <f>"3328045404830003"</f>
        <v>3328045404830003</v>
      </c>
      <c r="C667" s="14" t="s">
        <v>1579</v>
      </c>
      <c r="D667" s="14" t="s">
        <v>10</v>
      </c>
      <c r="E667" s="14" t="s">
        <v>11</v>
      </c>
      <c r="F667" s="14" t="s">
        <v>18</v>
      </c>
      <c r="G667" s="14" t="s">
        <v>19</v>
      </c>
      <c r="H667" s="14" t="s">
        <v>745</v>
      </c>
      <c r="I667" s="15" t="s">
        <v>1262</v>
      </c>
      <c r="J667" s="16" t="str">
        <f>VLOOKUP(B667,baru!$B$2:$I$2271,4,FALSE)</f>
        <v>Reguler</v>
      </c>
      <c r="K667" s="16" t="str">
        <f>VLOOKUP(B667,baru!$B$2:$I$2271,5,FALSE)</f>
        <v>DKI JAKARTA</v>
      </c>
      <c r="L667" s="16" t="str">
        <f>VLOOKUP(B667,baru!$B$2:$I$2271,6,FALSE)</f>
        <v>KOTA JAKARTA TIMUR</v>
      </c>
    </row>
    <row r="668" spans="1:12" x14ac:dyDescent="0.35">
      <c r="A668" s="6">
        <v>1730793</v>
      </c>
      <c r="B668" s="7" t="str">
        <f>"3328045404960009"</f>
        <v>3328045404960009</v>
      </c>
      <c r="C668" s="7" t="s">
        <v>1581</v>
      </c>
      <c r="D668" s="7" t="s">
        <v>189</v>
      </c>
      <c r="E668" s="7" t="s">
        <v>11</v>
      </c>
      <c r="F668" s="7" t="s">
        <v>50</v>
      </c>
      <c r="G668" s="7" t="s">
        <v>72</v>
      </c>
      <c r="H668" s="7" t="s">
        <v>1172</v>
      </c>
      <c r="I668" s="8" t="s">
        <v>226</v>
      </c>
    </row>
    <row r="669" spans="1:12" hidden="1" x14ac:dyDescent="0.35">
      <c r="A669" s="13">
        <v>2353287</v>
      </c>
      <c r="B669" s="14" t="str">
        <f>"3328045501960005"</f>
        <v>3328045501960005</v>
      </c>
      <c r="C669" s="14" t="s">
        <v>1582</v>
      </c>
      <c r="D669" s="14" t="s">
        <v>10</v>
      </c>
      <c r="E669" s="14" t="s">
        <v>11</v>
      </c>
      <c r="F669" s="14" t="s">
        <v>18</v>
      </c>
      <c r="G669" s="14" t="s">
        <v>19</v>
      </c>
      <c r="H669" s="14" t="s">
        <v>745</v>
      </c>
      <c r="I669" s="15" t="s">
        <v>1406</v>
      </c>
      <c r="J669" s="16" t="str">
        <f>VLOOKUP(B669,baru!$B$2:$I$2271,4,FALSE)</f>
        <v>Reguler</v>
      </c>
      <c r="K669" s="16" t="str">
        <f>VLOOKUP(B669,baru!$B$2:$I$2271,5,FALSE)</f>
        <v>JAWA TIMUR</v>
      </c>
      <c r="L669" s="16" t="str">
        <f>VLOOKUP(B669,baru!$B$2:$I$2271,6,FALSE)</f>
        <v>NGAWI</v>
      </c>
    </row>
    <row r="670" spans="1:12" hidden="1" x14ac:dyDescent="0.35">
      <c r="A670" s="13">
        <v>2260554</v>
      </c>
      <c r="B670" s="14" t="str">
        <f>"3328045506870004"</f>
        <v>3328045506870004</v>
      </c>
      <c r="C670" s="14" t="s">
        <v>1143</v>
      </c>
      <c r="D670" s="14" t="s">
        <v>10</v>
      </c>
      <c r="E670" s="14" t="s">
        <v>11</v>
      </c>
      <c r="F670" s="14" t="s">
        <v>18</v>
      </c>
      <c r="G670" s="14" t="s">
        <v>19</v>
      </c>
      <c r="H670" s="14" t="s">
        <v>745</v>
      </c>
      <c r="I670" s="15" t="s">
        <v>1298</v>
      </c>
      <c r="J670" s="16" t="str">
        <f>VLOOKUP(B670,baru!$B$2:$I$2271,4,FALSE)</f>
        <v>Reguler</v>
      </c>
      <c r="K670" s="16" t="str">
        <f>VLOOKUP(B670,baru!$B$2:$I$2271,5,FALSE)</f>
        <v>JAWA TIMUR</v>
      </c>
      <c r="L670" s="16" t="str">
        <f>VLOOKUP(B670,baru!$B$2:$I$2271,6,FALSE)</f>
        <v>MAGETAN</v>
      </c>
    </row>
    <row r="671" spans="1:12" hidden="1" x14ac:dyDescent="0.35">
      <c r="A671" s="13">
        <v>2344857</v>
      </c>
      <c r="B671" s="14" t="str">
        <f>"3328045607900001"</f>
        <v>3328045607900001</v>
      </c>
      <c r="C671" s="14" t="s">
        <v>1587</v>
      </c>
      <c r="D671" s="14" t="s">
        <v>10</v>
      </c>
      <c r="E671" s="14" t="s">
        <v>11</v>
      </c>
      <c r="F671" s="14" t="s">
        <v>18</v>
      </c>
      <c r="G671" s="14" t="s">
        <v>19</v>
      </c>
      <c r="H671" s="14" t="s">
        <v>745</v>
      </c>
      <c r="I671" s="15" t="s">
        <v>1262</v>
      </c>
      <c r="J671" s="16" t="str">
        <f>VLOOKUP(B671,baru!$B$2:$I$2271,4,FALSE)</f>
        <v>Reguler</v>
      </c>
      <c r="K671" s="16" t="str">
        <f>VLOOKUP(B671,baru!$B$2:$I$2271,5,FALSE)</f>
        <v>DAERAH ISTIMEWA YOGYAKARTA</v>
      </c>
      <c r="L671" s="16" t="str">
        <f>VLOOKUP(B671,baru!$B$2:$I$2271,6,FALSE)</f>
        <v>SLEMAN</v>
      </c>
    </row>
    <row r="672" spans="1:12" hidden="1" x14ac:dyDescent="0.35">
      <c r="A672" s="6">
        <v>540260</v>
      </c>
      <c r="B672" s="7" t="str">
        <f>"3328045803030003"</f>
        <v>3328045803030003</v>
      </c>
      <c r="C672" s="7" t="s">
        <v>1590</v>
      </c>
      <c r="D672" s="7" t="s">
        <v>10</v>
      </c>
      <c r="E672" s="7" t="s">
        <v>11</v>
      </c>
      <c r="F672" s="7" t="s">
        <v>50</v>
      </c>
      <c r="G672" s="7" t="s">
        <v>58</v>
      </c>
      <c r="H672" s="7" t="s">
        <v>316</v>
      </c>
      <c r="I672" s="8" t="s">
        <v>1293</v>
      </c>
    </row>
    <row r="673" spans="1:12" hidden="1" x14ac:dyDescent="0.35">
      <c r="A673" s="6">
        <v>1517753</v>
      </c>
      <c r="B673" s="7" t="str">
        <f>"3328045804910004"</f>
        <v>3328045804910004</v>
      </c>
      <c r="C673" s="7" t="s">
        <v>1592</v>
      </c>
      <c r="D673" s="7" t="s">
        <v>10</v>
      </c>
      <c r="E673" s="7" t="s">
        <v>11</v>
      </c>
      <c r="F673" s="7" t="s">
        <v>18</v>
      </c>
      <c r="G673" s="7" t="s">
        <v>184</v>
      </c>
      <c r="H673" s="7" t="s">
        <v>1266</v>
      </c>
      <c r="I673" s="8" t="s">
        <v>1359</v>
      </c>
    </row>
    <row r="674" spans="1:12" hidden="1" x14ac:dyDescent="0.35">
      <c r="A674" s="6">
        <v>436834</v>
      </c>
      <c r="B674" s="7" t="str">
        <f>"3328045805900004"</f>
        <v>3328045805900004</v>
      </c>
      <c r="C674" s="7" t="s">
        <v>1593</v>
      </c>
      <c r="D674" s="7" t="s">
        <v>10</v>
      </c>
      <c r="E674" s="7" t="s">
        <v>11</v>
      </c>
      <c r="F674" s="7" t="s">
        <v>44</v>
      </c>
      <c r="G674" s="7" t="s">
        <v>1594</v>
      </c>
      <c r="H674" s="7" t="s">
        <v>1595</v>
      </c>
      <c r="I674" s="8" t="s">
        <v>1596</v>
      </c>
    </row>
    <row r="675" spans="1:12" hidden="1" x14ac:dyDescent="0.35">
      <c r="A675" s="13">
        <v>2292418</v>
      </c>
      <c r="B675" s="14" t="str">
        <f>"3328045805970006"</f>
        <v>3328045805970006</v>
      </c>
      <c r="C675" s="14" t="s">
        <v>1597</v>
      </c>
      <c r="D675" s="14" t="s">
        <v>10</v>
      </c>
      <c r="E675" s="14" t="s">
        <v>11</v>
      </c>
      <c r="F675" s="14" t="s">
        <v>18</v>
      </c>
      <c r="G675" s="14" t="s">
        <v>19</v>
      </c>
      <c r="H675" s="14" t="s">
        <v>745</v>
      </c>
      <c r="I675" s="15" t="s">
        <v>1264</v>
      </c>
      <c r="J675" s="16" t="str">
        <f>VLOOKUP(B675,baru!$B$2:$I$2271,4,FALSE)</f>
        <v>Reguler</v>
      </c>
      <c r="K675" s="16" t="str">
        <f>VLOOKUP(B675,baru!$B$2:$I$2271,5,FALSE)</f>
        <v>JAWA TENGAH</v>
      </c>
      <c r="L675" s="16" t="str">
        <f>VLOOKUP(B675,baru!$B$2:$I$2271,6,FALSE)</f>
        <v>BREBES</v>
      </c>
    </row>
    <row r="676" spans="1:12" hidden="1" x14ac:dyDescent="0.35">
      <c r="A676" s="6">
        <v>2345042</v>
      </c>
      <c r="B676" s="7" t="str">
        <f>"3328046109040002"</f>
        <v>3328046109040002</v>
      </c>
      <c r="C676" s="7" t="s">
        <v>1599</v>
      </c>
      <c r="D676" s="7" t="s">
        <v>10</v>
      </c>
      <c r="E676" s="7" t="s">
        <v>11</v>
      </c>
      <c r="F676" s="7" t="s">
        <v>18</v>
      </c>
      <c r="G676" s="7" t="s">
        <v>19</v>
      </c>
      <c r="H676" s="7" t="s">
        <v>745</v>
      </c>
      <c r="I676" s="8" t="s">
        <v>1262</v>
      </c>
      <c r="J676" t="e">
        <f>VLOOKUP(B676,baru!$B$2:$I$2271,4,FALSE)</f>
        <v>#N/A</v>
      </c>
      <c r="K676" t="e">
        <f>VLOOKUP(B676,baru!$B$2:$I$2271,5,FALSE)</f>
        <v>#N/A</v>
      </c>
      <c r="L676" t="e">
        <f>VLOOKUP(B676,baru!$B$2:$I$2271,6,FALSE)</f>
        <v>#N/A</v>
      </c>
    </row>
    <row r="677" spans="1:12" hidden="1" x14ac:dyDescent="0.35">
      <c r="A677" s="6">
        <v>1384111</v>
      </c>
      <c r="B677" s="7" t="str">
        <f>"3328046109040002"</f>
        <v>3328046109040002</v>
      </c>
      <c r="C677" s="7" t="s">
        <v>1600</v>
      </c>
      <c r="D677" s="7" t="s">
        <v>10</v>
      </c>
      <c r="E677" s="7" t="s">
        <v>11</v>
      </c>
      <c r="F677" s="7" t="s">
        <v>303</v>
      </c>
      <c r="G677" s="7" t="s">
        <v>608</v>
      </c>
      <c r="H677" s="7" t="s">
        <v>1601</v>
      </c>
      <c r="I677" s="8" t="s">
        <v>1602</v>
      </c>
    </row>
    <row r="678" spans="1:12" hidden="1" x14ac:dyDescent="0.35">
      <c r="A678" s="6">
        <v>1352875</v>
      </c>
      <c r="B678" s="7" t="str">
        <f>"3328046410030003"</f>
        <v>3328046410030003</v>
      </c>
      <c r="C678" s="7" t="s">
        <v>1603</v>
      </c>
      <c r="D678" s="7" t="s">
        <v>10</v>
      </c>
      <c r="E678" s="7" t="s">
        <v>57</v>
      </c>
      <c r="F678" s="7" t="s">
        <v>303</v>
      </c>
      <c r="G678" s="7" t="s">
        <v>608</v>
      </c>
      <c r="H678" s="7" t="s">
        <v>609</v>
      </c>
      <c r="I678" s="8" t="s">
        <v>610</v>
      </c>
    </row>
    <row r="679" spans="1:12" hidden="1" x14ac:dyDescent="0.35">
      <c r="A679" s="13">
        <v>2336269</v>
      </c>
      <c r="B679" s="14" t="str">
        <f>"3328046506790002"</f>
        <v>3328046506790002</v>
      </c>
      <c r="C679" s="14" t="s">
        <v>1605</v>
      </c>
      <c r="D679" s="14" t="s">
        <v>10</v>
      </c>
      <c r="E679" s="14" t="s">
        <v>11</v>
      </c>
      <c r="F679" s="14" t="s">
        <v>18</v>
      </c>
      <c r="G679" s="14" t="s">
        <v>19</v>
      </c>
      <c r="H679" s="14" t="s">
        <v>745</v>
      </c>
      <c r="I679" s="15" t="s">
        <v>1277</v>
      </c>
      <c r="J679" s="16" t="str">
        <f>VLOOKUP(B679,baru!$B$2:$I$2271,4,FALSE)</f>
        <v>Reguler</v>
      </c>
      <c r="K679" s="16" t="str">
        <f>VLOOKUP(B679,baru!$B$2:$I$2271,5,FALSE)</f>
        <v>DKI JAKARTA</v>
      </c>
      <c r="L679" s="16" t="str">
        <f>VLOOKUP(B679,baru!$B$2:$I$2271,6,FALSE)</f>
        <v>KOTA JAKARTA TIMUR</v>
      </c>
    </row>
    <row r="680" spans="1:12" hidden="1" x14ac:dyDescent="0.35">
      <c r="A680" s="6">
        <v>48931</v>
      </c>
      <c r="B680" s="7" t="str">
        <f>"3328046512880006"</f>
        <v>3328046512880006</v>
      </c>
      <c r="C680" s="7" t="s">
        <v>1606</v>
      </c>
      <c r="D680" s="7" t="s">
        <v>10</v>
      </c>
      <c r="E680" s="7" t="s">
        <v>11</v>
      </c>
      <c r="F680" s="7" t="s">
        <v>521</v>
      </c>
      <c r="G680" s="7" t="s">
        <v>657</v>
      </c>
      <c r="H680" s="7" t="s">
        <v>1390</v>
      </c>
      <c r="I680" s="8" t="s">
        <v>1391</v>
      </c>
    </row>
    <row r="681" spans="1:12" x14ac:dyDescent="0.35">
      <c r="A681" s="13">
        <v>2355959</v>
      </c>
      <c r="B681" s="14" t="str">
        <f>"3328046710880003"</f>
        <v>3328046710880003</v>
      </c>
      <c r="C681" s="14" t="s">
        <v>1607</v>
      </c>
      <c r="D681" s="14" t="s">
        <v>189</v>
      </c>
      <c r="E681" s="14" t="s">
        <v>11</v>
      </c>
      <c r="F681" s="14" t="s">
        <v>18</v>
      </c>
      <c r="G681" s="14" t="s">
        <v>19</v>
      </c>
      <c r="H681" s="14" t="s">
        <v>745</v>
      </c>
      <c r="I681" s="15" t="s">
        <v>1314</v>
      </c>
      <c r="J681" s="16" t="str">
        <f>VLOOKUP(B681,baru!$B$2:$I$2271,4,FALSE)</f>
        <v>Reguler</v>
      </c>
      <c r="K681" s="16" t="str">
        <f>VLOOKUP(B681,baru!$B$2:$I$2271,5,FALSE)</f>
        <v>DAERAH ISTIMEWA YOGYAKARTA</v>
      </c>
      <c r="L681" s="16" t="str">
        <f>VLOOKUP(B681,baru!$B$2:$I$2271,6,FALSE)</f>
        <v>SLEMAN</v>
      </c>
    </row>
    <row r="682" spans="1:12" hidden="1" x14ac:dyDescent="0.35">
      <c r="A682" s="6">
        <v>2346738</v>
      </c>
      <c r="B682" s="7" t="str">
        <f>"3328046909010004"</f>
        <v>3328046909010004</v>
      </c>
      <c r="C682" s="7" t="s">
        <v>1609</v>
      </c>
      <c r="D682" s="7" t="s">
        <v>10</v>
      </c>
      <c r="E682" s="7" t="s">
        <v>11</v>
      </c>
      <c r="F682" s="7" t="s">
        <v>18</v>
      </c>
      <c r="G682" s="7" t="s">
        <v>19</v>
      </c>
      <c r="H682" s="7" t="s">
        <v>745</v>
      </c>
      <c r="I682" s="8" t="s">
        <v>1262</v>
      </c>
      <c r="J682" t="e">
        <f>VLOOKUP(B682,baru!$B$2:$I$2271,4,FALSE)</f>
        <v>#N/A</v>
      </c>
      <c r="K682" t="e">
        <f>VLOOKUP(B682,baru!$B$2:$I$2271,5,FALSE)</f>
        <v>#N/A</v>
      </c>
      <c r="L682" t="e">
        <f>VLOOKUP(B682,baru!$B$2:$I$2271,6,FALSE)</f>
        <v>#N/A</v>
      </c>
    </row>
    <row r="683" spans="1:12" hidden="1" x14ac:dyDescent="0.35">
      <c r="A683" s="6">
        <v>1862976</v>
      </c>
      <c r="B683" s="7" t="str">
        <f>"3328046909010004"</f>
        <v>3328046909010004</v>
      </c>
      <c r="C683" s="7" t="s">
        <v>1610</v>
      </c>
      <c r="D683" s="7" t="s">
        <v>10</v>
      </c>
      <c r="E683" s="7" t="s">
        <v>57</v>
      </c>
      <c r="F683" s="7" t="s">
        <v>18</v>
      </c>
      <c r="G683" s="7" t="s">
        <v>733</v>
      </c>
      <c r="H683" s="7" t="s">
        <v>1127</v>
      </c>
      <c r="I683" s="8" t="s">
        <v>1127</v>
      </c>
    </row>
    <row r="684" spans="1:12" hidden="1" x14ac:dyDescent="0.35">
      <c r="A684" s="6">
        <v>426694</v>
      </c>
      <c r="B684" s="7" t="str">
        <f>"3328047005940006"</f>
        <v>3328047005940006</v>
      </c>
      <c r="C684" s="7" t="s">
        <v>1611</v>
      </c>
      <c r="D684" s="7" t="s">
        <v>10</v>
      </c>
      <c r="E684" s="7" t="s">
        <v>11</v>
      </c>
      <c r="F684" s="7" t="s">
        <v>50</v>
      </c>
      <c r="G684" s="7" t="s">
        <v>280</v>
      </c>
      <c r="H684" s="7" t="s">
        <v>281</v>
      </c>
      <c r="I684" s="8" t="s">
        <v>1256</v>
      </c>
    </row>
    <row r="685" spans="1:12" hidden="1" x14ac:dyDescent="0.35">
      <c r="A685" s="6">
        <v>1075216</v>
      </c>
      <c r="B685" s="7" t="str">
        <f>"3328047101960001"</f>
        <v>3328047101960001</v>
      </c>
      <c r="C685" s="7" t="s">
        <v>1612</v>
      </c>
      <c r="D685" s="7" t="s">
        <v>10</v>
      </c>
      <c r="E685" s="7" t="s">
        <v>11</v>
      </c>
      <c r="F685" s="7" t="s">
        <v>50</v>
      </c>
      <c r="G685" s="7" t="s">
        <v>51</v>
      </c>
      <c r="H685" s="7" t="s">
        <v>52</v>
      </c>
      <c r="I685" s="8" t="s">
        <v>52</v>
      </c>
    </row>
    <row r="686" spans="1:12" hidden="1" x14ac:dyDescent="0.35">
      <c r="A686" s="13">
        <v>2350485</v>
      </c>
      <c r="B686" s="14" t="str">
        <f>"3328047112590022"</f>
        <v>3328047112590022</v>
      </c>
      <c r="C686" s="14" t="s">
        <v>1614</v>
      </c>
      <c r="D686" s="14" t="s">
        <v>10</v>
      </c>
      <c r="E686" s="14" t="s">
        <v>11</v>
      </c>
      <c r="F686" s="14" t="s">
        <v>18</v>
      </c>
      <c r="G686" s="14" t="s">
        <v>19</v>
      </c>
      <c r="H686" s="14" t="s">
        <v>745</v>
      </c>
      <c r="I686" s="15" t="s">
        <v>1406</v>
      </c>
      <c r="J686" s="16" t="str">
        <f>VLOOKUP(B686,baru!$B$2:$I$2271,4,FALSE)</f>
        <v>Reguler</v>
      </c>
      <c r="K686" s="16" t="str">
        <f>VLOOKUP(B686,baru!$B$2:$I$2271,5,FALSE)</f>
        <v>JAWA TENGAH</v>
      </c>
      <c r="L686" s="16" t="str">
        <f>VLOOKUP(B686,baru!$B$2:$I$2271,6,FALSE)</f>
        <v>TEGAL</v>
      </c>
    </row>
    <row r="687" spans="1:12" hidden="1" x14ac:dyDescent="0.35">
      <c r="A687" s="6">
        <v>765434</v>
      </c>
      <c r="B687" s="7" t="str">
        <f>"3328047112830010"</f>
        <v>3328047112830010</v>
      </c>
      <c r="C687" s="7" t="s">
        <v>1616</v>
      </c>
      <c r="D687" s="7" t="s">
        <v>10</v>
      </c>
      <c r="E687" s="7" t="s">
        <v>11</v>
      </c>
      <c r="F687" s="7" t="s">
        <v>18</v>
      </c>
      <c r="G687" s="7" t="s">
        <v>264</v>
      </c>
      <c r="H687" s="7" t="s">
        <v>773</v>
      </c>
      <c r="I687" s="8" t="s">
        <v>1454</v>
      </c>
    </row>
    <row r="688" spans="1:12" hidden="1" x14ac:dyDescent="0.35">
      <c r="A688" s="6">
        <v>126057</v>
      </c>
      <c r="B688" s="7" t="str">
        <f>"3328062003840009"</f>
        <v>3328062003840009</v>
      </c>
      <c r="C688" s="7" t="s">
        <v>1618</v>
      </c>
      <c r="D688" s="7" t="s">
        <v>10</v>
      </c>
      <c r="E688" s="7" t="s">
        <v>11</v>
      </c>
      <c r="F688" s="7" t="s">
        <v>18</v>
      </c>
      <c r="G688" s="7" t="s">
        <v>1522</v>
      </c>
      <c r="H688" s="7" t="s">
        <v>1619</v>
      </c>
      <c r="I688" s="8" t="s">
        <v>1620</v>
      </c>
    </row>
    <row r="689" spans="1:12" hidden="1" x14ac:dyDescent="0.35">
      <c r="A689" s="6">
        <v>18744</v>
      </c>
      <c r="B689" s="7" t="str">
        <f>"3329041109910002"</f>
        <v>3329041109910002</v>
      </c>
      <c r="C689" s="7" t="s">
        <v>1622</v>
      </c>
      <c r="D689" s="7" t="s">
        <v>10</v>
      </c>
      <c r="E689" s="7" t="s">
        <v>11</v>
      </c>
      <c r="F689" s="7" t="s">
        <v>303</v>
      </c>
      <c r="G689" s="7" t="s">
        <v>608</v>
      </c>
      <c r="H689" s="7" t="s">
        <v>1623</v>
      </c>
      <c r="I689" s="8" t="s">
        <v>1624</v>
      </c>
    </row>
    <row r="690" spans="1:12" hidden="1" x14ac:dyDescent="0.35">
      <c r="A690" s="6">
        <v>1493960</v>
      </c>
      <c r="B690" s="7" t="str">
        <f>"3329051211010001"</f>
        <v>3329051211010001</v>
      </c>
      <c r="C690" s="7" t="s">
        <v>1625</v>
      </c>
      <c r="D690" s="7" t="s">
        <v>10</v>
      </c>
      <c r="E690" s="7" t="s">
        <v>11</v>
      </c>
      <c r="F690" s="7" t="s">
        <v>18</v>
      </c>
      <c r="G690" s="7" t="s">
        <v>264</v>
      </c>
      <c r="H690" s="7" t="s">
        <v>289</v>
      </c>
      <c r="I690" s="8" t="s">
        <v>853</v>
      </c>
    </row>
    <row r="691" spans="1:12" x14ac:dyDescent="0.35">
      <c r="A691" s="6">
        <v>2402301</v>
      </c>
      <c r="B691" s="7" t="str">
        <f>"3329060309010003"</f>
        <v>3329060309010003</v>
      </c>
      <c r="C691" s="7" t="s">
        <v>1626</v>
      </c>
      <c r="D691" s="7" t="s">
        <v>189</v>
      </c>
      <c r="E691" s="7" t="s">
        <v>11</v>
      </c>
      <c r="F691" s="7" t="s">
        <v>18</v>
      </c>
      <c r="G691" s="7" t="s">
        <v>19</v>
      </c>
      <c r="H691" s="7" t="s">
        <v>745</v>
      </c>
      <c r="I691" s="8" t="s">
        <v>1303</v>
      </c>
      <c r="J691" t="e">
        <f>VLOOKUP(B691,baru!$B$2:$I$2271,4,FALSE)</f>
        <v>#N/A</v>
      </c>
      <c r="K691" t="e">
        <f>VLOOKUP(B691,baru!$B$2:$I$2271,5,FALSE)</f>
        <v>#N/A</v>
      </c>
      <c r="L691" t="e">
        <f>VLOOKUP(B691,baru!$B$2:$I$2271,6,FALSE)</f>
        <v>#N/A</v>
      </c>
    </row>
    <row r="692" spans="1:12" hidden="1" x14ac:dyDescent="0.35">
      <c r="A692" s="6">
        <v>1352651</v>
      </c>
      <c r="B692" s="7" t="str">
        <f>"3329060309010003"</f>
        <v>3329060309010003</v>
      </c>
      <c r="C692" s="7" t="s">
        <v>1626</v>
      </c>
      <c r="D692" s="7" t="s">
        <v>10</v>
      </c>
      <c r="E692" s="7" t="s">
        <v>57</v>
      </c>
      <c r="F692" s="7" t="s">
        <v>303</v>
      </c>
      <c r="G692" s="7" t="s">
        <v>608</v>
      </c>
      <c r="H692" s="7" t="s">
        <v>609</v>
      </c>
      <c r="I692" s="8" t="s">
        <v>610</v>
      </c>
    </row>
    <row r="693" spans="1:12" hidden="1" x14ac:dyDescent="0.35">
      <c r="A693" s="6">
        <v>1381977</v>
      </c>
      <c r="B693" s="7" t="str">
        <f>"3329070403970003"</f>
        <v>3329070403970003</v>
      </c>
      <c r="C693" s="7" t="s">
        <v>1627</v>
      </c>
      <c r="D693" s="7" t="s">
        <v>10</v>
      </c>
      <c r="E693" s="7" t="s">
        <v>11</v>
      </c>
      <c r="F693" s="7" t="s">
        <v>18</v>
      </c>
      <c r="G693" s="7" t="s">
        <v>264</v>
      </c>
      <c r="H693" s="7" t="s">
        <v>265</v>
      </c>
      <c r="I693" s="8" t="s">
        <v>1628</v>
      </c>
    </row>
    <row r="694" spans="1:12" hidden="1" x14ac:dyDescent="0.35">
      <c r="A694" s="6">
        <v>707172</v>
      </c>
      <c r="B694" s="7" t="str">
        <f>"3329080310850007"</f>
        <v>3329080310850007</v>
      </c>
      <c r="C694" s="7" t="s">
        <v>1629</v>
      </c>
      <c r="D694" s="7" t="s">
        <v>10</v>
      </c>
      <c r="E694" s="7" t="s">
        <v>11</v>
      </c>
      <c r="F694" s="7" t="s">
        <v>18</v>
      </c>
      <c r="G694" s="7" t="s">
        <v>264</v>
      </c>
      <c r="H694" s="7" t="s">
        <v>248</v>
      </c>
      <c r="I694" s="8" t="s">
        <v>1630</v>
      </c>
    </row>
    <row r="695" spans="1:12" hidden="1" x14ac:dyDescent="0.35">
      <c r="A695" s="6">
        <v>469927</v>
      </c>
      <c r="B695" s="7" t="str">
        <f>"3329080707860016"</f>
        <v>3329080707860016</v>
      </c>
      <c r="C695" s="7" t="s">
        <v>1631</v>
      </c>
      <c r="D695" s="7" t="s">
        <v>10</v>
      </c>
      <c r="E695" s="7" t="s">
        <v>11</v>
      </c>
      <c r="F695" s="7" t="s">
        <v>91</v>
      </c>
      <c r="G695" s="7" t="s">
        <v>159</v>
      </c>
      <c r="H695" s="7" t="s">
        <v>685</v>
      </c>
      <c r="I695" s="8" t="s">
        <v>1632</v>
      </c>
    </row>
    <row r="696" spans="1:12" x14ac:dyDescent="0.35">
      <c r="A696" s="6">
        <v>665136</v>
      </c>
      <c r="B696" s="7" t="str">
        <f>"3329081309920004"</f>
        <v>3329081309920004</v>
      </c>
      <c r="C696" s="7" t="s">
        <v>1270</v>
      </c>
      <c r="D696" s="7" t="s">
        <v>189</v>
      </c>
      <c r="E696" s="7" t="s">
        <v>11</v>
      </c>
      <c r="F696" s="7" t="s">
        <v>18</v>
      </c>
      <c r="G696" s="7" t="s">
        <v>264</v>
      </c>
      <c r="H696" s="7" t="s">
        <v>248</v>
      </c>
      <c r="I696" s="8" t="s">
        <v>1634</v>
      </c>
    </row>
    <row r="697" spans="1:12" hidden="1" x14ac:dyDescent="0.35">
      <c r="A697" s="6">
        <v>707173</v>
      </c>
      <c r="B697" s="7" t="str">
        <f>"3329085208920011"</f>
        <v>3329085208920011</v>
      </c>
      <c r="C697" s="7" t="s">
        <v>1635</v>
      </c>
      <c r="D697" s="7" t="s">
        <v>10</v>
      </c>
      <c r="E697" s="7" t="s">
        <v>11</v>
      </c>
      <c r="F697" s="7" t="s">
        <v>18</v>
      </c>
      <c r="G697" s="7" t="s">
        <v>264</v>
      </c>
      <c r="H697" s="7" t="s">
        <v>248</v>
      </c>
      <c r="I697" s="8" t="s">
        <v>1630</v>
      </c>
    </row>
    <row r="698" spans="1:12" x14ac:dyDescent="0.35">
      <c r="A698" s="6">
        <v>586839</v>
      </c>
      <c r="B698" s="7" t="str">
        <f>"3329094210970010"</f>
        <v>3329094210970010</v>
      </c>
      <c r="C698" s="7" t="s">
        <v>1636</v>
      </c>
      <c r="D698" s="7" t="s">
        <v>189</v>
      </c>
      <c r="E698" s="7" t="s">
        <v>11</v>
      </c>
      <c r="F698" s="7" t="s">
        <v>18</v>
      </c>
      <c r="G698" s="7" t="s">
        <v>264</v>
      </c>
      <c r="H698" s="7" t="s">
        <v>264</v>
      </c>
      <c r="I698" s="8" t="s">
        <v>1637</v>
      </c>
    </row>
    <row r="699" spans="1:12" hidden="1" x14ac:dyDescent="0.35">
      <c r="A699" s="6">
        <v>88144</v>
      </c>
      <c r="B699" s="7" t="str">
        <f>"3329140304880018"</f>
        <v>3329140304880018</v>
      </c>
      <c r="C699" s="7" t="s">
        <v>1638</v>
      </c>
      <c r="D699" s="7" t="s">
        <v>10</v>
      </c>
      <c r="E699" s="7" t="s">
        <v>11</v>
      </c>
      <c r="F699" s="7" t="s">
        <v>18</v>
      </c>
      <c r="G699" s="7" t="s">
        <v>264</v>
      </c>
      <c r="H699" s="7" t="s">
        <v>477</v>
      </c>
      <c r="I699" s="8" t="s">
        <v>1639</v>
      </c>
    </row>
    <row r="700" spans="1:12" hidden="1" x14ac:dyDescent="0.35">
      <c r="A700" s="6">
        <v>93608</v>
      </c>
      <c r="B700" s="7" t="str">
        <f>"3329140810880007"</f>
        <v>3329140810880007</v>
      </c>
      <c r="C700" s="7" t="s">
        <v>1641</v>
      </c>
      <c r="D700" s="7" t="s">
        <v>10</v>
      </c>
      <c r="E700" s="7" t="s">
        <v>11</v>
      </c>
      <c r="F700" s="7" t="s">
        <v>18</v>
      </c>
      <c r="G700" s="7" t="s">
        <v>264</v>
      </c>
      <c r="H700" s="7" t="s">
        <v>477</v>
      </c>
      <c r="I700" s="8" t="s">
        <v>480</v>
      </c>
    </row>
    <row r="701" spans="1:12" hidden="1" x14ac:dyDescent="0.35">
      <c r="A701" s="6">
        <v>2398332</v>
      </c>
      <c r="B701" s="7" t="str">
        <f>"3329141902920006"</f>
        <v>3329141902920006</v>
      </c>
      <c r="C701" s="7" t="s">
        <v>1642</v>
      </c>
      <c r="D701" s="7" t="s">
        <v>10</v>
      </c>
      <c r="E701" s="7" t="s">
        <v>11</v>
      </c>
      <c r="F701" s="7" t="s">
        <v>18</v>
      </c>
      <c r="G701" s="7" t="s">
        <v>19</v>
      </c>
      <c r="H701" s="7" t="s">
        <v>745</v>
      </c>
      <c r="I701" s="8" t="s">
        <v>1266</v>
      </c>
      <c r="J701" t="e">
        <f>VLOOKUP(B701,baru!$B$2:$I$2271,4,FALSE)</f>
        <v>#N/A</v>
      </c>
      <c r="K701" t="e">
        <f>VLOOKUP(B701,baru!$B$2:$I$2271,5,FALSE)</f>
        <v>#N/A</v>
      </c>
      <c r="L701" t="e">
        <f>VLOOKUP(B701,baru!$B$2:$I$2271,6,FALSE)</f>
        <v>#N/A</v>
      </c>
    </row>
    <row r="702" spans="1:12" x14ac:dyDescent="0.35">
      <c r="A702" s="6">
        <v>1400441</v>
      </c>
      <c r="B702" s="7" t="str">
        <f>"3329141902920006"</f>
        <v>3329141902920006</v>
      </c>
      <c r="C702" s="7" t="s">
        <v>1643</v>
      </c>
      <c r="D702" s="7" t="s">
        <v>189</v>
      </c>
      <c r="E702" s="7" t="s">
        <v>11</v>
      </c>
      <c r="F702" s="7" t="s">
        <v>18</v>
      </c>
      <c r="G702" s="7" t="s">
        <v>264</v>
      </c>
      <c r="H702" s="7" t="s">
        <v>461</v>
      </c>
      <c r="I702" s="8" t="s">
        <v>1644</v>
      </c>
    </row>
    <row r="703" spans="1:12" hidden="1" x14ac:dyDescent="0.35">
      <c r="A703" s="6">
        <v>72545</v>
      </c>
      <c r="B703" s="7" t="str">
        <f>"3329142502760004"</f>
        <v>3329142502760004</v>
      </c>
      <c r="C703" s="7" t="s">
        <v>1645</v>
      </c>
      <c r="D703" s="7" t="s">
        <v>10</v>
      </c>
      <c r="E703" s="7" t="s">
        <v>11</v>
      </c>
      <c r="F703" s="7" t="s">
        <v>18</v>
      </c>
      <c r="G703" s="7" t="s">
        <v>264</v>
      </c>
      <c r="H703" s="7" t="s">
        <v>477</v>
      </c>
      <c r="I703" s="8" t="s">
        <v>1646</v>
      </c>
    </row>
    <row r="704" spans="1:12" hidden="1" x14ac:dyDescent="0.35">
      <c r="A704" s="6">
        <v>88143</v>
      </c>
      <c r="B704" s="7" t="str">
        <f>"3329145109900014"</f>
        <v>3329145109900014</v>
      </c>
      <c r="C704" s="7" t="s">
        <v>1648</v>
      </c>
      <c r="D704" s="7" t="s">
        <v>10</v>
      </c>
      <c r="E704" s="7" t="s">
        <v>11</v>
      </c>
      <c r="F704" s="7" t="s">
        <v>18</v>
      </c>
      <c r="G704" s="7" t="s">
        <v>264</v>
      </c>
      <c r="H704" s="7" t="s">
        <v>477</v>
      </c>
      <c r="I704" s="8" t="s">
        <v>1639</v>
      </c>
    </row>
    <row r="705" spans="1:12" hidden="1" x14ac:dyDescent="0.35">
      <c r="A705" s="6">
        <v>1545972</v>
      </c>
      <c r="B705" s="7" t="str">
        <f>"3329154105950005"</f>
        <v>3329154105950005</v>
      </c>
      <c r="C705" s="7" t="s">
        <v>1650</v>
      </c>
      <c r="D705" s="7" t="s">
        <v>10</v>
      </c>
      <c r="E705" s="7" t="s">
        <v>11</v>
      </c>
      <c r="F705" s="7" t="s">
        <v>18</v>
      </c>
      <c r="G705" s="7" t="s">
        <v>264</v>
      </c>
      <c r="H705" s="7" t="s">
        <v>330</v>
      </c>
      <c r="I705" s="8" t="s">
        <v>331</v>
      </c>
    </row>
    <row r="706" spans="1:12" hidden="1" x14ac:dyDescent="0.35">
      <c r="A706" s="13">
        <v>2347222</v>
      </c>
      <c r="B706" s="14" t="str">
        <f>"3329160711860005"</f>
        <v>3329160711860005</v>
      </c>
      <c r="C706" s="14" t="s">
        <v>1651</v>
      </c>
      <c r="D706" s="14" t="s">
        <v>10</v>
      </c>
      <c r="E706" s="14" t="s">
        <v>11</v>
      </c>
      <c r="F706" s="14" t="s">
        <v>18</v>
      </c>
      <c r="G706" s="14" t="s">
        <v>19</v>
      </c>
      <c r="H706" s="14" t="s">
        <v>745</v>
      </c>
      <c r="I706" s="15" t="s">
        <v>1262</v>
      </c>
      <c r="J706" s="16" t="str">
        <f>VLOOKUP(B706,baru!$B$2:$I$2271,4,FALSE)</f>
        <v>Reguler</v>
      </c>
      <c r="K706" s="16" t="str">
        <f>VLOOKUP(B706,baru!$B$2:$I$2271,5,FALSE)</f>
        <v>JAWA TENGAH</v>
      </c>
      <c r="L706" s="16" t="str">
        <f>VLOOKUP(B706,baru!$B$2:$I$2271,6,FALSE)</f>
        <v>BREBES</v>
      </c>
    </row>
    <row r="707" spans="1:12" hidden="1" x14ac:dyDescent="0.35">
      <c r="A707" s="13">
        <v>2342778</v>
      </c>
      <c r="B707" s="14" t="str">
        <f>"3329174502910007"</f>
        <v>3329174502910007</v>
      </c>
      <c r="C707" s="14" t="s">
        <v>1654</v>
      </c>
      <c r="D707" s="14" t="s">
        <v>10</v>
      </c>
      <c r="E707" s="14" t="s">
        <v>11</v>
      </c>
      <c r="F707" s="14" t="s">
        <v>18</v>
      </c>
      <c r="G707" s="14" t="s">
        <v>19</v>
      </c>
      <c r="H707" s="14" t="s">
        <v>745</v>
      </c>
      <c r="I707" s="15" t="s">
        <v>1277</v>
      </c>
      <c r="J707" s="16" t="str">
        <f>VLOOKUP(B707,baru!$B$2:$I$2271,4,FALSE)</f>
        <v>Reguler</v>
      </c>
      <c r="K707" s="16" t="str">
        <f>VLOOKUP(B707,baru!$B$2:$I$2271,5,FALSE)</f>
        <v>JAWA TENGAH</v>
      </c>
      <c r="L707" s="16" t="str">
        <f>VLOOKUP(B707,baru!$B$2:$I$2271,6,FALSE)</f>
        <v>BREBES</v>
      </c>
    </row>
    <row r="708" spans="1:12" hidden="1" x14ac:dyDescent="0.35">
      <c r="A708" s="6">
        <v>1088617</v>
      </c>
      <c r="B708" s="7" t="str">
        <f>"3329174507810001"</f>
        <v>3329174507810001</v>
      </c>
      <c r="C708" s="7" t="s">
        <v>1657</v>
      </c>
      <c r="D708" s="7" t="s">
        <v>10</v>
      </c>
      <c r="E708" s="7" t="s">
        <v>11</v>
      </c>
      <c r="F708" s="7" t="s">
        <v>18</v>
      </c>
      <c r="G708" s="7" t="s">
        <v>264</v>
      </c>
      <c r="H708" s="7" t="s">
        <v>881</v>
      </c>
      <c r="I708" s="8" t="s">
        <v>1656</v>
      </c>
    </row>
    <row r="709" spans="1:12" hidden="1" x14ac:dyDescent="0.35">
      <c r="A709" s="6">
        <v>270170</v>
      </c>
      <c r="B709" s="7" t="str">
        <f>"3376010307950001"</f>
        <v>3376010307950001</v>
      </c>
      <c r="C709" s="7" t="s">
        <v>1658</v>
      </c>
      <c r="D709" s="7" t="s">
        <v>10</v>
      </c>
      <c r="E709" s="7" t="s">
        <v>11</v>
      </c>
      <c r="F709" s="7" t="s">
        <v>18</v>
      </c>
      <c r="G709" s="7" t="s">
        <v>268</v>
      </c>
      <c r="H709" s="7" t="s">
        <v>277</v>
      </c>
      <c r="I709" s="8" t="s">
        <v>1659</v>
      </c>
    </row>
    <row r="710" spans="1:12" hidden="1" x14ac:dyDescent="0.35">
      <c r="A710" s="6">
        <v>314656</v>
      </c>
      <c r="B710" s="7" t="str">
        <f>"3376031202820002"</f>
        <v>3376031202820002</v>
      </c>
      <c r="C710" s="7" t="s">
        <v>1661</v>
      </c>
      <c r="D710" s="7" t="s">
        <v>10</v>
      </c>
      <c r="E710" s="7" t="s">
        <v>11</v>
      </c>
      <c r="F710" s="7" t="s">
        <v>18</v>
      </c>
      <c r="G710" s="7" t="s">
        <v>268</v>
      </c>
      <c r="H710" s="7" t="s">
        <v>269</v>
      </c>
      <c r="I710" s="8" t="s">
        <v>1662</v>
      </c>
    </row>
    <row r="711" spans="1:12" hidden="1" x14ac:dyDescent="0.35">
      <c r="A711" s="6">
        <v>363877</v>
      </c>
      <c r="B711" s="7" t="str">
        <f>"3376033112910002"</f>
        <v>3376033112910002</v>
      </c>
      <c r="C711" s="7" t="s">
        <v>1664</v>
      </c>
      <c r="D711" s="7" t="s">
        <v>10</v>
      </c>
      <c r="E711" s="7" t="s">
        <v>11</v>
      </c>
      <c r="F711" s="7" t="s">
        <v>18</v>
      </c>
      <c r="G711" s="7" t="s">
        <v>268</v>
      </c>
      <c r="H711" s="7" t="s">
        <v>269</v>
      </c>
      <c r="I711" s="8" t="s">
        <v>996</v>
      </c>
    </row>
    <row r="712" spans="1:12" x14ac:dyDescent="0.35">
      <c r="A712" s="6">
        <v>39143</v>
      </c>
      <c r="B712" s="7" t="str">
        <f>"3402170211940003"</f>
        <v>3402170211940003</v>
      </c>
      <c r="C712" s="7" t="s">
        <v>1665</v>
      </c>
      <c r="D712" s="7" t="s">
        <v>189</v>
      </c>
      <c r="E712" s="7" t="s">
        <v>11</v>
      </c>
      <c r="F712" s="7" t="s">
        <v>379</v>
      </c>
      <c r="G712" s="7" t="s">
        <v>711</v>
      </c>
      <c r="H712" s="7" t="s">
        <v>1666</v>
      </c>
      <c r="I712" s="8" t="s">
        <v>1667</v>
      </c>
    </row>
    <row r="713" spans="1:12" hidden="1" x14ac:dyDescent="0.35">
      <c r="A713" s="6">
        <v>1087671</v>
      </c>
      <c r="B713" s="7" t="str">
        <f>"3505012206970001"</f>
        <v>3505012206970001</v>
      </c>
      <c r="C713" s="7" t="s">
        <v>1668</v>
      </c>
      <c r="D713" s="7" t="s">
        <v>10</v>
      </c>
      <c r="E713" s="7" t="s">
        <v>11</v>
      </c>
      <c r="F713" s="7" t="s">
        <v>303</v>
      </c>
      <c r="G713" s="7" t="s">
        <v>1669</v>
      </c>
      <c r="H713" s="7" t="s">
        <v>1670</v>
      </c>
      <c r="I713" s="8" t="s">
        <v>1671</v>
      </c>
    </row>
    <row r="714" spans="1:12" hidden="1" x14ac:dyDescent="0.35">
      <c r="A714" s="6">
        <v>134606</v>
      </c>
      <c r="B714" s="7" t="str">
        <f>"3506205312040003"</f>
        <v>3506205312040003</v>
      </c>
      <c r="C714" s="7" t="s">
        <v>1672</v>
      </c>
      <c r="D714" s="7" t="s">
        <v>10</v>
      </c>
      <c r="E714" s="7" t="s">
        <v>11</v>
      </c>
      <c r="F714" s="7" t="s">
        <v>303</v>
      </c>
      <c r="G714" s="7" t="s">
        <v>608</v>
      </c>
      <c r="H714" s="7" t="s">
        <v>1673</v>
      </c>
      <c r="I714" s="8" t="s">
        <v>1639</v>
      </c>
    </row>
    <row r="715" spans="1:12" hidden="1" x14ac:dyDescent="0.35">
      <c r="A715" s="6">
        <v>30020</v>
      </c>
      <c r="B715" s="7" t="str">
        <f>"3526162505730001"</f>
        <v>3526162505730001</v>
      </c>
      <c r="C715" s="7" t="s">
        <v>1675</v>
      </c>
      <c r="D715" s="7" t="s">
        <v>10</v>
      </c>
      <c r="E715" s="7" t="s">
        <v>11</v>
      </c>
      <c r="F715" s="7" t="s">
        <v>303</v>
      </c>
      <c r="G715" s="7" t="s">
        <v>1676</v>
      </c>
      <c r="H715" s="7" t="s">
        <v>1677</v>
      </c>
      <c r="I715" s="8" t="s">
        <v>1678</v>
      </c>
    </row>
    <row r="716" spans="1:12" hidden="1" x14ac:dyDescent="0.35">
      <c r="A716" s="6">
        <v>30021</v>
      </c>
      <c r="B716" s="7" t="str">
        <f>"3526164505830003"</f>
        <v>3526164505830003</v>
      </c>
      <c r="C716" s="7" t="s">
        <v>1679</v>
      </c>
      <c r="D716" s="7" t="s">
        <v>10</v>
      </c>
      <c r="E716" s="7" t="s">
        <v>11</v>
      </c>
      <c r="F716" s="7" t="s">
        <v>303</v>
      </c>
      <c r="G716" s="7" t="s">
        <v>1676</v>
      </c>
      <c r="H716" s="7" t="s">
        <v>1677</v>
      </c>
      <c r="I716" s="8" t="s">
        <v>1678</v>
      </c>
    </row>
    <row r="717" spans="1:12" hidden="1" x14ac:dyDescent="0.35">
      <c r="A717" s="6">
        <v>1968481</v>
      </c>
      <c r="B717" s="7" t="str">
        <f>"3601120610900001"</f>
        <v>3601120610900001</v>
      </c>
      <c r="C717" s="7" t="s">
        <v>1680</v>
      </c>
      <c r="D717" s="7" t="s">
        <v>10</v>
      </c>
      <c r="E717" s="7" t="s">
        <v>11</v>
      </c>
      <c r="F717" s="7" t="s">
        <v>67</v>
      </c>
      <c r="G717" s="7" t="s">
        <v>890</v>
      </c>
      <c r="H717" s="7" t="s">
        <v>1681</v>
      </c>
      <c r="I717" s="8" t="s">
        <v>1682</v>
      </c>
    </row>
    <row r="718" spans="1:12" hidden="1" x14ac:dyDescent="0.35">
      <c r="A718" s="6">
        <v>112387</v>
      </c>
      <c r="B718" s="7" t="str">
        <f>"3603174704000011"</f>
        <v>3603174704000011</v>
      </c>
      <c r="C718" s="7" t="s">
        <v>1684</v>
      </c>
      <c r="D718" s="7" t="s">
        <v>10</v>
      </c>
      <c r="E718" s="7" t="s">
        <v>11</v>
      </c>
      <c r="F718" s="7" t="s">
        <v>67</v>
      </c>
      <c r="G718" s="7" t="s">
        <v>791</v>
      </c>
      <c r="H718" s="7" t="s">
        <v>1410</v>
      </c>
      <c r="I718" s="8" t="s">
        <v>1685</v>
      </c>
    </row>
    <row r="719" spans="1:12" hidden="1" x14ac:dyDescent="0.35">
      <c r="A719" s="6">
        <v>1597646</v>
      </c>
      <c r="B719" s="7" t="str">
        <f>"3603175212790009"</f>
        <v>3603175212790009</v>
      </c>
      <c r="C719" s="7" t="s">
        <v>1686</v>
      </c>
      <c r="D719" s="7" t="s">
        <v>10</v>
      </c>
      <c r="E719" s="7" t="s">
        <v>11</v>
      </c>
      <c r="F719" s="7" t="s">
        <v>67</v>
      </c>
      <c r="G719" s="7" t="s">
        <v>791</v>
      </c>
      <c r="H719" s="7" t="s">
        <v>1687</v>
      </c>
      <c r="I719" s="8" t="s">
        <v>1688</v>
      </c>
    </row>
    <row r="720" spans="1:12" hidden="1" x14ac:dyDescent="0.35">
      <c r="A720" s="6">
        <v>1715870</v>
      </c>
      <c r="B720" s="7" t="str">
        <f>"3604272306960002"</f>
        <v>3604272306960002</v>
      </c>
      <c r="C720" s="7" t="s">
        <v>1689</v>
      </c>
      <c r="D720" s="7" t="s">
        <v>10</v>
      </c>
      <c r="E720" s="7" t="s">
        <v>11</v>
      </c>
      <c r="F720" s="7" t="s">
        <v>67</v>
      </c>
      <c r="G720" s="7" t="s">
        <v>375</v>
      </c>
      <c r="H720" s="7" t="s">
        <v>637</v>
      </c>
      <c r="I720" s="8" t="s">
        <v>1690</v>
      </c>
    </row>
    <row r="721" spans="1:12" hidden="1" x14ac:dyDescent="0.35">
      <c r="A721" s="13">
        <v>2371272</v>
      </c>
      <c r="B721" s="14" t="str">
        <f>"3671061407840003"</f>
        <v>3671061407840003</v>
      </c>
      <c r="C721" s="14" t="s">
        <v>1691</v>
      </c>
      <c r="D721" s="14" t="s">
        <v>10</v>
      </c>
      <c r="E721" s="14" t="s">
        <v>11</v>
      </c>
      <c r="F721" s="14" t="s">
        <v>18</v>
      </c>
      <c r="G721" s="14" t="s">
        <v>19</v>
      </c>
      <c r="H721" s="14" t="s">
        <v>745</v>
      </c>
      <c r="I721" s="15" t="s">
        <v>746</v>
      </c>
      <c r="J721" s="16" t="str">
        <f>VLOOKUP(B721,baru!$B$2:$I$2271,4,FALSE)</f>
        <v>Reguler</v>
      </c>
      <c r="K721" s="16" t="str">
        <f>VLOOKUP(B721,baru!$B$2:$I$2271,5,FALSE)</f>
        <v>JAWA TENGAH</v>
      </c>
      <c r="L721" s="16" t="str">
        <f>VLOOKUP(B721,baru!$B$2:$I$2271,6,FALSE)</f>
        <v>BREBES</v>
      </c>
    </row>
    <row r="722" spans="1:12" hidden="1" x14ac:dyDescent="0.35">
      <c r="A722" s="6">
        <v>1387502</v>
      </c>
      <c r="B722" s="7" t="str">
        <f>"3671096406880003"</f>
        <v>3671096406880003</v>
      </c>
      <c r="C722" s="7" t="s">
        <v>1693</v>
      </c>
      <c r="D722" s="7" t="s">
        <v>10</v>
      </c>
      <c r="E722" s="7" t="s">
        <v>11</v>
      </c>
      <c r="F722" s="7" t="s">
        <v>67</v>
      </c>
      <c r="G722" s="7" t="s">
        <v>512</v>
      </c>
      <c r="H722" s="7" t="s">
        <v>219</v>
      </c>
      <c r="I722" s="8" t="s">
        <v>1520</v>
      </c>
    </row>
    <row r="723" spans="1:12" hidden="1" x14ac:dyDescent="0.35">
      <c r="A723" s="6">
        <v>2418123</v>
      </c>
      <c r="B723" s="7" t="str">
        <f>"3674016711670001"</f>
        <v>3674016711670001</v>
      </c>
      <c r="C723" s="7" t="s">
        <v>1694</v>
      </c>
      <c r="D723" s="7" t="s">
        <v>10</v>
      </c>
      <c r="E723" s="7" t="s">
        <v>11</v>
      </c>
      <c r="F723" s="7" t="s">
        <v>91</v>
      </c>
      <c r="G723" s="7" t="s">
        <v>650</v>
      </c>
      <c r="H723" s="7" t="s">
        <v>1695</v>
      </c>
      <c r="I723" s="8" t="s">
        <v>1410</v>
      </c>
    </row>
    <row r="724" spans="1:12" hidden="1" x14ac:dyDescent="0.35">
      <c r="A724" s="6">
        <v>205492</v>
      </c>
      <c r="B724" s="7" t="str">
        <f>"6303025008550003"</f>
        <v>6303025008550003</v>
      </c>
      <c r="C724" s="7" t="s">
        <v>1697</v>
      </c>
      <c r="D724" s="7" t="s">
        <v>10</v>
      </c>
      <c r="E724" s="7" t="s">
        <v>11</v>
      </c>
      <c r="F724" s="7" t="s">
        <v>240</v>
      </c>
      <c r="G724" s="7" t="s">
        <v>241</v>
      </c>
      <c r="H724" s="7" t="s">
        <v>1698</v>
      </c>
      <c r="I724" s="8" t="s">
        <v>1699</v>
      </c>
    </row>
    <row r="725" spans="1:12" hidden="1" x14ac:dyDescent="0.35">
      <c r="A725" s="6">
        <v>141486</v>
      </c>
      <c r="B725" s="7" t="str">
        <f>"6308050407810005"</f>
        <v>6308050407810005</v>
      </c>
      <c r="C725" s="7" t="s">
        <v>1700</v>
      </c>
      <c r="D725" s="7" t="s">
        <v>10</v>
      </c>
      <c r="E725" s="7" t="s">
        <v>11</v>
      </c>
      <c r="F725" s="7" t="s">
        <v>240</v>
      </c>
      <c r="G725" s="7" t="s">
        <v>1701</v>
      </c>
      <c r="H725" s="7" t="s">
        <v>1702</v>
      </c>
      <c r="I725" s="8" t="s">
        <v>1703</v>
      </c>
    </row>
    <row r="726" spans="1:12" hidden="1" x14ac:dyDescent="0.35">
      <c r="A726" s="6">
        <v>141487</v>
      </c>
      <c r="B726" s="7" t="str">
        <f>"6308051005870006"</f>
        <v>6308051005870006</v>
      </c>
      <c r="C726" s="7" t="s">
        <v>1705</v>
      </c>
      <c r="D726" s="7" t="s">
        <v>10</v>
      </c>
      <c r="E726" s="7" t="s">
        <v>11</v>
      </c>
      <c r="F726" s="7" t="s">
        <v>240</v>
      </c>
      <c r="G726" s="7" t="s">
        <v>1701</v>
      </c>
      <c r="H726" s="7" t="s">
        <v>1702</v>
      </c>
      <c r="I726" s="8" t="s">
        <v>1703</v>
      </c>
    </row>
    <row r="727" spans="1:12" hidden="1" x14ac:dyDescent="0.35">
      <c r="A727" s="6">
        <v>78773</v>
      </c>
      <c r="B727" s="7" t="str">
        <f>"6371022305870002"</f>
        <v>6371022305870002</v>
      </c>
      <c r="C727" s="7" t="s">
        <v>1706</v>
      </c>
      <c r="D727" s="7" t="s">
        <v>10</v>
      </c>
      <c r="E727" s="7" t="s">
        <v>11</v>
      </c>
      <c r="F727" s="7" t="s">
        <v>240</v>
      </c>
      <c r="G727" s="7" t="s">
        <v>1707</v>
      </c>
      <c r="H727" s="7" t="s">
        <v>1708</v>
      </c>
      <c r="I727" s="8" t="s">
        <v>1709</v>
      </c>
    </row>
    <row r="728" spans="1:12" hidden="1" x14ac:dyDescent="0.35">
      <c r="A728" s="13">
        <v>2387541</v>
      </c>
      <c r="B728" s="14" t="str">
        <f>"9109011708880016"</f>
        <v>9109011708880016</v>
      </c>
      <c r="C728" s="14" t="s">
        <v>1711</v>
      </c>
      <c r="D728" s="14" t="s">
        <v>10</v>
      </c>
      <c r="E728" s="14" t="s">
        <v>11</v>
      </c>
      <c r="F728" s="14" t="s">
        <v>18</v>
      </c>
      <c r="G728" s="14" t="s">
        <v>19</v>
      </c>
      <c r="H728" s="14" t="s">
        <v>745</v>
      </c>
      <c r="I728" s="15" t="s">
        <v>1401</v>
      </c>
      <c r="J728" s="16" t="str">
        <f>VLOOKUP(B728,baru!$B$2:$I$2271,4,FALSE)</f>
        <v>Reguler</v>
      </c>
      <c r="K728" s="16" t="str">
        <f>VLOOKUP(B728,baru!$B$2:$I$2271,5,FALSE)</f>
        <v>JAWA TENGAH</v>
      </c>
      <c r="L728" s="16" t="str">
        <f>VLOOKUP(B728,baru!$B$2:$I$2271,6,FALSE)</f>
        <v>BREBES</v>
      </c>
    </row>
    <row r="729" spans="1:12" hidden="1" x14ac:dyDescent="0.35">
      <c r="A729" s="6">
        <v>480189</v>
      </c>
      <c r="B729" s="7" t="str">
        <f>"9171011008860012"</f>
        <v>9171011008860012</v>
      </c>
      <c r="C729" s="7" t="s">
        <v>1713</v>
      </c>
      <c r="D729" s="7" t="s">
        <v>10</v>
      </c>
      <c r="E729" s="7" t="s">
        <v>11</v>
      </c>
      <c r="F729" s="7" t="s">
        <v>783</v>
      </c>
      <c r="G729" s="7" t="s">
        <v>1112</v>
      </c>
      <c r="H729" s="7" t="s">
        <v>1113</v>
      </c>
      <c r="I729" s="8" t="s">
        <v>1714</v>
      </c>
    </row>
    <row r="730" spans="1:12" hidden="1" x14ac:dyDescent="0.35">
      <c r="A730" s="6">
        <v>480191</v>
      </c>
      <c r="B730" s="7" t="str">
        <f>"9171011008860013"</f>
        <v>9171011008860013</v>
      </c>
      <c r="C730" s="7" t="s">
        <v>1716</v>
      </c>
      <c r="D730" s="7" t="s">
        <v>10</v>
      </c>
      <c r="E730" s="7" t="s">
        <v>11</v>
      </c>
      <c r="F730" s="7" t="s">
        <v>783</v>
      </c>
      <c r="G730" s="7" t="s">
        <v>1112</v>
      </c>
      <c r="H730" s="7" t="s">
        <v>1113</v>
      </c>
      <c r="I730" s="8" t="s">
        <v>1714</v>
      </c>
    </row>
    <row r="731" spans="1:12" hidden="1" x14ac:dyDescent="0.35">
      <c r="A731" s="6">
        <v>109926</v>
      </c>
      <c r="B731" s="7" t="str">
        <f>"3172011502800016"</f>
        <v>3172011502800016</v>
      </c>
      <c r="C731" s="7" t="s">
        <v>1718</v>
      </c>
      <c r="D731" s="7" t="s">
        <v>10</v>
      </c>
      <c r="E731" s="7" t="s">
        <v>11</v>
      </c>
      <c r="F731" s="7" t="s">
        <v>50</v>
      </c>
      <c r="G731" s="7" t="s">
        <v>51</v>
      </c>
      <c r="H731" s="7" t="s">
        <v>52</v>
      </c>
      <c r="I731" s="8" t="s">
        <v>1719</v>
      </c>
    </row>
    <row r="732" spans="1:12" hidden="1" x14ac:dyDescent="0.35">
      <c r="A732" s="6">
        <v>2534943</v>
      </c>
      <c r="B732" s="7" t="str">
        <f>"3172011502800016"</f>
        <v>3172011502800016</v>
      </c>
      <c r="C732" s="7" t="s">
        <v>1718</v>
      </c>
      <c r="D732" s="7" t="s">
        <v>10</v>
      </c>
      <c r="E732" s="7" t="s">
        <v>11</v>
      </c>
      <c r="F732" s="7" t="s">
        <v>18</v>
      </c>
      <c r="G732" s="7" t="s">
        <v>19</v>
      </c>
      <c r="H732" s="7" t="s">
        <v>1720</v>
      </c>
      <c r="I732" s="8" t="s">
        <v>1721</v>
      </c>
      <c r="J732" t="e">
        <f>VLOOKUP(B732,baru!$B$2:$I$2271,4,FALSE)</f>
        <v>#N/A</v>
      </c>
      <c r="K732" t="e">
        <f>VLOOKUP(B732,baru!$B$2:$I$2271,5,FALSE)</f>
        <v>#N/A</v>
      </c>
      <c r="L732" t="e">
        <f>VLOOKUP(B732,baru!$B$2:$I$2271,6,FALSE)</f>
        <v>#N/A</v>
      </c>
    </row>
    <row r="733" spans="1:12" hidden="1" x14ac:dyDescent="0.35">
      <c r="A733" s="6">
        <v>1089607</v>
      </c>
      <c r="B733" s="7" t="str">
        <f>"3172014510650002"</f>
        <v>3172014510650002</v>
      </c>
      <c r="C733" s="7" t="s">
        <v>1722</v>
      </c>
      <c r="D733" s="7" t="s">
        <v>10</v>
      </c>
      <c r="E733" s="7" t="s">
        <v>11</v>
      </c>
      <c r="F733" s="7" t="s">
        <v>50</v>
      </c>
      <c r="G733" s="7" t="s">
        <v>51</v>
      </c>
      <c r="H733" s="7" t="s">
        <v>52</v>
      </c>
      <c r="I733" s="8" t="s">
        <v>52</v>
      </c>
    </row>
    <row r="734" spans="1:12" hidden="1" x14ac:dyDescent="0.35">
      <c r="A734" s="6">
        <v>1101018</v>
      </c>
      <c r="B734" s="7" t="str">
        <f>"3172015102900007"</f>
        <v>3172015102900007</v>
      </c>
      <c r="C734" s="7" t="s">
        <v>1724</v>
      </c>
      <c r="D734" s="7" t="s">
        <v>10</v>
      </c>
      <c r="E734" s="7" t="s">
        <v>11</v>
      </c>
      <c r="F734" s="7" t="s">
        <v>50</v>
      </c>
      <c r="G734" s="7" t="s">
        <v>51</v>
      </c>
      <c r="H734" s="7" t="s">
        <v>52</v>
      </c>
      <c r="I734" s="8" t="s">
        <v>52</v>
      </c>
    </row>
    <row r="735" spans="1:12" hidden="1" x14ac:dyDescent="0.35">
      <c r="A735" s="6">
        <v>1219127</v>
      </c>
      <c r="B735" s="7" t="str">
        <f>"3172046307920009"</f>
        <v>3172046307920009</v>
      </c>
      <c r="C735" s="7" t="s">
        <v>1725</v>
      </c>
      <c r="D735" s="7" t="s">
        <v>10</v>
      </c>
      <c r="E735" s="7" t="s">
        <v>11</v>
      </c>
      <c r="F735" s="7" t="s">
        <v>50</v>
      </c>
      <c r="G735" s="7" t="s">
        <v>51</v>
      </c>
      <c r="H735" s="7" t="s">
        <v>78</v>
      </c>
      <c r="I735" s="8" t="s">
        <v>84</v>
      </c>
    </row>
    <row r="736" spans="1:12" hidden="1" x14ac:dyDescent="0.35">
      <c r="A736" s="6">
        <v>947635</v>
      </c>
      <c r="B736" s="7" t="str">
        <f>"3172051404871001"</f>
        <v>3172051404871001</v>
      </c>
      <c r="C736" s="7" t="s">
        <v>1728</v>
      </c>
      <c r="D736" s="7" t="s">
        <v>10</v>
      </c>
      <c r="E736" s="7" t="s">
        <v>11</v>
      </c>
      <c r="F736" s="7" t="s">
        <v>50</v>
      </c>
      <c r="G736" s="7" t="s">
        <v>51</v>
      </c>
      <c r="H736" s="7" t="s">
        <v>922</v>
      </c>
      <c r="I736" s="8" t="s">
        <v>1729</v>
      </c>
    </row>
    <row r="737" spans="1:12" hidden="1" x14ac:dyDescent="0.35">
      <c r="A737" s="6">
        <v>607326</v>
      </c>
      <c r="B737" s="7" t="str">
        <f>"3173036412640001"</f>
        <v>3173036412640001</v>
      </c>
      <c r="C737" s="7" t="s">
        <v>1732</v>
      </c>
      <c r="D737" s="7" t="s">
        <v>10</v>
      </c>
      <c r="E737" s="7" t="s">
        <v>11</v>
      </c>
      <c r="F737" s="7" t="s">
        <v>50</v>
      </c>
      <c r="G737" s="7" t="s">
        <v>86</v>
      </c>
      <c r="H737" s="7" t="s">
        <v>1463</v>
      </c>
      <c r="I737" s="8" t="s">
        <v>1733</v>
      </c>
    </row>
    <row r="738" spans="1:12" hidden="1" x14ac:dyDescent="0.35">
      <c r="A738" s="6">
        <v>1840622</v>
      </c>
      <c r="B738" s="7" t="str">
        <f>"3173045206981002"</f>
        <v>3173045206981002</v>
      </c>
      <c r="C738" s="7" t="s">
        <v>1735</v>
      </c>
      <c r="D738" s="7" t="s">
        <v>10</v>
      </c>
      <c r="E738" s="7" t="s">
        <v>11</v>
      </c>
      <c r="F738" s="7" t="s">
        <v>50</v>
      </c>
      <c r="G738" s="7" t="s">
        <v>86</v>
      </c>
      <c r="H738" s="7" t="s">
        <v>445</v>
      </c>
      <c r="I738" s="8" t="s">
        <v>1736</v>
      </c>
    </row>
    <row r="739" spans="1:12" hidden="1" x14ac:dyDescent="0.35">
      <c r="A739" s="6">
        <v>1641640</v>
      </c>
      <c r="B739" s="7" t="str">
        <f>"3173070810970007"</f>
        <v>3173070810970007</v>
      </c>
      <c r="C739" s="7" t="s">
        <v>1738</v>
      </c>
      <c r="D739" s="7" t="s">
        <v>10</v>
      </c>
      <c r="E739" s="7" t="s">
        <v>11</v>
      </c>
      <c r="F739" s="7" t="s">
        <v>50</v>
      </c>
      <c r="G739" s="7" t="s">
        <v>86</v>
      </c>
      <c r="H739" s="7" t="s">
        <v>445</v>
      </c>
      <c r="I739" s="8" t="s">
        <v>1739</v>
      </c>
    </row>
    <row r="740" spans="1:12" hidden="1" x14ac:dyDescent="0.35">
      <c r="A740" s="6">
        <v>614420</v>
      </c>
      <c r="B740" s="7" t="str">
        <f>"3174070502820003"</f>
        <v>3174070502820003</v>
      </c>
      <c r="C740" s="7" t="s">
        <v>1499</v>
      </c>
      <c r="D740" s="7" t="s">
        <v>10</v>
      </c>
      <c r="E740" s="7" t="s">
        <v>11</v>
      </c>
      <c r="F740" s="7" t="s">
        <v>50</v>
      </c>
      <c r="G740" s="7" t="s">
        <v>72</v>
      </c>
      <c r="H740" s="7" t="s">
        <v>628</v>
      </c>
      <c r="I740" s="8" t="s">
        <v>1281</v>
      </c>
    </row>
    <row r="741" spans="1:12" hidden="1" x14ac:dyDescent="0.35">
      <c r="A741" s="6">
        <v>678895</v>
      </c>
      <c r="B741" s="7" t="str">
        <f>"3175082312520003"</f>
        <v>3175082312520003</v>
      </c>
      <c r="C741" s="7" t="s">
        <v>1741</v>
      </c>
      <c r="D741" s="7" t="s">
        <v>10</v>
      </c>
      <c r="E741" s="7" t="s">
        <v>11</v>
      </c>
      <c r="F741" s="7" t="s">
        <v>50</v>
      </c>
      <c r="G741" s="7" t="s">
        <v>58</v>
      </c>
      <c r="H741" s="7" t="s">
        <v>1742</v>
      </c>
      <c r="I741" s="8" t="s">
        <v>1743</v>
      </c>
    </row>
    <row r="742" spans="1:12" x14ac:dyDescent="0.35">
      <c r="A742" s="6">
        <v>678896</v>
      </c>
      <c r="B742" s="7" t="str">
        <f>"3175084507500002"</f>
        <v>3175084507500002</v>
      </c>
      <c r="C742" s="7" t="s">
        <v>1745</v>
      </c>
      <c r="D742" s="7" t="s">
        <v>189</v>
      </c>
      <c r="E742" s="7" t="s">
        <v>11</v>
      </c>
      <c r="F742" s="7" t="s">
        <v>50</v>
      </c>
      <c r="G742" s="7" t="s">
        <v>58</v>
      </c>
      <c r="H742" s="7" t="s">
        <v>1742</v>
      </c>
      <c r="I742" s="8" t="s">
        <v>1743</v>
      </c>
    </row>
    <row r="743" spans="1:12" hidden="1" x14ac:dyDescent="0.35">
      <c r="A743" s="6">
        <v>1434043</v>
      </c>
      <c r="B743" s="7" t="str">
        <f>"3175090701020005"</f>
        <v>3175090701020005</v>
      </c>
      <c r="C743" s="7" t="s">
        <v>1746</v>
      </c>
      <c r="D743" s="7" t="s">
        <v>10</v>
      </c>
      <c r="E743" s="7" t="s">
        <v>11</v>
      </c>
      <c r="F743" s="7" t="s">
        <v>50</v>
      </c>
      <c r="G743" s="7" t="s">
        <v>58</v>
      </c>
      <c r="H743" s="7" t="s">
        <v>1747</v>
      </c>
      <c r="I743" s="8" t="s">
        <v>1748</v>
      </c>
    </row>
    <row r="744" spans="1:12" hidden="1" x14ac:dyDescent="0.35">
      <c r="A744" s="6">
        <v>1433937</v>
      </c>
      <c r="B744" s="7" t="str">
        <f>"3175091511620009"</f>
        <v>3175091511620009</v>
      </c>
      <c r="C744" s="7" t="s">
        <v>1749</v>
      </c>
      <c r="D744" s="7" t="s">
        <v>10</v>
      </c>
      <c r="E744" s="7" t="s">
        <v>11</v>
      </c>
      <c r="F744" s="7" t="s">
        <v>50</v>
      </c>
      <c r="G744" s="7" t="s">
        <v>58</v>
      </c>
      <c r="H744" s="7" t="s">
        <v>1747</v>
      </c>
      <c r="I744" s="8" t="s">
        <v>1748</v>
      </c>
    </row>
    <row r="745" spans="1:12" hidden="1" x14ac:dyDescent="0.35">
      <c r="A745" s="6">
        <v>1434044</v>
      </c>
      <c r="B745" s="7" t="str">
        <f>"3175096507730003"</f>
        <v>3175096507730003</v>
      </c>
      <c r="C745" s="7" t="s">
        <v>1750</v>
      </c>
      <c r="D745" s="7" t="s">
        <v>10</v>
      </c>
      <c r="E745" s="7" t="s">
        <v>11</v>
      </c>
      <c r="F745" s="7" t="s">
        <v>50</v>
      </c>
      <c r="G745" s="7" t="s">
        <v>58</v>
      </c>
      <c r="H745" s="7" t="s">
        <v>1747</v>
      </c>
      <c r="I745" s="8" t="s">
        <v>1748</v>
      </c>
    </row>
    <row r="746" spans="1:12" hidden="1" x14ac:dyDescent="0.35">
      <c r="A746" s="6">
        <v>3816319</v>
      </c>
      <c r="B746" s="7" t="str">
        <f>"3202022407850001"</f>
        <v>3202022407850001</v>
      </c>
      <c r="C746" s="7" t="s">
        <v>1751</v>
      </c>
      <c r="D746" s="7" t="s">
        <v>10</v>
      </c>
      <c r="E746" s="7" t="s">
        <v>11</v>
      </c>
      <c r="F746" s="7" t="s">
        <v>91</v>
      </c>
      <c r="G746" s="7" t="s">
        <v>650</v>
      </c>
      <c r="H746" s="7" t="s">
        <v>1752</v>
      </c>
      <c r="I746" s="8" t="s">
        <v>1753</v>
      </c>
    </row>
    <row r="747" spans="1:12" hidden="1" x14ac:dyDescent="0.35">
      <c r="A747" s="6">
        <v>1434045</v>
      </c>
      <c r="B747" s="7" t="str">
        <f>"3208100107700409"</f>
        <v>3208100107700409</v>
      </c>
      <c r="C747" s="7" t="s">
        <v>1754</v>
      </c>
      <c r="D747" s="7" t="s">
        <v>10</v>
      </c>
      <c r="E747" s="7" t="s">
        <v>11</v>
      </c>
      <c r="F747" s="7" t="s">
        <v>50</v>
      </c>
      <c r="G747" s="7" t="s">
        <v>58</v>
      </c>
      <c r="H747" s="7" t="s">
        <v>1747</v>
      </c>
      <c r="I747" s="8" t="s">
        <v>1748</v>
      </c>
    </row>
    <row r="748" spans="1:12" hidden="1" x14ac:dyDescent="0.35">
      <c r="A748" s="6">
        <v>22748</v>
      </c>
      <c r="B748" s="7" t="str">
        <f>"3208270606920004"</f>
        <v>3208270606920004</v>
      </c>
      <c r="C748" s="7" t="s">
        <v>1755</v>
      </c>
      <c r="D748" s="7" t="s">
        <v>10</v>
      </c>
      <c r="E748" s="7" t="s">
        <v>11</v>
      </c>
      <c r="F748" s="7" t="s">
        <v>91</v>
      </c>
      <c r="G748" s="7" t="s">
        <v>109</v>
      </c>
      <c r="H748" s="7" t="s">
        <v>1756</v>
      </c>
      <c r="I748" s="8" t="s">
        <v>1757</v>
      </c>
    </row>
    <row r="749" spans="1:12" hidden="1" x14ac:dyDescent="0.35">
      <c r="A749" s="6">
        <v>50870</v>
      </c>
      <c r="B749" s="7" t="str">
        <f>"3208282903950004"</f>
        <v>3208282903950004</v>
      </c>
      <c r="C749" s="7" t="s">
        <v>1758</v>
      </c>
      <c r="D749" s="7" t="s">
        <v>10</v>
      </c>
      <c r="E749" s="7" t="s">
        <v>11</v>
      </c>
      <c r="F749" s="7" t="s">
        <v>91</v>
      </c>
      <c r="G749" s="7" t="s">
        <v>109</v>
      </c>
      <c r="H749" s="7" t="s">
        <v>1759</v>
      </c>
      <c r="I749" s="8" t="s">
        <v>1760</v>
      </c>
    </row>
    <row r="750" spans="1:12" hidden="1" x14ac:dyDescent="0.35">
      <c r="A750" s="13">
        <v>1615502</v>
      </c>
      <c r="B750" s="14" t="str">
        <f>"3211251511910009"</f>
        <v>3211251511910009</v>
      </c>
      <c r="C750" s="14" t="s">
        <v>1762</v>
      </c>
      <c r="D750" s="14" t="s">
        <v>10</v>
      </c>
      <c r="E750" s="14" t="s">
        <v>11</v>
      </c>
      <c r="F750" s="14" t="s">
        <v>18</v>
      </c>
      <c r="G750" s="14" t="s">
        <v>19</v>
      </c>
      <c r="H750" s="14" t="s">
        <v>1720</v>
      </c>
      <c r="I750" s="15" t="s">
        <v>1721</v>
      </c>
      <c r="J750" s="16" t="str">
        <f>VLOOKUP(B750,baru!$B$2:$I$2271,4,FALSE)</f>
        <v>Reguler</v>
      </c>
      <c r="K750" s="16" t="str">
        <f>VLOOKUP(B750,baru!$B$2:$I$2271,5,FALSE)</f>
        <v>JAWA BARAT</v>
      </c>
      <c r="L750" s="16" t="str">
        <f>VLOOKUP(B750,baru!$B$2:$I$2271,6,FALSE)</f>
        <v>SUMEDANG</v>
      </c>
    </row>
    <row r="751" spans="1:12" hidden="1" x14ac:dyDescent="0.35">
      <c r="A751" s="6">
        <v>1409580</v>
      </c>
      <c r="B751" s="7" t="str">
        <f>"3215257006890002"</f>
        <v>3215257006890002</v>
      </c>
      <c r="C751" s="7" t="s">
        <v>1765</v>
      </c>
      <c r="D751" s="7" t="s">
        <v>10</v>
      </c>
      <c r="E751" s="7" t="s">
        <v>11</v>
      </c>
      <c r="F751" s="7" t="s">
        <v>91</v>
      </c>
      <c r="G751" s="7" t="s">
        <v>320</v>
      </c>
      <c r="H751" s="7" t="s">
        <v>1289</v>
      </c>
      <c r="I751" s="8" t="s">
        <v>1766</v>
      </c>
    </row>
    <row r="752" spans="1:12" hidden="1" x14ac:dyDescent="0.35">
      <c r="A752" s="6">
        <v>657084</v>
      </c>
      <c r="B752" s="7" t="str">
        <f>"3216100308820010"</f>
        <v>3216100308820010</v>
      </c>
      <c r="C752" s="7" t="s">
        <v>1768</v>
      </c>
      <c r="D752" s="7" t="s">
        <v>10</v>
      </c>
      <c r="E752" s="7" t="s">
        <v>11</v>
      </c>
      <c r="F752" s="7" t="s">
        <v>91</v>
      </c>
      <c r="G752" s="7" t="s">
        <v>92</v>
      </c>
      <c r="H752" s="7" t="s">
        <v>1769</v>
      </c>
      <c r="I752" s="8" t="s">
        <v>1770</v>
      </c>
    </row>
    <row r="753" spans="1:12" hidden="1" x14ac:dyDescent="0.35">
      <c r="A753" s="6">
        <v>1538091</v>
      </c>
      <c r="B753" s="7" t="str">
        <f>"3275010910760012"</f>
        <v>3275010910760012</v>
      </c>
      <c r="C753" s="7" t="s">
        <v>1772</v>
      </c>
      <c r="D753" s="7" t="s">
        <v>10</v>
      </c>
      <c r="E753" s="7" t="s">
        <v>11</v>
      </c>
      <c r="F753" s="7" t="s">
        <v>91</v>
      </c>
      <c r="G753" s="7" t="s">
        <v>159</v>
      </c>
      <c r="H753" s="7" t="s">
        <v>685</v>
      </c>
      <c r="I753" s="8" t="s">
        <v>1773</v>
      </c>
    </row>
    <row r="754" spans="1:12" hidden="1" x14ac:dyDescent="0.35">
      <c r="A754" s="6">
        <v>1538094</v>
      </c>
      <c r="B754" s="7" t="str">
        <f>"3275016703790023"</f>
        <v>3275016703790023</v>
      </c>
      <c r="C754" s="7" t="s">
        <v>1775</v>
      </c>
      <c r="D754" s="7" t="s">
        <v>10</v>
      </c>
      <c r="E754" s="7" t="s">
        <v>11</v>
      </c>
      <c r="F754" s="7" t="s">
        <v>91</v>
      </c>
      <c r="G754" s="7" t="s">
        <v>159</v>
      </c>
      <c r="H754" s="7" t="s">
        <v>685</v>
      </c>
      <c r="I754" s="8" t="s">
        <v>1773</v>
      </c>
    </row>
    <row r="755" spans="1:12" hidden="1" x14ac:dyDescent="0.35">
      <c r="A755" s="6">
        <v>1486611</v>
      </c>
      <c r="B755" s="7" t="str">
        <f>"3275050108780018"</f>
        <v>3275050108780018</v>
      </c>
      <c r="C755" s="7" t="s">
        <v>1776</v>
      </c>
      <c r="D755" s="7" t="s">
        <v>10</v>
      </c>
      <c r="E755" s="7" t="s">
        <v>11</v>
      </c>
      <c r="F755" s="7" t="s">
        <v>91</v>
      </c>
      <c r="G755" s="7" t="s">
        <v>159</v>
      </c>
      <c r="H755" s="7" t="s">
        <v>160</v>
      </c>
      <c r="I755" s="8" t="s">
        <v>980</v>
      </c>
    </row>
    <row r="756" spans="1:12" hidden="1" x14ac:dyDescent="0.35">
      <c r="A756" s="6">
        <v>1486612</v>
      </c>
      <c r="B756" s="7" t="str">
        <f>"3275054403780039"</f>
        <v>3275054403780039</v>
      </c>
      <c r="C756" s="7" t="s">
        <v>1778</v>
      </c>
      <c r="D756" s="7" t="s">
        <v>10</v>
      </c>
      <c r="E756" s="7" t="s">
        <v>11</v>
      </c>
      <c r="F756" s="7" t="s">
        <v>91</v>
      </c>
      <c r="G756" s="7" t="s">
        <v>159</v>
      </c>
      <c r="H756" s="7" t="s">
        <v>160</v>
      </c>
      <c r="I756" s="8" t="s">
        <v>980</v>
      </c>
    </row>
    <row r="757" spans="1:12" hidden="1" x14ac:dyDescent="0.35">
      <c r="A757" s="6">
        <v>1486613</v>
      </c>
      <c r="B757" s="7" t="str">
        <f>"3275055708060009"</f>
        <v>3275055708060009</v>
      </c>
      <c r="C757" s="7" t="s">
        <v>1779</v>
      </c>
      <c r="D757" s="7" t="s">
        <v>10</v>
      </c>
      <c r="E757" s="7" t="s">
        <v>11</v>
      </c>
      <c r="F757" s="7" t="s">
        <v>91</v>
      </c>
      <c r="G757" s="7" t="s">
        <v>159</v>
      </c>
      <c r="H757" s="7" t="s">
        <v>160</v>
      </c>
      <c r="I757" s="8" t="s">
        <v>980</v>
      </c>
    </row>
    <row r="758" spans="1:12" hidden="1" x14ac:dyDescent="0.35">
      <c r="A758" s="6">
        <v>1591410</v>
      </c>
      <c r="B758" s="7" t="str">
        <f>"3276076809790001"</f>
        <v>3276076809790001</v>
      </c>
      <c r="C758" s="7" t="s">
        <v>1781</v>
      </c>
      <c r="D758" s="7" t="s">
        <v>10</v>
      </c>
      <c r="E758" s="7" t="s">
        <v>11</v>
      </c>
      <c r="F758" s="7" t="s">
        <v>91</v>
      </c>
      <c r="G758" s="7" t="s">
        <v>159</v>
      </c>
      <c r="H758" s="7" t="s">
        <v>685</v>
      </c>
      <c r="I758" s="8" t="s">
        <v>1773</v>
      </c>
    </row>
    <row r="759" spans="1:12" hidden="1" x14ac:dyDescent="0.35">
      <c r="A759" s="13">
        <v>1623033</v>
      </c>
      <c r="B759" s="14" t="str">
        <f>"3302086110900002"</f>
        <v>3302086110900002</v>
      </c>
      <c r="C759" s="14" t="s">
        <v>1782</v>
      </c>
      <c r="D759" s="14" t="s">
        <v>10</v>
      </c>
      <c r="E759" s="14" t="s">
        <v>11</v>
      </c>
      <c r="F759" s="14" t="s">
        <v>18</v>
      </c>
      <c r="G759" s="14" t="s">
        <v>19</v>
      </c>
      <c r="H759" s="14" t="s">
        <v>1720</v>
      </c>
      <c r="I759" s="15" t="s">
        <v>1777</v>
      </c>
      <c r="J759" s="16" t="str">
        <f>VLOOKUP(B759,baru!$B$2:$I$2271,4,FALSE)</f>
        <v>Reguler</v>
      </c>
      <c r="K759" s="16" t="str">
        <f>VLOOKUP(B759,baru!$B$2:$I$2271,5,FALSE)</f>
        <v>JAWA TENGAH</v>
      </c>
      <c r="L759" s="16" t="str">
        <f>VLOOKUP(B759,baru!$B$2:$I$2271,6,FALSE)</f>
        <v>KEBUMEN</v>
      </c>
    </row>
    <row r="760" spans="1:12" hidden="1" x14ac:dyDescent="0.35">
      <c r="A760" s="6">
        <v>798356</v>
      </c>
      <c r="B760" s="7" t="str">
        <f>"3315082309850004"</f>
        <v>3315082309850004</v>
      </c>
      <c r="C760" s="7" t="s">
        <v>1784</v>
      </c>
      <c r="D760" s="7" t="s">
        <v>10</v>
      </c>
      <c r="E760" s="7" t="s">
        <v>11</v>
      </c>
      <c r="F760" s="7" t="s">
        <v>18</v>
      </c>
      <c r="G760" s="7" t="s">
        <v>180</v>
      </c>
      <c r="H760" s="7" t="s">
        <v>1785</v>
      </c>
      <c r="I760" s="8" t="s">
        <v>1785</v>
      </c>
    </row>
    <row r="761" spans="1:12" hidden="1" x14ac:dyDescent="0.35">
      <c r="A761" s="6">
        <v>964556</v>
      </c>
      <c r="B761" s="7" t="str">
        <f>"3318020804740005"</f>
        <v>3318020804740005</v>
      </c>
      <c r="C761" s="7" t="s">
        <v>1786</v>
      </c>
      <c r="D761" s="7" t="s">
        <v>10</v>
      </c>
      <c r="E761" s="7" t="s">
        <v>11</v>
      </c>
      <c r="F761" s="7" t="s">
        <v>18</v>
      </c>
      <c r="G761" s="7" t="s">
        <v>1787</v>
      </c>
      <c r="H761" s="7" t="s">
        <v>1788</v>
      </c>
      <c r="I761" s="8" t="s">
        <v>1789</v>
      </c>
    </row>
    <row r="762" spans="1:12" hidden="1" x14ac:dyDescent="0.35">
      <c r="A762" s="6">
        <v>1546673</v>
      </c>
      <c r="B762" s="7" t="str">
        <f>"3325112007670001"</f>
        <v>3325112007670001</v>
      </c>
      <c r="C762" s="7" t="s">
        <v>1790</v>
      </c>
      <c r="D762" s="7" t="s">
        <v>10</v>
      </c>
      <c r="E762" s="7" t="s">
        <v>11</v>
      </c>
      <c r="F762" s="7" t="s">
        <v>18</v>
      </c>
      <c r="G762" s="7" t="s">
        <v>19</v>
      </c>
      <c r="H762" s="7" t="s">
        <v>1720</v>
      </c>
      <c r="I762" s="8" t="s">
        <v>1771</v>
      </c>
      <c r="J762" t="e">
        <f>VLOOKUP(B762,baru!$B$2:$I$2271,4,FALSE)</f>
        <v>#N/A</v>
      </c>
      <c r="K762" t="e">
        <f>VLOOKUP(B762,baru!$B$2:$I$2271,5,FALSE)</f>
        <v>#N/A</v>
      </c>
      <c r="L762" t="e">
        <f>VLOOKUP(B762,baru!$B$2:$I$2271,6,FALSE)</f>
        <v>#N/A</v>
      </c>
    </row>
    <row r="763" spans="1:12" hidden="1" x14ac:dyDescent="0.35">
      <c r="A763" s="6">
        <v>2662325</v>
      </c>
      <c r="B763" s="7" t="str">
        <f>"3325112007670001"</f>
        <v>3325112007670001</v>
      </c>
      <c r="C763" s="7" t="s">
        <v>1791</v>
      </c>
      <c r="D763" s="7" t="s">
        <v>10</v>
      </c>
      <c r="E763" s="7" t="s">
        <v>57</v>
      </c>
      <c r="F763" s="7" t="s">
        <v>18</v>
      </c>
      <c r="G763" s="7" t="s">
        <v>199</v>
      </c>
      <c r="H763" s="7" t="s">
        <v>199</v>
      </c>
      <c r="I763" s="8" t="s">
        <v>839</v>
      </c>
    </row>
    <row r="764" spans="1:12" x14ac:dyDescent="0.35">
      <c r="A764" s="6">
        <v>936100</v>
      </c>
      <c r="B764" s="7" t="str">
        <f>"3326111407930005"</f>
        <v>3326111407930005</v>
      </c>
      <c r="C764" s="7" t="s">
        <v>1793</v>
      </c>
      <c r="D764" s="7" t="s">
        <v>189</v>
      </c>
      <c r="E764" s="7" t="s">
        <v>11</v>
      </c>
      <c r="F764" s="7" t="s">
        <v>18</v>
      </c>
      <c r="G764" s="7" t="s">
        <v>195</v>
      </c>
      <c r="H764" s="7" t="s">
        <v>906</v>
      </c>
      <c r="I764" s="8" t="s">
        <v>1794</v>
      </c>
    </row>
    <row r="765" spans="1:12" hidden="1" x14ac:dyDescent="0.35">
      <c r="A765" s="6">
        <v>556804</v>
      </c>
      <c r="B765" s="7" t="str">
        <f>"3328011112820005"</f>
        <v>3328011112820005</v>
      </c>
      <c r="C765" s="7" t="s">
        <v>1795</v>
      </c>
      <c r="D765" s="7" t="s">
        <v>10</v>
      </c>
      <c r="E765" s="7" t="s">
        <v>11</v>
      </c>
      <c r="F765" s="7" t="s">
        <v>67</v>
      </c>
      <c r="G765" s="7" t="s">
        <v>791</v>
      </c>
      <c r="H765" s="7" t="s">
        <v>1796</v>
      </c>
      <c r="I765" s="8" t="s">
        <v>1797</v>
      </c>
    </row>
    <row r="766" spans="1:12" hidden="1" x14ac:dyDescent="0.35">
      <c r="A766" s="13">
        <v>1623059</v>
      </c>
      <c r="B766" s="14" t="str">
        <f>"3328050107920008"</f>
        <v>3328050107920008</v>
      </c>
      <c r="C766" s="14" t="s">
        <v>1798</v>
      </c>
      <c r="D766" s="14" t="s">
        <v>10</v>
      </c>
      <c r="E766" s="14" t="s">
        <v>11</v>
      </c>
      <c r="F766" s="14" t="s">
        <v>18</v>
      </c>
      <c r="G766" s="14" t="s">
        <v>19</v>
      </c>
      <c r="H766" s="14" t="s">
        <v>1720</v>
      </c>
      <c r="I766" s="15" t="s">
        <v>1777</v>
      </c>
      <c r="J766" s="16" t="str">
        <f>VLOOKUP(B766,baru!$B$2:$I$2271,4,FALSE)</f>
        <v>Reguler</v>
      </c>
      <c r="K766" s="16" t="str">
        <f>VLOOKUP(B766,baru!$B$2:$I$2271,5,FALSE)</f>
        <v>JAWA TENGAH</v>
      </c>
      <c r="L766" s="16" t="str">
        <f>VLOOKUP(B766,baru!$B$2:$I$2271,6,FALSE)</f>
        <v>BREBES</v>
      </c>
    </row>
    <row r="767" spans="1:12" hidden="1" x14ac:dyDescent="0.35">
      <c r="A767" s="13">
        <v>1548470</v>
      </c>
      <c r="B767" s="14" t="str">
        <f>"3328050107950006"</f>
        <v>3328050107950006</v>
      </c>
      <c r="C767" s="14" t="s">
        <v>1799</v>
      </c>
      <c r="D767" s="14" t="s">
        <v>10</v>
      </c>
      <c r="E767" s="14" t="s">
        <v>11</v>
      </c>
      <c r="F767" s="14" t="s">
        <v>18</v>
      </c>
      <c r="G767" s="14" t="s">
        <v>19</v>
      </c>
      <c r="H767" s="14" t="s">
        <v>1720</v>
      </c>
      <c r="I767" s="15" t="s">
        <v>1771</v>
      </c>
      <c r="J767" s="16" t="str">
        <f>VLOOKUP(B767,baru!$B$2:$I$2271,4,FALSE)</f>
        <v>Reguler</v>
      </c>
      <c r="K767" s="16" t="str">
        <f>VLOOKUP(B767,baru!$B$2:$I$2271,5,FALSE)</f>
        <v>JAWA TENGAH</v>
      </c>
      <c r="L767" s="16" t="str">
        <f>VLOOKUP(B767,baru!$B$2:$I$2271,6,FALSE)</f>
        <v>BANJARNEGARA</v>
      </c>
    </row>
    <row r="768" spans="1:12" hidden="1" x14ac:dyDescent="0.35">
      <c r="A768" s="6">
        <v>1803237</v>
      </c>
      <c r="B768" s="7" t="str">
        <f>"3328050204740002"</f>
        <v>3328050204740002</v>
      </c>
      <c r="C768" s="7" t="s">
        <v>1805</v>
      </c>
      <c r="D768" s="7" t="s">
        <v>10</v>
      </c>
      <c r="E768" s="7" t="s">
        <v>11</v>
      </c>
      <c r="F768" s="7" t="s">
        <v>50</v>
      </c>
      <c r="G768" s="7" t="s">
        <v>58</v>
      </c>
      <c r="H768" s="7" t="s">
        <v>97</v>
      </c>
      <c r="I768" s="8" t="s">
        <v>97</v>
      </c>
    </row>
    <row r="769" spans="1:12" hidden="1" x14ac:dyDescent="0.35">
      <c r="A769" s="13">
        <v>1614065</v>
      </c>
      <c r="B769" s="14" t="str">
        <f>"3328050205030002"</f>
        <v>3328050205030002</v>
      </c>
      <c r="C769" s="14" t="s">
        <v>1806</v>
      </c>
      <c r="D769" s="14" t="s">
        <v>10</v>
      </c>
      <c r="E769" s="14" t="s">
        <v>11</v>
      </c>
      <c r="F769" s="14" t="s">
        <v>18</v>
      </c>
      <c r="G769" s="14" t="s">
        <v>19</v>
      </c>
      <c r="H769" s="14" t="s">
        <v>1720</v>
      </c>
      <c r="I769" s="15" t="s">
        <v>1721</v>
      </c>
      <c r="J769" s="16" t="str">
        <f>VLOOKUP(B769,baru!$B$2:$I$2271,4,FALSE)</f>
        <v>Reguler</v>
      </c>
      <c r="K769" s="16" t="str">
        <f>VLOOKUP(B769,baru!$B$2:$I$2271,5,FALSE)</f>
        <v>JAWA TIMUR</v>
      </c>
      <c r="L769" s="16" t="str">
        <f>VLOOKUP(B769,baru!$B$2:$I$2271,6,FALSE)</f>
        <v>BOJONEGORO</v>
      </c>
    </row>
    <row r="770" spans="1:12" hidden="1" x14ac:dyDescent="0.35">
      <c r="A770" s="6">
        <v>1922655</v>
      </c>
      <c r="B770" s="7" t="str">
        <f>"3328050210040004"</f>
        <v>3328050210040004</v>
      </c>
      <c r="C770" s="7" t="s">
        <v>1811</v>
      </c>
      <c r="D770" s="7" t="s">
        <v>10</v>
      </c>
      <c r="E770" s="7" t="s">
        <v>11</v>
      </c>
      <c r="F770" s="7" t="s">
        <v>50</v>
      </c>
      <c r="G770" s="7" t="s">
        <v>86</v>
      </c>
      <c r="H770" s="7" t="s">
        <v>1268</v>
      </c>
      <c r="I770" s="8" t="s">
        <v>1269</v>
      </c>
    </row>
    <row r="771" spans="1:12" hidden="1" x14ac:dyDescent="0.35">
      <c r="A771" s="13">
        <v>1364443</v>
      </c>
      <c r="B771" s="14" t="str">
        <f>"3328050304920002"</f>
        <v>3328050304920002</v>
      </c>
      <c r="C771" s="14" t="s">
        <v>1813</v>
      </c>
      <c r="D771" s="14" t="s">
        <v>10</v>
      </c>
      <c r="E771" s="14" t="s">
        <v>11</v>
      </c>
      <c r="F771" s="14" t="s">
        <v>18</v>
      </c>
      <c r="G771" s="14" t="s">
        <v>19</v>
      </c>
      <c r="H771" s="14" t="s">
        <v>1720</v>
      </c>
      <c r="I771" s="15" t="s">
        <v>1740</v>
      </c>
      <c r="J771" s="16" t="str">
        <f>VLOOKUP(B771,baru!$B$2:$I$2271,4,FALSE)</f>
        <v>Reguler</v>
      </c>
      <c r="K771" s="16" t="str">
        <f>VLOOKUP(B771,baru!$B$2:$I$2271,5,FALSE)</f>
        <v>BANTEN</v>
      </c>
      <c r="L771" s="16" t="str">
        <f>VLOOKUP(B771,baru!$B$2:$I$2271,6,FALSE)</f>
        <v>SERANG</v>
      </c>
    </row>
    <row r="772" spans="1:12" hidden="1" x14ac:dyDescent="0.35">
      <c r="A772" s="13">
        <v>1554524</v>
      </c>
      <c r="B772" s="14" t="str">
        <f>"3328050409700001"</f>
        <v>3328050409700001</v>
      </c>
      <c r="C772" s="14" t="s">
        <v>1816</v>
      </c>
      <c r="D772" s="14" t="s">
        <v>10</v>
      </c>
      <c r="E772" s="14" t="s">
        <v>11</v>
      </c>
      <c r="F772" s="14" t="s">
        <v>18</v>
      </c>
      <c r="G772" s="14" t="s">
        <v>19</v>
      </c>
      <c r="H772" s="14" t="s">
        <v>1720</v>
      </c>
      <c r="I772" s="15" t="s">
        <v>1720</v>
      </c>
      <c r="J772" s="16" t="str">
        <f>VLOOKUP(B772,baru!$B$2:$I$2271,4,FALSE)</f>
        <v>Reguler</v>
      </c>
      <c r="K772" s="16" t="str">
        <f>VLOOKUP(B772,baru!$B$2:$I$2271,5,FALSE)</f>
        <v>JAWA TENGAH</v>
      </c>
      <c r="L772" s="16" t="str">
        <f>VLOOKUP(B772,baru!$B$2:$I$2271,6,FALSE)</f>
        <v>BREBES</v>
      </c>
    </row>
    <row r="773" spans="1:12" hidden="1" x14ac:dyDescent="0.35">
      <c r="A773" s="6">
        <v>1212670</v>
      </c>
      <c r="B773" s="7" t="str">
        <f>"3328050409870003"</f>
        <v>3328050409870003</v>
      </c>
      <c r="C773" s="7" t="s">
        <v>1818</v>
      </c>
      <c r="D773" s="7" t="s">
        <v>10</v>
      </c>
      <c r="E773" s="7" t="s">
        <v>11</v>
      </c>
      <c r="F773" s="7" t="s">
        <v>50</v>
      </c>
      <c r="G773" s="7" t="s">
        <v>51</v>
      </c>
      <c r="H773" s="7" t="s">
        <v>78</v>
      </c>
      <c r="I773" s="8" t="s">
        <v>84</v>
      </c>
    </row>
    <row r="774" spans="1:12" hidden="1" x14ac:dyDescent="0.35">
      <c r="A774" s="13">
        <v>1363050</v>
      </c>
      <c r="B774" s="14" t="str">
        <f>"3328050503930001"</f>
        <v>3328050503930001</v>
      </c>
      <c r="C774" s="14" t="s">
        <v>1819</v>
      </c>
      <c r="D774" s="14" t="s">
        <v>10</v>
      </c>
      <c r="E774" s="14" t="s">
        <v>11</v>
      </c>
      <c r="F774" s="14" t="s">
        <v>18</v>
      </c>
      <c r="G774" s="14" t="s">
        <v>19</v>
      </c>
      <c r="H774" s="14" t="s">
        <v>1720</v>
      </c>
      <c r="I774" s="15" t="s">
        <v>1740</v>
      </c>
      <c r="J774" s="16" t="str">
        <f>VLOOKUP(B774,baru!$B$2:$I$2271,4,FALSE)</f>
        <v>Reguler</v>
      </c>
      <c r="K774" s="16" t="str">
        <f>VLOOKUP(B774,baru!$B$2:$I$2271,5,FALSE)</f>
        <v>JAWA TENGAH</v>
      </c>
      <c r="L774" s="16" t="str">
        <f>VLOOKUP(B774,baru!$B$2:$I$2271,6,FALSE)</f>
        <v>BATANG</v>
      </c>
    </row>
    <row r="775" spans="1:12" hidden="1" x14ac:dyDescent="0.35">
      <c r="A775" s="17">
        <v>2138461</v>
      </c>
      <c r="B775" s="18" t="str">
        <f>"3328050504720004"</f>
        <v>3328050504720004</v>
      </c>
      <c r="C775" s="18" t="s">
        <v>1821</v>
      </c>
      <c r="D775" s="18" t="s">
        <v>10</v>
      </c>
      <c r="E775" s="18" t="s">
        <v>11</v>
      </c>
      <c r="F775" s="18" t="s">
        <v>18</v>
      </c>
      <c r="G775" s="18" t="s">
        <v>19</v>
      </c>
      <c r="H775" s="18" t="s">
        <v>1720</v>
      </c>
      <c r="I775" s="19" t="s">
        <v>1723</v>
      </c>
      <c r="J775" s="20" t="str">
        <f>VLOOKUP(B775,baru!$B$2:$I$2271,4,FALSE)</f>
        <v>Khusus</v>
      </c>
      <c r="K775" s="20" t="str">
        <f>VLOOKUP(B775,baru!$B$2:$I$2271,5,FALSE)</f>
        <v>JAWA TENGAH</v>
      </c>
      <c r="L775" s="20" t="str">
        <f>VLOOKUP(B775,baru!$B$2:$I$2271,6,FALSE)</f>
        <v>CILACAP</v>
      </c>
    </row>
    <row r="776" spans="1:12" hidden="1" x14ac:dyDescent="0.35">
      <c r="A776" s="6">
        <v>2128717</v>
      </c>
      <c r="B776" s="7" t="str">
        <f>"3328050506920002"</f>
        <v>3328050506920002</v>
      </c>
      <c r="C776" s="7" t="s">
        <v>1822</v>
      </c>
      <c r="D776" s="7" t="s">
        <v>10</v>
      </c>
      <c r="E776" s="7" t="s">
        <v>11</v>
      </c>
      <c r="F776" s="7" t="s">
        <v>18</v>
      </c>
      <c r="G776" s="7" t="s">
        <v>19</v>
      </c>
      <c r="H776" s="7" t="s">
        <v>1720</v>
      </c>
      <c r="I776" s="8" t="s">
        <v>1731</v>
      </c>
      <c r="J776" t="e">
        <f>VLOOKUP(B776,baru!$B$2:$I$2271,4,FALSE)</f>
        <v>#N/A</v>
      </c>
      <c r="K776" t="e">
        <f>VLOOKUP(B776,baru!$B$2:$I$2271,5,FALSE)</f>
        <v>#N/A</v>
      </c>
      <c r="L776" t="e">
        <f>VLOOKUP(B776,baru!$B$2:$I$2271,6,FALSE)</f>
        <v>#N/A</v>
      </c>
    </row>
    <row r="777" spans="1:12" hidden="1" x14ac:dyDescent="0.35">
      <c r="A777" s="6">
        <v>255958</v>
      </c>
      <c r="B777" s="7" t="str">
        <f>"3328050506920002"</f>
        <v>3328050506920002</v>
      </c>
      <c r="C777" s="7" t="s">
        <v>1822</v>
      </c>
      <c r="D777" s="7" t="s">
        <v>10</v>
      </c>
      <c r="E777" s="7" t="s">
        <v>57</v>
      </c>
      <c r="F777" s="7" t="s">
        <v>521</v>
      </c>
      <c r="G777" s="7" t="s">
        <v>657</v>
      </c>
      <c r="H777" s="7" t="s">
        <v>658</v>
      </c>
      <c r="I777" s="8" t="s">
        <v>659</v>
      </c>
    </row>
    <row r="778" spans="1:12" hidden="1" x14ac:dyDescent="0.35">
      <c r="A778" s="6">
        <v>142046</v>
      </c>
      <c r="B778" s="7" t="str">
        <f>"3328050608990006"</f>
        <v>3328050608990006</v>
      </c>
      <c r="C778" s="7" t="s">
        <v>1823</v>
      </c>
      <c r="D778" s="7" t="s">
        <v>10</v>
      </c>
      <c r="E778" s="7" t="s">
        <v>11</v>
      </c>
      <c r="F778" s="7" t="s">
        <v>521</v>
      </c>
      <c r="G778" s="7" t="s">
        <v>1824</v>
      </c>
      <c r="H778" s="7" t="s">
        <v>1825</v>
      </c>
      <c r="I778" s="8" t="s">
        <v>1826</v>
      </c>
    </row>
    <row r="779" spans="1:12" hidden="1" x14ac:dyDescent="0.35">
      <c r="A779" s="6">
        <v>841215</v>
      </c>
      <c r="B779" s="7" t="str">
        <f>"3328050801730002"</f>
        <v>3328050801730002</v>
      </c>
      <c r="C779" s="7" t="s">
        <v>1827</v>
      </c>
      <c r="D779" s="7" t="s">
        <v>10</v>
      </c>
      <c r="E779" s="7" t="s">
        <v>11</v>
      </c>
      <c r="F779" s="7" t="s">
        <v>91</v>
      </c>
      <c r="G779" s="7" t="s">
        <v>159</v>
      </c>
      <c r="H779" s="7" t="s">
        <v>1828</v>
      </c>
      <c r="I779" s="8" t="s">
        <v>1829</v>
      </c>
    </row>
    <row r="780" spans="1:12" hidden="1" x14ac:dyDescent="0.35">
      <c r="A780" s="13">
        <v>1351817</v>
      </c>
      <c r="B780" s="14" t="str">
        <f>"3328050812950001"</f>
        <v>3328050812950001</v>
      </c>
      <c r="C780" s="14" t="s">
        <v>1830</v>
      </c>
      <c r="D780" s="14" t="s">
        <v>10</v>
      </c>
      <c r="E780" s="14" t="s">
        <v>11</v>
      </c>
      <c r="F780" s="14" t="s">
        <v>18</v>
      </c>
      <c r="G780" s="14" t="s">
        <v>19</v>
      </c>
      <c r="H780" s="14" t="s">
        <v>1720</v>
      </c>
      <c r="I780" s="15" t="s">
        <v>789</v>
      </c>
      <c r="J780" s="16" t="str">
        <f>VLOOKUP(B780,baru!$B$2:$I$2271,4,FALSE)</f>
        <v>Reguler</v>
      </c>
      <c r="K780" s="16" t="str">
        <f>VLOOKUP(B780,baru!$B$2:$I$2271,5,FALSE)</f>
        <v>JAWA TENGAH</v>
      </c>
      <c r="L780" s="16" t="str">
        <f>VLOOKUP(B780,baru!$B$2:$I$2271,6,FALSE)</f>
        <v>BREBES</v>
      </c>
    </row>
    <row r="781" spans="1:12" hidden="1" x14ac:dyDescent="0.35">
      <c r="A781" s="6">
        <v>101147</v>
      </c>
      <c r="B781" s="7" t="str">
        <f>"3328050903000004"</f>
        <v>3328050903000004</v>
      </c>
      <c r="C781" s="7" t="s">
        <v>1832</v>
      </c>
      <c r="D781" s="7" t="s">
        <v>10</v>
      </c>
      <c r="E781" s="7" t="s">
        <v>11</v>
      </c>
      <c r="F781" s="7" t="s">
        <v>44</v>
      </c>
      <c r="G781" s="7" t="s">
        <v>1833</v>
      </c>
      <c r="H781" s="7" t="s">
        <v>1834</v>
      </c>
      <c r="I781" s="8" t="s">
        <v>1835</v>
      </c>
    </row>
    <row r="782" spans="1:12" hidden="1" x14ac:dyDescent="0.35">
      <c r="A782" s="6">
        <v>72257</v>
      </c>
      <c r="B782" s="7" t="str">
        <f>"3328050904040003"</f>
        <v>3328050904040003</v>
      </c>
      <c r="C782" s="7" t="s">
        <v>1836</v>
      </c>
      <c r="D782" s="7" t="s">
        <v>10</v>
      </c>
      <c r="E782" s="7" t="s">
        <v>11</v>
      </c>
      <c r="F782" s="7" t="s">
        <v>44</v>
      </c>
      <c r="G782" s="7" t="s">
        <v>45</v>
      </c>
      <c r="H782" s="7" t="s">
        <v>1837</v>
      </c>
      <c r="I782" s="8" t="s">
        <v>1838</v>
      </c>
    </row>
    <row r="783" spans="1:12" hidden="1" x14ac:dyDescent="0.35">
      <c r="A783" s="13">
        <v>1352475</v>
      </c>
      <c r="B783" s="14" t="str">
        <f>"3328050907890002"</f>
        <v>3328050907890002</v>
      </c>
      <c r="C783" s="14" t="s">
        <v>1839</v>
      </c>
      <c r="D783" s="14" t="s">
        <v>10</v>
      </c>
      <c r="E783" s="14" t="s">
        <v>11</v>
      </c>
      <c r="F783" s="14" t="s">
        <v>18</v>
      </c>
      <c r="G783" s="14" t="s">
        <v>19</v>
      </c>
      <c r="H783" s="14" t="s">
        <v>1720</v>
      </c>
      <c r="I783" s="15" t="s">
        <v>789</v>
      </c>
      <c r="J783" s="16" t="str">
        <f>VLOOKUP(B783,baru!$B$2:$I$2271,4,FALSE)</f>
        <v>Reguler</v>
      </c>
      <c r="K783" s="16" t="str">
        <f>VLOOKUP(B783,baru!$B$2:$I$2271,5,FALSE)</f>
        <v>DKI JAKARTA</v>
      </c>
      <c r="L783" s="16" t="str">
        <f>VLOOKUP(B783,baru!$B$2:$I$2271,6,FALSE)</f>
        <v>KOTA JAKARTA SELATAN</v>
      </c>
    </row>
    <row r="784" spans="1:12" hidden="1" x14ac:dyDescent="0.35">
      <c r="A784" s="13">
        <v>2127883</v>
      </c>
      <c r="B784" s="14" t="str">
        <f>"3328051007780001"</f>
        <v>3328051007780001</v>
      </c>
      <c r="C784" s="14" t="s">
        <v>1842</v>
      </c>
      <c r="D784" s="14" t="s">
        <v>10</v>
      </c>
      <c r="E784" s="14" t="s">
        <v>11</v>
      </c>
      <c r="F784" s="14" t="s">
        <v>18</v>
      </c>
      <c r="G784" s="14" t="s">
        <v>19</v>
      </c>
      <c r="H784" s="14" t="s">
        <v>1720</v>
      </c>
      <c r="I784" s="15" t="s">
        <v>1731</v>
      </c>
      <c r="J784" s="16" t="str">
        <f>VLOOKUP(B784,baru!$B$2:$I$2271,4,FALSE)</f>
        <v>Reguler</v>
      </c>
      <c r="K784" s="16" t="str">
        <f>VLOOKUP(B784,baru!$B$2:$I$2271,5,FALSE)</f>
        <v>JAWA TENGAH</v>
      </c>
      <c r="L784" s="16" t="str">
        <f>VLOOKUP(B784,baru!$B$2:$I$2271,6,FALSE)</f>
        <v>CILACAP</v>
      </c>
    </row>
    <row r="785" spans="1:12" hidden="1" x14ac:dyDescent="0.35">
      <c r="A785" s="6">
        <v>448740</v>
      </c>
      <c r="B785" s="7" t="str">
        <f>"3328051010820001"</f>
        <v>3328051010820001</v>
      </c>
      <c r="C785" s="7" t="s">
        <v>1844</v>
      </c>
      <c r="D785" s="7" t="s">
        <v>10</v>
      </c>
      <c r="E785" s="7" t="s">
        <v>11</v>
      </c>
      <c r="F785" s="7" t="s">
        <v>18</v>
      </c>
      <c r="G785" s="7" t="s">
        <v>264</v>
      </c>
      <c r="H785" s="7" t="s">
        <v>477</v>
      </c>
      <c r="I785" s="8" t="s">
        <v>1845</v>
      </c>
    </row>
    <row r="786" spans="1:12" hidden="1" x14ac:dyDescent="0.35">
      <c r="A786" s="6">
        <v>1784025</v>
      </c>
      <c r="B786" s="7" t="str">
        <f>"3328051103730005"</f>
        <v>3328051103730005</v>
      </c>
      <c r="C786" s="7" t="s">
        <v>1847</v>
      </c>
      <c r="D786" s="7" t="s">
        <v>10</v>
      </c>
      <c r="E786" s="7" t="s">
        <v>11</v>
      </c>
      <c r="F786" s="7" t="s">
        <v>50</v>
      </c>
      <c r="G786" s="7" t="s">
        <v>86</v>
      </c>
      <c r="H786" s="7" t="s">
        <v>445</v>
      </c>
      <c r="I786" s="8" t="s">
        <v>1848</v>
      </c>
    </row>
    <row r="787" spans="1:12" hidden="1" x14ac:dyDescent="0.35">
      <c r="A787" s="13">
        <v>1549014</v>
      </c>
      <c r="B787" s="14" t="str">
        <f>"3328051103900001"</f>
        <v>3328051103900001</v>
      </c>
      <c r="C787" s="14" t="s">
        <v>1849</v>
      </c>
      <c r="D787" s="14" t="s">
        <v>10</v>
      </c>
      <c r="E787" s="14" t="s">
        <v>11</v>
      </c>
      <c r="F787" s="14" t="s">
        <v>18</v>
      </c>
      <c r="G787" s="14" t="s">
        <v>19</v>
      </c>
      <c r="H787" s="14" t="s">
        <v>1720</v>
      </c>
      <c r="I787" s="15" t="s">
        <v>1771</v>
      </c>
      <c r="J787" s="16" t="str">
        <f>VLOOKUP(B787,baru!$B$2:$I$2271,4,FALSE)</f>
        <v>Reguler</v>
      </c>
      <c r="K787" s="16" t="str">
        <f>VLOOKUP(B787,baru!$B$2:$I$2271,5,FALSE)</f>
        <v>JAWA TENGAH</v>
      </c>
      <c r="L787" s="16" t="str">
        <f>VLOOKUP(B787,baru!$B$2:$I$2271,6,FALSE)</f>
        <v>BREBES</v>
      </c>
    </row>
    <row r="788" spans="1:12" hidden="1" x14ac:dyDescent="0.35">
      <c r="A788" s="6">
        <v>1277714</v>
      </c>
      <c r="B788" s="7" t="str">
        <f>"3328051111860001"</f>
        <v>3328051111860001</v>
      </c>
      <c r="C788" s="7" t="s">
        <v>1851</v>
      </c>
      <c r="D788" s="7" t="s">
        <v>10</v>
      </c>
      <c r="E788" s="7" t="s">
        <v>11</v>
      </c>
      <c r="F788" s="7" t="s">
        <v>67</v>
      </c>
      <c r="G788" s="7" t="s">
        <v>791</v>
      </c>
      <c r="H788" s="7" t="s">
        <v>1852</v>
      </c>
      <c r="I788" s="8" t="s">
        <v>1853</v>
      </c>
    </row>
    <row r="789" spans="1:12" hidden="1" x14ac:dyDescent="0.35">
      <c r="A789" s="6">
        <v>666636</v>
      </c>
      <c r="B789" s="7" t="str">
        <f>"3328051201800003"</f>
        <v>3328051201800003</v>
      </c>
      <c r="C789" s="7" t="s">
        <v>1854</v>
      </c>
      <c r="D789" s="7" t="s">
        <v>10</v>
      </c>
      <c r="E789" s="7" t="s">
        <v>11</v>
      </c>
      <c r="F789" s="7" t="s">
        <v>303</v>
      </c>
      <c r="G789" s="7" t="s">
        <v>1855</v>
      </c>
      <c r="H789" s="7" t="s">
        <v>1856</v>
      </c>
      <c r="I789" s="8" t="s">
        <v>1856</v>
      </c>
    </row>
    <row r="790" spans="1:12" hidden="1" x14ac:dyDescent="0.35">
      <c r="A790" s="13">
        <v>2142556</v>
      </c>
      <c r="B790" s="14" t="str">
        <f>"3328051208900001"</f>
        <v>3328051208900001</v>
      </c>
      <c r="C790" s="14" t="s">
        <v>1858</v>
      </c>
      <c r="D790" s="14" t="s">
        <v>10</v>
      </c>
      <c r="E790" s="14" t="s">
        <v>11</v>
      </c>
      <c r="F790" s="14" t="s">
        <v>18</v>
      </c>
      <c r="G790" s="14" t="s">
        <v>19</v>
      </c>
      <c r="H790" s="14" t="s">
        <v>1720</v>
      </c>
      <c r="I790" s="15" t="s">
        <v>1737</v>
      </c>
      <c r="J790" s="16" t="str">
        <f>VLOOKUP(B790,baru!$B$2:$I$2271,4,FALSE)</f>
        <v>Reguler</v>
      </c>
      <c r="K790" s="16" t="str">
        <f>VLOOKUP(B790,baru!$B$2:$I$2271,5,FALSE)</f>
        <v>JAWA TENGAH</v>
      </c>
      <c r="L790" s="16" t="str">
        <f>VLOOKUP(B790,baru!$B$2:$I$2271,6,FALSE)</f>
        <v>PEMALANG</v>
      </c>
    </row>
    <row r="791" spans="1:12" hidden="1" x14ac:dyDescent="0.35">
      <c r="A791" s="6">
        <v>334741</v>
      </c>
      <c r="B791" s="7" t="str">
        <f>"3328051210910002"</f>
        <v>3328051210910002</v>
      </c>
      <c r="C791" s="7" t="s">
        <v>1862</v>
      </c>
      <c r="D791" s="7" t="s">
        <v>10</v>
      </c>
      <c r="E791" s="7" t="s">
        <v>11</v>
      </c>
      <c r="F791" s="7" t="s">
        <v>91</v>
      </c>
      <c r="G791" s="7" t="s">
        <v>137</v>
      </c>
      <c r="H791" s="7" t="s">
        <v>1863</v>
      </c>
      <c r="I791" s="8" t="s">
        <v>1864</v>
      </c>
    </row>
    <row r="792" spans="1:12" hidden="1" x14ac:dyDescent="0.35">
      <c r="A792" s="6">
        <v>1366571</v>
      </c>
      <c r="B792" s="7" t="str">
        <f>"3328051210940001"</f>
        <v>3328051210940001</v>
      </c>
      <c r="C792" s="7" t="s">
        <v>1866</v>
      </c>
      <c r="D792" s="7" t="s">
        <v>10</v>
      </c>
      <c r="E792" s="7" t="s">
        <v>11</v>
      </c>
      <c r="F792" s="7" t="s">
        <v>18</v>
      </c>
      <c r="G792" s="7" t="s">
        <v>19</v>
      </c>
      <c r="H792" s="7" t="s">
        <v>1720</v>
      </c>
      <c r="I792" s="8" t="s">
        <v>1740</v>
      </c>
      <c r="J792" t="e">
        <f>VLOOKUP(B792,baru!$B$2:$I$2271,4,FALSE)</f>
        <v>#N/A</v>
      </c>
      <c r="K792" t="e">
        <f>VLOOKUP(B792,baru!$B$2:$I$2271,5,FALSE)</f>
        <v>#N/A</v>
      </c>
      <c r="L792" t="e">
        <f>VLOOKUP(B792,baru!$B$2:$I$2271,6,FALSE)</f>
        <v>#N/A</v>
      </c>
    </row>
    <row r="793" spans="1:12" hidden="1" x14ac:dyDescent="0.35">
      <c r="A793" s="6">
        <v>474870</v>
      </c>
      <c r="B793" s="7" t="str">
        <f>"3328051210940001"</f>
        <v>3328051210940001</v>
      </c>
      <c r="C793" s="7" t="s">
        <v>1866</v>
      </c>
      <c r="D793" s="7" t="s">
        <v>10</v>
      </c>
      <c r="E793" s="7" t="s">
        <v>57</v>
      </c>
      <c r="F793" s="7" t="s">
        <v>727</v>
      </c>
      <c r="G793" s="7" t="s">
        <v>728</v>
      </c>
      <c r="H793" s="7" t="s">
        <v>1867</v>
      </c>
      <c r="I793" s="8" t="s">
        <v>1867</v>
      </c>
    </row>
    <row r="794" spans="1:12" hidden="1" x14ac:dyDescent="0.35">
      <c r="A794" s="6">
        <v>1316249</v>
      </c>
      <c r="B794" s="7" t="str">
        <f>"3328051211920004"</f>
        <v>3328051211920004</v>
      </c>
      <c r="C794" s="7" t="s">
        <v>1868</v>
      </c>
      <c r="D794" s="7" t="s">
        <v>10</v>
      </c>
      <c r="E794" s="7" t="s">
        <v>11</v>
      </c>
      <c r="F794" s="7" t="s">
        <v>18</v>
      </c>
      <c r="G794" s="7" t="s">
        <v>264</v>
      </c>
      <c r="H794" s="7" t="s">
        <v>265</v>
      </c>
      <c r="I794" s="8" t="s">
        <v>1869</v>
      </c>
    </row>
    <row r="795" spans="1:12" hidden="1" x14ac:dyDescent="0.35">
      <c r="A795" s="13">
        <v>2138771</v>
      </c>
      <c r="B795" s="14" t="str">
        <f>"3328051212890006"</f>
        <v>3328051212890006</v>
      </c>
      <c r="C795" s="14" t="s">
        <v>1871</v>
      </c>
      <c r="D795" s="14" t="s">
        <v>10</v>
      </c>
      <c r="E795" s="14" t="s">
        <v>11</v>
      </c>
      <c r="F795" s="14" t="s">
        <v>18</v>
      </c>
      <c r="G795" s="14" t="s">
        <v>19</v>
      </c>
      <c r="H795" s="14" t="s">
        <v>1720</v>
      </c>
      <c r="I795" s="15" t="s">
        <v>1723</v>
      </c>
      <c r="J795" s="16" t="str">
        <f>VLOOKUP(B795,baru!$B$2:$I$2271,4,FALSE)</f>
        <v>Reguler</v>
      </c>
      <c r="K795" s="16" t="str">
        <f>VLOOKUP(B795,baru!$B$2:$I$2271,5,FALSE)</f>
        <v>JAWA TENGAH</v>
      </c>
      <c r="L795" s="16" t="str">
        <f>VLOOKUP(B795,baru!$B$2:$I$2271,6,FALSE)</f>
        <v>BREBES</v>
      </c>
    </row>
    <row r="796" spans="1:12" hidden="1" x14ac:dyDescent="0.35">
      <c r="A796" s="6">
        <v>943008</v>
      </c>
      <c r="B796" s="7" t="str">
        <f>"3328051301030003"</f>
        <v>3328051301030003</v>
      </c>
      <c r="C796" s="7" t="s">
        <v>1872</v>
      </c>
      <c r="D796" s="7" t="s">
        <v>10</v>
      </c>
      <c r="E796" s="7" t="s">
        <v>11</v>
      </c>
      <c r="F796" s="7" t="s">
        <v>91</v>
      </c>
      <c r="G796" s="7" t="s">
        <v>159</v>
      </c>
      <c r="H796" s="7" t="s">
        <v>1332</v>
      </c>
      <c r="I796" s="8" t="s">
        <v>1333</v>
      </c>
    </row>
    <row r="797" spans="1:12" hidden="1" x14ac:dyDescent="0.35">
      <c r="A797" s="6">
        <v>2143863</v>
      </c>
      <c r="B797" s="7" t="str">
        <f>"3328051305040004"</f>
        <v>3328051305040004</v>
      </c>
      <c r="C797" s="7" t="s">
        <v>1873</v>
      </c>
      <c r="D797" s="7" t="s">
        <v>10</v>
      </c>
      <c r="E797" s="7" t="s">
        <v>11</v>
      </c>
      <c r="F797" s="7" t="s">
        <v>18</v>
      </c>
      <c r="G797" s="7" t="s">
        <v>19</v>
      </c>
      <c r="H797" s="7" t="s">
        <v>1720</v>
      </c>
      <c r="I797" s="8" t="s">
        <v>1857</v>
      </c>
      <c r="J797" t="e">
        <f>VLOOKUP(B797,baru!$B$2:$I$2271,4,FALSE)</f>
        <v>#N/A</v>
      </c>
      <c r="K797" t="e">
        <f>VLOOKUP(B797,baru!$B$2:$I$2271,5,FALSE)</f>
        <v>#N/A</v>
      </c>
      <c r="L797" t="e">
        <f>VLOOKUP(B797,baru!$B$2:$I$2271,6,FALSE)</f>
        <v>#N/A</v>
      </c>
    </row>
    <row r="798" spans="1:12" hidden="1" x14ac:dyDescent="0.35">
      <c r="A798" s="6">
        <v>761473</v>
      </c>
      <c r="B798" s="7" t="str">
        <f>"3328051305040004"</f>
        <v>3328051305040004</v>
      </c>
      <c r="C798" s="7" t="s">
        <v>1874</v>
      </c>
      <c r="D798" s="7" t="s">
        <v>10</v>
      </c>
      <c r="E798" s="7" t="s">
        <v>57</v>
      </c>
      <c r="F798" s="7" t="s">
        <v>379</v>
      </c>
      <c r="G798" s="7" t="s">
        <v>711</v>
      </c>
      <c r="H798" s="7" t="s">
        <v>1875</v>
      </c>
      <c r="I798" s="8" t="s">
        <v>1876</v>
      </c>
    </row>
    <row r="799" spans="1:12" hidden="1" x14ac:dyDescent="0.35">
      <c r="A799" s="6">
        <v>1324764</v>
      </c>
      <c r="B799" s="7" t="str">
        <f>"3328051503910007"</f>
        <v>3328051503910007</v>
      </c>
      <c r="C799" s="7" t="s">
        <v>1877</v>
      </c>
      <c r="D799" s="7" t="s">
        <v>10</v>
      </c>
      <c r="E799" s="7" t="s">
        <v>11</v>
      </c>
      <c r="F799" s="7" t="s">
        <v>18</v>
      </c>
      <c r="G799" s="7" t="s">
        <v>264</v>
      </c>
      <c r="H799" s="7" t="s">
        <v>265</v>
      </c>
      <c r="I799" s="8" t="s">
        <v>1878</v>
      </c>
    </row>
    <row r="800" spans="1:12" hidden="1" x14ac:dyDescent="0.35">
      <c r="A800" s="13">
        <v>1613239</v>
      </c>
      <c r="B800" s="14" t="str">
        <f>"3328051507820007"</f>
        <v>3328051507820007</v>
      </c>
      <c r="C800" s="14" t="s">
        <v>1879</v>
      </c>
      <c r="D800" s="14" t="s">
        <v>10</v>
      </c>
      <c r="E800" s="14" t="s">
        <v>11</v>
      </c>
      <c r="F800" s="14" t="s">
        <v>18</v>
      </c>
      <c r="G800" s="14" t="s">
        <v>19</v>
      </c>
      <c r="H800" s="14" t="s">
        <v>1720</v>
      </c>
      <c r="I800" s="15" t="s">
        <v>1721</v>
      </c>
      <c r="J800" s="16" t="str">
        <f>VLOOKUP(B800,baru!$B$2:$I$2271,4,FALSE)</f>
        <v>Reguler</v>
      </c>
      <c r="K800" s="16" t="str">
        <f>VLOOKUP(B800,baru!$B$2:$I$2271,5,FALSE)</f>
        <v>JAWA TENGAH</v>
      </c>
      <c r="L800" s="16" t="str">
        <f>VLOOKUP(B800,baru!$B$2:$I$2271,6,FALSE)</f>
        <v>PATI</v>
      </c>
    </row>
    <row r="801" spans="1:12" hidden="1" x14ac:dyDescent="0.35">
      <c r="A801" s="13">
        <v>1361521</v>
      </c>
      <c r="B801" s="14" t="str">
        <f>"3328051512970003"</f>
        <v>3328051512970003</v>
      </c>
      <c r="C801" s="14" t="s">
        <v>1882</v>
      </c>
      <c r="D801" s="14" t="s">
        <v>10</v>
      </c>
      <c r="E801" s="14" t="s">
        <v>11</v>
      </c>
      <c r="F801" s="14" t="s">
        <v>18</v>
      </c>
      <c r="G801" s="14" t="s">
        <v>19</v>
      </c>
      <c r="H801" s="14" t="s">
        <v>1720</v>
      </c>
      <c r="I801" s="15" t="s">
        <v>1740</v>
      </c>
      <c r="J801" s="16" t="str">
        <f>VLOOKUP(B801,baru!$B$2:$I$2271,4,FALSE)</f>
        <v>Reguler</v>
      </c>
      <c r="K801" s="16" t="str">
        <f>VLOOKUP(B801,baru!$B$2:$I$2271,5,FALSE)</f>
        <v>JAWA TENGAH</v>
      </c>
      <c r="L801" s="16" t="str">
        <f>VLOOKUP(B801,baru!$B$2:$I$2271,6,FALSE)</f>
        <v>BREBES</v>
      </c>
    </row>
    <row r="802" spans="1:12" x14ac:dyDescent="0.35">
      <c r="A802" s="13">
        <v>1366942</v>
      </c>
      <c r="B802" s="14" t="str">
        <f>"3328051512970004"</f>
        <v>3328051512970004</v>
      </c>
      <c r="C802" s="14" t="s">
        <v>1887</v>
      </c>
      <c r="D802" s="14" t="s">
        <v>189</v>
      </c>
      <c r="E802" s="14" t="s">
        <v>11</v>
      </c>
      <c r="F802" s="14" t="s">
        <v>18</v>
      </c>
      <c r="G802" s="14" t="s">
        <v>19</v>
      </c>
      <c r="H802" s="14" t="s">
        <v>1720</v>
      </c>
      <c r="I802" s="15" t="s">
        <v>1740</v>
      </c>
      <c r="J802" s="16" t="str">
        <f>VLOOKUP(B802,baru!$B$2:$I$2271,4,FALSE)</f>
        <v>Reguler</v>
      </c>
      <c r="K802" s="16" t="str">
        <f>VLOOKUP(B802,baru!$B$2:$I$2271,5,FALSE)</f>
        <v>JAWA TENGAH</v>
      </c>
      <c r="L802" s="16" t="str">
        <f>VLOOKUP(B802,baru!$B$2:$I$2271,6,FALSE)</f>
        <v>BANYUMAS</v>
      </c>
    </row>
    <row r="803" spans="1:12" hidden="1" x14ac:dyDescent="0.35">
      <c r="A803" s="6">
        <v>1348729</v>
      </c>
      <c r="B803" s="7" t="str">
        <f>"3328051701000002"</f>
        <v>3328051701000002</v>
      </c>
      <c r="C803" s="7" t="s">
        <v>1888</v>
      </c>
      <c r="D803" s="7" t="s">
        <v>10</v>
      </c>
      <c r="E803" s="7" t="s">
        <v>11</v>
      </c>
      <c r="F803" s="7" t="s">
        <v>18</v>
      </c>
      <c r="G803" s="7" t="s">
        <v>19</v>
      </c>
      <c r="H803" s="7" t="s">
        <v>1720</v>
      </c>
      <c r="I803" s="8" t="s">
        <v>1381</v>
      </c>
      <c r="J803" t="e">
        <f>VLOOKUP(B803,baru!$B$2:$I$2271,4,FALSE)</f>
        <v>#N/A</v>
      </c>
      <c r="K803" t="e">
        <f>VLOOKUP(B803,baru!$B$2:$I$2271,5,FALSE)</f>
        <v>#N/A</v>
      </c>
      <c r="L803" t="e">
        <f>VLOOKUP(B803,baru!$B$2:$I$2271,6,FALSE)</f>
        <v>#N/A</v>
      </c>
    </row>
    <row r="804" spans="1:12" hidden="1" x14ac:dyDescent="0.35">
      <c r="A804" s="6">
        <v>1350405</v>
      </c>
      <c r="B804" s="7" t="str">
        <f>"3328051701000002"</f>
        <v>3328051701000002</v>
      </c>
      <c r="C804" s="7" t="s">
        <v>1888</v>
      </c>
      <c r="D804" s="7" t="s">
        <v>10</v>
      </c>
      <c r="E804" s="7" t="s">
        <v>57</v>
      </c>
      <c r="F804" s="7" t="s">
        <v>303</v>
      </c>
      <c r="G804" s="7" t="s">
        <v>608</v>
      </c>
      <c r="H804" s="7" t="s">
        <v>609</v>
      </c>
      <c r="I804" s="8" t="s">
        <v>610</v>
      </c>
    </row>
    <row r="805" spans="1:12" hidden="1" x14ac:dyDescent="0.35">
      <c r="A805" s="6">
        <v>2383649</v>
      </c>
      <c r="B805" s="7" t="str">
        <f>"3328051702880004"</f>
        <v>3328051702880004</v>
      </c>
      <c r="C805" s="7" t="s">
        <v>1889</v>
      </c>
      <c r="D805" s="7" t="s">
        <v>10</v>
      </c>
      <c r="E805" s="7" t="s">
        <v>11</v>
      </c>
      <c r="F805" s="7" t="s">
        <v>50</v>
      </c>
      <c r="G805" s="7" t="s">
        <v>58</v>
      </c>
      <c r="H805" s="7" t="s">
        <v>417</v>
      </c>
      <c r="I805" s="8" t="s">
        <v>59</v>
      </c>
    </row>
    <row r="806" spans="1:12" hidden="1" x14ac:dyDescent="0.35">
      <c r="A806" s="13">
        <v>2142760</v>
      </c>
      <c r="B806" s="14" t="str">
        <f>"3328051707870002"</f>
        <v>3328051707870002</v>
      </c>
      <c r="C806" s="14" t="s">
        <v>1890</v>
      </c>
      <c r="D806" s="14" t="s">
        <v>10</v>
      </c>
      <c r="E806" s="14" t="s">
        <v>11</v>
      </c>
      <c r="F806" s="14" t="s">
        <v>18</v>
      </c>
      <c r="G806" s="14" t="s">
        <v>19</v>
      </c>
      <c r="H806" s="14" t="s">
        <v>1720</v>
      </c>
      <c r="I806" s="15" t="s">
        <v>1737</v>
      </c>
      <c r="J806" s="16" t="str">
        <f>VLOOKUP(B806,baru!$B$2:$I$2271,4,FALSE)</f>
        <v>Reguler</v>
      </c>
      <c r="K806" s="16" t="str">
        <f>VLOOKUP(B806,baru!$B$2:$I$2271,5,FALSE)</f>
        <v>JAWA TENGAH</v>
      </c>
      <c r="L806" s="16" t="str">
        <f>VLOOKUP(B806,baru!$B$2:$I$2271,6,FALSE)</f>
        <v>BREBES</v>
      </c>
    </row>
    <row r="807" spans="1:12" hidden="1" x14ac:dyDescent="0.35">
      <c r="A807" s="6">
        <v>1451364</v>
      </c>
      <c r="B807" s="7" t="str">
        <f>"3328051904760003"</f>
        <v>3328051904760003</v>
      </c>
      <c r="C807" s="7" t="s">
        <v>1892</v>
      </c>
      <c r="D807" s="7" t="s">
        <v>10</v>
      </c>
      <c r="E807" s="7" t="s">
        <v>11</v>
      </c>
      <c r="F807" s="7" t="s">
        <v>18</v>
      </c>
      <c r="G807" s="7" t="s">
        <v>264</v>
      </c>
      <c r="H807" s="7" t="s">
        <v>273</v>
      </c>
      <c r="I807" s="8" t="s">
        <v>875</v>
      </c>
    </row>
    <row r="808" spans="1:12" hidden="1" x14ac:dyDescent="0.35">
      <c r="A808" s="6">
        <v>690209</v>
      </c>
      <c r="B808" s="7" t="str">
        <f>"3328051904840004"</f>
        <v>3328051904840004</v>
      </c>
      <c r="C808" s="7" t="s">
        <v>1894</v>
      </c>
      <c r="D808" s="7" t="s">
        <v>10</v>
      </c>
      <c r="E808" s="7" t="s">
        <v>11</v>
      </c>
      <c r="F808" s="7" t="s">
        <v>50</v>
      </c>
      <c r="G808" s="7" t="s">
        <v>280</v>
      </c>
      <c r="H808" s="7" t="s">
        <v>402</v>
      </c>
      <c r="I808" s="8" t="s">
        <v>1249</v>
      </c>
    </row>
    <row r="809" spans="1:12" hidden="1" x14ac:dyDescent="0.35">
      <c r="A809" s="6">
        <v>1803043</v>
      </c>
      <c r="B809" s="7" t="str">
        <f>"3328051905630001"</f>
        <v>3328051905630001</v>
      </c>
      <c r="C809" s="7" t="s">
        <v>1896</v>
      </c>
      <c r="D809" s="7" t="s">
        <v>10</v>
      </c>
      <c r="E809" s="7" t="s">
        <v>11</v>
      </c>
      <c r="F809" s="7" t="s">
        <v>50</v>
      </c>
      <c r="G809" s="7" t="s">
        <v>58</v>
      </c>
      <c r="H809" s="7" t="s">
        <v>97</v>
      </c>
      <c r="I809" s="8" t="s">
        <v>97</v>
      </c>
    </row>
    <row r="810" spans="1:12" x14ac:dyDescent="0.35">
      <c r="A810" s="13">
        <v>1342727</v>
      </c>
      <c r="B810" s="14" t="str">
        <f>"3328052005880004"</f>
        <v>3328052005880004</v>
      </c>
      <c r="C810" s="14" t="s">
        <v>1901</v>
      </c>
      <c r="D810" s="14" t="s">
        <v>189</v>
      </c>
      <c r="E810" s="14" t="s">
        <v>11</v>
      </c>
      <c r="F810" s="14" t="s">
        <v>18</v>
      </c>
      <c r="G810" s="14" t="s">
        <v>19</v>
      </c>
      <c r="H810" s="14" t="s">
        <v>1720</v>
      </c>
      <c r="I810" s="15" t="s">
        <v>1381</v>
      </c>
      <c r="J810" s="16" t="str">
        <f>VLOOKUP(B810,baru!$B$2:$I$2271,4,FALSE)</f>
        <v>Reguler</v>
      </c>
      <c r="K810" s="16" t="str">
        <f>VLOOKUP(B810,baru!$B$2:$I$2271,5,FALSE)</f>
        <v>JAWA TENGAH</v>
      </c>
      <c r="L810" s="16" t="str">
        <f>VLOOKUP(B810,baru!$B$2:$I$2271,6,FALSE)</f>
        <v>MAGELANG</v>
      </c>
    </row>
    <row r="811" spans="1:12" hidden="1" x14ac:dyDescent="0.35">
      <c r="A811" s="13">
        <v>1546962</v>
      </c>
      <c r="B811" s="14" t="str">
        <f>"3328052009060001"</f>
        <v>3328052009060001</v>
      </c>
      <c r="C811" s="14" t="s">
        <v>1902</v>
      </c>
      <c r="D811" s="14" t="s">
        <v>10</v>
      </c>
      <c r="E811" s="14" t="s">
        <v>11</v>
      </c>
      <c r="F811" s="14" t="s">
        <v>18</v>
      </c>
      <c r="G811" s="14" t="s">
        <v>19</v>
      </c>
      <c r="H811" s="14" t="s">
        <v>1720</v>
      </c>
      <c r="I811" s="15" t="s">
        <v>1771</v>
      </c>
      <c r="J811" s="16" t="str">
        <f>VLOOKUP(B811,baru!$B$2:$I$2271,4,FALSE)</f>
        <v>Reguler</v>
      </c>
      <c r="K811" s="16" t="str">
        <f>VLOOKUP(B811,baru!$B$2:$I$2271,5,FALSE)</f>
        <v>JAWA TENGAH</v>
      </c>
      <c r="L811" s="16" t="str">
        <f>VLOOKUP(B811,baru!$B$2:$I$2271,6,FALSE)</f>
        <v>BREBES</v>
      </c>
    </row>
    <row r="812" spans="1:12" hidden="1" x14ac:dyDescent="0.35">
      <c r="A812" s="13">
        <v>2142151</v>
      </c>
      <c r="B812" s="14" t="str">
        <f>"3328052201940006"</f>
        <v>3328052201940006</v>
      </c>
      <c r="C812" s="14" t="s">
        <v>1904</v>
      </c>
      <c r="D812" s="14" t="s">
        <v>10</v>
      </c>
      <c r="E812" s="14" t="s">
        <v>11</v>
      </c>
      <c r="F812" s="14" t="s">
        <v>18</v>
      </c>
      <c r="G812" s="14" t="s">
        <v>19</v>
      </c>
      <c r="H812" s="14" t="s">
        <v>1720</v>
      </c>
      <c r="I812" s="15" t="s">
        <v>1737</v>
      </c>
      <c r="J812" s="16" t="str">
        <f>VLOOKUP(B812,baru!$B$2:$I$2271,4,FALSE)</f>
        <v>Reguler</v>
      </c>
      <c r="K812" s="16" t="str">
        <f>VLOOKUP(B812,baru!$B$2:$I$2271,5,FALSE)</f>
        <v>JAWA TENGAH</v>
      </c>
      <c r="L812" s="16" t="str">
        <f>VLOOKUP(B812,baru!$B$2:$I$2271,6,FALSE)</f>
        <v>BREBES</v>
      </c>
    </row>
    <row r="813" spans="1:12" hidden="1" x14ac:dyDescent="0.35">
      <c r="A813" s="6">
        <v>1214748</v>
      </c>
      <c r="B813" s="7" t="str">
        <f>"3328052207820001"</f>
        <v>3328052207820001</v>
      </c>
      <c r="C813" s="7" t="s">
        <v>1909</v>
      </c>
      <c r="D813" s="7" t="s">
        <v>10</v>
      </c>
      <c r="E813" s="7" t="s">
        <v>11</v>
      </c>
      <c r="F813" s="7" t="s">
        <v>18</v>
      </c>
      <c r="G813" s="7" t="s">
        <v>264</v>
      </c>
      <c r="H813" s="7" t="s">
        <v>265</v>
      </c>
      <c r="I813" s="8" t="s">
        <v>1910</v>
      </c>
    </row>
    <row r="814" spans="1:12" hidden="1" x14ac:dyDescent="0.35">
      <c r="A814" s="13">
        <v>2141905</v>
      </c>
      <c r="B814" s="14" t="str">
        <f>"3328052308970002"</f>
        <v>3328052308970002</v>
      </c>
      <c r="C814" s="14" t="s">
        <v>1911</v>
      </c>
      <c r="D814" s="14" t="s">
        <v>10</v>
      </c>
      <c r="E814" s="14" t="s">
        <v>11</v>
      </c>
      <c r="F814" s="14" t="s">
        <v>18</v>
      </c>
      <c r="G814" s="14" t="s">
        <v>19</v>
      </c>
      <c r="H814" s="14" t="s">
        <v>1720</v>
      </c>
      <c r="I814" s="15" t="s">
        <v>1737</v>
      </c>
      <c r="J814" s="16" t="str">
        <f>VLOOKUP(B814,baru!$B$2:$I$2271,4,FALSE)</f>
        <v>Reguler</v>
      </c>
      <c r="K814" s="16" t="str">
        <f>VLOOKUP(B814,baru!$B$2:$I$2271,5,FALSE)</f>
        <v>JAWA TENGAH</v>
      </c>
      <c r="L814" s="16" t="str">
        <f>VLOOKUP(B814,baru!$B$2:$I$2271,6,FALSE)</f>
        <v>BREBES</v>
      </c>
    </row>
    <row r="815" spans="1:12" hidden="1" x14ac:dyDescent="0.35">
      <c r="A815" s="6">
        <v>1364060</v>
      </c>
      <c r="B815" s="7" t="str">
        <f>"3328052404000002"</f>
        <v>3328052404000002</v>
      </c>
      <c r="C815" s="7" t="s">
        <v>1912</v>
      </c>
      <c r="D815" s="7" t="s">
        <v>10</v>
      </c>
      <c r="E815" s="7" t="s">
        <v>11</v>
      </c>
      <c r="F815" s="7" t="s">
        <v>18</v>
      </c>
      <c r="G815" s="7" t="s">
        <v>19</v>
      </c>
      <c r="H815" s="7" t="s">
        <v>1720</v>
      </c>
      <c r="I815" s="8" t="s">
        <v>1740</v>
      </c>
      <c r="J815" t="e">
        <f>VLOOKUP(B815,baru!$B$2:$I$2271,4,FALSE)</f>
        <v>#N/A</v>
      </c>
      <c r="K815" t="e">
        <f>VLOOKUP(B815,baru!$B$2:$I$2271,5,FALSE)</f>
        <v>#N/A</v>
      </c>
      <c r="L815" t="e">
        <f>VLOOKUP(B815,baru!$B$2:$I$2271,6,FALSE)</f>
        <v>#N/A</v>
      </c>
    </row>
    <row r="816" spans="1:12" hidden="1" x14ac:dyDescent="0.35">
      <c r="A816" s="6">
        <v>1392483</v>
      </c>
      <c r="B816" s="7" t="str">
        <f>"3328052404000002"</f>
        <v>3328052404000002</v>
      </c>
      <c r="C816" s="7" t="s">
        <v>1913</v>
      </c>
      <c r="D816" s="7" t="s">
        <v>10</v>
      </c>
      <c r="E816" s="7" t="s">
        <v>57</v>
      </c>
      <c r="F816" s="7" t="s">
        <v>303</v>
      </c>
      <c r="G816" s="7" t="s">
        <v>608</v>
      </c>
      <c r="H816" s="7" t="s">
        <v>1089</v>
      </c>
      <c r="I816" s="8" t="s">
        <v>1090</v>
      </c>
    </row>
    <row r="817" spans="1:12" hidden="1" x14ac:dyDescent="0.35">
      <c r="A817" s="6">
        <v>735051</v>
      </c>
      <c r="B817" s="7" t="str">
        <f>"3328052407870001"</f>
        <v>3328052407870001</v>
      </c>
      <c r="C817" s="7" t="s">
        <v>1914</v>
      </c>
      <c r="D817" s="7" t="s">
        <v>10</v>
      </c>
      <c r="E817" s="7" t="s">
        <v>11</v>
      </c>
      <c r="F817" s="7" t="s">
        <v>18</v>
      </c>
      <c r="G817" s="7" t="s">
        <v>264</v>
      </c>
      <c r="H817" s="7" t="s">
        <v>248</v>
      </c>
      <c r="I817" s="8" t="s">
        <v>1915</v>
      </c>
    </row>
    <row r="818" spans="1:12" hidden="1" x14ac:dyDescent="0.35">
      <c r="A818" s="13">
        <v>1625565</v>
      </c>
      <c r="B818" s="14" t="str">
        <f>"3328052504850001"</f>
        <v>3328052504850001</v>
      </c>
      <c r="C818" s="14" t="s">
        <v>1916</v>
      </c>
      <c r="D818" s="14" t="s">
        <v>10</v>
      </c>
      <c r="E818" s="14" t="s">
        <v>11</v>
      </c>
      <c r="F818" s="14" t="s">
        <v>18</v>
      </c>
      <c r="G818" s="14" t="s">
        <v>19</v>
      </c>
      <c r="H818" s="14" t="s">
        <v>1720</v>
      </c>
      <c r="I818" s="15" t="s">
        <v>1777</v>
      </c>
      <c r="J818" s="16" t="str">
        <f>VLOOKUP(B818,baru!$B$2:$I$2271,4,FALSE)</f>
        <v>Reguler</v>
      </c>
      <c r="K818" s="16" t="str">
        <f>VLOOKUP(B818,baru!$B$2:$I$2271,5,FALSE)</f>
        <v>JAWA TENGAH</v>
      </c>
      <c r="L818" s="16" t="str">
        <f>VLOOKUP(B818,baru!$B$2:$I$2271,6,FALSE)</f>
        <v>BREBES</v>
      </c>
    </row>
    <row r="819" spans="1:12" hidden="1" x14ac:dyDescent="0.35">
      <c r="A819" s="6">
        <v>72255</v>
      </c>
      <c r="B819" s="7" t="str">
        <f>"3328052506760003"</f>
        <v>3328052506760003</v>
      </c>
      <c r="C819" s="7" t="s">
        <v>1918</v>
      </c>
      <c r="D819" s="7" t="s">
        <v>10</v>
      </c>
      <c r="E819" s="7" t="s">
        <v>11</v>
      </c>
      <c r="F819" s="7" t="s">
        <v>44</v>
      </c>
      <c r="G819" s="7" t="s">
        <v>45</v>
      </c>
      <c r="H819" s="7" t="s">
        <v>1837</v>
      </c>
      <c r="I819" s="8" t="s">
        <v>1838</v>
      </c>
    </row>
    <row r="820" spans="1:12" hidden="1" x14ac:dyDescent="0.35">
      <c r="A820" s="13">
        <v>2142656</v>
      </c>
      <c r="B820" s="14" t="str">
        <f>"3328052612040002"</f>
        <v>3328052612040002</v>
      </c>
      <c r="C820" s="14" t="s">
        <v>1919</v>
      </c>
      <c r="D820" s="14" t="s">
        <v>10</v>
      </c>
      <c r="E820" s="14" t="s">
        <v>11</v>
      </c>
      <c r="F820" s="14" t="s">
        <v>18</v>
      </c>
      <c r="G820" s="14" t="s">
        <v>19</v>
      </c>
      <c r="H820" s="14" t="s">
        <v>1720</v>
      </c>
      <c r="I820" s="15" t="s">
        <v>1737</v>
      </c>
      <c r="J820" s="16" t="str">
        <f>VLOOKUP(B820,baru!$B$2:$I$2271,4,FALSE)</f>
        <v>Reguler</v>
      </c>
      <c r="K820" s="16" t="str">
        <f>VLOOKUP(B820,baru!$B$2:$I$2271,5,FALSE)</f>
        <v>JAWA TENGAH</v>
      </c>
      <c r="L820" s="16" t="str">
        <f>VLOOKUP(B820,baru!$B$2:$I$2271,6,FALSE)</f>
        <v>PURWOREJO</v>
      </c>
    </row>
    <row r="821" spans="1:12" hidden="1" x14ac:dyDescent="0.35">
      <c r="A821" s="13">
        <v>1549533</v>
      </c>
      <c r="B821" s="14" t="str">
        <f>"3328052706980003"</f>
        <v>3328052706980003</v>
      </c>
      <c r="C821" s="14" t="s">
        <v>1923</v>
      </c>
      <c r="D821" s="14" t="s">
        <v>10</v>
      </c>
      <c r="E821" s="14" t="s">
        <v>11</v>
      </c>
      <c r="F821" s="14" t="s">
        <v>18</v>
      </c>
      <c r="G821" s="14" t="s">
        <v>19</v>
      </c>
      <c r="H821" s="14" t="s">
        <v>1720</v>
      </c>
      <c r="I821" s="15" t="s">
        <v>1720</v>
      </c>
      <c r="J821" s="16" t="str">
        <f>VLOOKUP(B821,baru!$B$2:$I$2271,4,FALSE)</f>
        <v>Reguler</v>
      </c>
      <c r="K821" s="16" t="str">
        <f>VLOOKUP(B821,baru!$B$2:$I$2271,5,FALSE)</f>
        <v>JAWA TENGAH</v>
      </c>
      <c r="L821" s="16" t="str">
        <f>VLOOKUP(B821,baru!$B$2:$I$2271,6,FALSE)</f>
        <v>BREBES</v>
      </c>
    </row>
    <row r="822" spans="1:12" hidden="1" x14ac:dyDescent="0.35">
      <c r="A822" s="6">
        <v>439455</v>
      </c>
      <c r="B822" s="7" t="str">
        <f>"3328054102720002"</f>
        <v>3328054102720002</v>
      </c>
      <c r="C822" s="7" t="s">
        <v>1928</v>
      </c>
      <c r="D822" s="7" t="s">
        <v>10</v>
      </c>
      <c r="E822" s="7" t="s">
        <v>11</v>
      </c>
      <c r="F822" s="7" t="s">
        <v>50</v>
      </c>
      <c r="G822" s="7" t="s">
        <v>86</v>
      </c>
      <c r="H822" s="7" t="s">
        <v>925</v>
      </c>
      <c r="I822" s="8" t="s">
        <v>1929</v>
      </c>
    </row>
    <row r="823" spans="1:12" hidden="1" x14ac:dyDescent="0.35">
      <c r="A823" s="13">
        <v>1552795</v>
      </c>
      <c r="B823" s="14" t="str">
        <f>"3328054103010001"</f>
        <v>3328054103010001</v>
      </c>
      <c r="C823" s="14" t="s">
        <v>1931</v>
      </c>
      <c r="D823" s="14" t="s">
        <v>10</v>
      </c>
      <c r="E823" s="14" t="s">
        <v>11</v>
      </c>
      <c r="F823" s="14" t="s">
        <v>18</v>
      </c>
      <c r="G823" s="14" t="s">
        <v>19</v>
      </c>
      <c r="H823" s="14" t="s">
        <v>1720</v>
      </c>
      <c r="I823" s="15" t="s">
        <v>1720</v>
      </c>
      <c r="J823" s="16" t="str">
        <f>VLOOKUP(B823,baru!$B$2:$I$2271,4,FALSE)</f>
        <v>Reguler</v>
      </c>
      <c r="K823" s="16" t="str">
        <f>VLOOKUP(B823,baru!$B$2:$I$2271,5,FALSE)</f>
        <v>JAWA TENGAH</v>
      </c>
      <c r="L823" s="16" t="str">
        <f>VLOOKUP(B823,baru!$B$2:$I$2271,6,FALSE)</f>
        <v>KOTA SEMARANG</v>
      </c>
    </row>
    <row r="824" spans="1:12" hidden="1" x14ac:dyDescent="0.35">
      <c r="A824" s="13">
        <v>2146155</v>
      </c>
      <c r="B824" s="14" t="str">
        <f>"3328054103010002"</f>
        <v>3328054103010002</v>
      </c>
      <c r="C824" s="14" t="s">
        <v>1934</v>
      </c>
      <c r="D824" s="14" t="s">
        <v>10</v>
      </c>
      <c r="E824" s="14" t="s">
        <v>11</v>
      </c>
      <c r="F824" s="14" t="s">
        <v>18</v>
      </c>
      <c r="G824" s="14" t="s">
        <v>19</v>
      </c>
      <c r="H824" s="14" t="s">
        <v>1720</v>
      </c>
      <c r="I824" s="15" t="s">
        <v>1857</v>
      </c>
      <c r="J824" s="16" t="str">
        <f>VLOOKUP(B824,baru!$B$2:$I$2271,4,FALSE)</f>
        <v>Reguler</v>
      </c>
      <c r="K824" s="16" t="str">
        <f>VLOOKUP(B824,baru!$B$2:$I$2271,5,FALSE)</f>
        <v>JAWA TENGAH</v>
      </c>
      <c r="L824" s="16" t="str">
        <f>VLOOKUP(B824,baru!$B$2:$I$2271,6,FALSE)</f>
        <v>BREBES</v>
      </c>
    </row>
    <row r="825" spans="1:12" hidden="1" x14ac:dyDescent="0.35">
      <c r="A825" s="13">
        <v>1343760</v>
      </c>
      <c r="B825" s="14" t="str">
        <f>"3328054107050022"</f>
        <v>3328054107050022</v>
      </c>
      <c r="C825" s="14" t="s">
        <v>1935</v>
      </c>
      <c r="D825" s="14" t="s">
        <v>10</v>
      </c>
      <c r="E825" s="14" t="s">
        <v>11</v>
      </c>
      <c r="F825" s="14" t="s">
        <v>18</v>
      </c>
      <c r="G825" s="14" t="s">
        <v>19</v>
      </c>
      <c r="H825" s="14" t="s">
        <v>1720</v>
      </c>
      <c r="I825" s="15" t="s">
        <v>1381</v>
      </c>
      <c r="J825" s="16" t="str">
        <f>VLOOKUP(B825,baru!$B$2:$I$2271,4,FALSE)</f>
        <v>Reguler</v>
      </c>
      <c r="K825" s="16" t="str">
        <f>VLOOKUP(B825,baru!$B$2:$I$2271,5,FALSE)</f>
        <v>DKI JAKARTA</v>
      </c>
      <c r="L825" s="16" t="str">
        <f>VLOOKUP(B825,baru!$B$2:$I$2271,6,FALSE)</f>
        <v>KOTA JAKARTA TIMUR</v>
      </c>
    </row>
    <row r="826" spans="1:12" hidden="1" x14ac:dyDescent="0.35">
      <c r="A826" s="6">
        <v>101146</v>
      </c>
      <c r="B826" s="7" t="str">
        <f>"3328054107720109"</f>
        <v>3328054107720109</v>
      </c>
      <c r="C826" s="7" t="s">
        <v>1937</v>
      </c>
      <c r="D826" s="7" t="s">
        <v>10</v>
      </c>
      <c r="E826" s="7" t="s">
        <v>11</v>
      </c>
      <c r="F826" s="7" t="s">
        <v>44</v>
      </c>
      <c r="G826" s="7" t="s">
        <v>1833</v>
      </c>
      <c r="H826" s="7" t="s">
        <v>1834</v>
      </c>
      <c r="I826" s="8" t="s">
        <v>1835</v>
      </c>
    </row>
    <row r="827" spans="1:12" hidden="1" x14ac:dyDescent="0.35">
      <c r="A827" s="13">
        <v>1553231</v>
      </c>
      <c r="B827" s="14" t="str">
        <f>"3328054107770108"</f>
        <v>3328054107770108</v>
      </c>
      <c r="C827" s="14" t="s">
        <v>1938</v>
      </c>
      <c r="D827" s="14" t="s">
        <v>10</v>
      </c>
      <c r="E827" s="14" t="s">
        <v>11</v>
      </c>
      <c r="F827" s="14" t="s">
        <v>18</v>
      </c>
      <c r="G827" s="14" t="s">
        <v>19</v>
      </c>
      <c r="H827" s="14" t="s">
        <v>1720</v>
      </c>
      <c r="I827" s="15" t="s">
        <v>1720</v>
      </c>
      <c r="J827" s="16" t="str">
        <f>VLOOKUP(B827,baru!$B$2:$I$2271,4,FALSE)</f>
        <v>Reguler</v>
      </c>
      <c r="K827" s="16" t="str">
        <f>VLOOKUP(B827,baru!$B$2:$I$2271,5,FALSE)</f>
        <v>JAWA TENGAH</v>
      </c>
      <c r="L827" s="16" t="str">
        <f>VLOOKUP(B827,baru!$B$2:$I$2271,6,FALSE)</f>
        <v>BREBES</v>
      </c>
    </row>
    <row r="828" spans="1:12" hidden="1" x14ac:dyDescent="0.35">
      <c r="A828" s="13">
        <v>2119958</v>
      </c>
      <c r="B828" s="14" t="str">
        <f>"3328054205010001"</f>
        <v>3328054205010001</v>
      </c>
      <c r="C828" s="14" t="s">
        <v>1941</v>
      </c>
      <c r="D828" s="14" t="s">
        <v>10</v>
      </c>
      <c r="E828" s="14" t="s">
        <v>11</v>
      </c>
      <c r="F828" s="14" t="s">
        <v>18</v>
      </c>
      <c r="G828" s="14" t="s">
        <v>19</v>
      </c>
      <c r="H828" s="14" t="s">
        <v>1720</v>
      </c>
      <c r="I828" s="15" t="s">
        <v>1774</v>
      </c>
      <c r="J828" s="16" t="str">
        <f>VLOOKUP(B828,baru!$B$2:$I$2271,4,FALSE)</f>
        <v>Reguler</v>
      </c>
      <c r="K828" s="16" t="str">
        <f>VLOOKUP(B828,baru!$B$2:$I$2271,5,FALSE)</f>
        <v>JAWA TENGAH</v>
      </c>
      <c r="L828" s="16" t="str">
        <f>VLOOKUP(B828,baru!$B$2:$I$2271,6,FALSE)</f>
        <v>BREBES</v>
      </c>
    </row>
    <row r="829" spans="1:12" x14ac:dyDescent="0.35">
      <c r="A829" s="6">
        <v>673143</v>
      </c>
      <c r="B829" s="7" t="str">
        <f>"3328054210970002"</f>
        <v>3328054210970002</v>
      </c>
      <c r="C829" s="7" t="s">
        <v>1943</v>
      </c>
      <c r="D829" s="7" t="s">
        <v>189</v>
      </c>
      <c r="E829" s="7" t="s">
        <v>11</v>
      </c>
      <c r="F829" s="7" t="s">
        <v>18</v>
      </c>
      <c r="G829" s="7" t="s">
        <v>264</v>
      </c>
      <c r="H829" s="7" t="s">
        <v>344</v>
      </c>
      <c r="I829" s="8" t="s">
        <v>1944</v>
      </c>
    </row>
    <row r="830" spans="1:12" hidden="1" x14ac:dyDescent="0.35">
      <c r="A830" s="6">
        <v>1284214</v>
      </c>
      <c r="B830" s="7" t="str">
        <f>"3328054311960001"</f>
        <v>3328054311960001</v>
      </c>
      <c r="C830" s="7" t="s">
        <v>1945</v>
      </c>
      <c r="D830" s="7" t="s">
        <v>10</v>
      </c>
      <c r="E830" s="7" t="s">
        <v>11</v>
      </c>
      <c r="F830" s="7" t="s">
        <v>18</v>
      </c>
      <c r="G830" s="7" t="s">
        <v>264</v>
      </c>
      <c r="H830" s="7" t="s">
        <v>265</v>
      </c>
      <c r="I830" s="8" t="s">
        <v>1598</v>
      </c>
    </row>
    <row r="831" spans="1:12" hidden="1" x14ac:dyDescent="0.35">
      <c r="A831" s="6">
        <v>1582520</v>
      </c>
      <c r="B831" s="7" t="str">
        <f>"3328054403940005"</f>
        <v>3328054403940005</v>
      </c>
      <c r="C831" s="7" t="s">
        <v>1946</v>
      </c>
      <c r="D831" s="7" t="s">
        <v>10</v>
      </c>
      <c r="E831" s="7" t="s">
        <v>11</v>
      </c>
      <c r="F831" s="7" t="s">
        <v>50</v>
      </c>
      <c r="G831" s="7" t="s">
        <v>86</v>
      </c>
      <c r="H831" s="7" t="s">
        <v>445</v>
      </c>
      <c r="I831" s="8" t="s">
        <v>1947</v>
      </c>
    </row>
    <row r="832" spans="1:12" hidden="1" x14ac:dyDescent="0.35">
      <c r="A832" s="13">
        <v>2142642</v>
      </c>
      <c r="B832" s="14" t="str">
        <f>"3328054405800001"</f>
        <v>3328054405800001</v>
      </c>
      <c r="C832" s="14" t="s">
        <v>1949</v>
      </c>
      <c r="D832" s="14" t="s">
        <v>10</v>
      </c>
      <c r="E832" s="14" t="s">
        <v>11</v>
      </c>
      <c r="F832" s="14" t="s">
        <v>18</v>
      </c>
      <c r="G832" s="14" t="s">
        <v>19</v>
      </c>
      <c r="H832" s="14" t="s">
        <v>1720</v>
      </c>
      <c r="I832" s="15" t="s">
        <v>1737</v>
      </c>
      <c r="J832" s="16" t="str">
        <f>VLOOKUP(B832,baru!$B$2:$I$2271,4,FALSE)</f>
        <v>Reguler</v>
      </c>
      <c r="K832" s="16" t="str">
        <f>VLOOKUP(B832,baru!$B$2:$I$2271,5,FALSE)</f>
        <v>JAWA TENGAH</v>
      </c>
      <c r="L832" s="16" t="str">
        <f>VLOOKUP(B832,baru!$B$2:$I$2271,6,FALSE)</f>
        <v>PURWOREJO</v>
      </c>
    </row>
    <row r="833" spans="1:12" hidden="1" x14ac:dyDescent="0.35">
      <c r="A833" s="6">
        <v>1433938</v>
      </c>
      <c r="B833" s="7" t="str">
        <f>"3328054411680001"</f>
        <v>3328054411680001</v>
      </c>
      <c r="C833" s="7" t="s">
        <v>1950</v>
      </c>
      <c r="D833" s="7" t="s">
        <v>10</v>
      </c>
      <c r="E833" s="7" t="s">
        <v>11</v>
      </c>
      <c r="F833" s="7" t="s">
        <v>50</v>
      </c>
      <c r="G833" s="7" t="s">
        <v>58</v>
      </c>
      <c r="H833" s="7" t="s">
        <v>1747</v>
      </c>
      <c r="I833" s="8" t="s">
        <v>1748</v>
      </c>
    </row>
    <row r="834" spans="1:12" hidden="1" x14ac:dyDescent="0.35">
      <c r="A834" s="13">
        <v>2132753</v>
      </c>
      <c r="B834" s="14" t="str">
        <f>"3328054506920005"</f>
        <v>3328054506920005</v>
      </c>
      <c r="C834" s="14" t="s">
        <v>1951</v>
      </c>
      <c r="D834" s="14" t="s">
        <v>10</v>
      </c>
      <c r="E834" s="14" t="s">
        <v>11</v>
      </c>
      <c r="F834" s="14" t="s">
        <v>18</v>
      </c>
      <c r="G834" s="14" t="s">
        <v>19</v>
      </c>
      <c r="H834" s="14" t="s">
        <v>1720</v>
      </c>
      <c r="I834" s="15" t="s">
        <v>1727</v>
      </c>
      <c r="J834" s="16" t="str">
        <f>VLOOKUP(B834,baru!$B$2:$I$2271,4,FALSE)</f>
        <v>Reguler</v>
      </c>
      <c r="K834" s="16" t="str">
        <f>VLOOKUP(B834,baru!$B$2:$I$2271,5,FALSE)</f>
        <v>DKI JAKARTA</v>
      </c>
      <c r="L834" s="16" t="str">
        <f>VLOOKUP(B834,baru!$B$2:$I$2271,6,FALSE)</f>
        <v>KOTA JAKARTA BARAT</v>
      </c>
    </row>
    <row r="835" spans="1:12" hidden="1" x14ac:dyDescent="0.35">
      <c r="A835" s="13">
        <v>2119960</v>
      </c>
      <c r="B835" s="14" t="str">
        <f>"3328054506950001"</f>
        <v>3328054506950001</v>
      </c>
      <c r="C835" s="14" t="s">
        <v>1953</v>
      </c>
      <c r="D835" s="14" t="s">
        <v>10</v>
      </c>
      <c r="E835" s="14" t="s">
        <v>11</v>
      </c>
      <c r="F835" s="14" t="s">
        <v>18</v>
      </c>
      <c r="G835" s="14" t="s">
        <v>19</v>
      </c>
      <c r="H835" s="14" t="s">
        <v>1720</v>
      </c>
      <c r="I835" s="15" t="s">
        <v>1774</v>
      </c>
      <c r="J835" s="16" t="str">
        <f>VLOOKUP(B835,baru!$B$2:$I$2271,4,FALSE)</f>
        <v>Reguler</v>
      </c>
      <c r="K835" s="16" t="str">
        <f>VLOOKUP(B835,baru!$B$2:$I$2271,5,FALSE)</f>
        <v>JAWA TENGAH</v>
      </c>
      <c r="L835" s="16" t="str">
        <f>VLOOKUP(B835,baru!$B$2:$I$2271,6,FALSE)</f>
        <v>BANYUMAS</v>
      </c>
    </row>
    <row r="836" spans="1:12" x14ac:dyDescent="0.35">
      <c r="A836" s="13">
        <v>1625227</v>
      </c>
      <c r="B836" s="14" t="str">
        <f>"3328054510870001"</f>
        <v>3328054510870001</v>
      </c>
      <c r="C836" s="14" t="s">
        <v>383</v>
      </c>
      <c r="D836" s="14" t="s">
        <v>189</v>
      </c>
      <c r="E836" s="14" t="s">
        <v>11</v>
      </c>
      <c r="F836" s="14" t="s">
        <v>18</v>
      </c>
      <c r="G836" s="14" t="s">
        <v>19</v>
      </c>
      <c r="H836" s="14" t="s">
        <v>1720</v>
      </c>
      <c r="I836" s="15" t="s">
        <v>1777</v>
      </c>
      <c r="J836" s="16" t="str">
        <f>VLOOKUP(B836,baru!$B$2:$I$2271,4,FALSE)</f>
        <v>Reguler</v>
      </c>
      <c r="K836" s="16" t="str">
        <f>VLOOKUP(B836,baru!$B$2:$I$2271,5,FALSE)</f>
        <v>JAWA TENGAH</v>
      </c>
      <c r="L836" s="16" t="str">
        <f>VLOOKUP(B836,baru!$B$2:$I$2271,6,FALSE)</f>
        <v>BREBES</v>
      </c>
    </row>
    <row r="837" spans="1:12" hidden="1" x14ac:dyDescent="0.35">
      <c r="A837" s="13">
        <v>1350259</v>
      </c>
      <c r="B837" s="14" t="str">
        <f>"3328054603900002"</f>
        <v>3328054603900002</v>
      </c>
      <c r="C837" s="14" t="s">
        <v>1956</v>
      </c>
      <c r="D837" s="14" t="s">
        <v>10</v>
      </c>
      <c r="E837" s="14" t="s">
        <v>11</v>
      </c>
      <c r="F837" s="14" t="s">
        <v>18</v>
      </c>
      <c r="G837" s="14" t="s">
        <v>19</v>
      </c>
      <c r="H837" s="14" t="s">
        <v>1720</v>
      </c>
      <c r="I837" s="15" t="s">
        <v>789</v>
      </c>
      <c r="J837" s="16" t="str">
        <f>VLOOKUP(B837,baru!$B$2:$I$2271,4,FALSE)</f>
        <v>Reguler</v>
      </c>
      <c r="K837" s="16" t="str">
        <f>VLOOKUP(B837,baru!$B$2:$I$2271,5,FALSE)</f>
        <v>DKI JAKARTA</v>
      </c>
      <c r="L837" s="16" t="str">
        <f>VLOOKUP(B837,baru!$B$2:$I$2271,6,FALSE)</f>
        <v>KOTA JAKARTA SELATAN</v>
      </c>
    </row>
    <row r="838" spans="1:12" hidden="1" x14ac:dyDescent="0.35">
      <c r="A838" s="6">
        <v>126760</v>
      </c>
      <c r="B838" s="7" t="str">
        <f>"3328054607920001"</f>
        <v>3328054607920001</v>
      </c>
      <c r="C838" s="7" t="s">
        <v>1958</v>
      </c>
      <c r="D838" s="7" t="s">
        <v>10</v>
      </c>
      <c r="E838" s="7" t="s">
        <v>11</v>
      </c>
      <c r="F838" s="7" t="s">
        <v>1959</v>
      </c>
      <c r="G838" s="7" t="s">
        <v>1960</v>
      </c>
      <c r="H838" s="7" t="s">
        <v>1961</v>
      </c>
      <c r="I838" s="8" t="s">
        <v>1962</v>
      </c>
    </row>
    <row r="839" spans="1:12" hidden="1" x14ac:dyDescent="0.35">
      <c r="A839" s="6">
        <v>790623</v>
      </c>
      <c r="B839" s="7" t="str">
        <f>"3328054608900009"</f>
        <v>3328054608900009</v>
      </c>
      <c r="C839" s="7" t="s">
        <v>1963</v>
      </c>
      <c r="D839" s="7" t="s">
        <v>10</v>
      </c>
      <c r="E839" s="7" t="s">
        <v>11</v>
      </c>
      <c r="F839" s="7" t="s">
        <v>91</v>
      </c>
      <c r="G839" s="7" t="s">
        <v>320</v>
      </c>
      <c r="H839" s="7" t="s">
        <v>321</v>
      </c>
      <c r="I839" s="8" t="s">
        <v>1964</v>
      </c>
    </row>
    <row r="840" spans="1:12" hidden="1" x14ac:dyDescent="0.35">
      <c r="A840" s="13">
        <v>1358918</v>
      </c>
      <c r="B840" s="14" t="str">
        <f>"3328054802930001"</f>
        <v>3328054802930001</v>
      </c>
      <c r="C840" s="14" t="s">
        <v>1965</v>
      </c>
      <c r="D840" s="14" t="s">
        <v>10</v>
      </c>
      <c r="E840" s="14" t="s">
        <v>11</v>
      </c>
      <c r="F840" s="14" t="s">
        <v>18</v>
      </c>
      <c r="G840" s="14" t="s">
        <v>19</v>
      </c>
      <c r="H840" s="14" t="s">
        <v>1720</v>
      </c>
      <c r="I840" s="15" t="s">
        <v>1740</v>
      </c>
      <c r="J840" s="16" t="str">
        <f>VLOOKUP(B840,baru!$B$2:$I$2271,4,FALSE)</f>
        <v>Reguler</v>
      </c>
      <c r="K840" s="16" t="str">
        <f>VLOOKUP(B840,baru!$B$2:$I$2271,5,FALSE)</f>
        <v>JAWA TENGAH</v>
      </c>
      <c r="L840" s="16" t="str">
        <f>VLOOKUP(B840,baru!$B$2:$I$2271,6,FALSE)</f>
        <v>BREBES</v>
      </c>
    </row>
    <row r="841" spans="1:12" hidden="1" x14ac:dyDescent="0.35">
      <c r="A841" s="13">
        <v>1547787</v>
      </c>
      <c r="B841" s="14" t="str">
        <f>"3328054804930003"</f>
        <v>3328054804930003</v>
      </c>
      <c r="C841" s="14" t="s">
        <v>1967</v>
      </c>
      <c r="D841" s="14" t="s">
        <v>10</v>
      </c>
      <c r="E841" s="14" t="s">
        <v>11</v>
      </c>
      <c r="F841" s="14" t="s">
        <v>18</v>
      </c>
      <c r="G841" s="14" t="s">
        <v>19</v>
      </c>
      <c r="H841" s="14" t="s">
        <v>1720</v>
      </c>
      <c r="I841" s="15" t="s">
        <v>1771</v>
      </c>
      <c r="J841" s="16" t="str">
        <f>VLOOKUP(B841,baru!$B$2:$I$2271,4,FALSE)</f>
        <v>Reguler</v>
      </c>
      <c r="K841" s="16" t="str">
        <f>VLOOKUP(B841,baru!$B$2:$I$2271,5,FALSE)</f>
        <v>JAWA TENGAH</v>
      </c>
      <c r="L841" s="16" t="str">
        <f>VLOOKUP(B841,baru!$B$2:$I$2271,6,FALSE)</f>
        <v>BREBES</v>
      </c>
    </row>
    <row r="842" spans="1:12" hidden="1" x14ac:dyDescent="0.35">
      <c r="A842" s="13">
        <v>2144181</v>
      </c>
      <c r="B842" s="14" t="str">
        <f>"3328054808890001"</f>
        <v>3328054808890001</v>
      </c>
      <c r="C842" s="14" t="s">
        <v>1969</v>
      </c>
      <c r="D842" s="14" t="s">
        <v>10</v>
      </c>
      <c r="E842" s="14" t="s">
        <v>11</v>
      </c>
      <c r="F842" s="14" t="s">
        <v>18</v>
      </c>
      <c r="G842" s="14" t="s">
        <v>19</v>
      </c>
      <c r="H842" s="14" t="s">
        <v>1720</v>
      </c>
      <c r="I842" s="15" t="s">
        <v>1857</v>
      </c>
      <c r="J842" s="16" t="str">
        <f>VLOOKUP(B842,baru!$B$2:$I$2271,4,FALSE)</f>
        <v>Reguler</v>
      </c>
      <c r="K842" s="16" t="str">
        <f>VLOOKUP(B842,baru!$B$2:$I$2271,5,FALSE)</f>
        <v>DKI JAKARTA</v>
      </c>
      <c r="L842" s="16" t="str">
        <f>VLOOKUP(B842,baru!$B$2:$I$2271,6,FALSE)</f>
        <v>KOTA JAKARTA TIMUR</v>
      </c>
    </row>
    <row r="843" spans="1:12" hidden="1" x14ac:dyDescent="0.35">
      <c r="A843" s="6">
        <v>325811</v>
      </c>
      <c r="B843" s="7" t="str">
        <f>"3328054906670001"</f>
        <v>3328054906670001</v>
      </c>
      <c r="C843" s="7" t="s">
        <v>1971</v>
      </c>
      <c r="D843" s="7" t="s">
        <v>10</v>
      </c>
      <c r="E843" s="7" t="s">
        <v>11</v>
      </c>
      <c r="F843" s="7" t="s">
        <v>91</v>
      </c>
      <c r="G843" s="7" t="s">
        <v>438</v>
      </c>
      <c r="H843" s="7" t="s">
        <v>760</v>
      </c>
      <c r="I843" s="8" t="s">
        <v>1972</v>
      </c>
    </row>
    <row r="844" spans="1:12" hidden="1" x14ac:dyDescent="0.35">
      <c r="A844" s="13">
        <v>2141004</v>
      </c>
      <c r="B844" s="14" t="str">
        <f>"3328055001900005"</f>
        <v>3328055001900005</v>
      </c>
      <c r="C844" s="14" t="s">
        <v>1973</v>
      </c>
      <c r="D844" s="14" t="s">
        <v>10</v>
      </c>
      <c r="E844" s="14" t="s">
        <v>11</v>
      </c>
      <c r="F844" s="14" t="s">
        <v>18</v>
      </c>
      <c r="G844" s="14" t="s">
        <v>19</v>
      </c>
      <c r="H844" s="14" t="s">
        <v>1720</v>
      </c>
      <c r="I844" s="15" t="s">
        <v>1737</v>
      </c>
      <c r="J844" s="16" t="str">
        <f>VLOOKUP(B844,baru!$B$2:$I$2271,4,FALSE)</f>
        <v>Reguler</v>
      </c>
      <c r="K844" s="16" t="str">
        <f>VLOOKUP(B844,baru!$B$2:$I$2271,5,FALSE)</f>
        <v>JAWA TENGAH</v>
      </c>
      <c r="L844" s="16" t="str">
        <f>VLOOKUP(B844,baru!$B$2:$I$2271,6,FALSE)</f>
        <v>PEKALONGAN</v>
      </c>
    </row>
    <row r="845" spans="1:12" hidden="1" x14ac:dyDescent="0.35">
      <c r="A845" s="13">
        <v>1623169</v>
      </c>
      <c r="B845" s="14" t="str">
        <f>"3328055206980004"</f>
        <v>3328055206980004</v>
      </c>
      <c r="C845" s="14" t="s">
        <v>1975</v>
      </c>
      <c r="D845" s="14" t="s">
        <v>10</v>
      </c>
      <c r="E845" s="14" t="s">
        <v>11</v>
      </c>
      <c r="F845" s="14" t="s">
        <v>18</v>
      </c>
      <c r="G845" s="14" t="s">
        <v>19</v>
      </c>
      <c r="H845" s="14" t="s">
        <v>1720</v>
      </c>
      <c r="I845" s="15" t="s">
        <v>1777</v>
      </c>
      <c r="J845" s="16" t="str">
        <f>VLOOKUP(B845,baru!$B$2:$I$2271,4,FALSE)</f>
        <v>Reguler</v>
      </c>
      <c r="K845" s="16" t="str">
        <f>VLOOKUP(B845,baru!$B$2:$I$2271,5,FALSE)</f>
        <v>JAWA TENGAH</v>
      </c>
      <c r="L845" s="16" t="str">
        <f>VLOOKUP(B845,baru!$B$2:$I$2271,6,FALSE)</f>
        <v>CILACAP</v>
      </c>
    </row>
    <row r="846" spans="1:12" hidden="1" x14ac:dyDescent="0.35">
      <c r="A846" s="6">
        <v>1719565</v>
      </c>
      <c r="B846" s="7" t="str">
        <f>"3328055212820001"</f>
        <v>3328055212820001</v>
      </c>
      <c r="C846" s="7" t="s">
        <v>1977</v>
      </c>
      <c r="D846" s="7" t="s">
        <v>10</v>
      </c>
      <c r="E846" s="7" t="s">
        <v>11</v>
      </c>
      <c r="F846" s="7" t="s">
        <v>50</v>
      </c>
      <c r="G846" s="7" t="s">
        <v>86</v>
      </c>
      <c r="H846" s="7" t="s">
        <v>1268</v>
      </c>
      <c r="I846" s="8" t="s">
        <v>1978</v>
      </c>
    </row>
    <row r="847" spans="1:12" hidden="1" x14ac:dyDescent="0.35">
      <c r="A847" s="6">
        <v>876717</v>
      </c>
      <c r="B847" s="7" t="str">
        <f>"3328055402950002"</f>
        <v>3328055402950002</v>
      </c>
      <c r="C847" s="7" t="s">
        <v>1980</v>
      </c>
      <c r="D847" s="7" t="s">
        <v>10</v>
      </c>
      <c r="E847" s="7" t="s">
        <v>11</v>
      </c>
      <c r="F847" s="7" t="s">
        <v>232</v>
      </c>
      <c r="G847" s="7" t="s">
        <v>1981</v>
      </c>
      <c r="H847" s="7" t="s">
        <v>1982</v>
      </c>
      <c r="I847" s="8" t="s">
        <v>1983</v>
      </c>
    </row>
    <row r="848" spans="1:12" hidden="1" x14ac:dyDescent="0.35">
      <c r="A848" s="13">
        <v>2145532</v>
      </c>
      <c r="B848" s="14" t="str">
        <f>"3328055404990003"</f>
        <v>3328055404990003</v>
      </c>
      <c r="C848" s="14" t="s">
        <v>1984</v>
      </c>
      <c r="D848" s="14" t="s">
        <v>10</v>
      </c>
      <c r="E848" s="14" t="s">
        <v>11</v>
      </c>
      <c r="F848" s="14" t="s">
        <v>18</v>
      </c>
      <c r="G848" s="14" t="s">
        <v>19</v>
      </c>
      <c r="H848" s="14" t="s">
        <v>1720</v>
      </c>
      <c r="I848" s="15" t="s">
        <v>1857</v>
      </c>
      <c r="J848" s="16" t="str">
        <f>VLOOKUP(B848,baru!$B$2:$I$2271,4,FALSE)</f>
        <v>Reguler</v>
      </c>
      <c r="K848" s="16" t="str">
        <f>VLOOKUP(B848,baru!$B$2:$I$2271,5,FALSE)</f>
        <v>JAWA TENGAH</v>
      </c>
      <c r="L848" s="16" t="str">
        <f>VLOOKUP(B848,baru!$B$2:$I$2271,6,FALSE)</f>
        <v>BREBES</v>
      </c>
    </row>
    <row r="849" spans="1:12" hidden="1" x14ac:dyDescent="0.35">
      <c r="A849" s="13">
        <v>1360972</v>
      </c>
      <c r="B849" s="14" t="str">
        <f>"3328055510010001"</f>
        <v>3328055510010001</v>
      </c>
      <c r="C849" s="14" t="s">
        <v>1985</v>
      </c>
      <c r="D849" s="14" t="s">
        <v>10</v>
      </c>
      <c r="E849" s="14" t="s">
        <v>11</v>
      </c>
      <c r="F849" s="14" t="s">
        <v>18</v>
      </c>
      <c r="G849" s="14" t="s">
        <v>19</v>
      </c>
      <c r="H849" s="14" t="s">
        <v>1720</v>
      </c>
      <c r="I849" s="15" t="s">
        <v>1740</v>
      </c>
      <c r="J849" s="16" t="str">
        <f>VLOOKUP(B849,baru!$B$2:$I$2271,4,FALSE)</f>
        <v>Reguler</v>
      </c>
      <c r="K849" s="16" t="str">
        <f>VLOOKUP(B849,baru!$B$2:$I$2271,5,FALSE)</f>
        <v>JAWA TIMUR</v>
      </c>
      <c r="L849" s="16" t="str">
        <f>VLOOKUP(B849,baru!$B$2:$I$2271,6,FALSE)</f>
        <v>LAMONGAN</v>
      </c>
    </row>
    <row r="850" spans="1:12" hidden="1" x14ac:dyDescent="0.35">
      <c r="A850" s="13">
        <v>1349034</v>
      </c>
      <c r="B850" s="14" t="str">
        <f>"3328055606940001"</f>
        <v>3328055606940001</v>
      </c>
      <c r="C850" s="14" t="s">
        <v>1990</v>
      </c>
      <c r="D850" s="14" t="s">
        <v>10</v>
      </c>
      <c r="E850" s="14" t="s">
        <v>11</v>
      </c>
      <c r="F850" s="14" t="s">
        <v>18</v>
      </c>
      <c r="G850" s="14" t="s">
        <v>19</v>
      </c>
      <c r="H850" s="14" t="s">
        <v>1720</v>
      </c>
      <c r="I850" s="15" t="s">
        <v>1381</v>
      </c>
      <c r="J850" s="16" t="str">
        <f>VLOOKUP(B850,baru!$B$2:$I$2271,4,FALSE)</f>
        <v>Reguler</v>
      </c>
      <c r="K850" s="16" t="str">
        <f>VLOOKUP(B850,baru!$B$2:$I$2271,5,FALSE)</f>
        <v>JAWA TENGAH</v>
      </c>
      <c r="L850" s="16" t="str">
        <f>VLOOKUP(B850,baru!$B$2:$I$2271,6,FALSE)</f>
        <v>BREBES</v>
      </c>
    </row>
    <row r="851" spans="1:12" hidden="1" x14ac:dyDescent="0.35">
      <c r="A851" s="13">
        <v>1362019</v>
      </c>
      <c r="B851" s="14" t="str">
        <f>"3328055803970001"</f>
        <v>3328055803970001</v>
      </c>
      <c r="C851" s="14" t="s">
        <v>1993</v>
      </c>
      <c r="D851" s="14" t="s">
        <v>10</v>
      </c>
      <c r="E851" s="14" t="s">
        <v>11</v>
      </c>
      <c r="F851" s="14" t="s">
        <v>18</v>
      </c>
      <c r="G851" s="14" t="s">
        <v>19</v>
      </c>
      <c r="H851" s="14" t="s">
        <v>1720</v>
      </c>
      <c r="I851" s="15" t="s">
        <v>1740</v>
      </c>
      <c r="J851" s="16" t="str">
        <f>VLOOKUP(B851,baru!$B$2:$I$2271,4,FALSE)</f>
        <v>Reguler</v>
      </c>
      <c r="K851" s="16" t="str">
        <f>VLOOKUP(B851,baru!$B$2:$I$2271,5,FALSE)</f>
        <v>JAWA TIMUR</v>
      </c>
      <c r="L851" s="16" t="str">
        <f>VLOOKUP(B851,baru!$B$2:$I$2271,6,FALSE)</f>
        <v>SIDOARJO</v>
      </c>
    </row>
    <row r="852" spans="1:12" hidden="1" x14ac:dyDescent="0.35">
      <c r="A852" s="13">
        <v>1365815</v>
      </c>
      <c r="B852" s="14" t="str">
        <f>"3328055806030004"</f>
        <v>3328055806030004</v>
      </c>
      <c r="C852" s="14" t="s">
        <v>1996</v>
      </c>
      <c r="D852" s="14" t="s">
        <v>10</v>
      </c>
      <c r="E852" s="14" t="s">
        <v>11</v>
      </c>
      <c r="F852" s="14" t="s">
        <v>18</v>
      </c>
      <c r="G852" s="14" t="s">
        <v>19</v>
      </c>
      <c r="H852" s="14" t="s">
        <v>1720</v>
      </c>
      <c r="I852" s="15" t="s">
        <v>1740</v>
      </c>
      <c r="J852" s="16" t="str">
        <f>VLOOKUP(B852,baru!$B$2:$I$2271,4,FALSE)</f>
        <v>Reguler</v>
      </c>
      <c r="K852" s="16" t="str">
        <f>VLOOKUP(B852,baru!$B$2:$I$2271,5,FALSE)</f>
        <v>JAWA TENGAH</v>
      </c>
      <c r="L852" s="16" t="str">
        <f>VLOOKUP(B852,baru!$B$2:$I$2271,6,FALSE)</f>
        <v>BREBES</v>
      </c>
    </row>
    <row r="853" spans="1:12" hidden="1" x14ac:dyDescent="0.35">
      <c r="A853" s="13">
        <v>1613874</v>
      </c>
      <c r="B853" s="14" t="str">
        <f>"3328055806950001"</f>
        <v>3328055806950001</v>
      </c>
      <c r="C853" s="14" t="s">
        <v>1997</v>
      </c>
      <c r="D853" s="14" t="s">
        <v>10</v>
      </c>
      <c r="E853" s="14" t="s">
        <v>11</v>
      </c>
      <c r="F853" s="14" t="s">
        <v>18</v>
      </c>
      <c r="G853" s="14" t="s">
        <v>19</v>
      </c>
      <c r="H853" s="14" t="s">
        <v>1720</v>
      </c>
      <c r="I853" s="15" t="s">
        <v>1721</v>
      </c>
      <c r="J853" s="16" t="str">
        <f>VLOOKUP(B853,baru!$B$2:$I$2271,4,FALSE)</f>
        <v>Reguler</v>
      </c>
      <c r="K853" s="16" t="str">
        <f>VLOOKUP(B853,baru!$B$2:$I$2271,5,FALSE)</f>
        <v>JAWA BARAT</v>
      </c>
      <c r="L853" s="16" t="str">
        <f>VLOOKUP(B853,baru!$B$2:$I$2271,6,FALSE)</f>
        <v>KUNINGAN</v>
      </c>
    </row>
    <row r="854" spans="1:12" hidden="1" x14ac:dyDescent="0.35">
      <c r="A854" s="6">
        <v>1602861</v>
      </c>
      <c r="B854" s="7" t="str">
        <f>"3328055908800002"</f>
        <v>3328055908800002</v>
      </c>
      <c r="C854" s="7" t="s">
        <v>2000</v>
      </c>
      <c r="D854" s="7" t="s">
        <v>10</v>
      </c>
      <c r="E854" s="7" t="s">
        <v>11</v>
      </c>
      <c r="F854" s="7" t="s">
        <v>50</v>
      </c>
      <c r="G854" s="7" t="s">
        <v>72</v>
      </c>
      <c r="H854" s="7" t="s">
        <v>738</v>
      </c>
      <c r="I854" s="8" t="s">
        <v>2001</v>
      </c>
    </row>
    <row r="855" spans="1:12" hidden="1" x14ac:dyDescent="0.35">
      <c r="A855" s="6">
        <v>624646</v>
      </c>
      <c r="B855" s="7" t="str">
        <f>"3328055909900003"</f>
        <v>3328055909900003</v>
      </c>
      <c r="C855" s="7" t="s">
        <v>2003</v>
      </c>
      <c r="D855" s="7" t="s">
        <v>10</v>
      </c>
      <c r="E855" s="7" t="s">
        <v>11</v>
      </c>
      <c r="F855" s="7" t="s">
        <v>18</v>
      </c>
      <c r="G855" s="7" t="s">
        <v>264</v>
      </c>
      <c r="H855" s="7" t="s">
        <v>264</v>
      </c>
      <c r="I855" s="8" t="s">
        <v>2004</v>
      </c>
    </row>
    <row r="856" spans="1:12" hidden="1" x14ac:dyDescent="0.35">
      <c r="A856" s="6">
        <v>121495</v>
      </c>
      <c r="B856" s="7" t="str">
        <f>"3328056004940005"</f>
        <v>3328056004940005</v>
      </c>
      <c r="C856" s="7" t="s">
        <v>2005</v>
      </c>
      <c r="D856" s="7" t="s">
        <v>10</v>
      </c>
      <c r="E856" s="7" t="s">
        <v>11</v>
      </c>
      <c r="F856" s="7" t="s">
        <v>91</v>
      </c>
      <c r="G856" s="7" t="s">
        <v>159</v>
      </c>
      <c r="H856" s="7" t="s">
        <v>685</v>
      </c>
      <c r="I856" s="8" t="s">
        <v>686</v>
      </c>
    </row>
    <row r="857" spans="1:12" hidden="1" x14ac:dyDescent="0.35">
      <c r="A857" s="6">
        <v>1345336</v>
      </c>
      <c r="B857" s="7" t="str">
        <f>"3328056006850005"</f>
        <v>3328056006850005</v>
      </c>
      <c r="C857" s="7" t="s">
        <v>2006</v>
      </c>
      <c r="D857" s="7" t="s">
        <v>10</v>
      </c>
      <c r="E857" s="7" t="s">
        <v>11</v>
      </c>
      <c r="F857" s="7" t="s">
        <v>18</v>
      </c>
      <c r="G857" s="7" t="s">
        <v>264</v>
      </c>
      <c r="H857" s="7" t="s">
        <v>265</v>
      </c>
      <c r="I857" s="8" t="s">
        <v>2007</v>
      </c>
    </row>
    <row r="858" spans="1:12" hidden="1" x14ac:dyDescent="0.35">
      <c r="A858" s="6">
        <v>3816321</v>
      </c>
      <c r="B858" s="7" t="str">
        <f>"3328056006880003"</f>
        <v>3328056006880003</v>
      </c>
      <c r="C858" s="7" t="s">
        <v>2009</v>
      </c>
      <c r="D858" s="7" t="s">
        <v>10</v>
      </c>
      <c r="E858" s="7" t="s">
        <v>11</v>
      </c>
      <c r="F858" s="7" t="s">
        <v>91</v>
      </c>
      <c r="G858" s="7" t="s">
        <v>650</v>
      </c>
      <c r="H858" s="7" t="s">
        <v>1752</v>
      </c>
      <c r="I858" s="8" t="s">
        <v>1753</v>
      </c>
    </row>
    <row r="859" spans="1:12" hidden="1" x14ac:dyDescent="0.35">
      <c r="A859" s="13">
        <v>1549228</v>
      </c>
      <c r="B859" s="14" t="str">
        <f>"3328056006920001"</f>
        <v>3328056006920001</v>
      </c>
      <c r="C859" s="14" t="s">
        <v>2010</v>
      </c>
      <c r="D859" s="14" t="s">
        <v>10</v>
      </c>
      <c r="E859" s="14" t="s">
        <v>11</v>
      </c>
      <c r="F859" s="14" t="s">
        <v>18</v>
      </c>
      <c r="G859" s="14" t="s">
        <v>19</v>
      </c>
      <c r="H859" s="14" t="s">
        <v>1720</v>
      </c>
      <c r="I859" s="15" t="s">
        <v>1771</v>
      </c>
      <c r="J859" s="16" t="str">
        <f>VLOOKUP(B859,baru!$B$2:$I$2271,4,FALSE)</f>
        <v>Reguler</v>
      </c>
      <c r="K859" s="16" t="str">
        <f>VLOOKUP(B859,baru!$B$2:$I$2271,5,FALSE)</f>
        <v>DKI JAKARTA</v>
      </c>
      <c r="L859" s="16" t="str">
        <f>VLOOKUP(B859,baru!$B$2:$I$2271,6,FALSE)</f>
        <v>KOTA JAKARTA PUSAT</v>
      </c>
    </row>
    <row r="860" spans="1:12" hidden="1" x14ac:dyDescent="0.35">
      <c r="A860" s="13">
        <v>1624253</v>
      </c>
      <c r="B860" s="14" t="str">
        <f>"3328056104960003"</f>
        <v>3328056104960003</v>
      </c>
      <c r="C860" s="14" t="s">
        <v>2011</v>
      </c>
      <c r="D860" s="14" t="s">
        <v>10</v>
      </c>
      <c r="E860" s="14" t="s">
        <v>11</v>
      </c>
      <c r="F860" s="14" t="s">
        <v>18</v>
      </c>
      <c r="G860" s="14" t="s">
        <v>19</v>
      </c>
      <c r="H860" s="14" t="s">
        <v>1720</v>
      </c>
      <c r="I860" s="15" t="s">
        <v>1777</v>
      </c>
      <c r="J860" s="16" t="str">
        <f>VLOOKUP(B860,baru!$B$2:$I$2271,4,FALSE)</f>
        <v>Reguler</v>
      </c>
      <c r="K860" s="16" t="str">
        <f>VLOOKUP(B860,baru!$B$2:$I$2271,5,FALSE)</f>
        <v>JAWA TENGAH</v>
      </c>
      <c r="L860" s="16" t="str">
        <f>VLOOKUP(B860,baru!$B$2:$I$2271,6,FALSE)</f>
        <v>PURWOREJO</v>
      </c>
    </row>
    <row r="861" spans="1:12" hidden="1" x14ac:dyDescent="0.35">
      <c r="A861" s="17">
        <v>1350701</v>
      </c>
      <c r="B861" s="18" t="str">
        <f>"3328056309990005"</f>
        <v>3328056309990005</v>
      </c>
      <c r="C861" s="18" t="s">
        <v>2014</v>
      </c>
      <c r="D861" s="18" t="s">
        <v>10</v>
      </c>
      <c r="E861" s="18" t="s">
        <v>11</v>
      </c>
      <c r="F861" s="18" t="s">
        <v>18</v>
      </c>
      <c r="G861" s="18" t="s">
        <v>19</v>
      </c>
      <c r="H861" s="18" t="s">
        <v>1720</v>
      </c>
      <c r="I861" s="19" t="s">
        <v>789</v>
      </c>
      <c r="J861" s="20" t="str">
        <f>VLOOKUP(B861,baru!$B$2:$I$2271,4,FALSE)</f>
        <v>Khusus</v>
      </c>
      <c r="K861" s="20" t="str">
        <f>VLOOKUP(B861,baru!$B$2:$I$2271,5,FALSE)</f>
        <v>DAERAH ISTIMEWA YOGYAKARTA</v>
      </c>
      <c r="L861" s="20" t="str">
        <f>VLOOKUP(B861,baru!$B$2:$I$2271,6,FALSE)</f>
        <v>KOTA YOGYAKARTA</v>
      </c>
    </row>
    <row r="862" spans="1:12" hidden="1" x14ac:dyDescent="0.35">
      <c r="A862" s="6">
        <v>690208</v>
      </c>
      <c r="B862" s="7" t="str">
        <f>"3328056401840004"</f>
        <v>3328056401840004</v>
      </c>
      <c r="C862" s="7" t="s">
        <v>2017</v>
      </c>
      <c r="D862" s="7" t="s">
        <v>10</v>
      </c>
      <c r="E862" s="7" t="s">
        <v>11</v>
      </c>
      <c r="F862" s="7" t="s">
        <v>50</v>
      </c>
      <c r="G862" s="7" t="s">
        <v>280</v>
      </c>
      <c r="H862" s="7" t="s">
        <v>402</v>
      </c>
      <c r="I862" s="8" t="s">
        <v>1249</v>
      </c>
    </row>
    <row r="863" spans="1:12" hidden="1" x14ac:dyDescent="0.35">
      <c r="A863" s="6">
        <v>1784028</v>
      </c>
      <c r="B863" s="7" t="str">
        <f>"3328056406030001"</f>
        <v>3328056406030001</v>
      </c>
      <c r="C863" s="7" t="s">
        <v>2019</v>
      </c>
      <c r="D863" s="7" t="s">
        <v>10</v>
      </c>
      <c r="E863" s="7" t="s">
        <v>11</v>
      </c>
      <c r="F863" s="7" t="s">
        <v>50</v>
      </c>
      <c r="G863" s="7" t="s">
        <v>86</v>
      </c>
      <c r="H863" s="7" t="s">
        <v>445</v>
      </c>
      <c r="I863" s="8" t="s">
        <v>1848</v>
      </c>
    </row>
    <row r="864" spans="1:12" hidden="1" x14ac:dyDescent="0.35">
      <c r="A864" s="6">
        <v>1546737</v>
      </c>
      <c r="B864" s="7" t="str">
        <f>"3328056505940005"</f>
        <v>3328056505940005</v>
      </c>
      <c r="C864" s="7" t="s">
        <v>2021</v>
      </c>
      <c r="D864" s="7" t="s">
        <v>10</v>
      </c>
      <c r="E864" s="7" t="s">
        <v>11</v>
      </c>
      <c r="F864" s="7" t="s">
        <v>50</v>
      </c>
      <c r="G864" s="7" t="s">
        <v>86</v>
      </c>
      <c r="H864" s="7" t="s">
        <v>1268</v>
      </c>
      <c r="I864" s="8" t="s">
        <v>1978</v>
      </c>
    </row>
    <row r="865" spans="1:12" hidden="1" x14ac:dyDescent="0.35">
      <c r="A865" s="13">
        <v>1614064</v>
      </c>
      <c r="B865" s="14" t="str">
        <f>"3328056509760001"</f>
        <v>3328056509760001</v>
      </c>
      <c r="C865" s="14" t="s">
        <v>2023</v>
      </c>
      <c r="D865" s="14" t="s">
        <v>10</v>
      </c>
      <c r="E865" s="14" t="s">
        <v>11</v>
      </c>
      <c r="F865" s="14" t="s">
        <v>18</v>
      </c>
      <c r="G865" s="14" t="s">
        <v>19</v>
      </c>
      <c r="H865" s="14" t="s">
        <v>1720</v>
      </c>
      <c r="I865" s="15" t="s">
        <v>1721</v>
      </c>
      <c r="J865" s="16" t="str">
        <f>VLOOKUP(B865,baru!$B$2:$I$2271,4,FALSE)</f>
        <v>Reguler</v>
      </c>
      <c r="K865" s="16" t="str">
        <f>VLOOKUP(B865,baru!$B$2:$I$2271,5,FALSE)</f>
        <v>JAWA TIMUR</v>
      </c>
      <c r="L865" s="16" t="str">
        <f>VLOOKUP(B865,baru!$B$2:$I$2271,6,FALSE)</f>
        <v>BOJONEGORO</v>
      </c>
    </row>
    <row r="866" spans="1:12" hidden="1" x14ac:dyDescent="0.35">
      <c r="A866" s="13">
        <v>1360493</v>
      </c>
      <c r="B866" s="14" t="str">
        <f>"3328056512940002"</f>
        <v>3328056512940002</v>
      </c>
      <c r="C866" s="14" t="s">
        <v>2024</v>
      </c>
      <c r="D866" s="14" t="s">
        <v>10</v>
      </c>
      <c r="E866" s="14" t="s">
        <v>11</v>
      </c>
      <c r="F866" s="14" t="s">
        <v>18</v>
      </c>
      <c r="G866" s="14" t="s">
        <v>19</v>
      </c>
      <c r="H866" s="14" t="s">
        <v>1720</v>
      </c>
      <c r="I866" s="15" t="s">
        <v>1740</v>
      </c>
      <c r="J866" s="16" t="str">
        <f>VLOOKUP(B866,baru!$B$2:$I$2271,4,FALSE)</f>
        <v>Reguler</v>
      </c>
      <c r="K866" s="16" t="str">
        <f>VLOOKUP(B866,baru!$B$2:$I$2271,5,FALSE)</f>
        <v>JAWA TENGAH</v>
      </c>
      <c r="L866" s="16" t="str">
        <f>VLOOKUP(B866,baru!$B$2:$I$2271,6,FALSE)</f>
        <v>WONOGIRI</v>
      </c>
    </row>
    <row r="867" spans="1:12" hidden="1" x14ac:dyDescent="0.35">
      <c r="A867" s="6">
        <v>2059114</v>
      </c>
      <c r="B867" s="7" t="str">
        <f>"3328056703730003"</f>
        <v>3328056703730003</v>
      </c>
      <c r="C867" s="7" t="s">
        <v>2026</v>
      </c>
      <c r="D867" s="7" t="s">
        <v>10</v>
      </c>
      <c r="E867" s="7" t="s">
        <v>11</v>
      </c>
      <c r="F867" s="7" t="s">
        <v>50</v>
      </c>
      <c r="G867" s="7" t="s">
        <v>58</v>
      </c>
      <c r="H867" s="7" t="s">
        <v>1742</v>
      </c>
      <c r="I867" s="8" t="s">
        <v>1742</v>
      </c>
    </row>
    <row r="868" spans="1:12" hidden="1" x14ac:dyDescent="0.35">
      <c r="A868" s="13">
        <v>1553682</v>
      </c>
      <c r="B868" s="14" t="str">
        <f>"3328056706760002"</f>
        <v>3328056706760002</v>
      </c>
      <c r="C868" s="14" t="s">
        <v>2027</v>
      </c>
      <c r="D868" s="14" t="s">
        <v>10</v>
      </c>
      <c r="E868" s="14" t="s">
        <v>11</v>
      </c>
      <c r="F868" s="14" t="s">
        <v>18</v>
      </c>
      <c r="G868" s="14" t="s">
        <v>19</v>
      </c>
      <c r="H868" s="14" t="s">
        <v>1720</v>
      </c>
      <c r="I868" s="15" t="s">
        <v>1720</v>
      </c>
      <c r="J868" s="16" t="str">
        <f>VLOOKUP(B868,baru!$B$2:$I$2271,4,FALSE)</f>
        <v>Reguler</v>
      </c>
      <c r="K868" s="16" t="str">
        <f>VLOOKUP(B868,baru!$B$2:$I$2271,5,FALSE)</f>
        <v>DKI JAKARTA</v>
      </c>
      <c r="L868" s="16" t="str">
        <f>VLOOKUP(B868,baru!$B$2:$I$2271,6,FALSE)</f>
        <v>KOTA JAKARTA TIMUR</v>
      </c>
    </row>
    <row r="869" spans="1:12" hidden="1" x14ac:dyDescent="0.35">
      <c r="A869" s="6">
        <v>2383650</v>
      </c>
      <c r="B869" s="7" t="str">
        <f>"3328056804900003"</f>
        <v>3328056804900003</v>
      </c>
      <c r="C869" s="7" t="s">
        <v>2028</v>
      </c>
      <c r="D869" s="7" t="s">
        <v>10</v>
      </c>
      <c r="E869" s="7" t="s">
        <v>11</v>
      </c>
      <c r="F869" s="7" t="s">
        <v>50</v>
      </c>
      <c r="G869" s="7" t="s">
        <v>58</v>
      </c>
      <c r="H869" s="7" t="s">
        <v>417</v>
      </c>
      <c r="I869" s="8" t="s">
        <v>59</v>
      </c>
    </row>
    <row r="870" spans="1:12" hidden="1" x14ac:dyDescent="0.35">
      <c r="A870" s="6">
        <v>1382866</v>
      </c>
      <c r="B870" s="7" t="str">
        <f>"3328056912970002"</f>
        <v>3328056912970002</v>
      </c>
      <c r="C870" s="7" t="s">
        <v>2029</v>
      </c>
      <c r="D870" s="7" t="s">
        <v>10</v>
      </c>
      <c r="E870" s="7" t="s">
        <v>11</v>
      </c>
      <c r="F870" s="7" t="s">
        <v>18</v>
      </c>
      <c r="G870" s="7" t="s">
        <v>264</v>
      </c>
      <c r="H870" s="7" t="s">
        <v>265</v>
      </c>
      <c r="I870" s="8" t="s">
        <v>1628</v>
      </c>
    </row>
    <row r="871" spans="1:12" hidden="1" x14ac:dyDescent="0.35">
      <c r="A871" s="13">
        <v>2141747</v>
      </c>
      <c r="B871" s="14" t="str">
        <f>"3328057008000001"</f>
        <v>3328057008000001</v>
      </c>
      <c r="C871" s="14" t="s">
        <v>2031</v>
      </c>
      <c r="D871" s="14" t="s">
        <v>10</v>
      </c>
      <c r="E871" s="14" t="s">
        <v>11</v>
      </c>
      <c r="F871" s="14" t="s">
        <v>18</v>
      </c>
      <c r="G871" s="14" t="s">
        <v>19</v>
      </c>
      <c r="H871" s="14" t="s">
        <v>1720</v>
      </c>
      <c r="I871" s="15" t="s">
        <v>1737</v>
      </c>
      <c r="J871" s="16" t="str">
        <f>VLOOKUP(B871,baru!$B$2:$I$2271,4,FALSE)</f>
        <v>Reguler</v>
      </c>
      <c r="K871" s="16" t="str">
        <f>VLOOKUP(B871,baru!$B$2:$I$2271,5,FALSE)</f>
        <v>JAWA TENGAH</v>
      </c>
      <c r="L871" s="16" t="str">
        <f>VLOOKUP(B871,baru!$B$2:$I$2271,6,FALSE)</f>
        <v>BREBES</v>
      </c>
    </row>
    <row r="872" spans="1:12" hidden="1" x14ac:dyDescent="0.35">
      <c r="A872" s="13">
        <v>1364437</v>
      </c>
      <c r="B872" s="14" t="str">
        <f>"3328057112630019"</f>
        <v>3328057112630019</v>
      </c>
      <c r="C872" s="14" t="s">
        <v>2032</v>
      </c>
      <c r="D872" s="14" t="s">
        <v>10</v>
      </c>
      <c r="E872" s="14" t="s">
        <v>11</v>
      </c>
      <c r="F872" s="14" t="s">
        <v>18</v>
      </c>
      <c r="G872" s="14" t="s">
        <v>19</v>
      </c>
      <c r="H872" s="14" t="s">
        <v>1720</v>
      </c>
      <c r="I872" s="15" t="s">
        <v>1740</v>
      </c>
      <c r="J872" s="16" t="str">
        <f>VLOOKUP(B872,baru!$B$2:$I$2271,4,FALSE)</f>
        <v>Reguler</v>
      </c>
      <c r="K872" s="16" t="str">
        <f>VLOOKUP(B872,baru!$B$2:$I$2271,5,FALSE)</f>
        <v>DKI JAKARTA</v>
      </c>
      <c r="L872" s="16" t="str">
        <f>VLOOKUP(B872,baru!$B$2:$I$2271,6,FALSE)</f>
        <v>KOTA JAKARTA SELATAN</v>
      </c>
    </row>
    <row r="873" spans="1:12" hidden="1" x14ac:dyDescent="0.35">
      <c r="A873" s="6">
        <v>126761</v>
      </c>
      <c r="B873" s="7" t="str">
        <f>"3328110501850010"</f>
        <v>3328110501850010</v>
      </c>
      <c r="C873" s="7" t="s">
        <v>2034</v>
      </c>
      <c r="D873" s="7" t="s">
        <v>10</v>
      </c>
      <c r="E873" s="7" t="s">
        <v>11</v>
      </c>
      <c r="F873" s="7" t="s">
        <v>1959</v>
      </c>
      <c r="G873" s="7" t="s">
        <v>1960</v>
      </c>
      <c r="H873" s="7" t="s">
        <v>1961</v>
      </c>
      <c r="I873" s="8" t="s">
        <v>1962</v>
      </c>
    </row>
    <row r="874" spans="1:12" hidden="1" x14ac:dyDescent="0.35">
      <c r="A874" s="13">
        <v>2138772</v>
      </c>
      <c r="B874" s="14" t="str">
        <f>"3329035006930009"</f>
        <v>3329035006930009</v>
      </c>
      <c r="C874" s="14" t="s">
        <v>1997</v>
      </c>
      <c r="D874" s="14" t="s">
        <v>10</v>
      </c>
      <c r="E874" s="14" t="s">
        <v>11</v>
      </c>
      <c r="F874" s="14" t="s">
        <v>18</v>
      </c>
      <c r="G874" s="14" t="s">
        <v>19</v>
      </c>
      <c r="H874" s="14" t="s">
        <v>1720</v>
      </c>
      <c r="I874" s="15" t="s">
        <v>1723</v>
      </c>
      <c r="J874" s="16" t="str">
        <f>VLOOKUP(B874,baru!$B$2:$I$2271,4,FALSE)</f>
        <v>Reguler</v>
      </c>
      <c r="K874" s="16" t="str">
        <f>VLOOKUP(B874,baru!$B$2:$I$2271,5,FALSE)</f>
        <v>JAWA TENGAH</v>
      </c>
      <c r="L874" s="16" t="str">
        <f>VLOOKUP(B874,baru!$B$2:$I$2271,6,FALSE)</f>
        <v>BREBES</v>
      </c>
    </row>
    <row r="875" spans="1:12" hidden="1" x14ac:dyDescent="0.35">
      <c r="A875" s="6">
        <v>424483</v>
      </c>
      <c r="B875" s="7" t="str">
        <f>"3329040409930004"</f>
        <v>3329040409930004</v>
      </c>
      <c r="C875" s="7" t="s">
        <v>2035</v>
      </c>
      <c r="D875" s="7" t="s">
        <v>10</v>
      </c>
      <c r="E875" s="7" t="s">
        <v>11</v>
      </c>
      <c r="F875" s="7" t="s">
        <v>18</v>
      </c>
      <c r="G875" s="7" t="s">
        <v>264</v>
      </c>
      <c r="H875" s="7" t="s">
        <v>396</v>
      </c>
      <c r="I875" s="8" t="s">
        <v>2036</v>
      </c>
    </row>
    <row r="876" spans="1:12" hidden="1" x14ac:dyDescent="0.35">
      <c r="A876" s="13">
        <v>1549380</v>
      </c>
      <c r="B876" s="14" t="str">
        <f>"3329040605970003"</f>
        <v>3329040605970003</v>
      </c>
      <c r="C876" s="14" t="s">
        <v>2038</v>
      </c>
      <c r="D876" s="14" t="s">
        <v>10</v>
      </c>
      <c r="E876" s="14" t="s">
        <v>11</v>
      </c>
      <c r="F876" s="14" t="s">
        <v>18</v>
      </c>
      <c r="G876" s="14" t="s">
        <v>19</v>
      </c>
      <c r="H876" s="14" t="s">
        <v>1720</v>
      </c>
      <c r="I876" s="15" t="s">
        <v>1771</v>
      </c>
      <c r="J876" s="16" t="str">
        <f>VLOOKUP(B876,baru!$B$2:$I$2271,4,FALSE)</f>
        <v>Reguler</v>
      </c>
      <c r="K876" s="16" t="str">
        <f>VLOOKUP(B876,baru!$B$2:$I$2271,5,FALSE)</f>
        <v>JAWA TENGAH</v>
      </c>
      <c r="L876" s="16" t="str">
        <f>VLOOKUP(B876,baru!$B$2:$I$2271,6,FALSE)</f>
        <v>BREBES</v>
      </c>
    </row>
    <row r="877" spans="1:12" hidden="1" x14ac:dyDescent="0.35">
      <c r="A877" s="13">
        <v>1549381</v>
      </c>
      <c r="B877" s="14" t="str">
        <f>"3329044908920001"</f>
        <v>3329044908920001</v>
      </c>
      <c r="C877" s="14" t="s">
        <v>2040</v>
      </c>
      <c r="D877" s="14" t="s">
        <v>10</v>
      </c>
      <c r="E877" s="14" t="s">
        <v>11</v>
      </c>
      <c r="F877" s="14" t="s">
        <v>18</v>
      </c>
      <c r="G877" s="14" t="s">
        <v>19</v>
      </c>
      <c r="H877" s="14" t="s">
        <v>1720</v>
      </c>
      <c r="I877" s="15" t="s">
        <v>1771</v>
      </c>
      <c r="J877" s="16" t="str">
        <f>VLOOKUP(B877,baru!$B$2:$I$2271,4,FALSE)</f>
        <v>Reguler</v>
      </c>
      <c r="K877" s="16" t="str">
        <f>VLOOKUP(B877,baru!$B$2:$I$2271,5,FALSE)</f>
        <v>JAWA TENGAH</v>
      </c>
      <c r="L877" s="16" t="str">
        <f>VLOOKUP(B877,baru!$B$2:$I$2271,6,FALSE)</f>
        <v>BREBES</v>
      </c>
    </row>
    <row r="878" spans="1:12" hidden="1" x14ac:dyDescent="0.35">
      <c r="A878" s="13">
        <v>1365861</v>
      </c>
      <c r="B878" s="14" t="str">
        <f>"3329070106880004"</f>
        <v>3329070106880004</v>
      </c>
      <c r="C878" s="14" t="s">
        <v>2041</v>
      </c>
      <c r="D878" s="14" t="s">
        <v>10</v>
      </c>
      <c r="E878" s="14" t="s">
        <v>11</v>
      </c>
      <c r="F878" s="14" t="s">
        <v>18</v>
      </c>
      <c r="G878" s="14" t="s">
        <v>19</v>
      </c>
      <c r="H878" s="14" t="s">
        <v>1720</v>
      </c>
      <c r="I878" s="15" t="s">
        <v>1740</v>
      </c>
      <c r="J878" s="16" t="str">
        <f>VLOOKUP(B878,baru!$B$2:$I$2271,4,FALSE)</f>
        <v>Reguler</v>
      </c>
      <c r="K878" s="16" t="str">
        <f>VLOOKUP(B878,baru!$B$2:$I$2271,5,FALSE)</f>
        <v>JAWA TENGAH</v>
      </c>
      <c r="L878" s="16" t="str">
        <f>VLOOKUP(B878,baru!$B$2:$I$2271,6,FALSE)</f>
        <v>BREBES</v>
      </c>
    </row>
    <row r="879" spans="1:12" hidden="1" x14ac:dyDescent="0.35">
      <c r="A879" s="6">
        <v>1378739</v>
      </c>
      <c r="B879" s="7" t="str">
        <f>"3329070111850002"</f>
        <v>3329070111850002</v>
      </c>
      <c r="C879" s="7" t="s">
        <v>1892</v>
      </c>
      <c r="D879" s="7" t="s">
        <v>10</v>
      </c>
      <c r="E879" s="7" t="s">
        <v>11</v>
      </c>
      <c r="F879" s="7" t="s">
        <v>18</v>
      </c>
      <c r="G879" s="7" t="s">
        <v>264</v>
      </c>
      <c r="H879" s="7" t="s">
        <v>265</v>
      </c>
      <c r="I879" s="8" t="s">
        <v>1628</v>
      </c>
    </row>
    <row r="880" spans="1:12" x14ac:dyDescent="0.35">
      <c r="A880" s="6">
        <v>1315352</v>
      </c>
      <c r="B880" s="7" t="str">
        <f>"3329070808870004"</f>
        <v>3329070808870004</v>
      </c>
      <c r="C880" s="7" t="s">
        <v>1386</v>
      </c>
      <c r="D880" s="7" t="s">
        <v>189</v>
      </c>
      <c r="E880" s="7" t="s">
        <v>11</v>
      </c>
      <c r="F880" s="7" t="s">
        <v>18</v>
      </c>
      <c r="G880" s="7" t="s">
        <v>264</v>
      </c>
      <c r="H880" s="7" t="s">
        <v>265</v>
      </c>
      <c r="I880" s="8" t="s">
        <v>1869</v>
      </c>
    </row>
    <row r="881" spans="1:12" hidden="1" x14ac:dyDescent="0.35">
      <c r="A881" s="6">
        <v>1283054</v>
      </c>
      <c r="B881" s="7" t="str">
        <f>"3329071109840006"</f>
        <v>3329071109840006</v>
      </c>
      <c r="C881" s="7" t="s">
        <v>2046</v>
      </c>
      <c r="D881" s="7" t="s">
        <v>10</v>
      </c>
      <c r="E881" s="7" t="s">
        <v>11</v>
      </c>
      <c r="F881" s="7" t="s">
        <v>18</v>
      </c>
      <c r="G881" s="7" t="s">
        <v>264</v>
      </c>
      <c r="H881" s="7" t="s">
        <v>265</v>
      </c>
      <c r="I881" s="8" t="s">
        <v>1598</v>
      </c>
    </row>
    <row r="882" spans="1:12" hidden="1" x14ac:dyDescent="0.35">
      <c r="A882" s="6">
        <v>1215143</v>
      </c>
      <c r="B882" s="7" t="str">
        <f>"3329071701920002"</f>
        <v>3329071701920002</v>
      </c>
      <c r="C882" s="7" t="s">
        <v>2048</v>
      </c>
      <c r="D882" s="7" t="s">
        <v>10</v>
      </c>
      <c r="E882" s="7" t="s">
        <v>11</v>
      </c>
      <c r="F882" s="7" t="s">
        <v>18</v>
      </c>
      <c r="G882" s="7" t="s">
        <v>264</v>
      </c>
      <c r="H882" s="7" t="s">
        <v>265</v>
      </c>
      <c r="I882" s="8" t="s">
        <v>1910</v>
      </c>
    </row>
    <row r="883" spans="1:12" hidden="1" x14ac:dyDescent="0.35">
      <c r="A883" s="6">
        <v>1345335</v>
      </c>
      <c r="B883" s="7" t="str">
        <f>"3329072001680001"</f>
        <v>3329072001680001</v>
      </c>
      <c r="C883" s="7" t="s">
        <v>2049</v>
      </c>
      <c r="D883" s="7" t="s">
        <v>10</v>
      </c>
      <c r="E883" s="7" t="s">
        <v>11</v>
      </c>
      <c r="F883" s="7" t="s">
        <v>18</v>
      </c>
      <c r="G883" s="7" t="s">
        <v>264</v>
      </c>
      <c r="H883" s="7" t="s">
        <v>265</v>
      </c>
      <c r="I883" s="8" t="s">
        <v>2007</v>
      </c>
    </row>
    <row r="884" spans="1:12" hidden="1" x14ac:dyDescent="0.35">
      <c r="A884" s="6">
        <v>1340454</v>
      </c>
      <c r="B884" s="7" t="str">
        <f>"3329072102990002"</f>
        <v>3329072102990002</v>
      </c>
      <c r="C884" s="7" t="s">
        <v>2051</v>
      </c>
      <c r="D884" s="7" t="s">
        <v>10</v>
      </c>
      <c r="E884" s="7" t="s">
        <v>11</v>
      </c>
      <c r="F884" s="7" t="s">
        <v>18</v>
      </c>
      <c r="G884" s="7" t="s">
        <v>264</v>
      </c>
      <c r="H884" s="7" t="s">
        <v>265</v>
      </c>
      <c r="I884" s="8" t="s">
        <v>2007</v>
      </c>
    </row>
    <row r="885" spans="1:12" hidden="1" x14ac:dyDescent="0.35">
      <c r="A885" s="13">
        <v>1363611</v>
      </c>
      <c r="B885" s="14" t="str">
        <f>"3329072403900002"</f>
        <v>3329072403900002</v>
      </c>
      <c r="C885" s="14" t="s">
        <v>2052</v>
      </c>
      <c r="D885" s="14" t="s">
        <v>10</v>
      </c>
      <c r="E885" s="14" t="s">
        <v>11</v>
      </c>
      <c r="F885" s="14" t="s">
        <v>18</v>
      </c>
      <c r="G885" s="14" t="s">
        <v>19</v>
      </c>
      <c r="H885" s="14" t="s">
        <v>1720</v>
      </c>
      <c r="I885" s="15" t="s">
        <v>1740</v>
      </c>
      <c r="J885" s="16" t="str">
        <f>VLOOKUP(B885,baru!$B$2:$I$2271,4,FALSE)</f>
        <v>Reguler</v>
      </c>
      <c r="K885" s="16" t="str">
        <f>VLOOKUP(B885,baru!$B$2:$I$2271,5,FALSE)</f>
        <v>JAWA TENGAH</v>
      </c>
      <c r="L885" s="16" t="str">
        <f>VLOOKUP(B885,baru!$B$2:$I$2271,6,FALSE)</f>
        <v>BREBES</v>
      </c>
    </row>
    <row r="886" spans="1:12" hidden="1" x14ac:dyDescent="0.35">
      <c r="A886" s="13">
        <v>1349828</v>
      </c>
      <c r="B886" s="14" t="str">
        <f>"3329072506860003"</f>
        <v>3329072506860003</v>
      </c>
      <c r="C886" s="14" t="s">
        <v>2054</v>
      </c>
      <c r="D886" s="14" t="s">
        <v>10</v>
      </c>
      <c r="E886" s="14" t="s">
        <v>11</v>
      </c>
      <c r="F886" s="14" t="s">
        <v>18</v>
      </c>
      <c r="G886" s="14" t="s">
        <v>19</v>
      </c>
      <c r="H886" s="14" t="s">
        <v>1720</v>
      </c>
      <c r="I886" s="15" t="s">
        <v>1381</v>
      </c>
      <c r="J886" s="16" t="str">
        <f>VLOOKUP(B886,baru!$B$2:$I$2271,4,FALSE)</f>
        <v>Reguler</v>
      </c>
      <c r="K886" s="16" t="str">
        <f>VLOOKUP(B886,baru!$B$2:$I$2271,5,FALSE)</f>
        <v>JAWA TENGAH</v>
      </c>
      <c r="L886" s="16" t="str">
        <f>VLOOKUP(B886,baru!$B$2:$I$2271,6,FALSE)</f>
        <v>BREBES</v>
      </c>
    </row>
    <row r="887" spans="1:12" hidden="1" x14ac:dyDescent="0.35">
      <c r="A887" s="6">
        <v>1342280</v>
      </c>
      <c r="B887" s="7" t="str">
        <f>"3329074210860001"</f>
        <v>3329074210860001</v>
      </c>
      <c r="C887" s="7" t="s">
        <v>2056</v>
      </c>
      <c r="D887" s="7" t="s">
        <v>10</v>
      </c>
      <c r="E887" s="7" t="s">
        <v>11</v>
      </c>
      <c r="F887" s="7" t="s">
        <v>18</v>
      </c>
      <c r="G887" s="7" t="s">
        <v>264</v>
      </c>
      <c r="H887" s="7" t="s">
        <v>265</v>
      </c>
      <c r="I887" s="8" t="s">
        <v>2007</v>
      </c>
    </row>
    <row r="888" spans="1:12" hidden="1" x14ac:dyDescent="0.35">
      <c r="A888" s="6">
        <v>1324765</v>
      </c>
      <c r="B888" s="7" t="str">
        <f>"3329076403940001"</f>
        <v>3329076403940001</v>
      </c>
      <c r="C888" s="7" t="s">
        <v>2058</v>
      </c>
      <c r="D888" s="7" t="s">
        <v>10</v>
      </c>
      <c r="E888" s="7" t="s">
        <v>11</v>
      </c>
      <c r="F888" s="7" t="s">
        <v>18</v>
      </c>
      <c r="G888" s="7" t="s">
        <v>264</v>
      </c>
      <c r="H888" s="7" t="s">
        <v>265</v>
      </c>
      <c r="I888" s="8" t="s">
        <v>1878</v>
      </c>
    </row>
    <row r="889" spans="1:12" hidden="1" x14ac:dyDescent="0.35">
      <c r="A889" s="6">
        <v>1343028</v>
      </c>
      <c r="B889" s="7" t="str">
        <f>"3329076408960002"</f>
        <v>3329076408960002</v>
      </c>
      <c r="C889" s="7" t="s">
        <v>2059</v>
      </c>
      <c r="D889" s="7" t="s">
        <v>10</v>
      </c>
      <c r="E889" s="7" t="s">
        <v>11</v>
      </c>
      <c r="F889" s="7" t="s">
        <v>18</v>
      </c>
      <c r="G889" s="7" t="s">
        <v>264</v>
      </c>
      <c r="H889" s="7" t="s">
        <v>265</v>
      </c>
      <c r="I889" s="8" t="s">
        <v>2007</v>
      </c>
    </row>
    <row r="890" spans="1:12" hidden="1" x14ac:dyDescent="0.35">
      <c r="A890" s="13">
        <v>2130874</v>
      </c>
      <c r="B890" s="14" t="str">
        <f>"3329076507950001"</f>
        <v>3329076507950001</v>
      </c>
      <c r="C890" s="14" t="s">
        <v>2060</v>
      </c>
      <c r="D890" s="14" t="s">
        <v>10</v>
      </c>
      <c r="E890" s="14" t="s">
        <v>11</v>
      </c>
      <c r="F890" s="14" t="s">
        <v>18</v>
      </c>
      <c r="G890" s="14" t="s">
        <v>19</v>
      </c>
      <c r="H890" s="14" t="s">
        <v>1720</v>
      </c>
      <c r="I890" s="15" t="s">
        <v>1727</v>
      </c>
      <c r="J890" s="16" t="str">
        <f>VLOOKUP(B890,baru!$B$2:$I$2271,4,FALSE)</f>
        <v>Reguler</v>
      </c>
      <c r="K890" s="16" t="str">
        <f>VLOOKUP(B890,baru!$B$2:$I$2271,5,FALSE)</f>
        <v>JAWA TENGAH</v>
      </c>
      <c r="L890" s="16" t="str">
        <f>VLOOKUP(B890,baru!$B$2:$I$2271,6,FALSE)</f>
        <v>BREBES</v>
      </c>
    </row>
    <row r="891" spans="1:12" hidden="1" x14ac:dyDescent="0.35">
      <c r="A891" s="6">
        <v>1229709</v>
      </c>
      <c r="B891" s="7" t="str">
        <f>"3329076703860008"</f>
        <v>3329076703860008</v>
      </c>
      <c r="C891" s="7" t="s">
        <v>2062</v>
      </c>
      <c r="D891" s="7" t="s">
        <v>10</v>
      </c>
      <c r="E891" s="7" t="s">
        <v>11</v>
      </c>
      <c r="F891" s="7" t="s">
        <v>18</v>
      </c>
      <c r="G891" s="7" t="s">
        <v>264</v>
      </c>
      <c r="H891" s="7" t="s">
        <v>265</v>
      </c>
      <c r="I891" s="8" t="s">
        <v>982</v>
      </c>
    </row>
    <row r="892" spans="1:12" hidden="1" x14ac:dyDescent="0.35">
      <c r="A892" s="6">
        <v>735050</v>
      </c>
      <c r="B892" s="7" t="str">
        <f>"3329076803960005"</f>
        <v>3329076803960005</v>
      </c>
      <c r="C892" s="7" t="s">
        <v>2064</v>
      </c>
      <c r="D892" s="7" t="s">
        <v>10</v>
      </c>
      <c r="E892" s="7" t="s">
        <v>11</v>
      </c>
      <c r="F892" s="7" t="s">
        <v>18</v>
      </c>
      <c r="G892" s="7" t="s">
        <v>264</v>
      </c>
      <c r="H892" s="7" t="s">
        <v>248</v>
      </c>
      <c r="I892" s="8" t="s">
        <v>1915</v>
      </c>
    </row>
    <row r="893" spans="1:12" hidden="1" x14ac:dyDescent="0.35">
      <c r="A893" s="6">
        <v>1074730</v>
      </c>
      <c r="B893" s="7" t="str">
        <f>"3329082812860003"</f>
        <v>3329082812860003</v>
      </c>
      <c r="C893" s="7" t="s">
        <v>2065</v>
      </c>
      <c r="D893" s="7" t="s">
        <v>10</v>
      </c>
      <c r="E893" s="7" t="s">
        <v>11</v>
      </c>
      <c r="F893" s="7" t="s">
        <v>18</v>
      </c>
      <c r="G893" s="7" t="s">
        <v>264</v>
      </c>
      <c r="H893" s="7" t="s">
        <v>248</v>
      </c>
      <c r="I893" s="8" t="s">
        <v>2066</v>
      </c>
    </row>
    <row r="894" spans="1:12" x14ac:dyDescent="0.35">
      <c r="A894" s="6">
        <v>1021123</v>
      </c>
      <c r="B894" s="7" t="str">
        <f>"3329084107610117"</f>
        <v>3329084107610117</v>
      </c>
      <c r="C894" s="7" t="s">
        <v>2067</v>
      </c>
      <c r="D894" s="7" t="s">
        <v>189</v>
      </c>
      <c r="E894" s="7" t="s">
        <v>11</v>
      </c>
      <c r="F894" s="7" t="s">
        <v>18</v>
      </c>
      <c r="G894" s="7" t="s">
        <v>264</v>
      </c>
      <c r="H894" s="7" t="s">
        <v>248</v>
      </c>
      <c r="I894" s="8" t="s">
        <v>2068</v>
      </c>
    </row>
    <row r="895" spans="1:12" hidden="1" x14ac:dyDescent="0.35">
      <c r="A895" s="13">
        <v>1352465</v>
      </c>
      <c r="B895" s="14" t="str">
        <f>"3329090608920007"</f>
        <v>3329090608920007</v>
      </c>
      <c r="C895" s="14" t="s">
        <v>2069</v>
      </c>
      <c r="D895" s="14" t="s">
        <v>10</v>
      </c>
      <c r="E895" s="14" t="s">
        <v>11</v>
      </c>
      <c r="F895" s="14" t="s">
        <v>18</v>
      </c>
      <c r="G895" s="14" t="s">
        <v>19</v>
      </c>
      <c r="H895" s="14" t="s">
        <v>1720</v>
      </c>
      <c r="I895" s="15" t="s">
        <v>789</v>
      </c>
      <c r="J895" s="16" t="str">
        <f>VLOOKUP(B895,baru!$B$2:$I$2271,4,FALSE)</f>
        <v>Reguler</v>
      </c>
      <c r="K895" s="16" t="str">
        <f>VLOOKUP(B895,baru!$B$2:$I$2271,5,FALSE)</f>
        <v>JAWA TENGAH</v>
      </c>
      <c r="L895" s="16" t="str">
        <f>VLOOKUP(B895,baru!$B$2:$I$2271,6,FALSE)</f>
        <v>BREBES</v>
      </c>
    </row>
    <row r="896" spans="1:12" hidden="1" x14ac:dyDescent="0.35">
      <c r="A896" s="6">
        <v>1116520</v>
      </c>
      <c r="B896" s="7" t="str">
        <f>"3329092302900003"</f>
        <v>3329092302900003</v>
      </c>
      <c r="C896" s="7" t="s">
        <v>2070</v>
      </c>
      <c r="D896" s="7" t="s">
        <v>10</v>
      </c>
      <c r="E896" s="7" t="s">
        <v>11</v>
      </c>
      <c r="F896" s="7" t="s">
        <v>18</v>
      </c>
      <c r="G896" s="7" t="s">
        <v>264</v>
      </c>
      <c r="H896" s="7" t="s">
        <v>264</v>
      </c>
      <c r="I896" s="8" t="s">
        <v>2071</v>
      </c>
    </row>
    <row r="897" spans="1:12" hidden="1" x14ac:dyDescent="0.35">
      <c r="A897" s="6">
        <v>957337</v>
      </c>
      <c r="B897" s="7" t="str">
        <f>"3329095405850003"</f>
        <v>3329095405850003</v>
      </c>
      <c r="C897" s="7" t="s">
        <v>2073</v>
      </c>
      <c r="D897" s="7" t="s">
        <v>10</v>
      </c>
      <c r="E897" s="7" t="s">
        <v>11</v>
      </c>
      <c r="F897" s="7" t="s">
        <v>18</v>
      </c>
      <c r="G897" s="7" t="s">
        <v>264</v>
      </c>
      <c r="H897" s="7" t="s">
        <v>264</v>
      </c>
      <c r="I897" s="8" t="s">
        <v>2074</v>
      </c>
    </row>
    <row r="898" spans="1:12" hidden="1" x14ac:dyDescent="0.35">
      <c r="A898" s="6">
        <v>1437478</v>
      </c>
      <c r="B898" s="7" t="str">
        <f>"3329100303960003"</f>
        <v>3329100303960003</v>
      </c>
      <c r="C898" s="7" t="s">
        <v>2075</v>
      </c>
      <c r="D898" s="7" t="s">
        <v>10</v>
      </c>
      <c r="E898" s="7" t="s">
        <v>11</v>
      </c>
      <c r="F898" s="7" t="s">
        <v>18</v>
      </c>
      <c r="G898" s="7" t="s">
        <v>264</v>
      </c>
      <c r="H898" s="7" t="s">
        <v>273</v>
      </c>
      <c r="I898" s="8" t="s">
        <v>1156</v>
      </c>
    </row>
    <row r="899" spans="1:12" hidden="1" x14ac:dyDescent="0.35">
      <c r="A899" s="13">
        <v>2141090</v>
      </c>
      <c r="B899" s="14" t="str">
        <f>"3329100710930002"</f>
        <v>3329100710930002</v>
      </c>
      <c r="C899" s="14" t="s">
        <v>2077</v>
      </c>
      <c r="D899" s="14" t="s">
        <v>10</v>
      </c>
      <c r="E899" s="14" t="s">
        <v>11</v>
      </c>
      <c r="F899" s="14" t="s">
        <v>18</v>
      </c>
      <c r="G899" s="14" t="s">
        <v>19</v>
      </c>
      <c r="H899" s="14" t="s">
        <v>1720</v>
      </c>
      <c r="I899" s="15" t="s">
        <v>1737</v>
      </c>
      <c r="J899" s="16" t="str">
        <f>VLOOKUP(B899,baru!$B$2:$I$2271,4,FALSE)</f>
        <v>Reguler</v>
      </c>
      <c r="K899" s="16" t="str">
        <f>VLOOKUP(B899,baru!$B$2:$I$2271,5,FALSE)</f>
        <v>JAWA TENGAH</v>
      </c>
      <c r="L899" s="16" t="str">
        <f>VLOOKUP(B899,baru!$B$2:$I$2271,6,FALSE)</f>
        <v>BREBES</v>
      </c>
    </row>
    <row r="900" spans="1:12" hidden="1" x14ac:dyDescent="0.35">
      <c r="A900" s="6">
        <v>1468068</v>
      </c>
      <c r="B900" s="7" t="str">
        <f>"3329101301980005"</f>
        <v>3329101301980005</v>
      </c>
      <c r="C900" s="7" t="s">
        <v>2079</v>
      </c>
      <c r="D900" s="7" t="s">
        <v>10</v>
      </c>
      <c r="E900" s="7" t="s">
        <v>11</v>
      </c>
      <c r="F900" s="7" t="s">
        <v>18</v>
      </c>
      <c r="G900" s="7" t="s">
        <v>264</v>
      </c>
      <c r="H900" s="7" t="s">
        <v>273</v>
      </c>
      <c r="I900" s="8" t="s">
        <v>2080</v>
      </c>
    </row>
    <row r="901" spans="1:12" x14ac:dyDescent="0.35">
      <c r="A901" s="6">
        <v>1456508</v>
      </c>
      <c r="B901" s="7" t="str">
        <f>"3329102607000001"</f>
        <v>3329102607000001</v>
      </c>
      <c r="C901" s="7" t="s">
        <v>2082</v>
      </c>
      <c r="D901" s="7" t="s">
        <v>189</v>
      </c>
      <c r="E901" s="7" t="s">
        <v>11</v>
      </c>
      <c r="F901" s="7" t="s">
        <v>18</v>
      </c>
      <c r="G901" s="7" t="s">
        <v>264</v>
      </c>
      <c r="H901" s="7" t="s">
        <v>273</v>
      </c>
      <c r="I901" s="8" t="s">
        <v>2083</v>
      </c>
    </row>
    <row r="902" spans="1:12" hidden="1" x14ac:dyDescent="0.35">
      <c r="A902" s="6">
        <v>1443926</v>
      </c>
      <c r="B902" s="7" t="str">
        <f>"3329102705860004"</f>
        <v>3329102705860004</v>
      </c>
      <c r="C902" s="7" t="s">
        <v>2084</v>
      </c>
      <c r="D902" s="7" t="s">
        <v>10</v>
      </c>
      <c r="E902" s="7" t="s">
        <v>11</v>
      </c>
      <c r="F902" s="7" t="s">
        <v>18</v>
      </c>
      <c r="G902" s="7" t="s">
        <v>264</v>
      </c>
      <c r="H902" s="7" t="s">
        <v>273</v>
      </c>
      <c r="I902" s="8" t="s">
        <v>875</v>
      </c>
    </row>
    <row r="903" spans="1:12" hidden="1" x14ac:dyDescent="0.35">
      <c r="A903" s="6">
        <v>1473729</v>
      </c>
      <c r="B903" s="7" t="str">
        <f>"3329102706000005"</f>
        <v>3329102706000005</v>
      </c>
      <c r="C903" s="7" t="s">
        <v>2085</v>
      </c>
      <c r="D903" s="7" t="s">
        <v>10</v>
      </c>
      <c r="E903" s="7" t="s">
        <v>11</v>
      </c>
      <c r="F903" s="7" t="s">
        <v>18</v>
      </c>
      <c r="G903" s="7" t="s">
        <v>264</v>
      </c>
      <c r="H903" s="7" t="s">
        <v>273</v>
      </c>
      <c r="I903" s="8" t="s">
        <v>1156</v>
      </c>
    </row>
    <row r="904" spans="1:12" hidden="1" x14ac:dyDescent="0.35">
      <c r="A904" s="6">
        <v>731920</v>
      </c>
      <c r="B904" s="7" t="str">
        <f>"3329135210740002"</f>
        <v>3329135210740002</v>
      </c>
      <c r="C904" s="7" t="s">
        <v>2086</v>
      </c>
      <c r="D904" s="7" t="s">
        <v>10</v>
      </c>
      <c r="E904" s="7" t="s">
        <v>11</v>
      </c>
      <c r="F904" s="7" t="s">
        <v>18</v>
      </c>
      <c r="G904" s="7" t="s">
        <v>264</v>
      </c>
      <c r="H904" s="7" t="s">
        <v>773</v>
      </c>
      <c r="I904" s="8" t="s">
        <v>2087</v>
      </c>
    </row>
    <row r="905" spans="1:12" hidden="1" x14ac:dyDescent="0.35">
      <c r="A905" s="13">
        <v>1615625</v>
      </c>
      <c r="B905" s="14" t="str">
        <f>"3329135806040007"</f>
        <v>3329135806040007</v>
      </c>
      <c r="C905" s="14" t="s">
        <v>2088</v>
      </c>
      <c r="D905" s="14" t="s">
        <v>10</v>
      </c>
      <c r="E905" s="14" t="s">
        <v>11</v>
      </c>
      <c r="F905" s="14" t="s">
        <v>18</v>
      </c>
      <c r="G905" s="14" t="s">
        <v>19</v>
      </c>
      <c r="H905" s="14" t="s">
        <v>1720</v>
      </c>
      <c r="I905" s="15" t="s">
        <v>1721</v>
      </c>
      <c r="J905" s="16" t="str">
        <f>VLOOKUP(B905,baru!$B$2:$I$2271,4,FALSE)</f>
        <v>Reguler</v>
      </c>
      <c r="K905" s="16" t="str">
        <f>VLOOKUP(B905,baru!$B$2:$I$2271,5,FALSE)</f>
        <v>JAWA TENGAH</v>
      </c>
      <c r="L905" s="16" t="str">
        <f>VLOOKUP(B905,baru!$B$2:$I$2271,6,FALSE)</f>
        <v>BREBES</v>
      </c>
    </row>
    <row r="906" spans="1:12" hidden="1" x14ac:dyDescent="0.35">
      <c r="A906" s="13">
        <v>1548973</v>
      </c>
      <c r="B906" s="14" t="str">
        <f>"3329142004820022"</f>
        <v>3329142004820022</v>
      </c>
      <c r="C906" s="14" t="s">
        <v>2090</v>
      </c>
      <c r="D906" s="14" t="s">
        <v>10</v>
      </c>
      <c r="E906" s="14" t="s">
        <v>11</v>
      </c>
      <c r="F906" s="14" t="s">
        <v>18</v>
      </c>
      <c r="G906" s="14" t="s">
        <v>19</v>
      </c>
      <c r="H906" s="14" t="s">
        <v>1720</v>
      </c>
      <c r="I906" s="15" t="s">
        <v>1771</v>
      </c>
      <c r="J906" s="16" t="str">
        <f>VLOOKUP(B906,baru!$B$2:$I$2271,4,FALSE)</f>
        <v>Reguler</v>
      </c>
      <c r="K906" s="16" t="str">
        <f>VLOOKUP(B906,baru!$B$2:$I$2271,5,FALSE)</f>
        <v>JAWA TENGAH</v>
      </c>
      <c r="L906" s="16" t="str">
        <f>VLOOKUP(B906,baru!$B$2:$I$2271,6,FALSE)</f>
        <v>BREBES</v>
      </c>
    </row>
    <row r="907" spans="1:12" hidden="1" x14ac:dyDescent="0.35">
      <c r="A907" s="6">
        <v>720217</v>
      </c>
      <c r="B907" s="7" t="str">
        <f>"3329151201970005"</f>
        <v>3329151201970005</v>
      </c>
      <c r="C907" s="7" t="s">
        <v>2092</v>
      </c>
      <c r="D907" s="7" t="s">
        <v>10</v>
      </c>
      <c r="E907" s="7" t="s">
        <v>11</v>
      </c>
      <c r="F907" s="7" t="s">
        <v>18</v>
      </c>
      <c r="G907" s="7" t="s">
        <v>264</v>
      </c>
      <c r="H907" s="7" t="s">
        <v>330</v>
      </c>
      <c r="I907" s="8" t="s">
        <v>2093</v>
      </c>
    </row>
    <row r="908" spans="1:12" hidden="1" x14ac:dyDescent="0.35">
      <c r="A908" s="6">
        <v>1542198</v>
      </c>
      <c r="B908" s="7" t="str">
        <f>"3329152712940004"</f>
        <v>3329152712940004</v>
      </c>
      <c r="C908" s="7" t="s">
        <v>2094</v>
      </c>
      <c r="D908" s="7" t="s">
        <v>10</v>
      </c>
      <c r="E908" s="7" t="s">
        <v>11</v>
      </c>
      <c r="F908" s="7" t="s">
        <v>18</v>
      </c>
      <c r="G908" s="7" t="s">
        <v>264</v>
      </c>
      <c r="H908" s="7" t="s">
        <v>330</v>
      </c>
      <c r="I908" s="8" t="s">
        <v>2095</v>
      </c>
    </row>
    <row r="909" spans="1:12" hidden="1" x14ac:dyDescent="0.35">
      <c r="A909" s="6">
        <v>2534919</v>
      </c>
      <c r="B909" s="7" t="str">
        <f>"3329152712940004"</f>
        <v>3329152712940004</v>
      </c>
      <c r="C909" s="7" t="s">
        <v>2094</v>
      </c>
      <c r="D909" s="7" t="s">
        <v>10</v>
      </c>
      <c r="E909" s="7" t="s">
        <v>11</v>
      </c>
      <c r="F909" s="7" t="s">
        <v>18</v>
      </c>
      <c r="G909" s="7" t="s">
        <v>19</v>
      </c>
      <c r="H909" s="7" t="s">
        <v>1720</v>
      </c>
      <c r="I909" s="8" t="s">
        <v>1721</v>
      </c>
      <c r="J909" t="e">
        <f>VLOOKUP(B909,baru!$B$2:$I$2271,4,FALSE)</f>
        <v>#N/A</v>
      </c>
      <c r="K909" t="e">
        <f>VLOOKUP(B909,baru!$B$2:$I$2271,5,FALSE)</f>
        <v>#N/A</v>
      </c>
      <c r="L909" t="e">
        <f>VLOOKUP(B909,baru!$B$2:$I$2271,6,FALSE)</f>
        <v>#N/A</v>
      </c>
    </row>
    <row r="910" spans="1:12" hidden="1" x14ac:dyDescent="0.35">
      <c r="A910" s="13">
        <v>1547797</v>
      </c>
      <c r="B910" s="14" t="str">
        <f>"3329160105920013"</f>
        <v>3329160105920013</v>
      </c>
      <c r="C910" s="14" t="s">
        <v>2096</v>
      </c>
      <c r="D910" s="14" t="s">
        <v>10</v>
      </c>
      <c r="E910" s="14" t="s">
        <v>11</v>
      </c>
      <c r="F910" s="14" t="s">
        <v>18</v>
      </c>
      <c r="G910" s="14" t="s">
        <v>19</v>
      </c>
      <c r="H910" s="14" t="s">
        <v>1720</v>
      </c>
      <c r="I910" s="15" t="s">
        <v>1771</v>
      </c>
      <c r="J910" s="16" t="str">
        <f>VLOOKUP(B910,baru!$B$2:$I$2271,4,FALSE)</f>
        <v>Reguler</v>
      </c>
      <c r="K910" s="16" t="str">
        <f>VLOOKUP(B910,baru!$B$2:$I$2271,5,FALSE)</f>
        <v>JAWA TENGAH</v>
      </c>
      <c r="L910" s="16" t="str">
        <f>VLOOKUP(B910,baru!$B$2:$I$2271,6,FALSE)</f>
        <v>BREBES</v>
      </c>
    </row>
    <row r="911" spans="1:12" hidden="1" x14ac:dyDescent="0.35">
      <c r="A911" s="6">
        <v>798341</v>
      </c>
      <c r="B911" s="7" t="str">
        <f>"3329162104970006"</f>
        <v>3329162104970006</v>
      </c>
      <c r="C911" s="7" t="s">
        <v>2097</v>
      </c>
      <c r="D911" s="7" t="s">
        <v>10</v>
      </c>
      <c r="E911" s="7" t="s">
        <v>11</v>
      </c>
      <c r="F911" s="7" t="s">
        <v>18</v>
      </c>
      <c r="G911" s="7" t="s">
        <v>264</v>
      </c>
      <c r="H911" s="7" t="s">
        <v>344</v>
      </c>
      <c r="I911" s="8" t="s">
        <v>939</v>
      </c>
    </row>
    <row r="912" spans="1:12" hidden="1" x14ac:dyDescent="0.35">
      <c r="A912" s="6">
        <v>1088142</v>
      </c>
      <c r="B912" s="7" t="str">
        <f>"3329176404930002"</f>
        <v>3329176404930002</v>
      </c>
      <c r="C912" s="7" t="s">
        <v>2098</v>
      </c>
      <c r="D912" s="7" t="s">
        <v>10</v>
      </c>
      <c r="E912" s="7" t="s">
        <v>11</v>
      </c>
      <c r="F912" s="7" t="s">
        <v>18</v>
      </c>
      <c r="G912" s="7" t="s">
        <v>264</v>
      </c>
      <c r="H912" s="7" t="s">
        <v>881</v>
      </c>
      <c r="I912" s="8" t="s">
        <v>1656</v>
      </c>
    </row>
    <row r="913" spans="1:12" hidden="1" x14ac:dyDescent="0.35">
      <c r="A913" s="6">
        <v>371051</v>
      </c>
      <c r="B913" s="7" t="str">
        <f>"3376022805830001"</f>
        <v>3376022805830001</v>
      </c>
      <c r="C913" s="7" t="s">
        <v>2099</v>
      </c>
      <c r="D913" s="7" t="s">
        <v>10</v>
      </c>
      <c r="E913" s="7" t="s">
        <v>11</v>
      </c>
      <c r="F913" s="7" t="s">
        <v>18</v>
      </c>
      <c r="G913" s="7" t="s">
        <v>268</v>
      </c>
      <c r="H913" s="7" t="s">
        <v>269</v>
      </c>
      <c r="I913" s="8" t="s">
        <v>996</v>
      </c>
    </row>
    <row r="914" spans="1:12" x14ac:dyDescent="0.35">
      <c r="A914" s="6">
        <v>420229</v>
      </c>
      <c r="B914" s="7" t="str">
        <f>"3376042109930002"</f>
        <v>3376042109930002</v>
      </c>
      <c r="C914" s="7" t="s">
        <v>2100</v>
      </c>
      <c r="D914" s="7" t="s">
        <v>189</v>
      </c>
      <c r="E914" s="7" t="s">
        <v>11</v>
      </c>
      <c r="F914" s="7" t="s">
        <v>18</v>
      </c>
      <c r="G914" s="7" t="s">
        <v>268</v>
      </c>
      <c r="H914" s="7" t="s">
        <v>448</v>
      </c>
      <c r="I914" s="8" t="s">
        <v>888</v>
      </c>
    </row>
    <row r="915" spans="1:12" hidden="1" x14ac:dyDescent="0.35">
      <c r="A915" s="6">
        <v>378885</v>
      </c>
      <c r="B915" s="7" t="str">
        <f>"3376047003840002"</f>
        <v>3376047003840002</v>
      </c>
      <c r="C915" s="7" t="s">
        <v>1935</v>
      </c>
      <c r="D915" s="7" t="s">
        <v>10</v>
      </c>
      <c r="E915" s="7" t="s">
        <v>11</v>
      </c>
      <c r="F915" s="7" t="s">
        <v>18</v>
      </c>
      <c r="G915" s="7" t="s">
        <v>268</v>
      </c>
      <c r="H915" s="7" t="s">
        <v>448</v>
      </c>
      <c r="I915" s="8" t="s">
        <v>2101</v>
      </c>
    </row>
    <row r="916" spans="1:12" x14ac:dyDescent="0.35">
      <c r="A916" s="13">
        <v>1348370</v>
      </c>
      <c r="B916" s="14" t="str">
        <f>"3522024110900009"</f>
        <v>3522024110900009</v>
      </c>
      <c r="C916" s="14" t="s">
        <v>2105</v>
      </c>
      <c r="D916" s="14" t="s">
        <v>189</v>
      </c>
      <c r="E916" s="14" t="s">
        <v>11</v>
      </c>
      <c r="F916" s="14" t="s">
        <v>18</v>
      </c>
      <c r="G916" s="14" t="s">
        <v>19</v>
      </c>
      <c r="H916" s="14" t="s">
        <v>1720</v>
      </c>
      <c r="I916" s="15" t="s">
        <v>1381</v>
      </c>
      <c r="J916" s="16" t="str">
        <f>VLOOKUP(B916,baru!$B$2:$I$2271,4,FALSE)</f>
        <v>Reguler</v>
      </c>
      <c r="K916" s="16" t="str">
        <f>VLOOKUP(B916,baru!$B$2:$I$2271,5,FALSE)</f>
        <v>JAWA TIMUR</v>
      </c>
      <c r="L916" s="16" t="str">
        <f>VLOOKUP(B916,baru!$B$2:$I$2271,6,FALSE)</f>
        <v>BOJONEGORO</v>
      </c>
    </row>
    <row r="917" spans="1:12" hidden="1" x14ac:dyDescent="0.35">
      <c r="A917" s="13">
        <v>1611925</v>
      </c>
      <c r="B917" s="14" t="str">
        <f>"3522205204000002"</f>
        <v>3522205204000002</v>
      </c>
      <c r="C917" s="14" t="s">
        <v>2106</v>
      </c>
      <c r="D917" s="14" t="s">
        <v>10</v>
      </c>
      <c r="E917" s="14" t="s">
        <v>11</v>
      </c>
      <c r="F917" s="14" t="s">
        <v>18</v>
      </c>
      <c r="G917" s="14" t="s">
        <v>19</v>
      </c>
      <c r="H917" s="14" t="s">
        <v>1720</v>
      </c>
      <c r="I917" s="15" t="s">
        <v>1721</v>
      </c>
      <c r="J917" s="16" t="str">
        <f>VLOOKUP(B917,baru!$B$2:$I$2271,4,FALSE)</f>
        <v>Reguler</v>
      </c>
      <c r="K917" s="16" t="str">
        <f>VLOOKUP(B917,baru!$B$2:$I$2271,5,FALSE)</f>
        <v>JAWA TIMUR</v>
      </c>
      <c r="L917" s="16" t="str">
        <f>VLOOKUP(B917,baru!$B$2:$I$2271,6,FALSE)</f>
        <v>BOJONEGORO</v>
      </c>
    </row>
    <row r="918" spans="1:12" hidden="1" x14ac:dyDescent="0.35">
      <c r="A918" s="6">
        <v>1087477</v>
      </c>
      <c r="B918" s="7" t="str">
        <f>"3602234704970001"</f>
        <v>3602234704970001</v>
      </c>
      <c r="C918" s="7" t="s">
        <v>2109</v>
      </c>
      <c r="D918" s="7" t="s">
        <v>10</v>
      </c>
      <c r="E918" s="7" t="s">
        <v>11</v>
      </c>
      <c r="F918" s="7" t="s">
        <v>67</v>
      </c>
      <c r="G918" s="7" t="s">
        <v>638</v>
      </c>
      <c r="H918" s="7" t="s">
        <v>2110</v>
      </c>
      <c r="I918" s="8" t="s">
        <v>2111</v>
      </c>
    </row>
    <row r="919" spans="1:12" hidden="1" x14ac:dyDescent="0.35">
      <c r="A919" s="6">
        <v>2304124</v>
      </c>
      <c r="B919" s="7" t="str">
        <f>"3604180404940003"</f>
        <v>3604180404940003</v>
      </c>
      <c r="C919" s="7" t="s">
        <v>2113</v>
      </c>
      <c r="D919" s="7" t="s">
        <v>10</v>
      </c>
      <c r="E919" s="7" t="s">
        <v>11</v>
      </c>
      <c r="F919" s="7" t="s">
        <v>67</v>
      </c>
      <c r="G919" s="7" t="s">
        <v>375</v>
      </c>
      <c r="H919" s="7" t="s">
        <v>2114</v>
      </c>
      <c r="I919" s="8" t="s">
        <v>417</v>
      </c>
    </row>
    <row r="920" spans="1:12" hidden="1" x14ac:dyDescent="0.35">
      <c r="A920" s="6">
        <v>2534917</v>
      </c>
      <c r="B920" s="7" t="str">
        <f>"3604180404940003"</f>
        <v>3604180404940003</v>
      </c>
      <c r="C920" s="7" t="s">
        <v>2113</v>
      </c>
      <c r="D920" s="7" t="s">
        <v>10</v>
      </c>
      <c r="E920" s="7" t="s">
        <v>11</v>
      </c>
      <c r="F920" s="7" t="s">
        <v>18</v>
      </c>
      <c r="G920" s="7" t="s">
        <v>19</v>
      </c>
      <c r="H920" s="7" t="s">
        <v>1720</v>
      </c>
      <c r="I920" s="8" t="s">
        <v>1721</v>
      </c>
      <c r="J920" t="e">
        <f>VLOOKUP(B920,baru!$B$2:$I$2271,4,FALSE)</f>
        <v>#N/A</v>
      </c>
      <c r="K920" t="e">
        <f>VLOOKUP(B920,baru!$B$2:$I$2271,5,FALSE)</f>
        <v>#N/A</v>
      </c>
      <c r="L920" t="e">
        <f>VLOOKUP(B920,baru!$B$2:$I$2271,6,FALSE)</f>
        <v>#N/A</v>
      </c>
    </row>
    <row r="921" spans="1:12" hidden="1" x14ac:dyDescent="0.35">
      <c r="A921" s="6">
        <v>2312528</v>
      </c>
      <c r="B921" s="7" t="str">
        <f>"3671131011780010"</f>
        <v>3671131011780010</v>
      </c>
      <c r="C921" s="7" t="s">
        <v>2115</v>
      </c>
      <c r="D921" s="7" t="s">
        <v>10</v>
      </c>
      <c r="E921" s="7" t="s">
        <v>11</v>
      </c>
      <c r="F921" s="7" t="s">
        <v>67</v>
      </c>
      <c r="G921" s="7" t="s">
        <v>512</v>
      </c>
      <c r="H921" s="7" t="s">
        <v>330</v>
      </c>
      <c r="I921" s="8" t="s">
        <v>1797</v>
      </c>
    </row>
    <row r="922" spans="1:12" hidden="1" x14ac:dyDescent="0.35">
      <c r="A922" s="6">
        <v>1415852</v>
      </c>
      <c r="B922" s="7" t="str">
        <f>"3674040101830007"</f>
        <v>3674040101830007</v>
      </c>
      <c r="C922" s="7" t="s">
        <v>2116</v>
      </c>
      <c r="D922" s="7" t="s">
        <v>10</v>
      </c>
      <c r="E922" s="7" t="s">
        <v>11</v>
      </c>
      <c r="F922" s="7" t="s">
        <v>67</v>
      </c>
      <c r="G922" s="7" t="s">
        <v>68</v>
      </c>
      <c r="H922" s="7" t="s">
        <v>69</v>
      </c>
      <c r="I922" s="8" t="s">
        <v>2117</v>
      </c>
    </row>
    <row r="923" spans="1:12" hidden="1" x14ac:dyDescent="0.35">
      <c r="A923" s="6">
        <v>1415851</v>
      </c>
      <c r="B923" s="7" t="str">
        <f>"3674045702840004"</f>
        <v>3674045702840004</v>
      </c>
      <c r="C923" s="7" t="s">
        <v>2119</v>
      </c>
      <c r="D923" s="7" t="s">
        <v>10</v>
      </c>
      <c r="E923" s="7" t="s">
        <v>11</v>
      </c>
      <c r="F923" s="7" t="s">
        <v>67</v>
      </c>
      <c r="G923" s="7" t="s">
        <v>68</v>
      </c>
      <c r="H923" s="7" t="s">
        <v>69</v>
      </c>
      <c r="I923" s="8" t="s">
        <v>2117</v>
      </c>
    </row>
    <row r="924" spans="1:12" hidden="1" x14ac:dyDescent="0.35">
      <c r="A924" s="13">
        <v>2129848</v>
      </c>
      <c r="B924" s="14" t="str">
        <f>"5311182304860001"</f>
        <v>5311182304860001</v>
      </c>
      <c r="C924" s="14" t="s">
        <v>2120</v>
      </c>
      <c r="D924" s="14" t="s">
        <v>10</v>
      </c>
      <c r="E924" s="14" t="s">
        <v>11</v>
      </c>
      <c r="F924" s="14" t="s">
        <v>18</v>
      </c>
      <c r="G924" s="14" t="s">
        <v>19</v>
      </c>
      <c r="H924" s="14" t="s">
        <v>1720</v>
      </c>
      <c r="I924" s="15" t="s">
        <v>1727</v>
      </c>
      <c r="J924" s="16" t="str">
        <f>VLOOKUP(B924,baru!$B$2:$I$2271,4,FALSE)</f>
        <v>Reguler</v>
      </c>
      <c r="K924" s="16" t="str">
        <f>VLOOKUP(B924,baru!$B$2:$I$2271,5,FALSE)</f>
        <v>NUSA TENGGARA TIMUR</v>
      </c>
      <c r="L924" s="16" t="str">
        <f>VLOOKUP(B924,baru!$B$2:$I$2271,6,FALSE)</f>
        <v>SUMBA TIMUR</v>
      </c>
    </row>
    <row r="925" spans="1:12" hidden="1" x14ac:dyDescent="0.35">
      <c r="A925" s="6">
        <v>142045</v>
      </c>
      <c r="B925" s="7" t="str">
        <f>"6203015802980003"</f>
        <v>6203015802980003</v>
      </c>
      <c r="C925" s="7" t="s">
        <v>2126</v>
      </c>
      <c r="D925" s="7" t="s">
        <v>10</v>
      </c>
      <c r="E925" s="7" t="s">
        <v>11</v>
      </c>
      <c r="F925" s="7" t="s">
        <v>521</v>
      </c>
      <c r="G925" s="7" t="s">
        <v>1824</v>
      </c>
      <c r="H925" s="7" t="s">
        <v>1825</v>
      </c>
      <c r="I925" s="8" t="s">
        <v>1826</v>
      </c>
    </row>
    <row r="926" spans="1:12" hidden="1" x14ac:dyDescent="0.35">
      <c r="A926" s="6">
        <v>814921</v>
      </c>
      <c r="B926" s="7" t="str">
        <f>"1108160511990001"</f>
        <v>1108160511990001</v>
      </c>
      <c r="C926" s="7" t="s">
        <v>2127</v>
      </c>
      <c r="D926" s="7" t="s">
        <v>10</v>
      </c>
      <c r="E926" s="7" t="s">
        <v>11</v>
      </c>
      <c r="F926" s="7" t="s">
        <v>412</v>
      </c>
      <c r="G926" s="7" t="s">
        <v>2128</v>
      </c>
      <c r="H926" s="7" t="s">
        <v>2129</v>
      </c>
      <c r="I926" s="8" t="s">
        <v>2130</v>
      </c>
    </row>
    <row r="927" spans="1:12" hidden="1" x14ac:dyDescent="0.35">
      <c r="A927" s="6">
        <v>2540895</v>
      </c>
      <c r="B927" s="7" t="str">
        <f>"1108160511990001"</f>
        <v>1108160511990001</v>
      </c>
      <c r="C927" s="7" t="s">
        <v>2131</v>
      </c>
      <c r="D927" s="7" t="s">
        <v>10</v>
      </c>
      <c r="E927" s="7" t="s">
        <v>57</v>
      </c>
      <c r="F927" s="7" t="s">
        <v>18</v>
      </c>
      <c r="G927" s="7" t="s">
        <v>19</v>
      </c>
      <c r="H927" s="7" t="s">
        <v>1394</v>
      </c>
      <c r="I927" s="8" t="s">
        <v>1395</v>
      </c>
      <c r="J927" t="e">
        <f>VLOOKUP(B927,baru!$B$2:$I$2271,4,FALSE)</f>
        <v>#N/A</v>
      </c>
      <c r="K927" t="e">
        <f>VLOOKUP(B927,baru!$B$2:$I$2271,5,FALSE)</f>
        <v>#N/A</v>
      </c>
      <c r="L927" t="e">
        <f>VLOOKUP(B927,baru!$B$2:$I$2271,6,FALSE)</f>
        <v>#N/A</v>
      </c>
    </row>
    <row r="928" spans="1:12" hidden="1" x14ac:dyDescent="0.35">
      <c r="A928" s="6">
        <v>470865</v>
      </c>
      <c r="B928" s="7" t="str">
        <f>"1111132406840002"</f>
        <v>1111132406840002</v>
      </c>
      <c r="C928" s="7" t="s">
        <v>2132</v>
      </c>
      <c r="D928" s="7" t="s">
        <v>10</v>
      </c>
      <c r="E928" s="7" t="s">
        <v>11</v>
      </c>
      <c r="F928" s="7" t="s">
        <v>412</v>
      </c>
      <c r="G928" s="7" t="s">
        <v>2128</v>
      </c>
      <c r="H928" s="7" t="s">
        <v>2133</v>
      </c>
      <c r="I928" s="8" t="s">
        <v>2134</v>
      </c>
    </row>
    <row r="929" spans="1:12" hidden="1" x14ac:dyDescent="0.35">
      <c r="A929" s="6">
        <v>2540849</v>
      </c>
      <c r="B929" s="7" t="str">
        <f>"1111132406840002"</f>
        <v>1111132406840002</v>
      </c>
      <c r="C929" s="7" t="s">
        <v>2135</v>
      </c>
      <c r="D929" s="7" t="s">
        <v>10</v>
      </c>
      <c r="E929" s="7" t="s">
        <v>57</v>
      </c>
      <c r="F929" s="7" t="s">
        <v>18</v>
      </c>
      <c r="G929" s="7" t="s">
        <v>19</v>
      </c>
      <c r="H929" s="7" t="s">
        <v>1394</v>
      </c>
      <c r="I929" s="8" t="s">
        <v>1395</v>
      </c>
      <c r="J929" t="e">
        <f>VLOOKUP(B929,baru!$B$2:$I$2271,4,FALSE)</f>
        <v>#N/A</v>
      </c>
      <c r="K929" t="e">
        <f>VLOOKUP(B929,baru!$B$2:$I$2271,5,FALSE)</f>
        <v>#N/A</v>
      </c>
      <c r="L929" t="e">
        <f>VLOOKUP(B929,baru!$B$2:$I$2271,6,FALSE)</f>
        <v>#N/A</v>
      </c>
    </row>
    <row r="930" spans="1:12" hidden="1" x14ac:dyDescent="0.35">
      <c r="A930" s="13">
        <v>2540759</v>
      </c>
      <c r="B930" s="14" t="str">
        <f>"1211111706040001"</f>
        <v>1211111706040001</v>
      </c>
      <c r="C930" s="14" t="s">
        <v>2140</v>
      </c>
      <c r="D930" s="14" t="s">
        <v>10</v>
      </c>
      <c r="E930" s="14" t="s">
        <v>57</v>
      </c>
      <c r="F930" s="14" t="s">
        <v>18</v>
      </c>
      <c r="G930" s="14" t="s">
        <v>19</v>
      </c>
      <c r="H930" s="14" t="s">
        <v>1394</v>
      </c>
      <c r="I930" s="15" t="s">
        <v>1395</v>
      </c>
      <c r="J930" s="16" t="str">
        <f>VLOOKUP(B930,baru!$B$2:$I$2271,4,FALSE)</f>
        <v>Reguler</v>
      </c>
      <c r="K930" s="16" t="str">
        <f>VLOOKUP(B930,baru!$B$2:$I$2271,5,FALSE)</f>
        <v>SUMATERA UTARA</v>
      </c>
      <c r="L930" s="16" t="str">
        <f>VLOOKUP(B930,baru!$B$2:$I$2271,6,FALSE)</f>
        <v>DAIRI</v>
      </c>
    </row>
    <row r="931" spans="1:12" hidden="1" x14ac:dyDescent="0.35">
      <c r="A931" s="6">
        <v>189097</v>
      </c>
      <c r="B931" s="7" t="str">
        <f>"1223011807880007"</f>
        <v>1223011807880007</v>
      </c>
      <c r="C931" s="7" t="s">
        <v>2141</v>
      </c>
      <c r="D931" s="7" t="s">
        <v>10</v>
      </c>
      <c r="E931" s="7" t="s">
        <v>11</v>
      </c>
      <c r="F931" s="7" t="s">
        <v>228</v>
      </c>
      <c r="G931" s="7" t="s">
        <v>2142</v>
      </c>
      <c r="H931" s="7" t="s">
        <v>2143</v>
      </c>
      <c r="I931" s="8" t="s">
        <v>2144</v>
      </c>
    </row>
    <row r="932" spans="1:12" hidden="1" x14ac:dyDescent="0.35">
      <c r="A932" s="6">
        <v>2540898</v>
      </c>
      <c r="B932" s="7" t="str">
        <f>"1223011807880007"</f>
        <v>1223011807880007</v>
      </c>
      <c r="C932" s="7" t="s">
        <v>2145</v>
      </c>
      <c r="D932" s="7" t="s">
        <v>10</v>
      </c>
      <c r="E932" s="7" t="s">
        <v>57</v>
      </c>
      <c r="F932" s="7" t="s">
        <v>18</v>
      </c>
      <c r="G932" s="7" t="s">
        <v>19</v>
      </c>
      <c r="H932" s="7" t="s">
        <v>1394</v>
      </c>
      <c r="I932" s="8" t="s">
        <v>1395</v>
      </c>
      <c r="J932" t="e">
        <f>VLOOKUP(B932,baru!$B$2:$I$2271,4,FALSE)</f>
        <v>#N/A</v>
      </c>
      <c r="K932" t="e">
        <f>VLOOKUP(B932,baru!$B$2:$I$2271,5,FALSE)</f>
        <v>#N/A</v>
      </c>
      <c r="L932" t="e">
        <f>VLOOKUP(B932,baru!$B$2:$I$2271,6,FALSE)</f>
        <v>#N/A</v>
      </c>
    </row>
    <row r="933" spans="1:12" hidden="1" x14ac:dyDescent="0.35">
      <c r="A933" s="6">
        <v>82549</v>
      </c>
      <c r="B933" s="7" t="str">
        <f>"1223021010000003"</f>
        <v>1223021010000003</v>
      </c>
      <c r="C933" s="7" t="s">
        <v>2146</v>
      </c>
      <c r="D933" s="7" t="s">
        <v>10</v>
      </c>
      <c r="E933" s="7" t="s">
        <v>11</v>
      </c>
      <c r="F933" s="7" t="s">
        <v>667</v>
      </c>
      <c r="G933" s="7" t="s">
        <v>2147</v>
      </c>
      <c r="H933" s="7" t="s">
        <v>2148</v>
      </c>
      <c r="I933" s="8" t="s">
        <v>2149</v>
      </c>
    </row>
    <row r="934" spans="1:12" hidden="1" x14ac:dyDescent="0.35">
      <c r="A934" s="6">
        <v>2540874</v>
      </c>
      <c r="B934" s="7" t="str">
        <f>"1223021010000003"</f>
        <v>1223021010000003</v>
      </c>
      <c r="C934" s="7" t="s">
        <v>2150</v>
      </c>
      <c r="D934" s="7" t="s">
        <v>10</v>
      </c>
      <c r="E934" s="7" t="s">
        <v>57</v>
      </c>
      <c r="F934" s="7" t="s">
        <v>18</v>
      </c>
      <c r="G934" s="7" t="s">
        <v>19</v>
      </c>
      <c r="H934" s="7" t="s">
        <v>1394</v>
      </c>
      <c r="I934" s="8" t="s">
        <v>1395</v>
      </c>
      <c r="J934" t="e">
        <f>VLOOKUP(B934,baru!$B$2:$I$2271,4,FALSE)</f>
        <v>#N/A</v>
      </c>
      <c r="K934" t="e">
        <f>VLOOKUP(B934,baru!$B$2:$I$2271,5,FALSE)</f>
        <v>#N/A</v>
      </c>
      <c r="L934" t="e">
        <f>VLOOKUP(B934,baru!$B$2:$I$2271,6,FALSE)</f>
        <v>#N/A</v>
      </c>
    </row>
    <row r="935" spans="1:12" hidden="1" x14ac:dyDescent="0.35">
      <c r="A935" s="13">
        <v>2540878</v>
      </c>
      <c r="B935" s="14" t="str">
        <f>"1401112910000001"</f>
        <v>1401112910000001</v>
      </c>
      <c r="C935" s="14" t="s">
        <v>2151</v>
      </c>
      <c r="D935" s="14" t="s">
        <v>10</v>
      </c>
      <c r="E935" s="14" t="s">
        <v>57</v>
      </c>
      <c r="F935" s="14" t="s">
        <v>18</v>
      </c>
      <c r="G935" s="14" t="s">
        <v>19</v>
      </c>
      <c r="H935" s="14" t="s">
        <v>1394</v>
      </c>
      <c r="I935" s="15" t="s">
        <v>1395</v>
      </c>
      <c r="J935" s="16" t="str">
        <f>VLOOKUP(B935,baru!$B$2:$I$2271,4,FALSE)</f>
        <v>Reguler</v>
      </c>
      <c r="K935" s="16" t="str">
        <f>VLOOKUP(B935,baru!$B$2:$I$2271,5,FALSE)</f>
        <v>SUMATERA UTARA</v>
      </c>
      <c r="L935" s="16" t="str">
        <f>VLOOKUP(B935,baru!$B$2:$I$2271,6,FALSE)</f>
        <v>DELI SERDANG</v>
      </c>
    </row>
    <row r="936" spans="1:12" hidden="1" x14ac:dyDescent="0.35">
      <c r="A936" s="6">
        <v>859365</v>
      </c>
      <c r="B936" s="7" t="str">
        <f>"1671026005910002"</f>
        <v>1671026005910002</v>
      </c>
      <c r="C936" s="7" t="s">
        <v>2156</v>
      </c>
      <c r="D936" s="7" t="s">
        <v>10</v>
      </c>
      <c r="E936" s="7" t="s">
        <v>11</v>
      </c>
      <c r="F936" s="7" t="s">
        <v>33</v>
      </c>
      <c r="G936" s="7" t="s">
        <v>2157</v>
      </c>
      <c r="H936" s="7" t="s">
        <v>2158</v>
      </c>
      <c r="I936" s="8" t="s">
        <v>2159</v>
      </c>
    </row>
    <row r="937" spans="1:12" hidden="1" x14ac:dyDescent="0.35">
      <c r="A937" s="6">
        <v>741349</v>
      </c>
      <c r="B937" s="7" t="str">
        <f>"1671074209010010"</f>
        <v>1671074209010010</v>
      </c>
      <c r="C937" s="7" t="s">
        <v>2162</v>
      </c>
      <c r="D937" s="7" t="s">
        <v>10</v>
      </c>
      <c r="E937" s="7" t="s">
        <v>11</v>
      </c>
      <c r="F937" s="7" t="s">
        <v>33</v>
      </c>
      <c r="G937" s="7" t="s">
        <v>2157</v>
      </c>
      <c r="H937" s="7" t="s">
        <v>2163</v>
      </c>
      <c r="I937" s="8" t="s">
        <v>2164</v>
      </c>
    </row>
    <row r="938" spans="1:12" hidden="1" x14ac:dyDescent="0.35">
      <c r="A938" s="6">
        <v>226575</v>
      </c>
      <c r="B938" s="7" t="str">
        <f>"1801040606940021"</f>
        <v>1801040606940021</v>
      </c>
      <c r="C938" s="7" t="s">
        <v>2166</v>
      </c>
      <c r="D938" s="7" t="s">
        <v>10</v>
      </c>
      <c r="E938" s="7" t="s">
        <v>11</v>
      </c>
      <c r="F938" s="7" t="s">
        <v>44</v>
      </c>
      <c r="G938" s="7" t="s">
        <v>909</v>
      </c>
      <c r="H938" s="7" t="s">
        <v>2167</v>
      </c>
      <c r="I938" s="8" t="s">
        <v>2168</v>
      </c>
    </row>
    <row r="939" spans="1:12" hidden="1" x14ac:dyDescent="0.35">
      <c r="A939" s="6">
        <v>2540890</v>
      </c>
      <c r="B939" s="7" t="str">
        <f>"1801040606940021"</f>
        <v>1801040606940021</v>
      </c>
      <c r="C939" s="7" t="s">
        <v>2169</v>
      </c>
      <c r="D939" s="7" t="s">
        <v>10</v>
      </c>
      <c r="E939" s="7" t="s">
        <v>57</v>
      </c>
      <c r="F939" s="7" t="s">
        <v>18</v>
      </c>
      <c r="G939" s="7" t="s">
        <v>19</v>
      </c>
      <c r="H939" s="7" t="s">
        <v>1394</v>
      </c>
      <c r="I939" s="8" t="s">
        <v>1395</v>
      </c>
      <c r="J939" t="e">
        <f>VLOOKUP(B939,baru!$B$2:$I$2271,4,FALSE)</f>
        <v>#N/A</v>
      </c>
      <c r="K939" t="e">
        <f>VLOOKUP(B939,baru!$B$2:$I$2271,5,FALSE)</f>
        <v>#N/A</v>
      </c>
      <c r="L939" t="e">
        <f>VLOOKUP(B939,baru!$B$2:$I$2271,6,FALSE)</f>
        <v>#N/A</v>
      </c>
    </row>
    <row r="940" spans="1:12" hidden="1" x14ac:dyDescent="0.35">
      <c r="A940" s="6">
        <v>491466</v>
      </c>
      <c r="B940" s="7" t="str">
        <f>"1802225606020003"</f>
        <v>1802225606020003</v>
      </c>
      <c r="C940" s="7" t="s">
        <v>2170</v>
      </c>
      <c r="D940" s="7" t="s">
        <v>10</v>
      </c>
      <c r="E940" s="7" t="s">
        <v>11</v>
      </c>
      <c r="F940" s="7" t="s">
        <v>44</v>
      </c>
      <c r="G940" s="7" t="s">
        <v>1040</v>
      </c>
      <c r="H940" s="7" t="s">
        <v>2171</v>
      </c>
      <c r="I940" s="8" t="s">
        <v>2171</v>
      </c>
    </row>
    <row r="941" spans="1:12" hidden="1" x14ac:dyDescent="0.35">
      <c r="A941" s="6">
        <v>344011</v>
      </c>
      <c r="B941" s="7" t="str">
        <f>"1808100511910004"</f>
        <v>1808100511910004</v>
      </c>
      <c r="C941" s="7" t="s">
        <v>2173</v>
      </c>
      <c r="D941" s="7" t="s">
        <v>10</v>
      </c>
      <c r="E941" s="7" t="s">
        <v>11</v>
      </c>
      <c r="F941" s="7" t="s">
        <v>44</v>
      </c>
      <c r="G941" s="7" t="s">
        <v>2174</v>
      </c>
      <c r="H941" s="7" t="s">
        <v>2175</v>
      </c>
      <c r="I941" s="8" t="s">
        <v>2176</v>
      </c>
    </row>
    <row r="942" spans="1:12" hidden="1" x14ac:dyDescent="0.35">
      <c r="A942" s="6">
        <v>2540900</v>
      </c>
      <c r="B942" s="7" t="str">
        <f>"1808100511910004"</f>
        <v>1808100511910004</v>
      </c>
      <c r="C942" s="7" t="s">
        <v>2177</v>
      </c>
      <c r="D942" s="7" t="s">
        <v>10</v>
      </c>
      <c r="E942" s="7" t="s">
        <v>57</v>
      </c>
      <c r="F942" s="7" t="s">
        <v>18</v>
      </c>
      <c r="G942" s="7" t="s">
        <v>19</v>
      </c>
      <c r="H942" s="7" t="s">
        <v>1394</v>
      </c>
      <c r="I942" s="8" t="s">
        <v>1395</v>
      </c>
      <c r="J942" t="e">
        <f>VLOOKUP(B942,baru!$B$2:$I$2271,4,FALSE)</f>
        <v>#N/A</v>
      </c>
      <c r="K942" t="e">
        <f>VLOOKUP(B942,baru!$B$2:$I$2271,5,FALSE)</f>
        <v>#N/A</v>
      </c>
      <c r="L942" t="e">
        <f>VLOOKUP(B942,baru!$B$2:$I$2271,6,FALSE)</f>
        <v>#N/A</v>
      </c>
    </row>
    <row r="943" spans="1:12" hidden="1" x14ac:dyDescent="0.35">
      <c r="A943" s="6">
        <v>225298</v>
      </c>
      <c r="B943" s="7" t="str">
        <f>"3171041205951001"</f>
        <v>3171041205951001</v>
      </c>
      <c r="C943" s="7" t="s">
        <v>2178</v>
      </c>
      <c r="D943" s="7" t="s">
        <v>10</v>
      </c>
      <c r="E943" s="7" t="s">
        <v>11</v>
      </c>
      <c r="F943" s="7" t="s">
        <v>50</v>
      </c>
      <c r="G943" s="7" t="s">
        <v>280</v>
      </c>
      <c r="H943" s="7" t="s">
        <v>2179</v>
      </c>
      <c r="I943" s="8" t="s">
        <v>266</v>
      </c>
    </row>
    <row r="944" spans="1:12" hidden="1" x14ac:dyDescent="0.35">
      <c r="A944" s="6">
        <v>2540710</v>
      </c>
      <c r="B944" s="7" t="str">
        <f>"3171041205951001"</f>
        <v>3171041205951001</v>
      </c>
      <c r="C944" s="7" t="s">
        <v>2180</v>
      </c>
      <c r="D944" s="7" t="s">
        <v>10</v>
      </c>
      <c r="E944" s="7" t="s">
        <v>57</v>
      </c>
      <c r="F944" s="7" t="s">
        <v>18</v>
      </c>
      <c r="G944" s="7" t="s">
        <v>19</v>
      </c>
      <c r="H944" s="7" t="s">
        <v>1394</v>
      </c>
      <c r="I944" s="8" t="s">
        <v>1395</v>
      </c>
      <c r="J944" t="e">
        <f>VLOOKUP(B944,baru!$B$2:$I$2271,4,FALSE)</f>
        <v>#N/A</v>
      </c>
      <c r="K944" t="e">
        <f>VLOOKUP(B944,baru!$B$2:$I$2271,5,FALSE)</f>
        <v>#N/A</v>
      </c>
      <c r="L944" t="e">
        <f>VLOOKUP(B944,baru!$B$2:$I$2271,6,FALSE)</f>
        <v>#N/A</v>
      </c>
    </row>
    <row r="945" spans="1:12" hidden="1" x14ac:dyDescent="0.35">
      <c r="A945" s="6">
        <v>185148</v>
      </c>
      <c r="B945" s="7" t="str">
        <f>"3171050402870001"</f>
        <v>3171050402870001</v>
      </c>
      <c r="C945" s="7" t="s">
        <v>2181</v>
      </c>
      <c r="D945" s="7" t="s">
        <v>10</v>
      </c>
      <c r="E945" s="7" t="s">
        <v>11</v>
      </c>
      <c r="F945" s="7" t="s">
        <v>50</v>
      </c>
      <c r="G945" s="7" t="s">
        <v>280</v>
      </c>
      <c r="H945" s="7" t="s">
        <v>776</v>
      </c>
      <c r="I945" s="8" t="s">
        <v>2182</v>
      </c>
    </row>
    <row r="946" spans="1:12" hidden="1" x14ac:dyDescent="0.35">
      <c r="A946" s="6">
        <v>2540727</v>
      </c>
      <c r="B946" s="7" t="str">
        <f>"3171050402870001"</f>
        <v>3171050402870001</v>
      </c>
      <c r="C946" s="7" t="s">
        <v>2183</v>
      </c>
      <c r="D946" s="7" t="s">
        <v>10</v>
      </c>
      <c r="E946" s="7" t="s">
        <v>57</v>
      </c>
      <c r="F946" s="7" t="s">
        <v>18</v>
      </c>
      <c r="G946" s="7" t="s">
        <v>19</v>
      </c>
      <c r="H946" s="7" t="s">
        <v>1394</v>
      </c>
      <c r="I946" s="8" t="s">
        <v>1395</v>
      </c>
      <c r="J946" t="e">
        <f>VLOOKUP(B946,baru!$B$2:$I$2271,4,FALSE)</f>
        <v>#N/A</v>
      </c>
      <c r="K946" t="e">
        <f>VLOOKUP(B946,baru!$B$2:$I$2271,5,FALSE)</f>
        <v>#N/A</v>
      </c>
      <c r="L946" t="e">
        <f>VLOOKUP(B946,baru!$B$2:$I$2271,6,FALSE)</f>
        <v>#N/A</v>
      </c>
    </row>
    <row r="947" spans="1:12" hidden="1" x14ac:dyDescent="0.35">
      <c r="A947" s="6">
        <v>366570</v>
      </c>
      <c r="B947" s="7" t="str">
        <f>"3171070807690007"</f>
        <v>3171070807690007</v>
      </c>
      <c r="C947" s="7" t="s">
        <v>2184</v>
      </c>
      <c r="D947" s="7" t="s">
        <v>10</v>
      </c>
      <c r="E947" s="7" t="s">
        <v>11</v>
      </c>
      <c r="F947" s="7" t="s">
        <v>50</v>
      </c>
      <c r="G947" s="7" t="s">
        <v>72</v>
      </c>
      <c r="H947" s="7" t="s">
        <v>246</v>
      </c>
      <c r="I947" s="8" t="s">
        <v>2185</v>
      </c>
    </row>
    <row r="948" spans="1:12" hidden="1" x14ac:dyDescent="0.35">
      <c r="A948" s="6">
        <v>420583</v>
      </c>
      <c r="B948" s="7" t="str">
        <f>"3171074307500006"</f>
        <v>3171074307500006</v>
      </c>
      <c r="C948" s="7" t="s">
        <v>2188</v>
      </c>
      <c r="D948" s="7" t="s">
        <v>10</v>
      </c>
      <c r="E948" s="7" t="s">
        <v>11</v>
      </c>
      <c r="F948" s="7" t="s">
        <v>50</v>
      </c>
      <c r="G948" s="7" t="s">
        <v>280</v>
      </c>
      <c r="H948" s="7" t="s">
        <v>281</v>
      </c>
      <c r="I948" s="8" t="s">
        <v>1256</v>
      </c>
    </row>
    <row r="949" spans="1:12" hidden="1" x14ac:dyDescent="0.35">
      <c r="A949" s="6">
        <v>1114604</v>
      </c>
      <c r="B949" s="7" t="str">
        <f>"3172012309770005"</f>
        <v>3172012309770005</v>
      </c>
      <c r="C949" s="7" t="s">
        <v>2190</v>
      </c>
      <c r="D949" s="7" t="s">
        <v>10</v>
      </c>
      <c r="E949" s="7" t="s">
        <v>11</v>
      </c>
      <c r="F949" s="7" t="s">
        <v>50</v>
      </c>
      <c r="G949" s="7" t="s">
        <v>51</v>
      </c>
      <c r="H949" s="7" t="s">
        <v>52</v>
      </c>
      <c r="I949" s="8" t="s">
        <v>52</v>
      </c>
    </row>
    <row r="950" spans="1:12" hidden="1" x14ac:dyDescent="0.35">
      <c r="A950" s="6">
        <v>485424</v>
      </c>
      <c r="B950" s="7" t="str">
        <f>"3172021010590014"</f>
        <v>3172021010590014</v>
      </c>
      <c r="C950" s="7" t="s">
        <v>2192</v>
      </c>
      <c r="D950" s="7" t="s">
        <v>10</v>
      </c>
      <c r="E950" s="7" t="s">
        <v>11</v>
      </c>
      <c r="F950" s="7" t="s">
        <v>50</v>
      </c>
      <c r="G950" s="7" t="s">
        <v>51</v>
      </c>
      <c r="H950" s="7" t="s">
        <v>62</v>
      </c>
      <c r="I950" s="8" t="s">
        <v>2193</v>
      </c>
    </row>
    <row r="951" spans="1:12" hidden="1" x14ac:dyDescent="0.35">
      <c r="A951" s="6">
        <v>1273975</v>
      </c>
      <c r="B951" s="7" t="str">
        <f>"3172034909770003"</f>
        <v>3172034909770003</v>
      </c>
      <c r="C951" s="7" t="s">
        <v>2195</v>
      </c>
      <c r="D951" s="7" t="s">
        <v>10</v>
      </c>
      <c r="E951" s="7" t="s">
        <v>11</v>
      </c>
      <c r="F951" s="7" t="s">
        <v>50</v>
      </c>
      <c r="G951" s="7" t="s">
        <v>51</v>
      </c>
      <c r="H951" s="7" t="s">
        <v>284</v>
      </c>
      <c r="I951" s="8" t="s">
        <v>2196</v>
      </c>
    </row>
    <row r="952" spans="1:12" hidden="1" x14ac:dyDescent="0.35">
      <c r="A952" s="6">
        <v>982203</v>
      </c>
      <c r="B952" s="7" t="str">
        <f>"3172040203820024"</f>
        <v>3172040203820024</v>
      </c>
      <c r="C952" s="7" t="s">
        <v>2197</v>
      </c>
      <c r="D952" s="7" t="s">
        <v>10</v>
      </c>
      <c r="E952" s="7" t="s">
        <v>11</v>
      </c>
      <c r="F952" s="7" t="s">
        <v>50</v>
      </c>
      <c r="G952" s="7" t="s">
        <v>51</v>
      </c>
      <c r="H952" s="7" t="s">
        <v>78</v>
      </c>
      <c r="I952" s="8" t="s">
        <v>81</v>
      </c>
    </row>
    <row r="953" spans="1:12" hidden="1" x14ac:dyDescent="0.35">
      <c r="A953" s="6">
        <v>2540671</v>
      </c>
      <c r="B953" s="7" t="str">
        <f>"3172040203820024"</f>
        <v>3172040203820024</v>
      </c>
      <c r="C953" s="7" t="s">
        <v>2198</v>
      </c>
      <c r="D953" s="7" t="s">
        <v>10</v>
      </c>
      <c r="E953" s="7" t="s">
        <v>57</v>
      </c>
      <c r="F953" s="7" t="s">
        <v>18</v>
      </c>
      <c r="G953" s="7" t="s">
        <v>19</v>
      </c>
      <c r="H953" s="7" t="s">
        <v>1394</v>
      </c>
      <c r="I953" s="8" t="s">
        <v>1395</v>
      </c>
      <c r="J953" t="e">
        <f>VLOOKUP(B953,baru!$B$2:$I$2271,4,FALSE)</f>
        <v>#N/A</v>
      </c>
      <c r="K953" t="e">
        <f>VLOOKUP(B953,baru!$B$2:$I$2271,5,FALSE)</f>
        <v>#N/A</v>
      </c>
      <c r="L953" t="e">
        <f>VLOOKUP(B953,baru!$B$2:$I$2271,6,FALSE)</f>
        <v>#N/A</v>
      </c>
    </row>
    <row r="954" spans="1:12" hidden="1" x14ac:dyDescent="0.35">
      <c r="A954" s="6">
        <v>1803751</v>
      </c>
      <c r="B954" s="7" t="str">
        <f>"3172061802950005"</f>
        <v>3172061802950005</v>
      </c>
      <c r="C954" s="7" t="s">
        <v>2199</v>
      </c>
      <c r="D954" s="7" t="s">
        <v>10</v>
      </c>
      <c r="E954" s="7" t="s">
        <v>11</v>
      </c>
      <c r="F954" s="7" t="s">
        <v>91</v>
      </c>
      <c r="G954" s="7" t="s">
        <v>159</v>
      </c>
      <c r="H954" s="7" t="s">
        <v>1332</v>
      </c>
      <c r="I954" s="8" t="s">
        <v>2200</v>
      </c>
    </row>
    <row r="955" spans="1:12" hidden="1" x14ac:dyDescent="0.35">
      <c r="A955" s="6">
        <v>2540720</v>
      </c>
      <c r="B955" s="7" t="str">
        <f>"3172061802950005"</f>
        <v>3172061802950005</v>
      </c>
      <c r="C955" s="7" t="s">
        <v>2201</v>
      </c>
      <c r="D955" s="7" t="s">
        <v>10</v>
      </c>
      <c r="E955" s="7" t="s">
        <v>57</v>
      </c>
      <c r="F955" s="7" t="s">
        <v>18</v>
      </c>
      <c r="G955" s="7" t="s">
        <v>19</v>
      </c>
      <c r="H955" s="7" t="s">
        <v>1394</v>
      </c>
      <c r="I955" s="8" t="s">
        <v>1395</v>
      </c>
      <c r="J955" t="e">
        <f>VLOOKUP(B955,baru!$B$2:$I$2271,4,FALSE)</f>
        <v>#N/A</v>
      </c>
      <c r="K955" t="e">
        <f>VLOOKUP(B955,baru!$B$2:$I$2271,5,FALSE)</f>
        <v>#N/A</v>
      </c>
      <c r="L955" t="e">
        <f>VLOOKUP(B955,baru!$B$2:$I$2271,6,FALSE)</f>
        <v>#N/A</v>
      </c>
    </row>
    <row r="956" spans="1:12" hidden="1" x14ac:dyDescent="0.35">
      <c r="A956" s="6">
        <v>1313382</v>
      </c>
      <c r="B956" s="7" t="str">
        <f>"3173011408940006"</f>
        <v>3173011408940006</v>
      </c>
      <c r="C956" s="7" t="s">
        <v>2202</v>
      </c>
      <c r="D956" s="7" t="s">
        <v>10</v>
      </c>
      <c r="E956" s="7" t="s">
        <v>11</v>
      </c>
      <c r="F956" s="7" t="s">
        <v>50</v>
      </c>
      <c r="G956" s="7" t="s">
        <v>86</v>
      </c>
      <c r="H956" s="7" t="s">
        <v>1268</v>
      </c>
      <c r="I956" s="8" t="s">
        <v>2203</v>
      </c>
    </row>
    <row r="957" spans="1:12" hidden="1" x14ac:dyDescent="0.35">
      <c r="A957" s="6">
        <v>2540659</v>
      </c>
      <c r="B957" s="7" t="str">
        <f>"3173011408940006"</f>
        <v>3173011408940006</v>
      </c>
      <c r="C957" s="7" t="s">
        <v>2204</v>
      </c>
      <c r="D957" s="7" t="s">
        <v>10</v>
      </c>
      <c r="E957" s="7" t="s">
        <v>57</v>
      </c>
      <c r="F957" s="7" t="s">
        <v>18</v>
      </c>
      <c r="G957" s="7" t="s">
        <v>19</v>
      </c>
      <c r="H957" s="7" t="s">
        <v>1394</v>
      </c>
      <c r="I957" s="8" t="s">
        <v>1395</v>
      </c>
      <c r="J957" t="e">
        <f>VLOOKUP(B957,baru!$B$2:$I$2271,4,FALSE)</f>
        <v>#N/A</v>
      </c>
      <c r="K957" t="e">
        <f>VLOOKUP(B957,baru!$B$2:$I$2271,5,FALSE)</f>
        <v>#N/A</v>
      </c>
      <c r="L957" t="e">
        <f>VLOOKUP(B957,baru!$B$2:$I$2271,6,FALSE)</f>
        <v>#N/A</v>
      </c>
    </row>
    <row r="958" spans="1:12" hidden="1" x14ac:dyDescent="0.35">
      <c r="A958" s="6">
        <v>1563996</v>
      </c>
      <c r="B958" s="7" t="str">
        <f>"3173012306830010"</f>
        <v>3173012306830010</v>
      </c>
      <c r="C958" s="7" t="s">
        <v>2205</v>
      </c>
      <c r="D958" s="7" t="s">
        <v>10</v>
      </c>
      <c r="E958" s="7" t="s">
        <v>11</v>
      </c>
      <c r="F958" s="7" t="s">
        <v>50</v>
      </c>
      <c r="G958" s="7" t="s">
        <v>86</v>
      </c>
      <c r="H958" s="7" t="s">
        <v>1268</v>
      </c>
      <c r="I958" s="8" t="s">
        <v>1978</v>
      </c>
    </row>
    <row r="959" spans="1:12" hidden="1" x14ac:dyDescent="0.35">
      <c r="A959" s="6">
        <v>2540751</v>
      </c>
      <c r="B959" s="7" t="str">
        <f>"3173012306830010"</f>
        <v>3173012306830010</v>
      </c>
      <c r="C959" s="7" t="s">
        <v>2206</v>
      </c>
      <c r="D959" s="7" t="s">
        <v>10</v>
      </c>
      <c r="E959" s="7" t="s">
        <v>57</v>
      </c>
      <c r="F959" s="7" t="s">
        <v>18</v>
      </c>
      <c r="G959" s="7" t="s">
        <v>19</v>
      </c>
      <c r="H959" s="7" t="s">
        <v>1394</v>
      </c>
      <c r="I959" s="8" t="s">
        <v>1395</v>
      </c>
      <c r="J959" t="e">
        <f>VLOOKUP(B959,baru!$B$2:$I$2271,4,FALSE)</f>
        <v>#N/A</v>
      </c>
      <c r="K959" t="e">
        <f>VLOOKUP(B959,baru!$B$2:$I$2271,5,FALSE)</f>
        <v>#N/A</v>
      </c>
      <c r="L959" t="e">
        <f>VLOOKUP(B959,baru!$B$2:$I$2271,6,FALSE)</f>
        <v>#N/A</v>
      </c>
    </row>
    <row r="960" spans="1:12" hidden="1" x14ac:dyDescent="0.35">
      <c r="A960" s="6">
        <v>141415</v>
      </c>
      <c r="B960" s="7" t="str">
        <f>"3173026701850002"</f>
        <v>3173026701850002</v>
      </c>
      <c r="C960" s="7" t="s">
        <v>2207</v>
      </c>
      <c r="D960" s="7" t="s">
        <v>10</v>
      </c>
      <c r="E960" s="7" t="s">
        <v>11</v>
      </c>
      <c r="F960" s="7" t="s">
        <v>50</v>
      </c>
      <c r="G960" s="7" t="s">
        <v>86</v>
      </c>
      <c r="H960" s="7" t="s">
        <v>205</v>
      </c>
      <c r="I960" s="8" t="s">
        <v>1952</v>
      </c>
    </row>
    <row r="961" spans="1:12" hidden="1" x14ac:dyDescent="0.35">
      <c r="A961" s="6">
        <v>577327</v>
      </c>
      <c r="B961" s="7" t="str">
        <f>"3173031906550002"</f>
        <v>3173031906550002</v>
      </c>
      <c r="C961" s="7" t="s">
        <v>2209</v>
      </c>
      <c r="D961" s="7" t="s">
        <v>10</v>
      </c>
      <c r="E961" s="7" t="s">
        <v>11</v>
      </c>
      <c r="F961" s="7" t="s">
        <v>50</v>
      </c>
      <c r="G961" s="7" t="s">
        <v>86</v>
      </c>
      <c r="H961" s="7" t="s">
        <v>1463</v>
      </c>
      <c r="I961" s="8" t="s">
        <v>2210</v>
      </c>
    </row>
    <row r="962" spans="1:12" hidden="1" x14ac:dyDescent="0.35">
      <c r="A962" s="6">
        <v>61660</v>
      </c>
      <c r="B962" s="7" t="str">
        <f>"3173045205880009"</f>
        <v>3173045205880009</v>
      </c>
      <c r="C962" s="7" t="s">
        <v>2213</v>
      </c>
      <c r="D962" s="7" t="s">
        <v>10</v>
      </c>
      <c r="E962" s="7" t="s">
        <v>11</v>
      </c>
      <c r="F962" s="7" t="s">
        <v>667</v>
      </c>
      <c r="G962" s="7" t="s">
        <v>2214</v>
      </c>
      <c r="H962" s="7" t="s">
        <v>2215</v>
      </c>
      <c r="I962" s="8" t="s">
        <v>2216</v>
      </c>
    </row>
    <row r="963" spans="1:12" hidden="1" x14ac:dyDescent="0.35">
      <c r="A963" s="6">
        <v>1174115</v>
      </c>
      <c r="B963" s="7" t="str">
        <f>"3173050203780005"</f>
        <v>3173050203780005</v>
      </c>
      <c r="C963" s="7" t="s">
        <v>2218</v>
      </c>
      <c r="D963" s="7" t="s">
        <v>10</v>
      </c>
      <c r="E963" s="7" t="s">
        <v>11</v>
      </c>
      <c r="F963" s="7" t="s">
        <v>50</v>
      </c>
      <c r="G963" s="7" t="s">
        <v>86</v>
      </c>
      <c r="H963" s="7" t="s">
        <v>313</v>
      </c>
      <c r="I963" s="8" t="s">
        <v>2219</v>
      </c>
    </row>
    <row r="964" spans="1:12" hidden="1" x14ac:dyDescent="0.35">
      <c r="A964" s="6">
        <v>2540715</v>
      </c>
      <c r="B964" s="7" t="str">
        <f>"3173050203780005"</f>
        <v>3173050203780005</v>
      </c>
      <c r="C964" s="7" t="s">
        <v>2220</v>
      </c>
      <c r="D964" s="7" t="s">
        <v>10</v>
      </c>
      <c r="E964" s="7" t="s">
        <v>57</v>
      </c>
      <c r="F964" s="7" t="s">
        <v>18</v>
      </c>
      <c r="G964" s="7" t="s">
        <v>19</v>
      </c>
      <c r="H964" s="7" t="s">
        <v>1394</v>
      </c>
      <c r="I964" s="8" t="s">
        <v>1395</v>
      </c>
      <c r="J964" t="e">
        <f>VLOOKUP(B964,baru!$B$2:$I$2271,4,FALSE)</f>
        <v>#N/A</v>
      </c>
      <c r="K964" t="e">
        <f>VLOOKUP(B964,baru!$B$2:$I$2271,5,FALSE)</f>
        <v>#N/A</v>
      </c>
      <c r="L964" t="e">
        <f>VLOOKUP(B964,baru!$B$2:$I$2271,6,FALSE)</f>
        <v>#N/A</v>
      </c>
    </row>
    <row r="965" spans="1:12" hidden="1" x14ac:dyDescent="0.35">
      <c r="A965" s="6">
        <v>1050317</v>
      </c>
      <c r="B965" s="7" t="str">
        <f>"3174022206870002"</f>
        <v>3174022206870002</v>
      </c>
      <c r="C965" s="7" t="s">
        <v>2221</v>
      </c>
      <c r="D965" s="7" t="s">
        <v>10</v>
      </c>
      <c r="E965" s="7" t="s">
        <v>11</v>
      </c>
      <c r="F965" s="7" t="s">
        <v>50</v>
      </c>
      <c r="G965" s="7" t="s">
        <v>72</v>
      </c>
      <c r="H965" s="7" t="s">
        <v>703</v>
      </c>
      <c r="I965" s="8" t="s">
        <v>2222</v>
      </c>
    </row>
    <row r="966" spans="1:12" hidden="1" x14ac:dyDescent="0.35">
      <c r="A966" s="6">
        <v>2540666</v>
      </c>
      <c r="B966" s="7" t="str">
        <f>"3174022206870002"</f>
        <v>3174022206870002</v>
      </c>
      <c r="C966" s="7" t="s">
        <v>2223</v>
      </c>
      <c r="D966" s="7" t="s">
        <v>10</v>
      </c>
      <c r="E966" s="7" t="s">
        <v>57</v>
      </c>
      <c r="F966" s="7" t="s">
        <v>18</v>
      </c>
      <c r="G966" s="7" t="s">
        <v>19</v>
      </c>
      <c r="H966" s="7" t="s">
        <v>1394</v>
      </c>
      <c r="I966" s="8" t="s">
        <v>1395</v>
      </c>
      <c r="J966" t="e">
        <f>VLOOKUP(B966,baru!$B$2:$I$2271,4,FALSE)</f>
        <v>#N/A</v>
      </c>
      <c r="K966" t="e">
        <f>VLOOKUP(B966,baru!$B$2:$I$2271,5,FALSE)</f>
        <v>#N/A</v>
      </c>
      <c r="L966" t="e">
        <f>VLOOKUP(B966,baru!$B$2:$I$2271,6,FALSE)</f>
        <v>#N/A</v>
      </c>
    </row>
    <row r="967" spans="1:12" hidden="1" x14ac:dyDescent="0.35">
      <c r="A967" s="6">
        <v>370137</v>
      </c>
      <c r="B967" s="7" t="str">
        <f>"3174030105670003"</f>
        <v>3174030105670003</v>
      </c>
      <c r="C967" s="7" t="s">
        <v>2224</v>
      </c>
      <c r="D967" s="7" t="s">
        <v>10</v>
      </c>
      <c r="E967" s="7" t="s">
        <v>11</v>
      </c>
      <c r="F967" s="7" t="s">
        <v>50</v>
      </c>
      <c r="G967" s="7" t="s">
        <v>72</v>
      </c>
      <c r="H967" s="7" t="s">
        <v>246</v>
      </c>
      <c r="I967" s="8" t="s">
        <v>2185</v>
      </c>
    </row>
    <row r="968" spans="1:12" hidden="1" x14ac:dyDescent="0.35">
      <c r="A968" s="6">
        <v>1656576</v>
      </c>
      <c r="B968" s="7" t="str">
        <f>"3174031102860007"</f>
        <v>3174031102860007</v>
      </c>
      <c r="C968" s="7" t="s">
        <v>2225</v>
      </c>
      <c r="D968" s="7" t="s">
        <v>10</v>
      </c>
      <c r="E968" s="7" t="s">
        <v>11</v>
      </c>
      <c r="F968" s="7" t="s">
        <v>50</v>
      </c>
      <c r="G968" s="7" t="s">
        <v>72</v>
      </c>
      <c r="H968" s="7" t="s">
        <v>1172</v>
      </c>
      <c r="I968" s="8" t="s">
        <v>1173</v>
      </c>
    </row>
    <row r="969" spans="1:12" hidden="1" x14ac:dyDescent="0.35">
      <c r="A969" s="6">
        <v>1651336</v>
      </c>
      <c r="B969" s="7" t="str">
        <f>"3174031608011002"</f>
        <v>3174031608011002</v>
      </c>
      <c r="C969" s="7" t="s">
        <v>2226</v>
      </c>
      <c r="D969" s="7" t="s">
        <v>10</v>
      </c>
      <c r="E969" s="7" t="s">
        <v>11</v>
      </c>
      <c r="F969" s="7" t="s">
        <v>50</v>
      </c>
      <c r="G969" s="7" t="s">
        <v>72</v>
      </c>
      <c r="H969" s="7" t="s">
        <v>1172</v>
      </c>
      <c r="I969" s="8" t="s">
        <v>1173</v>
      </c>
    </row>
    <row r="970" spans="1:12" hidden="1" x14ac:dyDescent="0.35">
      <c r="A970" s="6">
        <v>1785768</v>
      </c>
      <c r="B970" s="7" t="str">
        <f>"3174031908720007"</f>
        <v>3174031908720007</v>
      </c>
      <c r="C970" s="7" t="s">
        <v>2227</v>
      </c>
      <c r="D970" s="7" t="s">
        <v>10</v>
      </c>
      <c r="E970" s="7" t="s">
        <v>11</v>
      </c>
      <c r="F970" s="7" t="s">
        <v>50</v>
      </c>
      <c r="G970" s="7" t="s">
        <v>72</v>
      </c>
      <c r="H970" s="7" t="s">
        <v>1172</v>
      </c>
      <c r="I970" s="8" t="s">
        <v>2228</v>
      </c>
    </row>
    <row r="971" spans="1:12" hidden="1" x14ac:dyDescent="0.35">
      <c r="A971" s="6">
        <v>1663139</v>
      </c>
      <c r="B971" s="7" t="str">
        <f>"3174032010051003"</f>
        <v>3174032010051003</v>
      </c>
      <c r="C971" s="7" t="s">
        <v>2229</v>
      </c>
      <c r="D971" s="7" t="s">
        <v>10</v>
      </c>
      <c r="E971" s="7" t="s">
        <v>11</v>
      </c>
      <c r="F971" s="7" t="s">
        <v>50</v>
      </c>
      <c r="G971" s="7" t="s">
        <v>72</v>
      </c>
      <c r="H971" s="7" t="s">
        <v>1172</v>
      </c>
      <c r="I971" s="8" t="s">
        <v>2230</v>
      </c>
    </row>
    <row r="972" spans="1:12" x14ac:dyDescent="0.35">
      <c r="A972" s="6">
        <v>1826438</v>
      </c>
      <c r="B972" s="7" t="str">
        <f>"3174032010051003"</f>
        <v>3174032010051003</v>
      </c>
      <c r="C972" s="7" t="s">
        <v>2231</v>
      </c>
      <c r="D972" s="7" t="s">
        <v>189</v>
      </c>
      <c r="E972" s="7" t="s">
        <v>11</v>
      </c>
      <c r="F972" s="7" t="s">
        <v>18</v>
      </c>
      <c r="G972" s="7" t="s">
        <v>19</v>
      </c>
      <c r="H972" s="7" t="s">
        <v>1394</v>
      </c>
      <c r="I972" s="8" t="s">
        <v>2172</v>
      </c>
      <c r="J972" t="e">
        <f>VLOOKUP(B972,baru!$B$2:$I$2271,4,FALSE)</f>
        <v>#N/A</v>
      </c>
      <c r="K972" t="e">
        <f>VLOOKUP(B972,baru!$B$2:$I$2271,5,FALSE)</f>
        <v>#N/A</v>
      </c>
      <c r="L972" t="e">
        <f>VLOOKUP(B972,baru!$B$2:$I$2271,6,FALSE)</f>
        <v>#N/A</v>
      </c>
    </row>
    <row r="973" spans="1:12" hidden="1" x14ac:dyDescent="0.35">
      <c r="A973" s="6">
        <v>370139</v>
      </c>
      <c r="B973" s="7" t="str">
        <f>"3174032202920004"</f>
        <v>3174032202920004</v>
      </c>
      <c r="C973" s="7" t="s">
        <v>2232</v>
      </c>
      <c r="D973" s="7" t="s">
        <v>10</v>
      </c>
      <c r="E973" s="7" t="s">
        <v>11</v>
      </c>
      <c r="F973" s="7" t="s">
        <v>50</v>
      </c>
      <c r="G973" s="7" t="s">
        <v>72</v>
      </c>
      <c r="H973" s="7" t="s">
        <v>246</v>
      </c>
      <c r="I973" s="8" t="s">
        <v>2185</v>
      </c>
    </row>
    <row r="974" spans="1:12" hidden="1" x14ac:dyDescent="0.35">
      <c r="A974" s="13">
        <v>1821300</v>
      </c>
      <c r="B974" s="14" t="str">
        <f>"3174032706991002"</f>
        <v>3174032706991002</v>
      </c>
      <c r="C974" s="14" t="s">
        <v>2233</v>
      </c>
      <c r="D974" s="14" t="s">
        <v>10</v>
      </c>
      <c r="E974" s="14" t="s">
        <v>11</v>
      </c>
      <c r="F974" s="14" t="s">
        <v>18</v>
      </c>
      <c r="G974" s="14" t="s">
        <v>19</v>
      </c>
      <c r="H974" s="14" t="s">
        <v>1394</v>
      </c>
      <c r="I974" s="15" t="s">
        <v>2212</v>
      </c>
      <c r="J974" s="16" t="str">
        <f>VLOOKUP(B974,baru!$B$2:$I$2271,4,FALSE)</f>
        <v>Reguler</v>
      </c>
      <c r="K974" s="16" t="str">
        <f>VLOOKUP(B974,baru!$B$2:$I$2271,5,FALSE)</f>
        <v>DKI JAKARTA</v>
      </c>
      <c r="L974" s="16" t="str">
        <f>VLOOKUP(B974,baru!$B$2:$I$2271,6,FALSE)</f>
        <v>KOTA JAKARTA SELATAN</v>
      </c>
    </row>
    <row r="975" spans="1:12" hidden="1" x14ac:dyDescent="0.35">
      <c r="A975" s="6">
        <v>1641527</v>
      </c>
      <c r="B975" s="7" t="str">
        <f>"3174032909860008"</f>
        <v>3174032909860008</v>
      </c>
      <c r="C975" s="7" t="s">
        <v>2234</v>
      </c>
      <c r="D975" s="7" t="s">
        <v>10</v>
      </c>
      <c r="E975" s="7" t="s">
        <v>11</v>
      </c>
      <c r="F975" s="7" t="s">
        <v>50</v>
      </c>
      <c r="G975" s="7" t="s">
        <v>72</v>
      </c>
      <c r="H975" s="7" t="s">
        <v>1172</v>
      </c>
      <c r="I975" s="8" t="s">
        <v>1173</v>
      </c>
    </row>
    <row r="976" spans="1:12" hidden="1" x14ac:dyDescent="0.35">
      <c r="A976" s="6">
        <v>1651338</v>
      </c>
      <c r="B976" s="7" t="str">
        <f>"3174033012710005"</f>
        <v>3174033012710005</v>
      </c>
      <c r="C976" s="7" t="s">
        <v>2236</v>
      </c>
      <c r="D976" s="7" t="s">
        <v>10</v>
      </c>
      <c r="E976" s="7" t="s">
        <v>11</v>
      </c>
      <c r="F976" s="7" t="s">
        <v>50</v>
      </c>
      <c r="G976" s="7" t="s">
        <v>72</v>
      </c>
      <c r="H976" s="7" t="s">
        <v>1172</v>
      </c>
      <c r="I976" s="8" t="s">
        <v>1173</v>
      </c>
    </row>
    <row r="977" spans="1:12" hidden="1" x14ac:dyDescent="0.35">
      <c r="A977" s="6">
        <v>1666050</v>
      </c>
      <c r="B977" s="7" t="str">
        <f>"3174035206550004"</f>
        <v>3174035206550004</v>
      </c>
      <c r="C977" s="7" t="s">
        <v>2237</v>
      </c>
      <c r="D977" s="7" t="s">
        <v>10</v>
      </c>
      <c r="E977" s="7" t="s">
        <v>11</v>
      </c>
      <c r="F977" s="7" t="s">
        <v>50</v>
      </c>
      <c r="G977" s="7" t="s">
        <v>72</v>
      </c>
      <c r="H977" s="7" t="s">
        <v>1172</v>
      </c>
      <c r="I977" s="8" t="s">
        <v>2230</v>
      </c>
    </row>
    <row r="978" spans="1:12" hidden="1" x14ac:dyDescent="0.35">
      <c r="A978" s="6">
        <v>1651337</v>
      </c>
      <c r="B978" s="7" t="str">
        <f>"3174035404031006"</f>
        <v>3174035404031006</v>
      </c>
      <c r="C978" s="7" t="s">
        <v>2239</v>
      </c>
      <c r="D978" s="7" t="s">
        <v>10</v>
      </c>
      <c r="E978" s="7" t="s">
        <v>11</v>
      </c>
      <c r="F978" s="7" t="s">
        <v>50</v>
      </c>
      <c r="G978" s="7" t="s">
        <v>72</v>
      </c>
      <c r="H978" s="7" t="s">
        <v>1172</v>
      </c>
      <c r="I978" s="8" t="s">
        <v>1173</v>
      </c>
    </row>
    <row r="979" spans="1:12" hidden="1" x14ac:dyDescent="0.35">
      <c r="A979" s="6">
        <v>370398</v>
      </c>
      <c r="B979" s="7" t="str">
        <f>"3174036104990003"</f>
        <v>3174036104990003</v>
      </c>
      <c r="C979" s="7" t="s">
        <v>2240</v>
      </c>
      <c r="D979" s="7" t="s">
        <v>10</v>
      </c>
      <c r="E979" s="7" t="s">
        <v>11</v>
      </c>
      <c r="F979" s="7" t="s">
        <v>50</v>
      </c>
      <c r="G979" s="7" t="s">
        <v>72</v>
      </c>
      <c r="H979" s="7" t="s">
        <v>246</v>
      </c>
      <c r="I979" s="8" t="s">
        <v>2185</v>
      </c>
    </row>
    <row r="980" spans="1:12" hidden="1" x14ac:dyDescent="0.35">
      <c r="A980" s="6">
        <v>449114</v>
      </c>
      <c r="B980" s="7" t="str">
        <f>"3174046707751001"</f>
        <v>3174046707751001</v>
      </c>
      <c r="C980" s="7" t="s">
        <v>2241</v>
      </c>
      <c r="D980" s="7" t="s">
        <v>10</v>
      </c>
      <c r="E980" s="7" t="s">
        <v>11</v>
      </c>
      <c r="F980" s="7" t="s">
        <v>50</v>
      </c>
      <c r="G980" s="7" t="s">
        <v>72</v>
      </c>
      <c r="H980" s="7" t="s">
        <v>73</v>
      </c>
      <c r="I980" s="8" t="s">
        <v>2242</v>
      </c>
    </row>
    <row r="981" spans="1:12" hidden="1" x14ac:dyDescent="0.35">
      <c r="A981" s="6">
        <v>734245</v>
      </c>
      <c r="B981" s="7" t="str">
        <f>"3174050505740011"</f>
        <v>3174050505740011</v>
      </c>
      <c r="C981" s="7" t="s">
        <v>2243</v>
      </c>
      <c r="D981" s="7" t="s">
        <v>10</v>
      </c>
      <c r="E981" s="7" t="s">
        <v>11</v>
      </c>
      <c r="F981" s="7" t="s">
        <v>50</v>
      </c>
      <c r="G981" s="7" t="s">
        <v>72</v>
      </c>
      <c r="H981" s="7" t="s">
        <v>803</v>
      </c>
      <c r="I981" s="8" t="s">
        <v>2244</v>
      </c>
    </row>
    <row r="982" spans="1:12" hidden="1" x14ac:dyDescent="0.35">
      <c r="A982" s="6">
        <v>779500</v>
      </c>
      <c r="B982" s="7" t="str">
        <f>"3174050903910001"</f>
        <v>3174050903910001</v>
      </c>
      <c r="C982" s="7" t="s">
        <v>1292</v>
      </c>
      <c r="D982" s="7" t="s">
        <v>10</v>
      </c>
      <c r="E982" s="7" t="s">
        <v>11</v>
      </c>
      <c r="F982" s="7" t="s">
        <v>50</v>
      </c>
      <c r="G982" s="7" t="s">
        <v>72</v>
      </c>
      <c r="H982" s="7" t="s">
        <v>803</v>
      </c>
      <c r="I982" s="8" t="s">
        <v>2244</v>
      </c>
    </row>
    <row r="983" spans="1:12" hidden="1" x14ac:dyDescent="0.35">
      <c r="A983" s="6">
        <v>1154320</v>
      </c>
      <c r="B983" s="7" t="str">
        <f>"3174055507500005"</f>
        <v>3174055507500005</v>
      </c>
      <c r="C983" s="7" t="s">
        <v>2245</v>
      </c>
      <c r="D983" s="7" t="s">
        <v>10</v>
      </c>
      <c r="E983" s="7" t="s">
        <v>11</v>
      </c>
      <c r="F983" s="7" t="s">
        <v>50</v>
      </c>
      <c r="G983" s="7" t="s">
        <v>72</v>
      </c>
      <c r="H983" s="7" t="s">
        <v>803</v>
      </c>
      <c r="I983" s="8" t="s">
        <v>2246</v>
      </c>
    </row>
    <row r="984" spans="1:12" hidden="1" x14ac:dyDescent="0.35">
      <c r="A984" s="6">
        <v>806240</v>
      </c>
      <c r="B984" s="7" t="str">
        <f>"3174070211730003"</f>
        <v>3174070211730003</v>
      </c>
      <c r="C984" s="7" t="s">
        <v>2247</v>
      </c>
      <c r="D984" s="7" t="s">
        <v>10</v>
      </c>
      <c r="E984" s="7" t="s">
        <v>11</v>
      </c>
      <c r="F984" s="7" t="s">
        <v>50</v>
      </c>
      <c r="G984" s="7" t="s">
        <v>72</v>
      </c>
      <c r="H984" s="7" t="s">
        <v>628</v>
      </c>
      <c r="I984" s="8" t="s">
        <v>2248</v>
      </c>
    </row>
    <row r="985" spans="1:12" hidden="1" x14ac:dyDescent="0.35">
      <c r="A985" s="6">
        <v>2540880</v>
      </c>
      <c r="B985" s="7" t="str">
        <f>"3174070211730003"</f>
        <v>3174070211730003</v>
      </c>
      <c r="C985" s="7" t="s">
        <v>2249</v>
      </c>
      <c r="D985" s="7" t="s">
        <v>10</v>
      </c>
      <c r="E985" s="7" t="s">
        <v>57</v>
      </c>
      <c r="F985" s="7" t="s">
        <v>18</v>
      </c>
      <c r="G985" s="7" t="s">
        <v>19</v>
      </c>
      <c r="H985" s="7" t="s">
        <v>1394</v>
      </c>
      <c r="I985" s="8" t="s">
        <v>1395</v>
      </c>
      <c r="J985" t="e">
        <f>VLOOKUP(B985,baru!$B$2:$I$2271,4,FALSE)</f>
        <v>#N/A</v>
      </c>
      <c r="K985" t="e">
        <f>VLOOKUP(B985,baru!$B$2:$I$2271,5,FALSE)</f>
        <v>#N/A</v>
      </c>
      <c r="L985" t="e">
        <f>VLOOKUP(B985,baru!$B$2:$I$2271,6,FALSE)</f>
        <v>#N/A</v>
      </c>
    </row>
    <row r="986" spans="1:12" hidden="1" x14ac:dyDescent="0.35">
      <c r="A986" s="6">
        <v>1063282</v>
      </c>
      <c r="B986" s="7" t="str">
        <f>"3174071102700001"</f>
        <v>3174071102700001</v>
      </c>
      <c r="C986" s="7" t="s">
        <v>2250</v>
      </c>
      <c r="D986" s="7" t="s">
        <v>10</v>
      </c>
      <c r="E986" s="7" t="s">
        <v>11</v>
      </c>
      <c r="F986" s="7" t="s">
        <v>50</v>
      </c>
      <c r="G986" s="7" t="s">
        <v>72</v>
      </c>
      <c r="H986" s="7" t="s">
        <v>628</v>
      </c>
      <c r="I986" s="8" t="s">
        <v>2248</v>
      </c>
    </row>
    <row r="987" spans="1:12" hidden="1" x14ac:dyDescent="0.35">
      <c r="A987" s="6">
        <v>1366896</v>
      </c>
      <c r="B987" s="7" t="str">
        <f>"3174071501850007"</f>
        <v>3174071501850007</v>
      </c>
      <c r="C987" s="7" t="s">
        <v>2251</v>
      </c>
      <c r="D987" s="7" t="s">
        <v>10</v>
      </c>
      <c r="E987" s="7" t="s">
        <v>11</v>
      </c>
      <c r="F987" s="7" t="s">
        <v>50</v>
      </c>
      <c r="G987" s="7" t="s">
        <v>72</v>
      </c>
      <c r="H987" s="7" t="s">
        <v>628</v>
      </c>
      <c r="I987" s="8" t="s">
        <v>2252</v>
      </c>
    </row>
    <row r="988" spans="1:12" hidden="1" x14ac:dyDescent="0.35">
      <c r="A988" s="6">
        <v>1651339</v>
      </c>
      <c r="B988" s="7" t="str">
        <f>"3174077112730019"</f>
        <v>3174077112730019</v>
      </c>
      <c r="C988" s="7" t="s">
        <v>2253</v>
      </c>
      <c r="D988" s="7" t="s">
        <v>10</v>
      </c>
      <c r="E988" s="7" t="s">
        <v>11</v>
      </c>
      <c r="F988" s="7" t="s">
        <v>50</v>
      </c>
      <c r="G988" s="7" t="s">
        <v>72</v>
      </c>
      <c r="H988" s="7" t="s">
        <v>1172</v>
      </c>
      <c r="I988" s="8" t="s">
        <v>1173</v>
      </c>
    </row>
    <row r="989" spans="1:12" hidden="1" x14ac:dyDescent="0.35">
      <c r="A989" s="6">
        <v>366565</v>
      </c>
      <c r="B989" s="7" t="str">
        <f>"3174083009011002"</f>
        <v>3174083009011002</v>
      </c>
      <c r="C989" s="7" t="s">
        <v>2254</v>
      </c>
      <c r="D989" s="7" t="s">
        <v>10</v>
      </c>
      <c r="E989" s="7" t="s">
        <v>11</v>
      </c>
      <c r="F989" s="7" t="s">
        <v>50</v>
      </c>
      <c r="G989" s="7" t="s">
        <v>72</v>
      </c>
      <c r="H989" s="7" t="s">
        <v>246</v>
      </c>
      <c r="I989" s="8" t="s">
        <v>2185</v>
      </c>
    </row>
    <row r="990" spans="1:12" hidden="1" x14ac:dyDescent="0.35">
      <c r="A990" s="6">
        <v>2366710</v>
      </c>
      <c r="B990" s="7" t="str">
        <f>"3175021306750008"</f>
        <v>3175021306750008</v>
      </c>
      <c r="C990" s="7" t="s">
        <v>2256</v>
      </c>
      <c r="D990" s="7" t="s">
        <v>10</v>
      </c>
      <c r="E990" s="7" t="s">
        <v>11</v>
      </c>
      <c r="F990" s="7" t="s">
        <v>50</v>
      </c>
      <c r="G990" s="7" t="s">
        <v>58</v>
      </c>
      <c r="H990" s="7" t="s">
        <v>417</v>
      </c>
      <c r="I990" s="8" t="s">
        <v>59</v>
      </c>
    </row>
    <row r="991" spans="1:12" hidden="1" x14ac:dyDescent="0.35">
      <c r="A991" s="6">
        <v>2366711</v>
      </c>
      <c r="B991" s="7" t="str">
        <f>"3175025812720011"</f>
        <v>3175025812720011</v>
      </c>
      <c r="C991" s="7" t="s">
        <v>2258</v>
      </c>
      <c r="D991" s="7" t="s">
        <v>10</v>
      </c>
      <c r="E991" s="7" t="s">
        <v>11</v>
      </c>
      <c r="F991" s="7" t="s">
        <v>50</v>
      </c>
      <c r="G991" s="7" t="s">
        <v>58</v>
      </c>
      <c r="H991" s="7" t="s">
        <v>417</v>
      </c>
      <c r="I991" s="8" t="s">
        <v>59</v>
      </c>
    </row>
    <row r="992" spans="1:12" hidden="1" x14ac:dyDescent="0.35">
      <c r="A992" s="6">
        <v>84183</v>
      </c>
      <c r="B992" s="7" t="str">
        <f>"3175030601730004"</f>
        <v>3175030601730004</v>
      </c>
      <c r="C992" s="7" t="s">
        <v>2260</v>
      </c>
      <c r="D992" s="7" t="s">
        <v>10</v>
      </c>
      <c r="E992" s="7" t="s">
        <v>11</v>
      </c>
      <c r="F992" s="7" t="s">
        <v>50</v>
      </c>
      <c r="G992" s="7" t="s">
        <v>58</v>
      </c>
      <c r="H992" s="7" t="s">
        <v>59</v>
      </c>
      <c r="I992" s="8" t="s">
        <v>1069</v>
      </c>
    </row>
    <row r="993" spans="1:12" hidden="1" x14ac:dyDescent="0.35">
      <c r="A993" s="6">
        <v>914838</v>
      </c>
      <c r="B993" s="7" t="str">
        <f>"3175031111940002"</f>
        <v>3175031111940002</v>
      </c>
      <c r="C993" s="7" t="s">
        <v>2262</v>
      </c>
      <c r="D993" s="7" t="s">
        <v>10</v>
      </c>
      <c r="E993" s="7" t="s">
        <v>11</v>
      </c>
      <c r="F993" s="7" t="s">
        <v>50</v>
      </c>
      <c r="G993" s="7" t="s">
        <v>58</v>
      </c>
      <c r="H993" s="7" t="s">
        <v>59</v>
      </c>
      <c r="I993" s="8" t="s">
        <v>824</v>
      </c>
    </row>
    <row r="994" spans="1:12" hidden="1" x14ac:dyDescent="0.35">
      <c r="A994" s="6">
        <v>627457</v>
      </c>
      <c r="B994" s="7" t="str">
        <f>"3175031607690005"</f>
        <v>3175031607690005</v>
      </c>
      <c r="C994" s="7" t="s">
        <v>2263</v>
      </c>
      <c r="D994" s="7" t="s">
        <v>10</v>
      </c>
      <c r="E994" s="7" t="s">
        <v>11</v>
      </c>
      <c r="F994" s="7" t="s">
        <v>50</v>
      </c>
      <c r="G994" s="7" t="s">
        <v>58</v>
      </c>
      <c r="H994" s="7" t="s">
        <v>59</v>
      </c>
      <c r="I994" s="8" t="s">
        <v>2264</v>
      </c>
    </row>
    <row r="995" spans="1:12" hidden="1" x14ac:dyDescent="0.35">
      <c r="A995" s="6">
        <v>627459</v>
      </c>
      <c r="B995" s="7" t="str">
        <f>"3175035807760008"</f>
        <v>3175035807760008</v>
      </c>
      <c r="C995" s="7" t="s">
        <v>2265</v>
      </c>
      <c r="D995" s="7" t="s">
        <v>10</v>
      </c>
      <c r="E995" s="7" t="s">
        <v>11</v>
      </c>
      <c r="F995" s="7" t="s">
        <v>50</v>
      </c>
      <c r="G995" s="7" t="s">
        <v>58</v>
      </c>
      <c r="H995" s="7" t="s">
        <v>59</v>
      </c>
      <c r="I995" s="8" t="s">
        <v>2264</v>
      </c>
    </row>
    <row r="996" spans="1:12" hidden="1" x14ac:dyDescent="0.35">
      <c r="A996" s="6">
        <v>1734867</v>
      </c>
      <c r="B996" s="7" t="str">
        <f>"3175052208740003"</f>
        <v>3175052208740003</v>
      </c>
      <c r="C996" s="7" t="s">
        <v>2266</v>
      </c>
      <c r="D996" s="7" t="s">
        <v>10</v>
      </c>
      <c r="E996" s="7" t="s">
        <v>11</v>
      </c>
      <c r="F996" s="7" t="s">
        <v>50</v>
      </c>
      <c r="G996" s="7" t="s">
        <v>58</v>
      </c>
      <c r="H996" s="7" t="s">
        <v>260</v>
      </c>
      <c r="I996" s="8" t="s">
        <v>626</v>
      </c>
    </row>
    <row r="997" spans="1:12" hidden="1" x14ac:dyDescent="0.35">
      <c r="A997" s="6">
        <v>2540676</v>
      </c>
      <c r="B997" s="7" t="str">
        <f>"3175052208740003"</f>
        <v>3175052208740003</v>
      </c>
      <c r="C997" s="7" t="s">
        <v>2267</v>
      </c>
      <c r="D997" s="7" t="s">
        <v>10</v>
      </c>
      <c r="E997" s="7" t="s">
        <v>57</v>
      </c>
      <c r="F997" s="7" t="s">
        <v>18</v>
      </c>
      <c r="G997" s="7" t="s">
        <v>19</v>
      </c>
      <c r="H997" s="7" t="s">
        <v>1394</v>
      </c>
      <c r="I997" s="8" t="s">
        <v>1395</v>
      </c>
      <c r="J997" t="e">
        <f>VLOOKUP(B997,baru!$B$2:$I$2271,4,FALSE)</f>
        <v>#N/A</v>
      </c>
      <c r="K997" t="e">
        <f>VLOOKUP(B997,baru!$B$2:$I$2271,5,FALSE)</f>
        <v>#N/A</v>
      </c>
      <c r="L997" t="e">
        <f>VLOOKUP(B997,baru!$B$2:$I$2271,6,FALSE)</f>
        <v>#N/A</v>
      </c>
    </row>
    <row r="998" spans="1:12" hidden="1" x14ac:dyDescent="0.35">
      <c r="A998" s="6">
        <v>1508085</v>
      </c>
      <c r="B998" s="7" t="str">
        <f>"3175064411970013"</f>
        <v>3175064411970013</v>
      </c>
      <c r="C998" s="7" t="s">
        <v>2268</v>
      </c>
      <c r="D998" s="7" t="s">
        <v>10</v>
      </c>
      <c r="E998" s="7" t="s">
        <v>11</v>
      </c>
      <c r="F998" s="7" t="s">
        <v>50</v>
      </c>
      <c r="G998" s="7" t="s">
        <v>58</v>
      </c>
      <c r="H998" s="7" t="s">
        <v>417</v>
      </c>
      <c r="I998" s="8" t="s">
        <v>1936</v>
      </c>
    </row>
    <row r="999" spans="1:12" hidden="1" x14ac:dyDescent="0.35">
      <c r="A999" s="6">
        <v>1764753</v>
      </c>
      <c r="B999" s="7" t="str">
        <f>"3175067012740017"</f>
        <v>3175067012740017</v>
      </c>
      <c r="C999" s="7" t="s">
        <v>2270</v>
      </c>
      <c r="D999" s="7" t="s">
        <v>10</v>
      </c>
      <c r="E999" s="7" t="s">
        <v>11</v>
      </c>
      <c r="F999" s="7" t="s">
        <v>50</v>
      </c>
      <c r="G999" s="7" t="s">
        <v>58</v>
      </c>
      <c r="H999" s="7" t="s">
        <v>417</v>
      </c>
      <c r="I999" s="8" t="s">
        <v>2271</v>
      </c>
    </row>
    <row r="1000" spans="1:12" hidden="1" x14ac:dyDescent="0.35">
      <c r="A1000" s="6">
        <v>1397503</v>
      </c>
      <c r="B1000" s="7" t="str">
        <f>"3175074301740002"</f>
        <v>3175074301740002</v>
      </c>
      <c r="C1000" s="7" t="s">
        <v>2272</v>
      </c>
      <c r="D1000" s="7" t="s">
        <v>10</v>
      </c>
      <c r="E1000" s="7" t="s">
        <v>11</v>
      </c>
      <c r="F1000" s="7" t="s">
        <v>50</v>
      </c>
      <c r="G1000" s="7" t="s">
        <v>58</v>
      </c>
      <c r="H1000" s="7" t="s">
        <v>1283</v>
      </c>
      <c r="I1000" s="8" t="s">
        <v>2273</v>
      </c>
    </row>
    <row r="1001" spans="1:12" hidden="1" x14ac:dyDescent="0.35">
      <c r="A1001" s="6">
        <v>1397505</v>
      </c>
      <c r="B1001" s="7" t="str">
        <f>"3175075409060012"</f>
        <v>3175075409060012</v>
      </c>
      <c r="C1001" s="7" t="s">
        <v>2274</v>
      </c>
      <c r="D1001" s="7" t="s">
        <v>10</v>
      </c>
      <c r="E1001" s="7" t="s">
        <v>11</v>
      </c>
      <c r="F1001" s="7" t="s">
        <v>50</v>
      </c>
      <c r="G1001" s="7" t="s">
        <v>58</v>
      </c>
      <c r="H1001" s="7" t="s">
        <v>1283</v>
      </c>
      <c r="I1001" s="8" t="s">
        <v>2273</v>
      </c>
    </row>
    <row r="1002" spans="1:12" hidden="1" x14ac:dyDescent="0.35">
      <c r="A1002" s="6">
        <v>1679574</v>
      </c>
      <c r="B1002" s="7" t="str">
        <f>"3201170605810004"</f>
        <v>3201170605810004</v>
      </c>
      <c r="C1002" s="7" t="s">
        <v>2276</v>
      </c>
      <c r="D1002" s="7" t="s">
        <v>10</v>
      </c>
      <c r="E1002" s="7" t="s">
        <v>11</v>
      </c>
      <c r="F1002" s="7" t="s">
        <v>91</v>
      </c>
      <c r="G1002" s="7" t="s">
        <v>650</v>
      </c>
      <c r="H1002" s="7" t="s">
        <v>2277</v>
      </c>
      <c r="I1002" s="8" t="s">
        <v>2278</v>
      </c>
    </row>
    <row r="1003" spans="1:12" hidden="1" x14ac:dyDescent="0.35">
      <c r="A1003" s="6">
        <v>2893381</v>
      </c>
      <c r="B1003" s="7" t="str">
        <f>"3201172404770007"</f>
        <v>3201172404770007</v>
      </c>
      <c r="C1003" s="7" t="s">
        <v>2281</v>
      </c>
      <c r="D1003" s="7" t="s">
        <v>10</v>
      </c>
      <c r="E1003" s="7" t="s">
        <v>11</v>
      </c>
      <c r="F1003" s="7" t="s">
        <v>91</v>
      </c>
      <c r="G1003" s="7" t="s">
        <v>650</v>
      </c>
      <c r="H1003" s="7" t="s">
        <v>2282</v>
      </c>
      <c r="I1003" s="8" t="s">
        <v>2283</v>
      </c>
    </row>
    <row r="1004" spans="1:12" hidden="1" x14ac:dyDescent="0.35">
      <c r="A1004" s="6">
        <v>2893373</v>
      </c>
      <c r="B1004" s="7" t="str">
        <f>"3201174606760017"</f>
        <v>3201174606760017</v>
      </c>
      <c r="C1004" s="7" t="s">
        <v>2284</v>
      </c>
      <c r="D1004" s="7" t="s">
        <v>10</v>
      </c>
      <c r="E1004" s="7" t="s">
        <v>11</v>
      </c>
      <c r="F1004" s="7" t="s">
        <v>91</v>
      </c>
      <c r="G1004" s="7" t="s">
        <v>650</v>
      </c>
      <c r="H1004" s="7" t="s">
        <v>2282</v>
      </c>
      <c r="I1004" s="8" t="s">
        <v>2283</v>
      </c>
    </row>
    <row r="1005" spans="1:12" hidden="1" x14ac:dyDescent="0.35">
      <c r="A1005" s="6">
        <v>798032</v>
      </c>
      <c r="B1005" s="7" t="str">
        <f>"3201226604000006"</f>
        <v>3201226604000006</v>
      </c>
      <c r="C1005" s="7" t="s">
        <v>2285</v>
      </c>
      <c r="D1005" s="7" t="s">
        <v>10</v>
      </c>
      <c r="E1005" s="7" t="s">
        <v>11</v>
      </c>
      <c r="F1005" s="7" t="s">
        <v>91</v>
      </c>
      <c r="G1005" s="7" t="s">
        <v>650</v>
      </c>
      <c r="H1005" s="7" t="s">
        <v>2286</v>
      </c>
      <c r="I1005" s="8" t="s">
        <v>2287</v>
      </c>
    </row>
    <row r="1006" spans="1:12" hidden="1" x14ac:dyDescent="0.35">
      <c r="A1006" s="6">
        <v>1133179</v>
      </c>
      <c r="B1006" s="7" t="str">
        <f>"3201241808850012"</f>
        <v>3201241808850012</v>
      </c>
      <c r="C1006" s="7" t="s">
        <v>2288</v>
      </c>
      <c r="D1006" s="7" t="s">
        <v>10</v>
      </c>
      <c r="E1006" s="7" t="s">
        <v>11</v>
      </c>
      <c r="F1006" s="7" t="s">
        <v>50</v>
      </c>
      <c r="G1006" s="7" t="s">
        <v>86</v>
      </c>
      <c r="H1006" s="7" t="s">
        <v>87</v>
      </c>
      <c r="I1006" s="8" t="s">
        <v>87</v>
      </c>
    </row>
    <row r="1007" spans="1:12" hidden="1" x14ac:dyDescent="0.35">
      <c r="A1007" s="6">
        <v>2540823</v>
      </c>
      <c r="B1007" s="7" t="str">
        <f>"3201241808850012"</f>
        <v>3201241808850012</v>
      </c>
      <c r="C1007" s="7" t="s">
        <v>2289</v>
      </c>
      <c r="D1007" s="7" t="s">
        <v>10</v>
      </c>
      <c r="E1007" s="7" t="s">
        <v>57</v>
      </c>
      <c r="F1007" s="7" t="s">
        <v>18</v>
      </c>
      <c r="G1007" s="7" t="s">
        <v>19</v>
      </c>
      <c r="H1007" s="7" t="s">
        <v>1394</v>
      </c>
      <c r="I1007" s="8" t="s">
        <v>1395</v>
      </c>
      <c r="J1007" t="e">
        <f>VLOOKUP(B1007,baru!$B$2:$I$2271,4,FALSE)</f>
        <v>#N/A</v>
      </c>
      <c r="K1007" t="e">
        <f>VLOOKUP(B1007,baru!$B$2:$I$2271,5,FALSE)</f>
        <v>#N/A</v>
      </c>
      <c r="L1007" t="e">
        <f>VLOOKUP(B1007,baru!$B$2:$I$2271,6,FALSE)</f>
        <v>#N/A</v>
      </c>
    </row>
    <row r="1008" spans="1:12" hidden="1" x14ac:dyDescent="0.35">
      <c r="A1008" s="6">
        <v>1074714</v>
      </c>
      <c r="B1008" s="7" t="str">
        <f>"3201390306790007"</f>
        <v>3201390306790007</v>
      </c>
      <c r="C1008" s="7" t="s">
        <v>2290</v>
      </c>
      <c r="D1008" s="7" t="s">
        <v>10</v>
      </c>
      <c r="E1008" s="7" t="s">
        <v>11</v>
      </c>
      <c r="F1008" s="7" t="s">
        <v>50</v>
      </c>
      <c r="G1008" s="7" t="s">
        <v>58</v>
      </c>
      <c r="H1008" s="7" t="s">
        <v>1747</v>
      </c>
      <c r="I1008" s="8" t="s">
        <v>2291</v>
      </c>
    </row>
    <row r="1009" spans="1:12" hidden="1" x14ac:dyDescent="0.35">
      <c r="A1009" s="6">
        <v>2540802</v>
      </c>
      <c r="B1009" s="7" t="str">
        <f>"3201390306790007"</f>
        <v>3201390306790007</v>
      </c>
      <c r="C1009" s="7" t="s">
        <v>2292</v>
      </c>
      <c r="D1009" s="7" t="s">
        <v>10</v>
      </c>
      <c r="E1009" s="7" t="s">
        <v>57</v>
      </c>
      <c r="F1009" s="7" t="s">
        <v>18</v>
      </c>
      <c r="G1009" s="7" t="s">
        <v>19</v>
      </c>
      <c r="H1009" s="7" t="s">
        <v>1394</v>
      </c>
      <c r="I1009" s="8" t="s">
        <v>1395</v>
      </c>
      <c r="J1009" t="e">
        <f>VLOOKUP(B1009,baru!$B$2:$I$2271,4,FALSE)</f>
        <v>#N/A</v>
      </c>
      <c r="K1009" t="e">
        <f>VLOOKUP(B1009,baru!$B$2:$I$2271,5,FALSE)</f>
        <v>#N/A</v>
      </c>
      <c r="L1009" t="e">
        <f>VLOOKUP(B1009,baru!$B$2:$I$2271,6,FALSE)</f>
        <v>#N/A</v>
      </c>
    </row>
    <row r="1010" spans="1:12" hidden="1" x14ac:dyDescent="0.35">
      <c r="A1010" s="6">
        <v>318484</v>
      </c>
      <c r="B1010" s="7" t="str">
        <f>"3202120412950003"</f>
        <v>3202120412950003</v>
      </c>
      <c r="C1010" s="7" t="s">
        <v>2293</v>
      </c>
      <c r="D1010" s="7" t="s">
        <v>10</v>
      </c>
      <c r="E1010" s="7" t="s">
        <v>11</v>
      </c>
      <c r="F1010" s="7" t="s">
        <v>91</v>
      </c>
      <c r="G1010" s="7" t="s">
        <v>101</v>
      </c>
      <c r="H1010" s="7" t="s">
        <v>2294</v>
      </c>
      <c r="I1010" s="8" t="s">
        <v>2295</v>
      </c>
    </row>
    <row r="1011" spans="1:12" hidden="1" x14ac:dyDescent="0.35">
      <c r="A1011" s="6">
        <v>1050511</v>
      </c>
      <c r="B1011" s="7" t="str">
        <f>"3202165911960007"</f>
        <v>3202165911960007</v>
      </c>
      <c r="C1011" s="7" t="s">
        <v>2296</v>
      </c>
      <c r="D1011" s="7" t="s">
        <v>10</v>
      </c>
      <c r="E1011" s="7" t="s">
        <v>11</v>
      </c>
      <c r="F1011" s="7" t="s">
        <v>91</v>
      </c>
      <c r="G1011" s="7" t="s">
        <v>101</v>
      </c>
      <c r="H1011" s="7" t="s">
        <v>2297</v>
      </c>
      <c r="I1011" s="8" t="s">
        <v>2298</v>
      </c>
    </row>
    <row r="1012" spans="1:12" hidden="1" x14ac:dyDescent="0.35">
      <c r="A1012" s="6">
        <v>461031</v>
      </c>
      <c r="B1012" s="7" t="str">
        <f>"3203102212950003"</f>
        <v>3203102212950003</v>
      </c>
      <c r="C1012" s="7" t="s">
        <v>2300</v>
      </c>
      <c r="D1012" s="7" t="s">
        <v>10</v>
      </c>
      <c r="E1012" s="7" t="s">
        <v>11</v>
      </c>
      <c r="F1012" s="7" t="s">
        <v>50</v>
      </c>
      <c r="G1012" s="7" t="s">
        <v>51</v>
      </c>
      <c r="H1012" s="7" t="s">
        <v>425</v>
      </c>
      <c r="I1012" s="8" t="s">
        <v>426</v>
      </c>
    </row>
    <row r="1013" spans="1:12" hidden="1" x14ac:dyDescent="0.35">
      <c r="A1013" s="6">
        <v>1152109</v>
      </c>
      <c r="B1013" s="7" t="str">
        <f>"3204150811900003"</f>
        <v>3204150811900003</v>
      </c>
      <c r="C1013" s="7" t="s">
        <v>2302</v>
      </c>
      <c r="D1013" s="7" t="s">
        <v>10</v>
      </c>
      <c r="E1013" s="7" t="s">
        <v>11</v>
      </c>
      <c r="F1013" s="7" t="s">
        <v>91</v>
      </c>
      <c r="G1013" s="7" t="s">
        <v>1398</v>
      </c>
      <c r="H1013" s="7" t="s">
        <v>2303</v>
      </c>
      <c r="I1013" s="8" t="s">
        <v>2304</v>
      </c>
    </row>
    <row r="1014" spans="1:12" hidden="1" x14ac:dyDescent="0.35">
      <c r="A1014" s="6">
        <v>2540714</v>
      </c>
      <c r="B1014" s="7" t="str">
        <f>"3204150811900003"</f>
        <v>3204150811900003</v>
      </c>
      <c r="C1014" s="7" t="s">
        <v>2305</v>
      </c>
      <c r="D1014" s="7" t="s">
        <v>10</v>
      </c>
      <c r="E1014" s="7" t="s">
        <v>57</v>
      </c>
      <c r="F1014" s="7" t="s">
        <v>18</v>
      </c>
      <c r="G1014" s="7" t="s">
        <v>19</v>
      </c>
      <c r="H1014" s="7" t="s">
        <v>1394</v>
      </c>
      <c r="I1014" s="8" t="s">
        <v>1395</v>
      </c>
      <c r="J1014" t="e">
        <f>VLOOKUP(B1014,baru!$B$2:$I$2271,4,FALSE)</f>
        <v>#N/A</v>
      </c>
      <c r="K1014" t="e">
        <f>VLOOKUP(B1014,baru!$B$2:$I$2271,5,FALSE)</f>
        <v>#N/A</v>
      </c>
      <c r="L1014" t="e">
        <f>VLOOKUP(B1014,baru!$B$2:$I$2271,6,FALSE)</f>
        <v>#N/A</v>
      </c>
    </row>
    <row r="1015" spans="1:12" hidden="1" x14ac:dyDescent="0.35">
      <c r="A1015" s="6">
        <v>1031208</v>
      </c>
      <c r="B1015" s="7" t="str">
        <f>"3206320507060002"</f>
        <v>3206320507060002</v>
      </c>
      <c r="C1015" s="7" t="s">
        <v>2306</v>
      </c>
      <c r="D1015" s="7" t="s">
        <v>10</v>
      </c>
      <c r="E1015" s="7" t="s">
        <v>11</v>
      </c>
      <c r="F1015" s="7" t="s">
        <v>91</v>
      </c>
      <c r="G1015" s="7" t="s">
        <v>1300</v>
      </c>
      <c r="H1015" s="7" t="s">
        <v>2307</v>
      </c>
      <c r="I1015" s="8" t="s">
        <v>2308</v>
      </c>
    </row>
    <row r="1016" spans="1:12" hidden="1" x14ac:dyDescent="0.35">
      <c r="A1016" s="6">
        <v>1031210</v>
      </c>
      <c r="B1016" s="7" t="str">
        <f>"3206324107790131"</f>
        <v>3206324107790131</v>
      </c>
      <c r="C1016" s="7" t="s">
        <v>2310</v>
      </c>
      <c r="D1016" s="7" t="s">
        <v>10</v>
      </c>
      <c r="E1016" s="7" t="s">
        <v>11</v>
      </c>
      <c r="F1016" s="7" t="s">
        <v>91</v>
      </c>
      <c r="G1016" s="7" t="s">
        <v>1300</v>
      </c>
      <c r="H1016" s="7" t="s">
        <v>2307</v>
      </c>
      <c r="I1016" s="8" t="s">
        <v>2308</v>
      </c>
    </row>
    <row r="1017" spans="1:12" hidden="1" x14ac:dyDescent="0.35">
      <c r="A1017" s="6">
        <v>1031209</v>
      </c>
      <c r="B1017" s="7" t="str">
        <f>"3206325605990002"</f>
        <v>3206325605990002</v>
      </c>
      <c r="C1017" s="7" t="s">
        <v>2312</v>
      </c>
      <c r="D1017" s="7" t="s">
        <v>10</v>
      </c>
      <c r="E1017" s="7" t="s">
        <v>11</v>
      </c>
      <c r="F1017" s="7" t="s">
        <v>91</v>
      </c>
      <c r="G1017" s="7" t="s">
        <v>1300</v>
      </c>
      <c r="H1017" s="7" t="s">
        <v>2307</v>
      </c>
      <c r="I1017" s="8" t="s">
        <v>2308</v>
      </c>
    </row>
    <row r="1018" spans="1:12" hidden="1" x14ac:dyDescent="0.35">
      <c r="A1018" s="6">
        <v>444678</v>
      </c>
      <c r="B1018" s="7" t="str">
        <f>"3209031407890008"</f>
        <v>3209031407890008</v>
      </c>
      <c r="C1018" s="7" t="s">
        <v>2314</v>
      </c>
      <c r="D1018" s="7" t="s">
        <v>10</v>
      </c>
      <c r="E1018" s="7" t="s">
        <v>11</v>
      </c>
      <c r="F1018" s="7" t="s">
        <v>91</v>
      </c>
      <c r="G1018" s="7" t="s">
        <v>985</v>
      </c>
      <c r="H1018" s="7" t="s">
        <v>877</v>
      </c>
      <c r="I1018" s="8" t="s">
        <v>2315</v>
      </c>
    </row>
    <row r="1019" spans="1:12" hidden="1" x14ac:dyDescent="0.35">
      <c r="A1019" s="6">
        <v>905479</v>
      </c>
      <c r="B1019" s="7" t="str">
        <f>"3209050106840019"</f>
        <v>3209050106840019</v>
      </c>
      <c r="C1019" s="7" t="s">
        <v>2317</v>
      </c>
      <c r="D1019" s="7" t="s">
        <v>10</v>
      </c>
      <c r="E1019" s="7" t="s">
        <v>11</v>
      </c>
      <c r="F1019" s="7" t="s">
        <v>91</v>
      </c>
      <c r="G1019" s="7" t="s">
        <v>985</v>
      </c>
      <c r="H1019" s="7" t="s">
        <v>1573</v>
      </c>
      <c r="I1019" s="8" t="s">
        <v>2318</v>
      </c>
    </row>
    <row r="1020" spans="1:12" hidden="1" x14ac:dyDescent="0.35">
      <c r="A1020" s="6">
        <v>490650</v>
      </c>
      <c r="B1020" s="7" t="str">
        <f>"3209100404820014"</f>
        <v>3209100404820014</v>
      </c>
      <c r="C1020" s="7" t="s">
        <v>2319</v>
      </c>
      <c r="D1020" s="7" t="s">
        <v>10</v>
      </c>
      <c r="E1020" s="7" t="s">
        <v>11</v>
      </c>
      <c r="F1020" s="7" t="s">
        <v>91</v>
      </c>
      <c r="G1020" s="7" t="s">
        <v>985</v>
      </c>
      <c r="H1020" s="7" t="s">
        <v>2320</v>
      </c>
      <c r="I1020" s="8" t="s">
        <v>2321</v>
      </c>
    </row>
    <row r="1021" spans="1:12" hidden="1" x14ac:dyDescent="0.35">
      <c r="A1021" s="6">
        <v>2540654</v>
      </c>
      <c r="B1021" s="7" t="str">
        <f>"3209100404820014"</f>
        <v>3209100404820014</v>
      </c>
      <c r="C1021" s="7" t="s">
        <v>2322</v>
      </c>
      <c r="D1021" s="7" t="s">
        <v>10</v>
      </c>
      <c r="E1021" s="7" t="s">
        <v>57</v>
      </c>
      <c r="F1021" s="7" t="s">
        <v>18</v>
      </c>
      <c r="G1021" s="7" t="s">
        <v>19</v>
      </c>
      <c r="H1021" s="7" t="s">
        <v>1394</v>
      </c>
      <c r="I1021" s="8" t="s">
        <v>1395</v>
      </c>
      <c r="J1021" t="e">
        <f>VLOOKUP(B1021,baru!$B$2:$I$2271,4,FALSE)</f>
        <v>#N/A</v>
      </c>
      <c r="K1021" t="e">
        <f>VLOOKUP(B1021,baru!$B$2:$I$2271,5,FALSE)</f>
        <v>#N/A</v>
      </c>
      <c r="L1021" t="e">
        <f>VLOOKUP(B1021,baru!$B$2:$I$2271,6,FALSE)</f>
        <v>#N/A</v>
      </c>
    </row>
    <row r="1022" spans="1:12" hidden="1" x14ac:dyDescent="0.35">
      <c r="A1022" s="6">
        <v>489376</v>
      </c>
      <c r="B1022" s="7" t="str">
        <f>"3209101012840006"</f>
        <v>3209101012840006</v>
      </c>
      <c r="C1022" s="7" t="s">
        <v>2323</v>
      </c>
      <c r="D1022" s="7" t="s">
        <v>10</v>
      </c>
      <c r="E1022" s="7" t="s">
        <v>11</v>
      </c>
      <c r="F1022" s="7" t="s">
        <v>91</v>
      </c>
      <c r="G1022" s="7" t="s">
        <v>985</v>
      </c>
      <c r="H1022" s="7" t="s">
        <v>2320</v>
      </c>
      <c r="I1022" s="8" t="s">
        <v>2321</v>
      </c>
    </row>
    <row r="1023" spans="1:12" hidden="1" x14ac:dyDescent="0.35">
      <c r="A1023" s="6">
        <v>2540756</v>
      </c>
      <c r="B1023" s="7" t="str">
        <f>"3209101012840006"</f>
        <v>3209101012840006</v>
      </c>
      <c r="C1023" s="7" t="s">
        <v>2324</v>
      </c>
      <c r="D1023" s="7" t="s">
        <v>10</v>
      </c>
      <c r="E1023" s="7" t="s">
        <v>57</v>
      </c>
      <c r="F1023" s="7" t="s">
        <v>18</v>
      </c>
      <c r="G1023" s="7" t="s">
        <v>19</v>
      </c>
      <c r="H1023" s="7" t="s">
        <v>1394</v>
      </c>
      <c r="I1023" s="8" t="s">
        <v>1395</v>
      </c>
      <c r="J1023" t="e">
        <f>VLOOKUP(B1023,baru!$B$2:$I$2271,4,FALSE)</f>
        <v>#N/A</v>
      </c>
      <c r="K1023" t="e">
        <f>VLOOKUP(B1023,baru!$B$2:$I$2271,5,FALSE)</f>
        <v>#N/A</v>
      </c>
      <c r="L1023" t="e">
        <f>VLOOKUP(B1023,baru!$B$2:$I$2271,6,FALSE)</f>
        <v>#N/A</v>
      </c>
    </row>
    <row r="1024" spans="1:12" hidden="1" x14ac:dyDescent="0.35">
      <c r="A1024" s="6">
        <v>488117</v>
      </c>
      <c r="B1024" s="7" t="str">
        <f>"3209102103810007"</f>
        <v>3209102103810007</v>
      </c>
      <c r="C1024" s="7" t="s">
        <v>2325</v>
      </c>
      <c r="D1024" s="7" t="s">
        <v>10</v>
      </c>
      <c r="E1024" s="7" t="s">
        <v>11</v>
      </c>
      <c r="F1024" s="7" t="s">
        <v>91</v>
      </c>
      <c r="G1024" s="7" t="s">
        <v>985</v>
      </c>
      <c r="H1024" s="7" t="s">
        <v>2320</v>
      </c>
      <c r="I1024" s="8" t="s">
        <v>2321</v>
      </c>
    </row>
    <row r="1025" spans="1:12" hidden="1" x14ac:dyDescent="0.35">
      <c r="A1025" s="6">
        <v>2540796</v>
      </c>
      <c r="B1025" s="7" t="str">
        <f>"3209102103810007"</f>
        <v>3209102103810007</v>
      </c>
      <c r="C1025" s="7" t="s">
        <v>2326</v>
      </c>
      <c r="D1025" s="7" t="s">
        <v>10</v>
      </c>
      <c r="E1025" s="7" t="s">
        <v>57</v>
      </c>
      <c r="F1025" s="7" t="s">
        <v>18</v>
      </c>
      <c r="G1025" s="7" t="s">
        <v>19</v>
      </c>
      <c r="H1025" s="7" t="s">
        <v>1394</v>
      </c>
      <c r="I1025" s="8" t="s">
        <v>1395</v>
      </c>
      <c r="J1025" t="e">
        <f>VLOOKUP(B1025,baru!$B$2:$I$2271,4,FALSE)</f>
        <v>#N/A</v>
      </c>
      <c r="K1025" t="e">
        <f>VLOOKUP(B1025,baru!$B$2:$I$2271,5,FALSE)</f>
        <v>#N/A</v>
      </c>
      <c r="L1025" t="e">
        <f>VLOOKUP(B1025,baru!$B$2:$I$2271,6,FALSE)</f>
        <v>#N/A</v>
      </c>
    </row>
    <row r="1026" spans="1:12" hidden="1" x14ac:dyDescent="0.35">
      <c r="A1026" s="6">
        <v>487825</v>
      </c>
      <c r="B1026" s="7" t="str">
        <f>"3209102707850013"</f>
        <v>3209102707850013</v>
      </c>
      <c r="C1026" s="7" t="s">
        <v>2327</v>
      </c>
      <c r="D1026" s="7" t="s">
        <v>10</v>
      </c>
      <c r="E1026" s="7" t="s">
        <v>11</v>
      </c>
      <c r="F1026" s="7" t="s">
        <v>91</v>
      </c>
      <c r="G1026" s="7" t="s">
        <v>985</v>
      </c>
      <c r="H1026" s="7" t="s">
        <v>2320</v>
      </c>
      <c r="I1026" s="8" t="s">
        <v>2321</v>
      </c>
    </row>
    <row r="1027" spans="1:12" hidden="1" x14ac:dyDescent="0.35">
      <c r="A1027" s="6">
        <v>2540859</v>
      </c>
      <c r="B1027" s="7" t="str">
        <f>"3209102707850013"</f>
        <v>3209102707850013</v>
      </c>
      <c r="C1027" s="7" t="s">
        <v>2328</v>
      </c>
      <c r="D1027" s="7" t="s">
        <v>10</v>
      </c>
      <c r="E1027" s="7" t="s">
        <v>57</v>
      </c>
      <c r="F1027" s="7" t="s">
        <v>18</v>
      </c>
      <c r="G1027" s="7" t="s">
        <v>19</v>
      </c>
      <c r="H1027" s="7" t="s">
        <v>1394</v>
      </c>
      <c r="I1027" s="8" t="s">
        <v>1395</v>
      </c>
      <c r="J1027" t="e">
        <f>VLOOKUP(B1027,baru!$B$2:$I$2271,4,FALSE)</f>
        <v>#N/A</v>
      </c>
      <c r="K1027" t="e">
        <f>VLOOKUP(B1027,baru!$B$2:$I$2271,5,FALSE)</f>
        <v>#N/A</v>
      </c>
      <c r="L1027" t="e">
        <f>VLOOKUP(B1027,baru!$B$2:$I$2271,6,FALSE)</f>
        <v>#N/A</v>
      </c>
    </row>
    <row r="1028" spans="1:12" hidden="1" x14ac:dyDescent="0.35">
      <c r="A1028" s="6">
        <v>1205268</v>
      </c>
      <c r="B1028" s="7" t="str">
        <f>"3209301309820002"</f>
        <v>3209301309820002</v>
      </c>
      <c r="C1028" s="7" t="s">
        <v>2329</v>
      </c>
      <c r="D1028" s="7" t="s">
        <v>10</v>
      </c>
      <c r="E1028" s="7" t="s">
        <v>11</v>
      </c>
      <c r="F1028" s="7" t="s">
        <v>91</v>
      </c>
      <c r="G1028" s="7" t="s">
        <v>985</v>
      </c>
      <c r="H1028" s="7" t="s">
        <v>2330</v>
      </c>
      <c r="I1028" s="8" t="s">
        <v>2331</v>
      </c>
    </row>
    <row r="1029" spans="1:12" hidden="1" x14ac:dyDescent="0.35">
      <c r="A1029" s="6">
        <v>2540833</v>
      </c>
      <c r="B1029" s="7" t="str">
        <f>"3209301309820002"</f>
        <v>3209301309820002</v>
      </c>
      <c r="C1029" s="7" t="s">
        <v>2332</v>
      </c>
      <c r="D1029" s="7" t="s">
        <v>10</v>
      </c>
      <c r="E1029" s="7" t="s">
        <v>57</v>
      </c>
      <c r="F1029" s="7" t="s">
        <v>18</v>
      </c>
      <c r="G1029" s="7" t="s">
        <v>19</v>
      </c>
      <c r="H1029" s="7" t="s">
        <v>1394</v>
      </c>
      <c r="I1029" s="8" t="s">
        <v>1395</v>
      </c>
      <c r="J1029" t="e">
        <f>VLOOKUP(B1029,baru!$B$2:$I$2271,4,FALSE)</f>
        <v>#N/A</v>
      </c>
      <c r="K1029" t="e">
        <f>VLOOKUP(B1029,baru!$B$2:$I$2271,5,FALSE)</f>
        <v>#N/A</v>
      </c>
      <c r="L1029" t="e">
        <f>VLOOKUP(B1029,baru!$B$2:$I$2271,6,FALSE)</f>
        <v>#N/A</v>
      </c>
    </row>
    <row r="1030" spans="1:12" hidden="1" x14ac:dyDescent="0.35">
      <c r="A1030" s="6">
        <v>1233329</v>
      </c>
      <c r="B1030" s="7" t="str">
        <f>"3209302305970005"</f>
        <v>3209302305970005</v>
      </c>
      <c r="C1030" s="7" t="s">
        <v>2333</v>
      </c>
      <c r="D1030" s="7" t="s">
        <v>10</v>
      </c>
      <c r="E1030" s="7" t="s">
        <v>11</v>
      </c>
      <c r="F1030" s="7" t="s">
        <v>91</v>
      </c>
      <c r="G1030" s="7" t="s">
        <v>985</v>
      </c>
      <c r="H1030" s="7" t="s">
        <v>2330</v>
      </c>
      <c r="I1030" s="8" t="s">
        <v>2334</v>
      </c>
    </row>
    <row r="1031" spans="1:12" hidden="1" x14ac:dyDescent="0.35">
      <c r="A1031" s="6">
        <v>2540897</v>
      </c>
      <c r="B1031" s="7" t="str">
        <f>"3209302305970005"</f>
        <v>3209302305970005</v>
      </c>
      <c r="C1031" s="7" t="s">
        <v>2335</v>
      </c>
      <c r="D1031" s="7" t="s">
        <v>10</v>
      </c>
      <c r="E1031" s="7" t="s">
        <v>57</v>
      </c>
      <c r="F1031" s="7" t="s">
        <v>18</v>
      </c>
      <c r="G1031" s="7" t="s">
        <v>19</v>
      </c>
      <c r="H1031" s="7" t="s">
        <v>1394</v>
      </c>
      <c r="I1031" s="8" t="s">
        <v>1395</v>
      </c>
      <c r="J1031" t="e">
        <f>VLOOKUP(B1031,baru!$B$2:$I$2271,4,FALSE)</f>
        <v>#N/A</v>
      </c>
      <c r="K1031" t="e">
        <f>VLOOKUP(B1031,baru!$B$2:$I$2271,5,FALSE)</f>
        <v>#N/A</v>
      </c>
      <c r="L1031" t="e">
        <f>VLOOKUP(B1031,baru!$B$2:$I$2271,6,FALSE)</f>
        <v>#N/A</v>
      </c>
    </row>
    <row r="1032" spans="1:12" hidden="1" x14ac:dyDescent="0.35">
      <c r="A1032" s="6">
        <v>980194</v>
      </c>
      <c r="B1032" s="7" t="str">
        <f>"3212091110010001"</f>
        <v>3212091110010001</v>
      </c>
      <c r="C1032" s="7" t="s">
        <v>2336</v>
      </c>
      <c r="D1032" s="7" t="s">
        <v>10</v>
      </c>
      <c r="E1032" s="7" t="s">
        <v>11</v>
      </c>
      <c r="F1032" s="7" t="s">
        <v>91</v>
      </c>
      <c r="G1032" s="7" t="s">
        <v>114</v>
      </c>
      <c r="H1032" s="7" t="s">
        <v>2337</v>
      </c>
      <c r="I1032" s="8" t="s">
        <v>789</v>
      </c>
    </row>
    <row r="1033" spans="1:12" hidden="1" x14ac:dyDescent="0.35">
      <c r="A1033" s="6">
        <v>2540656</v>
      </c>
      <c r="B1033" s="7" t="str">
        <f>"3212091110010001"</f>
        <v>3212091110010001</v>
      </c>
      <c r="C1033" s="7" t="s">
        <v>2338</v>
      </c>
      <c r="D1033" s="7" t="s">
        <v>10</v>
      </c>
      <c r="E1033" s="7" t="s">
        <v>57</v>
      </c>
      <c r="F1033" s="7" t="s">
        <v>18</v>
      </c>
      <c r="G1033" s="7" t="s">
        <v>19</v>
      </c>
      <c r="H1033" s="7" t="s">
        <v>1394</v>
      </c>
      <c r="I1033" s="8" t="s">
        <v>1395</v>
      </c>
      <c r="J1033" t="e">
        <f>VLOOKUP(B1033,baru!$B$2:$I$2271,4,FALSE)</f>
        <v>#N/A</v>
      </c>
      <c r="K1033" t="e">
        <f>VLOOKUP(B1033,baru!$B$2:$I$2271,5,FALSE)</f>
        <v>#N/A</v>
      </c>
      <c r="L1033" t="e">
        <f>VLOOKUP(B1033,baru!$B$2:$I$2271,6,FALSE)</f>
        <v>#N/A</v>
      </c>
    </row>
    <row r="1034" spans="1:12" hidden="1" x14ac:dyDescent="0.35">
      <c r="A1034" s="6">
        <v>963797</v>
      </c>
      <c r="B1034" s="7" t="str">
        <f>"3212091303980004"</f>
        <v>3212091303980004</v>
      </c>
      <c r="C1034" s="7" t="s">
        <v>2339</v>
      </c>
      <c r="D1034" s="7" t="s">
        <v>10</v>
      </c>
      <c r="E1034" s="7" t="s">
        <v>11</v>
      </c>
      <c r="F1034" s="7" t="s">
        <v>91</v>
      </c>
      <c r="G1034" s="7" t="s">
        <v>114</v>
      </c>
      <c r="H1034" s="7" t="s">
        <v>2337</v>
      </c>
      <c r="I1034" s="8" t="s">
        <v>2340</v>
      </c>
    </row>
    <row r="1035" spans="1:12" hidden="1" x14ac:dyDescent="0.35">
      <c r="A1035" s="6">
        <v>2540682</v>
      </c>
      <c r="B1035" s="7" t="str">
        <f>"3212091303980004"</f>
        <v>3212091303980004</v>
      </c>
      <c r="C1035" s="7" t="s">
        <v>2341</v>
      </c>
      <c r="D1035" s="7" t="s">
        <v>10</v>
      </c>
      <c r="E1035" s="7" t="s">
        <v>57</v>
      </c>
      <c r="F1035" s="7" t="s">
        <v>18</v>
      </c>
      <c r="G1035" s="7" t="s">
        <v>19</v>
      </c>
      <c r="H1035" s="7" t="s">
        <v>1394</v>
      </c>
      <c r="I1035" s="8" t="s">
        <v>1395</v>
      </c>
      <c r="J1035" t="e">
        <f>VLOOKUP(B1035,baru!$B$2:$I$2271,4,FALSE)</f>
        <v>#N/A</v>
      </c>
      <c r="K1035" t="e">
        <f>VLOOKUP(B1035,baru!$B$2:$I$2271,5,FALSE)</f>
        <v>#N/A</v>
      </c>
      <c r="L1035" t="e">
        <f>VLOOKUP(B1035,baru!$B$2:$I$2271,6,FALSE)</f>
        <v>#N/A</v>
      </c>
    </row>
    <row r="1036" spans="1:12" hidden="1" x14ac:dyDescent="0.35">
      <c r="A1036" s="6">
        <v>401379</v>
      </c>
      <c r="B1036" s="7" t="str">
        <f>"3212275708900010"</f>
        <v>3212275708900010</v>
      </c>
      <c r="C1036" s="7" t="s">
        <v>2342</v>
      </c>
      <c r="D1036" s="7" t="s">
        <v>10</v>
      </c>
      <c r="E1036" s="7" t="s">
        <v>11</v>
      </c>
      <c r="F1036" s="7" t="s">
        <v>91</v>
      </c>
      <c r="G1036" s="7" t="s">
        <v>114</v>
      </c>
      <c r="H1036" s="7" t="s">
        <v>2343</v>
      </c>
      <c r="I1036" s="8" t="s">
        <v>2344</v>
      </c>
    </row>
    <row r="1037" spans="1:12" hidden="1" x14ac:dyDescent="0.35">
      <c r="A1037" s="6">
        <v>222286</v>
      </c>
      <c r="B1037" s="7" t="str">
        <f>"3215212912810001"</f>
        <v>3215212912810001</v>
      </c>
      <c r="C1037" s="7" t="s">
        <v>2345</v>
      </c>
      <c r="D1037" s="7" t="s">
        <v>10</v>
      </c>
      <c r="E1037" s="7" t="s">
        <v>11</v>
      </c>
      <c r="F1037" s="7" t="s">
        <v>18</v>
      </c>
      <c r="G1037" s="7" t="s">
        <v>268</v>
      </c>
      <c r="H1037" s="7" t="s">
        <v>371</v>
      </c>
      <c r="I1037" s="8" t="s">
        <v>2346</v>
      </c>
    </row>
    <row r="1038" spans="1:12" hidden="1" x14ac:dyDescent="0.35">
      <c r="A1038" s="6">
        <v>2540730</v>
      </c>
      <c r="B1038" s="7" t="str">
        <f>"3215212912810001"</f>
        <v>3215212912810001</v>
      </c>
      <c r="C1038" s="7" t="s">
        <v>2347</v>
      </c>
      <c r="D1038" s="7" t="s">
        <v>10</v>
      </c>
      <c r="E1038" s="7" t="s">
        <v>57</v>
      </c>
      <c r="F1038" s="7" t="s">
        <v>18</v>
      </c>
      <c r="G1038" s="7" t="s">
        <v>19</v>
      </c>
      <c r="H1038" s="7" t="s">
        <v>1394</v>
      </c>
      <c r="I1038" s="8" t="s">
        <v>1395</v>
      </c>
      <c r="J1038" t="e">
        <f>VLOOKUP(B1038,baru!$B$2:$I$2271,4,FALSE)</f>
        <v>#N/A</v>
      </c>
      <c r="K1038" t="e">
        <f>VLOOKUP(B1038,baru!$B$2:$I$2271,5,FALSE)</f>
        <v>#N/A</v>
      </c>
      <c r="L1038" t="e">
        <f>VLOOKUP(B1038,baru!$B$2:$I$2271,6,FALSE)</f>
        <v>#N/A</v>
      </c>
    </row>
    <row r="1039" spans="1:12" hidden="1" x14ac:dyDescent="0.35">
      <c r="A1039" s="6">
        <v>1969427</v>
      </c>
      <c r="B1039" s="7" t="str">
        <f>"3216025407900007"</f>
        <v>3216025407900007</v>
      </c>
      <c r="C1039" s="7" t="s">
        <v>2348</v>
      </c>
      <c r="D1039" s="7" t="s">
        <v>10</v>
      </c>
      <c r="E1039" s="7" t="s">
        <v>11</v>
      </c>
      <c r="F1039" s="7" t="s">
        <v>50</v>
      </c>
      <c r="G1039" s="7" t="s">
        <v>58</v>
      </c>
      <c r="H1039" s="7" t="s">
        <v>417</v>
      </c>
      <c r="I1039" s="8" t="s">
        <v>2271</v>
      </c>
    </row>
    <row r="1040" spans="1:12" hidden="1" x14ac:dyDescent="0.35">
      <c r="A1040" s="6">
        <v>1582579</v>
      </c>
      <c r="B1040" s="7" t="str">
        <f>"3216091007750019"</f>
        <v>3216091007750019</v>
      </c>
      <c r="C1040" s="7" t="s">
        <v>2349</v>
      </c>
      <c r="D1040" s="7" t="s">
        <v>10</v>
      </c>
      <c r="E1040" s="7" t="s">
        <v>11</v>
      </c>
      <c r="F1040" s="7" t="s">
        <v>91</v>
      </c>
      <c r="G1040" s="7" t="s">
        <v>92</v>
      </c>
      <c r="H1040" s="7" t="s">
        <v>128</v>
      </c>
      <c r="I1040" s="8" t="s">
        <v>2350</v>
      </c>
    </row>
    <row r="1041" spans="1:12" hidden="1" x14ac:dyDescent="0.35">
      <c r="A1041" s="6">
        <v>1582580</v>
      </c>
      <c r="B1041" s="7" t="str">
        <f>"3216094809780011"</f>
        <v>3216094809780011</v>
      </c>
      <c r="C1041" s="7" t="s">
        <v>2351</v>
      </c>
      <c r="D1041" s="7" t="s">
        <v>10</v>
      </c>
      <c r="E1041" s="7" t="s">
        <v>11</v>
      </c>
      <c r="F1041" s="7" t="s">
        <v>91</v>
      </c>
      <c r="G1041" s="7" t="s">
        <v>92</v>
      </c>
      <c r="H1041" s="7" t="s">
        <v>128</v>
      </c>
      <c r="I1041" s="8" t="s">
        <v>2350</v>
      </c>
    </row>
    <row r="1042" spans="1:12" hidden="1" x14ac:dyDescent="0.35">
      <c r="A1042" s="6">
        <v>46261</v>
      </c>
      <c r="B1042" s="7" t="str">
        <f>"3274012012910009"</f>
        <v>3274012012910009</v>
      </c>
      <c r="C1042" s="7" t="s">
        <v>2352</v>
      </c>
      <c r="D1042" s="7" t="s">
        <v>10</v>
      </c>
      <c r="E1042" s="7" t="s">
        <v>11</v>
      </c>
      <c r="F1042" s="7" t="s">
        <v>91</v>
      </c>
      <c r="G1042" s="7" t="s">
        <v>155</v>
      </c>
      <c r="H1042" s="7" t="s">
        <v>156</v>
      </c>
      <c r="I1042" s="8" t="s">
        <v>2353</v>
      </c>
    </row>
    <row r="1043" spans="1:12" hidden="1" x14ac:dyDescent="0.35">
      <c r="A1043" s="6">
        <v>143003</v>
      </c>
      <c r="B1043" s="7" t="str">
        <f>"3275011905760028"</f>
        <v>3275011905760028</v>
      </c>
      <c r="C1043" s="7" t="s">
        <v>2355</v>
      </c>
      <c r="D1043" s="7" t="s">
        <v>10</v>
      </c>
      <c r="E1043" s="7" t="s">
        <v>11</v>
      </c>
      <c r="F1043" s="7" t="s">
        <v>91</v>
      </c>
      <c r="G1043" s="7" t="s">
        <v>159</v>
      </c>
      <c r="H1043" s="7" t="s">
        <v>685</v>
      </c>
      <c r="I1043" s="8" t="s">
        <v>686</v>
      </c>
    </row>
    <row r="1044" spans="1:12" hidden="1" x14ac:dyDescent="0.35">
      <c r="A1044" s="6">
        <v>2540748</v>
      </c>
      <c r="B1044" s="7" t="str">
        <f>"3275011905760028"</f>
        <v>3275011905760028</v>
      </c>
      <c r="C1044" s="7" t="s">
        <v>2356</v>
      </c>
      <c r="D1044" s="7" t="s">
        <v>10</v>
      </c>
      <c r="E1044" s="7" t="s">
        <v>57</v>
      </c>
      <c r="F1044" s="7" t="s">
        <v>18</v>
      </c>
      <c r="G1044" s="7" t="s">
        <v>19</v>
      </c>
      <c r="H1044" s="7" t="s">
        <v>1394</v>
      </c>
      <c r="I1044" s="8" t="s">
        <v>1395</v>
      </c>
      <c r="J1044" t="e">
        <f>VLOOKUP(B1044,baru!$B$2:$I$2271,4,FALSE)</f>
        <v>#N/A</v>
      </c>
      <c r="K1044" t="e">
        <f>VLOOKUP(B1044,baru!$B$2:$I$2271,5,FALSE)</f>
        <v>#N/A</v>
      </c>
      <c r="L1044" t="e">
        <f>VLOOKUP(B1044,baru!$B$2:$I$2271,6,FALSE)</f>
        <v>#N/A</v>
      </c>
    </row>
    <row r="1045" spans="1:12" hidden="1" x14ac:dyDescent="0.35">
      <c r="A1045" s="6">
        <v>1844673</v>
      </c>
      <c r="B1045" s="7" t="str">
        <f>"3275041210810031"</f>
        <v>3275041210810031</v>
      </c>
      <c r="C1045" s="7" t="s">
        <v>2357</v>
      </c>
      <c r="D1045" s="7" t="s">
        <v>10</v>
      </c>
      <c r="E1045" s="7" t="s">
        <v>11</v>
      </c>
      <c r="F1045" s="7" t="s">
        <v>91</v>
      </c>
      <c r="G1045" s="7" t="s">
        <v>159</v>
      </c>
      <c r="H1045" s="7" t="s">
        <v>1332</v>
      </c>
      <c r="I1045" s="8" t="s">
        <v>2358</v>
      </c>
    </row>
    <row r="1046" spans="1:12" hidden="1" x14ac:dyDescent="0.35">
      <c r="A1046" s="6">
        <v>1844674</v>
      </c>
      <c r="B1046" s="7" t="str">
        <f>"3275045703880021"</f>
        <v>3275045703880021</v>
      </c>
      <c r="C1046" s="7" t="s">
        <v>2359</v>
      </c>
      <c r="D1046" s="7" t="s">
        <v>10</v>
      </c>
      <c r="E1046" s="7" t="s">
        <v>11</v>
      </c>
      <c r="F1046" s="7" t="s">
        <v>91</v>
      </c>
      <c r="G1046" s="7" t="s">
        <v>159</v>
      </c>
      <c r="H1046" s="7" t="s">
        <v>1332</v>
      </c>
      <c r="I1046" s="8" t="s">
        <v>2358</v>
      </c>
    </row>
    <row r="1047" spans="1:12" hidden="1" x14ac:dyDescent="0.35">
      <c r="A1047" s="6">
        <v>611654</v>
      </c>
      <c r="B1047" s="7" t="str">
        <f>"3275090309760014"</f>
        <v>3275090309760014</v>
      </c>
      <c r="C1047" s="7" t="s">
        <v>2360</v>
      </c>
      <c r="D1047" s="7" t="s">
        <v>10</v>
      </c>
      <c r="E1047" s="7" t="s">
        <v>11</v>
      </c>
      <c r="F1047" s="7" t="s">
        <v>91</v>
      </c>
      <c r="G1047" s="7" t="s">
        <v>159</v>
      </c>
      <c r="H1047" s="7" t="s">
        <v>1170</v>
      </c>
      <c r="I1047" s="8" t="s">
        <v>2361</v>
      </c>
    </row>
    <row r="1048" spans="1:12" hidden="1" x14ac:dyDescent="0.35">
      <c r="A1048" s="6">
        <v>2540830</v>
      </c>
      <c r="B1048" s="7" t="str">
        <f>"3275090309760014"</f>
        <v>3275090309760014</v>
      </c>
      <c r="C1048" s="7" t="s">
        <v>2362</v>
      </c>
      <c r="D1048" s="7" t="s">
        <v>10</v>
      </c>
      <c r="E1048" s="7" t="s">
        <v>57</v>
      </c>
      <c r="F1048" s="7" t="s">
        <v>18</v>
      </c>
      <c r="G1048" s="7" t="s">
        <v>19</v>
      </c>
      <c r="H1048" s="7" t="s">
        <v>1394</v>
      </c>
      <c r="I1048" s="8" t="s">
        <v>1395</v>
      </c>
      <c r="J1048" t="e">
        <f>VLOOKUP(B1048,baru!$B$2:$I$2271,4,FALSE)</f>
        <v>#N/A</v>
      </c>
      <c r="K1048" t="e">
        <f>VLOOKUP(B1048,baru!$B$2:$I$2271,5,FALSE)</f>
        <v>#N/A</v>
      </c>
      <c r="L1048" t="e">
        <f>VLOOKUP(B1048,baru!$B$2:$I$2271,6,FALSE)</f>
        <v>#N/A</v>
      </c>
    </row>
    <row r="1049" spans="1:12" hidden="1" x14ac:dyDescent="0.35">
      <c r="A1049" s="6">
        <v>336404</v>
      </c>
      <c r="B1049" s="7" t="str">
        <f>"3276020702780012"</f>
        <v>3276020702780012</v>
      </c>
      <c r="C1049" s="7" t="s">
        <v>2363</v>
      </c>
      <c r="D1049" s="7" t="s">
        <v>10</v>
      </c>
      <c r="E1049" s="7" t="s">
        <v>11</v>
      </c>
      <c r="F1049" s="7" t="s">
        <v>91</v>
      </c>
      <c r="G1049" s="7" t="s">
        <v>2364</v>
      </c>
      <c r="H1049" s="7" t="s">
        <v>2365</v>
      </c>
      <c r="I1049" s="8" t="s">
        <v>177</v>
      </c>
    </row>
    <row r="1050" spans="1:12" hidden="1" x14ac:dyDescent="0.35">
      <c r="A1050" s="6">
        <v>2540832</v>
      </c>
      <c r="B1050" s="7" t="str">
        <f>"3276020702780012"</f>
        <v>3276020702780012</v>
      </c>
      <c r="C1050" s="7" t="s">
        <v>2366</v>
      </c>
      <c r="D1050" s="7" t="s">
        <v>10</v>
      </c>
      <c r="E1050" s="7" t="s">
        <v>57</v>
      </c>
      <c r="F1050" s="7" t="s">
        <v>18</v>
      </c>
      <c r="G1050" s="7" t="s">
        <v>19</v>
      </c>
      <c r="H1050" s="7" t="s">
        <v>1394</v>
      </c>
      <c r="I1050" s="8" t="s">
        <v>1395</v>
      </c>
      <c r="J1050" t="e">
        <f>VLOOKUP(B1050,baru!$B$2:$I$2271,4,FALSE)</f>
        <v>#N/A</v>
      </c>
      <c r="K1050" t="e">
        <f>VLOOKUP(B1050,baru!$B$2:$I$2271,5,FALSE)</f>
        <v>#N/A</v>
      </c>
      <c r="L1050" t="e">
        <f>VLOOKUP(B1050,baru!$B$2:$I$2271,6,FALSE)</f>
        <v>#N/A</v>
      </c>
    </row>
    <row r="1051" spans="1:12" hidden="1" x14ac:dyDescent="0.35">
      <c r="A1051" s="6">
        <v>562357</v>
      </c>
      <c r="B1051" s="7" t="str">
        <f>"3276041911830002"</f>
        <v>3276041911830002</v>
      </c>
      <c r="C1051" s="7" t="s">
        <v>2367</v>
      </c>
      <c r="D1051" s="7" t="s">
        <v>10</v>
      </c>
      <c r="E1051" s="7" t="s">
        <v>11</v>
      </c>
      <c r="F1051" s="7" t="s">
        <v>91</v>
      </c>
      <c r="G1051" s="7" t="s">
        <v>903</v>
      </c>
      <c r="H1051" s="7" t="s">
        <v>2368</v>
      </c>
      <c r="I1051" s="8" t="s">
        <v>2210</v>
      </c>
    </row>
    <row r="1052" spans="1:12" hidden="1" x14ac:dyDescent="0.35">
      <c r="A1052" s="6">
        <v>2540754</v>
      </c>
      <c r="B1052" s="7" t="str">
        <f>"3276041911830002"</f>
        <v>3276041911830002</v>
      </c>
      <c r="C1052" s="7" t="s">
        <v>2369</v>
      </c>
      <c r="D1052" s="7" t="s">
        <v>10</v>
      </c>
      <c r="E1052" s="7" t="s">
        <v>57</v>
      </c>
      <c r="F1052" s="7" t="s">
        <v>18</v>
      </c>
      <c r="G1052" s="7" t="s">
        <v>19</v>
      </c>
      <c r="H1052" s="7" t="s">
        <v>1394</v>
      </c>
      <c r="I1052" s="8" t="s">
        <v>1395</v>
      </c>
      <c r="J1052" t="e">
        <f>VLOOKUP(B1052,baru!$B$2:$I$2271,4,FALSE)</f>
        <v>#N/A</v>
      </c>
      <c r="K1052" t="e">
        <f>VLOOKUP(B1052,baru!$B$2:$I$2271,5,FALSE)</f>
        <v>#N/A</v>
      </c>
      <c r="L1052" t="e">
        <f>VLOOKUP(B1052,baru!$B$2:$I$2271,6,FALSE)</f>
        <v>#N/A</v>
      </c>
    </row>
    <row r="1053" spans="1:12" hidden="1" x14ac:dyDescent="0.35">
      <c r="A1053" s="6">
        <v>752901</v>
      </c>
      <c r="B1053" s="7" t="str">
        <f>"3276052512920003"</f>
        <v>3276052512920003</v>
      </c>
      <c r="C1053" s="7" t="s">
        <v>2370</v>
      </c>
      <c r="D1053" s="7" t="s">
        <v>10</v>
      </c>
      <c r="E1053" s="7" t="s">
        <v>11</v>
      </c>
      <c r="F1053" s="7" t="s">
        <v>91</v>
      </c>
      <c r="G1053" s="7" t="s">
        <v>903</v>
      </c>
      <c r="H1053" s="7" t="s">
        <v>2371</v>
      </c>
      <c r="I1053" s="8" t="s">
        <v>2372</v>
      </c>
    </row>
    <row r="1054" spans="1:12" hidden="1" x14ac:dyDescent="0.35">
      <c r="A1054" s="6">
        <v>337466</v>
      </c>
      <c r="B1054" s="7" t="str">
        <f>"3276092505920002"</f>
        <v>3276092505920002</v>
      </c>
      <c r="C1054" s="7" t="s">
        <v>2373</v>
      </c>
      <c r="D1054" s="7" t="s">
        <v>10</v>
      </c>
      <c r="E1054" s="7" t="s">
        <v>11</v>
      </c>
      <c r="F1054" s="7" t="s">
        <v>91</v>
      </c>
      <c r="G1054" s="7" t="s">
        <v>903</v>
      </c>
      <c r="H1054" s="7" t="s">
        <v>2374</v>
      </c>
      <c r="I1054" s="8" t="s">
        <v>2375</v>
      </c>
    </row>
    <row r="1055" spans="1:12" hidden="1" x14ac:dyDescent="0.35">
      <c r="A1055" s="6">
        <v>2540792</v>
      </c>
      <c r="B1055" s="7" t="str">
        <f>"3276092505920002"</f>
        <v>3276092505920002</v>
      </c>
      <c r="C1055" s="7" t="s">
        <v>2373</v>
      </c>
      <c r="D1055" s="7" t="s">
        <v>10</v>
      </c>
      <c r="E1055" s="7" t="s">
        <v>57</v>
      </c>
      <c r="F1055" s="7" t="s">
        <v>18</v>
      </c>
      <c r="G1055" s="7" t="s">
        <v>19</v>
      </c>
      <c r="H1055" s="7" t="s">
        <v>1394</v>
      </c>
      <c r="I1055" s="8" t="s">
        <v>1395</v>
      </c>
      <c r="J1055" t="e">
        <f>VLOOKUP(B1055,baru!$B$2:$I$2271,4,FALSE)</f>
        <v>#N/A</v>
      </c>
      <c r="K1055" t="e">
        <f>VLOOKUP(B1055,baru!$B$2:$I$2271,5,FALSE)</f>
        <v>#N/A</v>
      </c>
      <c r="L1055" t="e">
        <f>VLOOKUP(B1055,baru!$B$2:$I$2271,6,FALSE)</f>
        <v>#N/A</v>
      </c>
    </row>
    <row r="1056" spans="1:12" hidden="1" x14ac:dyDescent="0.35">
      <c r="A1056" s="6">
        <v>741350</v>
      </c>
      <c r="B1056" s="7" t="str">
        <f>"3277026812630009"</f>
        <v>3277026812630009</v>
      </c>
      <c r="C1056" s="7" t="s">
        <v>2376</v>
      </c>
      <c r="D1056" s="7" t="s">
        <v>10</v>
      </c>
      <c r="E1056" s="7" t="s">
        <v>11</v>
      </c>
      <c r="F1056" s="7" t="s">
        <v>33</v>
      </c>
      <c r="G1056" s="7" t="s">
        <v>2157</v>
      </c>
      <c r="H1056" s="7" t="s">
        <v>2163</v>
      </c>
      <c r="I1056" s="8" t="s">
        <v>2164</v>
      </c>
    </row>
    <row r="1057" spans="1:12" hidden="1" x14ac:dyDescent="0.35">
      <c r="A1057" s="6">
        <v>521972</v>
      </c>
      <c r="B1057" s="7" t="str">
        <f>"3278080506920001"</f>
        <v>3278080506920001</v>
      </c>
      <c r="C1057" s="7" t="s">
        <v>2377</v>
      </c>
      <c r="D1057" s="7" t="s">
        <v>10</v>
      </c>
      <c r="E1057" s="7" t="s">
        <v>11</v>
      </c>
      <c r="F1057" s="7" t="s">
        <v>91</v>
      </c>
      <c r="G1057" s="7" t="s">
        <v>221</v>
      </c>
      <c r="H1057" s="7" t="s">
        <v>2378</v>
      </c>
      <c r="I1057" s="8" t="s">
        <v>2379</v>
      </c>
    </row>
    <row r="1058" spans="1:12" hidden="1" x14ac:dyDescent="0.35">
      <c r="A1058" s="6">
        <v>2540705</v>
      </c>
      <c r="B1058" s="7" t="str">
        <f>"3278080506920001"</f>
        <v>3278080506920001</v>
      </c>
      <c r="C1058" s="7" t="s">
        <v>2380</v>
      </c>
      <c r="D1058" s="7" t="s">
        <v>10</v>
      </c>
      <c r="E1058" s="7" t="s">
        <v>57</v>
      </c>
      <c r="F1058" s="7" t="s">
        <v>18</v>
      </c>
      <c r="G1058" s="7" t="s">
        <v>19</v>
      </c>
      <c r="H1058" s="7" t="s">
        <v>1394</v>
      </c>
      <c r="I1058" s="8" t="s">
        <v>1395</v>
      </c>
      <c r="J1058" t="e">
        <f>VLOOKUP(B1058,baru!$B$2:$I$2271,4,FALSE)</f>
        <v>#N/A</v>
      </c>
      <c r="K1058" t="e">
        <f>VLOOKUP(B1058,baru!$B$2:$I$2271,5,FALSE)</f>
        <v>#N/A</v>
      </c>
      <c r="L1058" t="e">
        <f>VLOOKUP(B1058,baru!$B$2:$I$2271,6,FALSE)</f>
        <v>#N/A</v>
      </c>
    </row>
    <row r="1059" spans="1:12" hidden="1" x14ac:dyDescent="0.35">
      <c r="A1059" s="6">
        <v>1255703</v>
      </c>
      <c r="B1059" s="7" t="str">
        <f>"3301010901810001"</f>
        <v>3301010901810001</v>
      </c>
      <c r="C1059" s="7" t="s">
        <v>2381</v>
      </c>
      <c r="D1059" s="7" t="s">
        <v>10</v>
      </c>
      <c r="E1059" s="7" t="s">
        <v>11</v>
      </c>
      <c r="F1059" s="7" t="s">
        <v>18</v>
      </c>
      <c r="G1059" s="7" t="s">
        <v>264</v>
      </c>
      <c r="H1059" s="7" t="s">
        <v>265</v>
      </c>
      <c r="I1059" s="8" t="s">
        <v>266</v>
      </c>
    </row>
    <row r="1060" spans="1:12" hidden="1" x14ac:dyDescent="0.35">
      <c r="A1060" s="6">
        <v>2540847</v>
      </c>
      <c r="B1060" s="7" t="str">
        <f>"3301010901810001"</f>
        <v>3301010901810001</v>
      </c>
      <c r="C1060" s="7" t="s">
        <v>2382</v>
      </c>
      <c r="D1060" s="7" t="s">
        <v>10</v>
      </c>
      <c r="E1060" s="7" t="s">
        <v>57</v>
      </c>
      <c r="F1060" s="7" t="s">
        <v>18</v>
      </c>
      <c r="G1060" s="7" t="s">
        <v>19</v>
      </c>
      <c r="H1060" s="7" t="s">
        <v>1394</v>
      </c>
      <c r="I1060" s="8" t="s">
        <v>1395</v>
      </c>
      <c r="J1060" t="e">
        <f>VLOOKUP(B1060,baru!$B$2:$I$2271,4,FALSE)</f>
        <v>#N/A</v>
      </c>
      <c r="K1060" t="e">
        <f>VLOOKUP(B1060,baru!$B$2:$I$2271,5,FALSE)</f>
        <v>#N/A</v>
      </c>
      <c r="L1060" t="e">
        <f>VLOOKUP(B1060,baru!$B$2:$I$2271,6,FALSE)</f>
        <v>#N/A</v>
      </c>
    </row>
    <row r="1061" spans="1:12" hidden="1" x14ac:dyDescent="0.35">
      <c r="A1061" s="13">
        <v>2540739</v>
      </c>
      <c r="B1061" s="14" t="str">
        <f>"3301022006990003"</f>
        <v>3301022006990003</v>
      </c>
      <c r="C1061" s="14" t="s">
        <v>2385</v>
      </c>
      <c r="D1061" s="14" t="s">
        <v>10</v>
      </c>
      <c r="E1061" s="14" t="s">
        <v>57</v>
      </c>
      <c r="F1061" s="14" t="s">
        <v>18</v>
      </c>
      <c r="G1061" s="14" t="s">
        <v>19</v>
      </c>
      <c r="H1061" s="14" t="s">
        <v>1394</v>
      </c>
      <c r="I1061" s="15" t="s">
        <v>1395</v>
      </c>
      <c r="J1061" s="16" t="str">
        <f>VLOOKUP(B1061,baru!$B$2:$I$2271,4,FALSE)</f>
        <v>Reguler</v>
      </c>
      <c r="K1061" s="16" t="str">
        <f>VLOOKUP(B1061,baru!$B$2:$I$2271,5,FALSE)</f>
        <v>JAWA TENGAH</v>
      </c>
      <c r="L1061" s="16" t="str">
        <f>VLOOKUP(B1061,baru!$B$2:$I$2271,6,FALSE)</f>
        <v>CILACAP</v>
      </c>
    </row>
    <row r="1062" spans="1:12" hidden="1" x14ac:dyDescent="0.35">
      <c r="A1062" s="6">
        <v>2244531</v>
      </c>
      <c r="B1062" s="7" t="str">
        <f>"3301141806970005"</f>
        <v>3301141806970005</v>
      </c>
      <c r="C1062" s="7" t="s">
        <v>2386</v>
      </c>
      <c r="D1062" s="7" t="s">
        <v>10</v>
      </c>
      <c r="E1062" s="7" t="s">
        <v>11</v>
      </c>
      <c r="F1062" s="7" t="s">
        <v>18</v>
      </c>
      <c r="G1062" s="7" t="s">
        <v>163</v>
      </c>
      <c r="H1062" s="7" t="s">
        <v>176</v>
      </c>
      <c r="I1062" s="8" t="s">
        <v>2315</v>
      </c>
    </row>
    <row r="1063" spans="1:12" hidden="1" x14ac:dyDescent="0.35">
      <c r="A1063" s="6">
        <v>2540838</v>
      </c>
      <c r="B1063" s="7" t="str">
        <f>"3301141806970005"</f>
        <v>3301141806970005</v>
      </c>
      <c r="C1063" s="7" t="s">
        <v>2387</v>
      </c>
      <c r="D1063" s="7" t="s">
        <v>10</v>
      </c>
      <c r="E1063" s="7" t="s">
        <v>57</v>
      </c>
      <c r="F1063" s="7" t="s">
        <v>18</v>
      </c>
      <c r="G1063" s="7" t="s">
        <v>19</v>
      </c>
      <c r="H1063" s="7" t="s">
        <v>1394</v>
      </c>
      <c r="I1063" s="8" t="s">
        <v>1395</v>
      </c>
      <c r="J1063" t="e">
        <f>VLOOKUP(B1063,baru!$B$2:$I$2271,4,FALSE)</f>
        <v>#N/A</v>
      </c>
      <c r="K1063" t="e">
        <f>VLOOKUP(B1063,baru!$B$2:$I$2271,5,FALSE)</f>
        <v>#N/A</v>
      </c>
      <c r="L1063" t="e">
        <f>VLOOKUP(B1063,baru!$B$2:$I$2271,6,FALSE)</f>
        <v>#N/A</v>
      </c>
    </row>
    <row r="1064" spans="1:12" hidden="1" x14ac:dyDescent="0.35">
      <c r="A1064" s="6">
        <v>270132</v>
      </c>
      <c r="B1064" s="7" t="str">
        <f>"3301252402900001"</f>
        <v>3301252402900001</v>
      </c>
      <c r="C1064" s="7" t="s">
        <v>2388</v>
      </c>
      <c r="D1064" s="7" t="s">
        <v>10</v>
      </c>
      <c r="E1064" s="7" t="s">
        <v>11</v>
      </c>
      <c r="F1064" s="7" t="s">
        <v>18</v>
      </c>
      <c r="G1064" s="7" t="s">
        <v>2389</v>
      </c>
      <c r="H1064" s="7" t="s">
        <v>2390</v>
      </c>
      <c r="I1064" s="8" t="s">
        <v>2391</v>
      </c>
    </row>
    <row r="1065" spans="1:12" hidden="1" x14ac:dyDescent="0.35">
      <c r="A1065" s="6">
        <v>2540734</v>
      </c>
      <c r="B1065" s="7" t="str">
        <f>"3301252402900001"</f>
        <v>3301252402900001</v>
      </c>
      <c r="C1065" s="7" t="s">
        <v>2392</v>
      </c>
      <c r="D1065" s="7" t="s">
        <v>10</v>
      </c>
      <c r="E1065" s="7" t="s">
        <v>57</v>
      </c>
      <c r="F1065" s="7" t="s">
        <v>18</v>
      </c>
      <c r="G1065" s="7" t="s">
        <v>19</v>
      </c>
      <c r="H1065" s="7" t="s">
        <v>1394</v>
      </c>
      <c r="I1065" s="8" t="s">
        <v>1395</v>
      </c>
      <c r="J1065" t="e">
        <f>VLOOKUP(B1065,baru!$B$2:$I$2271,4,FALSE)</f>
        <v>#N/A</v>
      </c>
      <c r="K1065" t="e">
        <f>VLOOKUP(B1065,baru!$B$2:$I$2271,5,FALSE)</f>
        <v>#N/A</v>
      </c>
      <c r="L1065" t="e">
        <f>VLOOKUP(B1065,baru!$B$2:$I$2271,6,FALSE)</f>
        <v>#N/A</v>
      </c>
    </row>
    <row r="1066" spans="1:12" hidden="1" x14ac:dyDescent="0.35">
      <c r="A1066" s="6">
        <v>24421</v>
      </c>
      <c r="B1066" s="7" t="str">
        <f>"3302142803800002"</f>
        <v>3302142803800002</v>
      </c>
      <c r="C1066" s="7" t="s">
        <v>2393</v>
      </c>
      <c r="D1066" s="7" t="s">
        <v>10</v>
      </c>
      <c r="E1066" s="7" t="s">
        <v>11</v>
      </c>
      <c r="F1066" s="7" t="s">
        <v>18</v>
      </c>
      <c r="G1066" s="7" t="s">
        <v>167</v>
      </c>
      <c r="H1066" s="7" t="s">
        <v>2394</v>
      </c>
      <c r="I1066" s="8" t="s">
        <v>2395</v>
      </c>
    </row>
    <row r="1067" spans="1:12" hidden="1" x14ac:dyDescent="0.35">
      <c r="A1067" s="6">
        <v>2540728</v>
      </c>
      <c r="B1067" s="7" t="str">
        <f>"3302142803800002"</f>
        <v>3302142803800002</v>
      </c>
      <c r="C1067" s="7" t="s">
        <v>2396</v>
      </c>
      <c r="D1067" s="7" t="s">
        <v>10</v>
      </c>
      <c r="E1067" s="7" t="s">
        <v>57</v>
      </c>
      <c r="F1067" s="7" t="s">
        <v>18</v>
      </c>
      <c r="G1067" s="7" t="s">
        <v>19</v>
      </c>
      <c r="H1067" s="7" t="s">
        <v>1394</v>
      </c>
      <c r="I1067" s="8" t="s">
        <v>1395</v>
      </c>
      <c r="J1067" t="e">
        <f>VLOOKUP(B1067,baru!$B$2:$I$2271,4,FALSE)</f>
        <v>#N/A</v>
      </c>
      <c r="K1067" t="e">
        <f>VLOOKUP(B1067,baru!$B$2:$I$2271,5,FALSE)</f>
        <v>#N/A</v>
      </c>
      <c r="L1067" t="e">
        <f>VLOOKUP(B1067,baru!$B$2:$I$2271,6,FALSE)</f>
        <v>#N/A</v>
      </c>
    </row>
    <row r="1068" spans="1:12" hidden="1" x14ac:dyDescent="0.35">
      <c r="A1068" s="6">
        <v>1106434</v>
      </c>
      <c r="B1068" s="7" t="str">
        <f>"3302200303920005"</f>
        <v>3302200303920005</v>
      </c>
      <c r="C1068" s="7" t="s">
        <v>2397</v>
      </c>
      <c r="D1068" s="7" t="s">
        <v>10</v>
      </c>
      <c r="E1068" s="7" t="s">
        <v>11</v>
      </c>
      <c r="F1068" s="7" t="s">
        <v>18</v>
      </c>
      <c r="G1068" s="7" t="s">
        <v>167</v>
      </c>
      <c r="H1068" s="7" t="s">
        <v>2398</v>
      </c>
      <c r="I1068" s="8" t="s">
        <v>2399</v>
      </c>
    </row>
    <row r="1069" spans="1:12" hidden="1" x14ac:dyDescent="0.35">
      <c r="A1069" s="6">
        <v>2540661</v>
      </c>
      <c r="B1069" s="7" t="str">
        <f>"3302200303920005"</f>
        <v>3302200303920005</v>
      </c>
      <c r="C1069" s="7" t="s">
        <v>2400</v>
      </c>
      <c r="D1069" s="7" t="s">
        <v>10</v>
      </c>
      <c r="E1069" s="7" t="s">
        <v>57</v>
      </c>
      <c r="F1069" s="7" t="s">
        <v>18</v>
      </c>
      <c r="G1069" s="7" t="s">
        <v>19</v>
      </c>
      <c r="H1069" s="7" t="s">
        <v>1394</v>
      </c>
      <c r="I1069" s="8" t="s">
        <v>1395</v>
      </c>
      <c r="J1069" t="e">
        <f>VLOOKUP(B1069,baru!$B$2:$I$2271,4,FALSE)</f>
        <v>#N/A</v>
      </c>
      <c r="K1069" t="e">
        <f>VLOOKUP(B1069,baru!$B$2:$I$2271,5,FALSE)</f>
        <v>#N/A</v>
      </c>
      <c r="L1069" t="e">
        <f>VLOOKUP(B1069,baru!$B$2:$I$2271,6,FALSE)</f>
        <v>#N/A</v>
      </c>
    </row>
    <row r="1070" spans="1:12" hidden="1" x14ac:dyDescent="0.35">
      <c r="A1070" s="6">
        <v>1367965</v>
      </c>
      <c r="B1070" s="7" t="str">
        <f>"3303050112790001"</f>
        <v>3303050112790001</v>
      </c>
      <c r="C1070" s="7" t="s">
        <v>2401</v>
      </c>
      <c r="D1070" s="7" t="s">
        <v>10</v>
      </c>
      <c r="E1070" s="7" t="s">
        <v>11</v>
      </c>
      <c r="F1070" s="7" t="s">
        <v>18</v>
      </c>
      <c r="G1070" s="7" t="s">
        <v>167</v>
      </c>
      <c r="H1070" s="7" t="s">
        <v>2402</v>
      </c>
      <c r="I1070" s="8" t="s">
        <v>2403</v>
      </c>
    </row>
    <row r="1071" spans="1:12" hidden="1" x14ac:dyDescent="0.35">
      <c r="A1071" s="6">
        <v>2540785</v>
      </c>
      <c r="B1071" s="7" t="str">
        <f>"3303050112790001"</f>
        <v>3303050112790001</v>
      </c>
      <c r="C1071" s="7" t="s">
        <v>2401</v>
      </c>
      <c r="D1071" s="7" t="s">
        <v>10</v>
      </c>
      <c r="E1071" s="7" t="s">
        <v>57</v>
      </c>
      <c r="F1071" s="7" t="s">
        <v>18</v>
      </c>
      <c r="G1071" s="7" t="s">
        <v>19</v>
      </c>
      <c r="H1071" s="7" t="s">
        <v>1394</v>
      </c>
      <c r="I1071" s="8" t="s">
        <v>1395</v>
      </c>
      <c r="J1071" t="e">
        <f>VLOOKUP(B1071,baru!$B$2:$I$2271,4,FALSE)</f>
        <v>#N/A</v>
      </c>
      <c r="K1071" t="e">
        <f>VLOOKUP(B1071,baru!$B$2:$I$2271,5,FALSE)</f>
        <v>#N/A</v>
      </c>
      <c r="L1071" t="e">
        <f>VLOOKUP(B1071,baru!$B$2:$I$2271,6,FALSE)</f>
        <v>#N/A</v>
      </c>
    </row>
    <row r="1072" spans="1:12" hidden="1" x14ac:dyDescent="0.35">
      <c r="A1072" s="13">
        <v>1805011</v>
      </c>
      <c r="B1072" s="14" t="str">
        <f>"3305122706960007"</f>
        <v>3305122706960007</v>
      </c>
      <c r="C1072" s="14" t="s">
        <v>2404</v>
      </c>
      <c r="D1072" s="14" t="s">
        <v>10</v>
      </c>
      <c r="E1072" s="14" t="s">
        <v>11</v>
      </c>
      <c r="F1072" s="14" t="s">
        <v>18</v>
      </c>
      <c r="G1072" s="14" t="s">
        <v>19</v>
      </c>
      <c r="H1072" s="14" t="s">
        <v>1394</v>
      </c>
      <c r="I1072" s="15" t="s">
        <v>2212</v>
      </c>
      <c r="J1072" s="16" t="str">
        <f>VLOOKUP(B1072,baru!$B$2:$I$2271,4,FALSE)</f>
        <v>Reguler</v>
      </c>
      <c r="K1072" s="16" t="str">
        <f>VLOOKUP(B1072,baru!$B$2:$I$2271,5,FALSE)</f>
        <v>JAWA TENGAH</v>
      </c>
      <c r="L1072" s="16" t="str">
        <f>VLOOKUP(B1072,baru!$B$2:$I$2271,6,FALSE)</f>
        <v>KEBUMEN</v>
      </c>
    </row>
    <row r="1073" spans="1:12" hidden="1" x14ac:dyDescent="0.35">
      <c r="A1073" s="6">
        <v>920714</v>
      </c>
      <c r="B1073" s="7" t="str">
        <f>"3306042912900001"</f>
        <v>3306042912900001</v>
      </c>
      <c r="C1073" s="7" t="s">
        <v>2406</v>
      </c>
      <c r="D1073" s="7" t="s">
        <v>10</v>
      </c>
      <c r="E1073" s="7" t="s">
        <v>11</v>
      </c>
      <c r="F1073" s="7" t="s">
        <v>18</v>
      </c>
      <c r="G1073" s="7" t="s">
        <v>1920</v>
      </c>
      <c r="H1073" s="7" t="s">
        <v>2407</v>
      </c>
      <c r="I1073" s="8" t="s">
        <v>2408</v>
      </c>
    </row>
    <row r="1074" spans="1:12" hidden="1" x14ac:dyDescent="0.35">
      <c r="A1074" s="6">
        <v>2540919</v>
      </c>
      <c r="B1074" s="7" t="str">
        <f>"3306042912900001"</f>
        <v>3306042912900001</v>
      </c>
      <c r="C1074" s="7" t="s">
        <v>2406</v>
      </c>
      <c r="D1074" s="7" t="s">
        <v>10</v>
      </c>
      <c r="E1074" s="7" t="s">
        <v>57</v>
      </c>
      <c r="F1074" s="7" t="s">
        <v>18</v>
      </c>
      <c r="G1074" s="7" t="s">
        <v>19</v>
      </c>
      <c r="H1074" s="7" t="s">
        <v>1394</v>
      </c>
      <c r="I1074" s="8" t="s">
        <v>1395</v>
      </c>
      <c r="J1074" t="e">
        <f>VLOOKUP(B1074,baru!$B$2:$I$2271,4,FALSE)</f>
        <v>#N/A</v>
      </c>
      <c r="K1074" t="e">
        <f>VLOOKUP(B1074,baru!$B$2:$I$2271,5,FALSE)</f>
        <v>#N/A</v>
      </c>
      <c r="L1074" t="e">
        <f>VLOOKUP(B1074,baru!$B$2:$I$2271,6,FALSE)</f>
        <v>#N/A</v>
      </c>
    </row>
    <row r="1075" spans="1:12" hidden="1" x14ac:dyDescent="0.35">
      <c r="A1075" s="6">
        <v>902555</v>
      </c>
      <c r="B1075" s="7" t="str">
        <f>"3306102804850001"</f>
        <v>3306102804850001</v>
      </c>
      <c r="C1075" s="7" t="s">
        <v>1367</v>
      </c>
      <c r="D1075" s="7" t="s">
        <v>10</v>
      </c>
      <c r="E1075" s="7" t="s">
        <v>11</v>
      </c>
      <c r="F1075" s="7" t="s">
        <v>18</v>
      </c>
      <c r="G1075" s="7" t="s">
        <v>1920</v>
      </c>
      <c r="H1075" s="7" t="s">
        <v>1388</v>
      </c>
      <c r="I1075" s="8" t="s">
        <v>1388</v>
      </c>
    </row>
    <row r="1076" spans="1:12" hidden="1" x14ac:dyDescent="0.35">
      <c r="A1076" s="6">
        <v>2540749</v>
      </c>
      <c r="B1076" s="7" t="str">
        <f>"3306102804850001"</f>
        <v>3306102804850001</v>
      </c>
      <c r="C1076" s="7" t="s">
        <v>2409</v>
      </c>
      <c r="D1076" s="7" t="s">
        <v>10</v>
      </c>
      <c r="E1076" s="7" t="s">
        <v>57</v>
      </c>
      <c r="F1076" s="7" t="s">
        <v>18</v>
      </c>
      <c r="G1076" s="7" t="s">
        <v>19</v>
      </c>
      <c r="H1076" s="7" t="s">
        <v>1394</v>
      </c>
      <c r="I1076" s="8" t="s">
        <v>1395</v>
      </c>
      <c r="J1076" t="e">
        <f>VLOOKUP(B1076,baru!$B$2:$I$2271,4,FALSE)</f>
        <v>#N/A</v>
      </c>
      <c r="K1076" t="e">
        <f>VLOOKUP(B1076,baru!$B$2:$I$2271,5,FALSE)</f>
        <v>#N/A</v>
      </c>
      <c r="L1076" t="e">
        <f>VLOOKUP(B1076,baru!$B$2:$I$2271,6,FALSE)</f>
        <v>#N/A</v>
      </c>
    </row>
    <row r="1077" spans="1:12" hidden="1" x14ac:dyDescent="0.35">
      <c r="A1077" s="6">
        <v>1203808</v>
      </c>
      <c r="B1077" s="7" t="str">
        <f>"3306111207990001"</f>
        <v>3306111207990001</v>
      </c>
      <c r="C1077" s="7" t="s">
        <v>2410</v>
      </c>
      <c r="D1077" s="7" t="s">
        <v>10</v>
      </c>
      <c r="E1077" s="7" t="s">
        <v>11</v>
      </c>
      <c r="F1077" s="7" t="s">
        <v>18</v>
      </c>
      <c r="G1077" s="7" t="s">
        <v>1920</v>
      </c>
      <c r="H1077" s="7" t="s">
        <v>1921</v>
      </c>
      <c r="I1077" s="8" t="s">
        <v>1921</v>
      </c>
    </row>
    <row r="1078" spans="1:12" hidden="1" x14ac:dyDescent="0.35">
      <c r="A1078" s="6">
        <v>2540922</v>
      </c>
      <c r="B1078" s="7" t="str">
        <f>"3306111207990001"</f>
        <v>3306111207990001</v>
      </c>
      <c r="C1078" s="7" t="s">
        <v>2410</v>
      </c>
      <c r="D1078" s="7" t="s">
        <v>10</v>
      </c>
      <c r="E1078" s="7" t="s">
        <v>57</v>
      </c>
      <c r="F1078" s="7" t="s">
        <v>18</v>
      </c>
      <c r="G1078" s="7" t="s">
        <v>19</v>
      </c>
      <c r="H1078" s="7" t="s">
        <v>1394</v>
      </c>
      <c r="I1078" s="8" t="s">
        <v>1395</v>
      </c>
      <c r="J1078" t="e">
        <f>VLOOKUP(B1078,baru!$B$2:$I$2271,4,FALSE)</f>
        <v>#N/A</v>
      </c>
      <c r="K1078" t="e">
        <f>VLOOKUP(B1078,baru!$B$2:$I$2271,5,FALSE)</f>
        <v>#N/A</v>
      </c>
      <c r="L1078" t="e">
        <f>VLOOKUP(B1078,baru!$B$2:$I$2271,6,FALSE)</f>
        <v>#N/A</v>
      </c>
    </row>
    <row r="1079" spans="1:12" hidden="1" x14ac:dyDescent="0.35">
      <c r="A1079" s="6">
        <v>2540783</v>
      </c>
      <c r="B1079" s="7" t="str">
        <f>"3309071608969002"</f>
        <v>3309071608969002</v>
      </c>
      <c r="C1079" s="7" t="s">
        <v>2411</v>
      </c>
      <c r="D1079" s="7" t="s">
        <v>10</v>
      </c>
      <c r="E1079" s="7" t="s">
        <v>57</v>
      </c>
      <c r="F1079" s="7" t="s">
        <v>18</v>
      </c>
      <c r="G1079" s="7" t="s">
        <v>19</v>
      </c>
      <c r="H1079" s="7" t="s">
        <v>1394</v>
      </c>
      <c r="I1079" s="8" t="s">
        <v>1395</v>
      </c>
      <c r="J1079" t="e">
        <f>VLOOKUP(B1079,baru!$B$2:$I$2271,4,FALSE)</f>
        <v>#N/A</v>
      </c>
      <c r="K1079" t="e">
        <f>VLOOKUP(B1079,baru!$B$2:$I$2271,5,FALSE)</f>
        <v>#N/A</v>
      </c>
      <c r="L1079" t="e">
        <f>VLOOKUP(B1079,baru!$B$2:$I$2271,6,FALSE)</f>
        <v>#N/A</v>
      </c>
    </row>
    <row r="1080" spans="1:12" hidden="1" x14ac:dyDescent="0.35">
      <c r="A1080" s="6">
        <v>687378</v>
      </c>
      <c r="B1080" s="7" t="str">
        <f>"3309071608969002"</f>
        <v>3309071608969002</v>
      </c>
      <c r="C1080" s="7" t="s">
        <v>2412</v>
      </c>
      <c r="D1080" s="7" t="s">
        <v>10</v>
      </c>
      <c r="E1080" s="7" t="s">
        <v>57</v>
      </c>
      <c r="F1080" s="7" t="s">
        <v>18</v>
      </c>
      <c r="G1080" s="7" t="s">
        <v>190</v>
      </c>
      <c r="H1080" s="7" t="s">
        <v>190</v>
      </c>
      <c r="I1080" s="8" t="s">
        <v>2413</v>
      </c>
    </row>
    <row r="1081" spans="1:12" hidden="1" x14ac:dyDescent="0.35">
      <c r="A1081" s="6">
        <v>2540914</v>
      </c>
      <c r="B1081" s="7" t="str">
        <f>"3311102210800004"</f>
        <v>3311102210800004</v>
      </c>
      <c r="C1081" s="7" t="s">
        <v>2414</v>
      </c>
      <c r="D1081" s="7" t="s">
        <v>10</v>
      </c>
      <c r="E1081" s="7" t="s">
        <v>57</v>
      </c>
      <c r="F1081" s="7" t="s">
        <v>18</v>
      </c>
      <c r="G1081" s="7" t="s">
        <v>19</v>
      </c>
      <c r="H1081" s="7" t="s">
        <v>1394</v>
      </c>
      <c r="I1081" s="8" t="s">
        <v>1395</v>
      </c>
      <c r="J1081" t="e">
        <f>VLOOKUP(B1081,baru!$B$2:$I$2271,4,FALSE)</f>
        <v>#N/A</v>
      </c>
      <c r="K1081" t="e">
        <f>VLOOKUP(B1081,baru!$B$2:$I$2271,5,FALSE)</f>
        <v>#N/A</v>
      </c>
      <c r="L1081" t="e">
        <f>VLOOKUP(B1081,baru!$B$2:$I$2271,6,FALSE)</f>
        <v>#N/A</v>
      </c>
    </row>
    <row r="1082" spans="1:12" hidden="1" x14ac:dyDescent="0.35">
      <c r="A1082" s="6">
        <v>687450</v>
      </c>
      <c r="B1082" s="7" t="str">
        <f>"3311102210800004"</f>
        <v>3311102210800004</v>
      </c>
      <c r="C1082" s="7" t="s">
        <v>2414</v>
      </c>
      <c r="D1082" s="7" t="s">
        <v>10</v>
      </c>
      <c r="E1082" s="7" t="s">
        <v>57</v>
      </c>
      <c r="F1082" s="7" t="s">
        <v>18</v>
      </c>
      <c r="G1082" s="7" t="s">
        <v>190</v>
      </c>
      <c r="H1082" s="7" t="s">
        <v>190</v>
      </c>
      <c r="I1082" s="8" t="s">
        <v>2413</v>
      </c>
    </row>
    <row r="1083" spans="1:12" hidden="1" x14ac:dyDescent="0.35">
      <c r="A1083" s="13">
        <v>1812124</v>
      </c>
      <c r="B1083" s="14" t="str">
        <f>"3316125112620001"</f>
        <v>3316125112620001</v>
      </c>
      <c r="C1083" s="14" t="s">
        <v>2415</v>
      </c>
      <c r="D1083" s="14" t="s">
        <v>10</v>
      </c>
      <c r="E1083" s="14" t="s">
        <v>11</v>
      </c>
      <c r="F1083" s="14" t="s">
        <v>18</v>
      </c>
      <c r="G1083" s="14" t="s">
        <v>19</v>
      </c>
      <c r="H1083" s="14" t="s">
        <v>1394</v>
      </c>
      <c r="I1083" s="15" t="s">
        <v>2212</v>
      </c>
      <c r="J1083" s="16" t="str">
        <f>VLOOKUP(B1083,baru!$B$2:$I$2271,4,FALSE)</f>
        <v>Reguler</v>
      </c>
      <c r="K1083" s="16" t="str">
        <f>VLOOKUP(B1083,baru!$B$2:$I$2271,5,FALSE)</f>
        <v>JAWA TENGAH</v>
      </c>
      <c r="L1083" s="16" t="str">
        <f>VLOOKUP(B1083,baru!$B$2:$I$2271,6,FALSE)</f>
        <v>BLORA</v>
      </c>
    </row>
    <row r="1084" spans="1:12" hidden="1" x14ac:dyDescent="0.35">
      <c r="A1084" s="6">
        <v>702023</v>
      </c>
      <c r="B1084" s="7" t="str">
        <f>"3316162306710001"</f>
        <v>3316162306710001</v>
      </c>
      <c r="C1084" s="7" t="s">
        <v>245</v>
      </c>
      <c r="D1084" s="7" t="s">
        <v>10</v>
      </c>
      <c r="E1084" s="7" t="s">
        <v>11</v>
      </c>
      <c r="F1084" s="7" t="s">
        <v>18</v>
      </c>
      <c r="G1084" s="7" t="s">
        <v>2416</v>
      </c>
      <c r="H1084" s="7" t="s">
        <v>2419</v>
      </c>
      <c r="I1084" s="8" t="s">
        <v>2420</v>
      </c>
    </row>
    <row r="1085" spans="1:12" hidden="1" x14ac:dyDescent="0.35">
      <c r="A1085" s="6">
        <v>2540809</v>
      </c>
      <c r="B1085" s="7" t="str">
        <f>"3316162306710001"</f>
        <v>3316162306710001</v>
      </c>
      <c r="C1085" s="7" t="s">
        <v>2421</v>
      </c>
      <c r="D1085" s="7" t="s">
        <v>10</v>
      </c>
      <c r="E1085" s="7" t="s">
        <v>57</v>
      </c>
      <c r="F1085" s="7" t="s">
        <v>18</v>
      </c>
      <c r="G1085" s="7" t="s">
        <v>19</v>
      </c>
      <c r="H1085" s="7" t="s">
        <v>1394</v>
      </c>
      <c r="I1085" s="8" t="s">
        <v>1395</v>
      </c>
      <c r="J1085" t="e">
        <f>VLOOKUP(B1085,baru!$B$2:$I$2271,4,FALSE)</f>
        <v>#N/A</v>
      </c>
      <c r="K1085" t="e">
        <f>VLOOKUP(B1085,baru!$B$2:$I$2271,5,FALSE)</f>
        <v>#N/A</v>
      </c>
      <c r="L1085" t="e">
        <f>VLOOKUP(B1085,baru!$B$2:$I$2271,6,FALSE)</f>
        <v>#N/A</v>
      </c>
    </row>
    <row r="1086" spans="1:12" hidden="1" x14ac:dyDescent="0.35">
      <c r="A1086" s="13">
        <v>1840013</v>
      </c>
      <c r="B1086" s="14" t="str">
        <f>"3318046411970003"</f>
        <v>3318046411970003</v>
      </c>
      <c r="C1086" s="14" t="s">
        <v>2422</v>
      </c>
      <c r="D1086" s="14" t="s">
        <v>10</v>
      </c>
      <c r="E1086" s="14" t="s">
        <v>11</v>
      </c>
      <c r="F1086" s="14" t="s">
        <v>18</v>
      </c>
      <c r="G1086" s="14" t="s">
        <v>19</v>
      </c>
      <c r="H1086" s="14" t="s">
        <v>1394</v>
      </c>
      <c r="I1086" s="15" t="s">
        <v>674</v>
      </c>
      <c r="J1086" s="16" t="str">
        <f>VLOOKUP(B1086,baru!$B$2:$I$2271,4,FALSE)</f>
        <v>Reguler</v>
      </c>
      <c r="K1086" s="16" t="str">
        <f>VLOOKUP(B1086,baru!$B$2:$I$2271,5,FALSE)</f>
        <v>JAWA TENGAH</v>
      </c>
      <c r="L1086" s="16" t="str">
        <f>VLOOKUP(B1086,baru!$B$2:$I$2271,6,FALSE)</f>
        <v>PATI</v>
      </c>
    </row>
    <row r="1087" spans="1:12" hidden="1" x14ac:dyDescent="0.35">
      <c r="A1087" s="13">
        <v>2540828</v>
      </c>
      <c r="B1087" s="14" t="str">
        <f>"3318090102970003"</f>
        <v>3318090102970003</v>
      </c>
      <c r="C1087" s="14" t="s">
        <v>2429</v>
      </c>
      <c r="D1087" s="14" t="s">
        <v>10</v>
      </c>
      <c r="E1087" s="14" t="s">
        <v>57</v>
      </c>
      <c r="F1087" s="14" t="s">
        <v>18</v>
      </c>
      <c r="G1087" s="14" t="s">
        <v>19</v>
      </c>
      <c r="H1087" s="14" t="s">
        <v>1394</v>
      </c>
      <c r="I1087" s="15" t="s">
        <v>1395</v>
      </c>
      <c r="J1087" s="16" t="str">
        <f>VLOOKUP(B1087,baru!$B$2:$I$2271,4,FALSE)</f>
        <v>Reguler</v>
      </c>
      <c r="K1087" s="16" t="str">
        <f>VLOOKUP(B1087,baru!$B$2:$I$2271,5,FALSE)</f>
        <v>JAWA TENGAH</v>
      </c>
      <c r="L1087" s="16" t="str">
        <f>VLOOKUP(B1087,baru!$B$2:$I$2271,6,FALSE)</f>
        <v>PATI</v>
      </c>
    </row>
    <row r="1088" spans="1:12" hidden="1" x14ac:dyDescent="0.35">
      <c r="A1088" s="6">
        <v>375001</v>
      </c>
      <c r="B1088" s="7" t="str">
        <f>"3318211107780001"</f>
        <v>3318211107780001</v>
      </c>
      <c r="C1088" s="7" t="s">
        <v>2430</v>
      </c>
      <c r="D1088" s="7" t="s">
        <v>10</v>
      </c>
      <c r="E1088" s="7" t="s">
        <v>11</v>
      </c>
      <c r="F1088" s="7" t="s">
        <v>18</v>
      </c>
      <c r="G1088" s="7" t="s">
        <v>1787</v>
      </c>
      <c r="H1088" s="7" t="s">
        <v>2431</v>
      </c>
      <c r="I1088" s="8" t="s">
        <v>2431</v>
      </c>
    </row>
    <row r="1089" spans="1:12" hidden="1" x14ac:dyDescent="0.35">
      <c r="A1089" s="6">
        <v>2540674</v>
      </c>
      <c r="B1089" s="7" t="str">
        <f>"3318211107780001"</f>
        <v>3318211107780001</v>
      </c>
      <c r="C1089" s="7" t="s">
        <v>2432</v>
      </c>
      <c r="D1089" s="7" t="s">
        <v>10</v>
      </c>
      <c r="E1089" s="7" t="s">
        <v>57</v>
      </c>
      <c r="F1089" s="7" t="s">
        <v>18</v>
      </c>
      <c r="G1089" s="7" t="s">
        <v>19</v>
      </c>
      <c r="H1089" s="7" t="s">
        <v>1394</v>
      </c>
      <c r="I1089" s="8" t="s">
        <v>1395</v>
      </c>
      <c r="J1089" t="e">
        <f>VLOOKUP(B1089,baru!$B$2:$I$2271,4,FALSE)</f>
        <v>#N/A</v>
      </c>
      <c r="K1089" t="e">
        <f>VLOOKUP(B1089,baru!$B$2:$I$2271,5,FALSE)</f>
        <v>#N/A</v>
      </c>
      <c r="L1089" t="e">
        <f>VLOOKUP(B1089,baru!$B$2:$I$2271,6,FALSE)</f>
        <v>#N/A</v>
      </c>
    </row>
    <row r="1090" spans="1:12" hidden="1" x14ac:dyDescent="0.35">
      <c r="A1090" s="6">
        <v>1285129</v>
      </c>
      <c r="B1090" s="7" t="str">
        <f>"3319021912910004"</f>
        <v>3319021912910004</v>
      </c>
      <c r="C1090" s="7" t="s">
        <v>2433</v>
      </c>
      <c r="D1090" s="7" t="s">
        <v>10</v>
      </c>
      <c r="E1090" s="7" t="s">
        <v>11</v>
      </c>
      <c r="F1090" s="7" t="s">
        <v>18</v>
      </c>
      <c r="G1090" s="7" t="s">
        <v>2434</v>
      </c>
      <c r="H1090" s="7" t="s">
        <v>2435</v>
      </c>
      <c r="I1090" s="8" t="s">
        <v>2436</v>
      </c>
    </row>
    <row r="1091" spans="1:12" hidden="1" x14ac:dyDescent="0.35">
      <c r="A1091" s="6">
        <v>2540746</v>
      </c>
      <c r="B1091" s="7" t="str">
        <f>"3319021912910004"</f>
        <v>3319021912910004</v>
      </c>
      <c r="C1091" s="7" t="s">
        <v>2437</v>
      </c>
      <c r="D1091" s="7" t="s">
        <v>10</v>
      </c>
      <c r="E1091" s="7" t="s">
        <v>57</v>
      </c>
      <c r="F1091" s="7" t="s">
        <v>18</v>
      </c>
      <c r="G1091" s="7" t="s">
        <v>19</v>
      </c>
      <c r="H1091" s="7" t="s">
        <v>1394</v>
      </c>
      <c r="I1091" s="8" t="s">
        <v>1395</v>
      </c>
      <c r="J1091" t="e">
        <f>VLOOKUP(B1091,baru!$B$2:$I$2271,4,FALSE)</f>
        <v>#N/A</v>
      </c>
      <c r="K1091" t="e">
        <f>VLOOKUP(B1091,baru!$B$2:$I$2271,5,FALSE)</f>
        <v>#N/A</v>
      </c>
      <c r="L1091" t="e">
        <f>VLOOKUP(B1091,baru!$B$2:$I$2271,6,FALSE)</f>
        <v>#N/A</v>
      </c>
    </row>
    <row r="1092" spans="1:12" hidden="1" x14ac:dyDescent="0.35">
      <c r="A1092" s="6">
        <v>782516</v>
      </c>
      <c r="B1092" s="7" t="str">
        <f>"3319070810670001"</f>
        <v>3319070810670001</v>
      </c>
      <c r="C1092" s="7" t="s">
        <v>2438</v>
      </c>
      <c r="D1092" s="7" t="s">
        <v>10</v>
      </c>
      <c r="E1092" s="7" t="s">
        <v>11</v>
      </c>
      <c r="F1092" s="7" t="s">
        <v>18</v>
      </c>
      <c r="G1092" s="7" t="s">
        <v>2434</v>
      </c>
      <c r="H1092" s="7" t="s">
        <v>2439</v>
      </c>
      <c r="I1092" s="8" t="s">
        <v>2440</v>
      </c>
    </row>
    <row r="1093" spans="1:12" hidden="1" x14ac:dyDescent="0.35">
      <c r="A1093" s="6">
        <v>2540694</v>
      </c>
      <c r="B1093" s="7" t="str">
        <f>"3319070810670001"</f>
        <v>3319070810670001</v>
      </c>
      <c r="C1093" s="7" t="s">
        <v>2441</v>
      </c>
      <c r="D1093" s="7" t="s">
        <v>10</v>
      </c>
      <c r="E1093" s="7" t="s">
        <v>57</v>
      </c>
      <c r="F1093" s="7" t="s">
        <v>18</v>
      </c>
      <c r="G1093" s="7" t="s">
        <v>19</v>
      </c>
      <c r="H1093" s="7" t="s">
        <v>1394</v>
      </c>
      <c r="I1093" s="8" t="s">
        <v>1395</v>
      </c>
      <c r="J1093" t="e">
        <f>VLOOKUP(B1093,baru!$B$2:$I$2271,4,FALSE)</f>
        <v>#N/A</v>
      </c>
      <c r="K1093" t="e">
        <f>VLOOKUP(B1093,baru!$B$2:$I$2271,5,FALSE)</f>
        <v>#N/A</v>
      </c>
      <c r="L1093" t="e">
        <f>VLOOKUP(B1093,baru!$B$2:$I$2271,6,FALSE)</f>
        <v>#N/A</v>
      </c>
    </row>
    <row r="1094" spans="1:12" hidden="1" x14ac:dyDescent="0.35">
      <c r="A1094" s="6">
        <v>1017091</v>
      </c>
      <c r="B1094" s="7" t="str">
        <f>"3321042502850002"</f>
        <v>3321042502850002</v>
      </c>
      <c r="C1094" s="7" t="s">
        <v>2442</v>
      </c>
      <c r="D1094" s="7" t="s">
        <v>10</v>
      </c>
      <c r="E1094" s="7" t="s">
        <v>11</v>
      </c>
      <c r="F1094" s="7" t="s">
        <v>18</v>
      </c>
      <c r="G1094" s="7" t="s">
        <v>184</v>
      </c>
      <c r="H1094" s="7" t="s">
        <v>185</v>
      </c>
      <c r="I1094" s="8" t="s">
        <v>2443</v>
      </c>
    </row>
    <row r="1095" spans="1:12" hidden="1" x14ac:dyDescent="0.35">
      <c r="A1095" s="6">
        <v>2540812</v>
      </c>
      <c r="B1095" s="7" t="str">
        <f>"3321042502850002"</f>
        <v>3321042502850002</v>
      </c>
      <c r="C1095" s="7" t="s">
        <v>2444</v>
      </c>
      <c r="D1095" s="7" t="s">
        <v>10</v>
      </c>
      <c r="E1095" s="7" t="s">
        <v>57</v>
      </c>
      <c r="F1095" s="7" t="s">
        <v>18</v>
      </c>
      <c r="G1095" s="7" t="s">
        <v>19</v>
      </c>
      <c r="H1095" s="7" t="s">
        <v>1394</v>
      </c>
      <c r="I1095" s="8" t="s">
        <v>1395</v>
      </c>
      <c r="J1095" t="e">
        <f>VLOOKUP(B1095,baru!$B$2:$I$2271,4,FALSE)</f>
        <v>#N/A</v>
      </c>
      <c r="K1095" t="e">
        <f>VLOOKUP(B1095,baru!$B$2:$I$2271,5,FALSE)</f>
        <v>#N/A</v>
      </c>
      <c r="L1095" t="e">
        <f>VLOOKUP(B1095,baru!$B$2:$I$2271,6,FALSE)</f>
        <v>#N/A</v>
      </c>
    </row>
    <row r="1096" spans="1:12" hidden="1" x14ac:dyDescent="0.35">
      <c r="A1096" s="6">
        <v>2540686</v>
      </c>
      <c r="B1096" s="7" t="str">
        <f>"3325111701940001"</f>
        <v>3325111701940001</v>
      </c>
      <c r="C1096" s="7" t="s">
        <v>2445</v>
      </c>
      <c r="D1096" s="7" t="s">
        <v>10</v>
      </c>
      <c r="E1096" s="7" t="s">
        <v>57</v>
      </c>
      <c r="F1096" s="7" t="s">
        <v>18</v>
      </c>
      <c r="G1096" s="7" t="s">
        <v>19</v>
      </c>
      <c r="H1096" s="7" t="s">
        <v>1394</v>
      </c>
      <c r="I1096" s="8" t="s">
        <v>1395</v>
      </c>
      <c r="J1096" t="e">
        <f>VLOOKUP(B1096,baru!$B$2:$I$2271,4,FALSE)</f>
        <v>#N/A</v>
      </c>
      <c r="K1096" t="e">
        <f>VLOOKUP(B1096,baru!$B$2:$I$2271,5,FALSE)</f>
        <v>#N/A</v>
      </c>
      <c r="L1096" t="e">
        <f>VLOOKUP(B1096,baru!$B$2:$I$2271,6,FALSE)</f>
        <v>#N/A</v>
      </c>
    </row>
    <row r="1097" spans="1:12" x14ac:dyDescent="0.35">
      <c r="A1097" s="6">
        <v>34824</v>
      </c>
      <c r="B1097" s="7" t="str">
        <f>"3325111701940001"</f>
        <v>3325111701940001</v>
      </c>
      <c r="C1097" s="7" t="s">
        <v>2446</v>
      </c>
      <c r="D1097" s="7" t="s">
        <v>189</v>
      </c>
      <c r="E1097" s="7" t="s">
        <v>11</v>
      </c>
      <c r="F1097" s="7" t="s">
        <v>18</v>
      </c>
      <c r="G1097" s="7" t="s">
        <v>190</v>
      </c>
      <c r="H1097" s="7" t="s">
        <v>190</v>
      </c>
      <c r="I1097" s="8" t="s">
        <v>506</v>
      </c>
    </row>
    <row r="1098" spans="1:12" hidden="1" x14ac:dyDescent="0.35">
      <c r="A1098" s="6">
        <v>2540872</v>
      </c>
      <c r="B1098" s="7" t="str">
        <f>"3325112104910003"</f>
        <v>3325112104910003</v>
      </c>
      <c r="C1098" s="7" t="s">
        <v>2447</v>
      </c>
      <c r="D1098" s="7" t="s">
        <v>10</v>
      </c>
      <c r="E1098" s="7" t="s">
        <v>57</v>
      </c>
      <c r="F1098" s="7" t="s">
        <v>18</v>
      </c>
      <c r="G1098" s="7" t="s">
        <v>19</v>
      </c>
      <c r="H1098" s="7" t="s">
        <v>1394</v>
      </c>
      <c r="I1098" s="8" t="s">
        <v>1395</v>
      </c>
      <c r="J1098" t="e">
        <f>VLOOKUP(B1098,baru!$B$2:$I$2271,4,FALSE)</f>
        <v>#N/A</v>
      </c>
      <c r="K1098" t="e">
        <f>VLOOKUP(B1098,baru!$B$2:$I$2271,5,FALSE)</f>
        <v>#N/A</v>
      </c>
      <c r="L1098" t="e">
        <f>VLOOKUP(B1098,baru!$B$2:$I$2271,6,FALSE)</f>
        <v>#N/A</v>
      </c>
    </row>
    <row r="1099" spans="1:12" x14ac:dyDescent="0.35">
      <c r="A1099" s="6">
        <v>201524</v>
      </c>
      <c r="B1099" s="7" t="str">
        <f>"3325112104910003"</f>
        <v>3325112104910003</v>
      </c>
      <c r="C1099" s="7" t="s">
        <v>2448</v>
      </c>
      <c r="D1099" s="7" t="s">
        <v>189</v>
      </c>
      <c r="E1099" s="7" t="s">
        <v>11</v>
      </c>
      <c r="F1099" s="7" t="s">
        <v>18</v>
      </c>
      <c r="G1099" s="7" t="s">
        <v>190</v>
      </c>
      <c r="H1099" s="7" t="s">
        <v>190</v>
      </c>
      <c r="I1099" s="8" t="s">
        <v>37</v>
      </c>
    </row>
    <row r="1100" spans="1:12" hidden="1" x14ac:dyDescent="0.35">
      <c r="A1100" s="6">
        <v>2540744</v>
      </c>
      <c r="B1100" s="7" t="str">
        <f>"3325112108970021"</f>
        <v>3325112108970021</v>
      </c>
      <c r="C1100" s="7" t="s">
        <v>2449</v>
      </c>
      <c r="D1100" s="7" t="s">
        <v>10</v>
      </c>
      <c r="E1100" s="7" t="s">
        <v>57</v>
      </c>
      <c r="F1100" s="7" t="s">
        <v>18</v>
      </c>
      <c r="G1100" s="7" t="s">
        <v>19</v>
      </c>
      <c r="H1100" s="7" t="s">
        <v>1394</v>
      </c>
      <c r="I1100" s="8" t="s">
        <v>1395</v>
      </c>
      <c r="J1100" t="e">
        <f>VLOOKUP(B1100,baru!$B$2:$I$2271,4,FALSE)</f>
        <v>#N/A</v>
      </c>
      <c r="K1100" t="e">
        <f>VLOOKUP(B1100,baru!$B$2:$I$2271,5,FALSE)</f>
        <v>#N/A</v>
      </c>
      <c r="L1100" t="e">
        <f>VLOOKUP(B1100,baru!$B$2:$I$2271,6,FALSE)</f>
        <v>#N/A</v>
      </c>
    </row>
    <row r="1101" spans="1:12" x14ac:dyDescent="0.35">
      <c r="A1101" s="6">
        <v>20868</v>
      </c>
      <c r="B1101" s="7" t="str">
        <f>"3325112108970021"</f>
        <v>3325112108970021</v>
      </c>
      <c r="C1101" s="7" t="s">
        <v>2450</v>
      </c>
      <c r="D1101" s="7" t="s">
        <v>189</v>
      </c>
      <c r="E1101" s="7" t="s">
        <v>11</v>
      </c>
      <c r="F1101" s="7" t="s">
        <v>18</v>
      </c>
      <c r="G1101" s="7" t="s">
        <v>190</v>
      </c>
      <c r="H1101" s="7" t="s">
        <v>190</v>
      </c>
      <c r="I1101" s="8" t="s">
        <v>2451</v>
      </c>
    </row>
    <row r="1102" spans="1:12" hidden="1" x14ac:dyDescent="0.35">
      <c r="A1102" s="6">
        <v>2540740</v>
      </c>
      <c r="B1102" s="7" t="str">
        <f>"3325112509950005"</f>
        <v>3325112509950005</v>
      </c>
      <c r="C1102" s="7" t="s">
        <v>2452</v>
      </c>
      <c r="D1102" s="7" t="s">
        <v>10</v>
      </c>
      <c r="E1102" s="7" t="s">
        <v>57</v>
      </c>
      <c r="F1102" s="7" t="s">
        <v>18</v>
      </c>
      <c r="G1102" s="7" t="s">
        <v>19</v>
      </c>
      <c r="H1102" s="7" t="s">
        <v>1394</v>
      </c>
      <c r="I1102" s="8" t="s">
        <v>1395</v>
      </c>
      <c r="J1102" t="e">
        <f>VLOOKUP(B1102,baru!$B$2:$I$2271,4,FALSE)</f>
        <v>#N/A</v>
      </c>
      <c r="K1102" t="e">
        <f>VLOOKUP(B1102,baru!$B$2:$I$2271,5,FALSE)</f>
        <v>#N/A</v>
      </c>
      <c r="L1102" t="e">
        <f>VLOOKUP(B1102,baru!$B$2:$I$2271,6,FALSE)</f>
        <v>#N/A</v>
      </c>
    </row>
    <row r="1103" spans="1:12" x14ac:dyDescent="0.35">
      <c r="A1103" s="6">
        <v>151045</v>
      </c>
      <c r="B1103" s="7" t="str">
        <f>"3325112509950005"</f>
        <v>3325112509950005</v>
      </c>
      <c r="C1103" s="7" t="s">
        <v>2453</v>
      </c>
      <c r="D1103" s="7" t="s">
        <v>189</v>
      </c>
      <c r="E1103" s="7" t="s">
        <v>11</v>
      </c>
      <c r="F1103" s="7" t="s">
        <v>18</v>
      </c>
      <c r="G1103" s="7" t="s">
        <v>190</v>
      </c>
      <c r="H1103" s="7" t="s">
        <v>190</v>
      </c>
      <c r="I1103" s="8" t="s">
        <v>2454</v>
      </c>
    </row>
    <row r="1104" spans="1:12" hidden="1" x14ac:dyDescent="0.35">
      <c r="A1104" s="6">
        <v>2540664</v>
      </c>
      <c r="B1104" s="7" t="str">
        <f>"3325112912790005"</f>
        <v>3325112912790005</v>
      </c>
      <c r="C1104" s="7" t="s">
        <v>2455</v>
      </c>
      <c r="D1104" s="7" t="s">
        <v>10</v>
      </c>
      <c r="E1104" s="7" t="s">
        <v>57</v>
      </c>
      <c r="F1104" s="7" t="s">
        <v>18</v>
      </c>
      <c r="G1104" s="7" t="s">
        <v>19</v>
      </c>
      <c r="H1104" s="7" t="s">
        <v>1394</v>
      </c>
      <c r="I1104" s="8" t="s">
        <v>1395</v>
      </c>
      <c r="J1104" t="e">
        <f>VLOOKUP(B1104,baru!$B$2:$I$2271,4,FALSE)</f>
        <v>#N/A</v>
      </c>
      <c r="K1104" t="e">
        <f>VLOOKUP(B1104,baru!$B$2:$I$2271,5,FALSE)</f>
        <v>#N/A</v>
      </c>
      <c r="L1104" t="e">
        <f>VLOOKUP(B1104,baru!$B$2:$I$2271,6,FALSE)</f>
        <v>#N/A</v>
      </c>
    </row>
    <row r="1105" spans="1:12" x14ac:dyDescent="0.35">
      <c r="A1105" s="6">
        <v>78486</v>
      </c>
      <c r="B1105" s="7" t="str">
        <f>"3325112912790005"</f>
        <v>3325112912790005</v>
      </c>
      <c r="C1105" s="7" t="s">
        <v>2456</v>
      </c>
      <c r="D1105" s="7" t="s">
        <v>189</v>
      </c>
      <c r="E1105" s="7" t="s">
        <v>11</v>
      </c>
      <c r="F1105" s="7" t="s">
        <v>18</v>
      </c>
      <c r="G1105" s="7" t="s">
        <v>190</v>
      </c>
      <c r="H1105" s="7" t="s">
        <v>190</v>
      </c>
      <c r="I1105" s="8" t="s">
        <v>2457</v>
      </c>
    </row>
    <row r="1106" spans="1:12" hidden="1" x14ac:dyDescent="0.35">
      <c r="A1106" s="6">
        <v>2540738</v>
      </c>
      <c r="B1106" s="7" t="str">
        <f>"3325113004970008"</f>
        <v>3325113004970008</v>
      </c>
      <c r="C1106" s="7" t="s">
        <v>2458</v>
      </c>
      <c r="D1106" s="7" t="s">
        <v>10</v>
      </c>
      <c r="E1106" s="7" t="s">
        <v>57</v>
      </c>
      <c r="F1106" s="7" t="s">
        <v>18</v>
      </c>
      <c r="G1106" s="7" t="s">
        <v>19</v>
      </c>
      <c r="H1106" s="7" t="s">
        <v>1394</v>
      </c>
      <c r="I1106" s="8" t="s">
        <v>1395</v>
      </c>
      <c r="J1106" t="e">
        <f>VLOOKUP(B1106,baru!$B$2:$I$2271,4,FALSE)</f>
        <v>#N/A</v>
      </c>
      <c r="K1106" t="e">
        <f>VLOOKUP(B1106,baru!$B$2:$I$2271,5,FALSE)</f>
        <v>#N/A</v>
      </c>
      <c r="L1106" t="e">
        <f>VLOOKUP(B1106,baru!$B$2:$I$2271,6,FALSE)</f>
        <v>#N/A</v>
      </c>
    </row>
    <row r="1107" spans="1:12" x14ac:dyDescent="0.35">
      <c r="A1107" s="6">
        <v>223204</v>
      </c>
      <c r="B1107" s="7" t="str">
        <f>"3325113004970008"</f>
        <v>3325113004970008</v>
      </c>
      <c r="C1107" s="7" t="s">
        <v>2459</v>
      </c>
      <c r="D1107" s="7" t="s">
        <v>189</v>
      </c>
      <c r="E1107" s="7" t="s">
        <v>11</v>
      </c>
      <c r="F1107" s="7" t="s">
        <v>18</v>
      </c>
      <c r="G1107" s="7" t="s">
        <v>190</v>
      </c>
      <c r="H1107" s="7" t="s">
        <v>190</v>
      </c>
      <c r="I1107" s="8" t="s">
        <v>2460</v>
      </c>
    </row>
    <row r="1108" spans="1:12" hidden="1" x14ac:dyDescent="0.35">
      <c r="A1108" s="6">
        <v>1174983</v>
      </c>
      <c r="B1108" s="7" t="str">
        <f>"3326012404900001"</f>
        <v>3326012404900001</v>
      </c>
      <c r="C1108" s="7" t="s">
        <v>2461</v>
      </c>
      <c r="D1108" s="7" t="s">
        <v>10</v>
      </c>
      <c r="E1108" s="7" t="s">
        <v>11</v>
      </c>
      <c r="F1108" s="7" t="s">
        <v>18</v>
      </c>
      <c r="G1108" s="7" t="s">
        <v>195</v>
      </c>
      <c r="H1108" s="7" t="s">
        <v>2462</v>
      </c>
      <c r="I1108" s="8" t="s">
        <v>2463</v>
      </c>
    </row>
    <row r="1109" spans="1:12" hidden="1" x14ac:dyDescent="0.35">
      <c r="A1109" s="6">
        <v>2540735</v>
      </c>
      <c r="B1109" s="7" t="str">
        <f>"3326012404900001"</f>
        <v>3326012404900001</v>
      </c>
      <c r="C1109" s="7" t="s">
        <v>2464</v>
      </c>
      <c r="D1109" s="7" t="s">
        <v>10</v>
      </c>
      <c r="E1109" s="7" t="s">
        <v>57</v>
      </c>
      <c r="F1109" s="7" t="s">
        <v>18</v>
      </c>
      <c r="G1109" s="7" t="s">
        <v>19</v>
      </c>
      <c r="H1109" s="7" t="s">
        <v>1394</v>
      </c>
      <c r="I1109" s="8" t="s">
        <v>1395</v>
      </c>
      <c r="J1109" t="e">
        <f>VLOOKUP(B1109,baru!$B$2:$I$2271,4,FALSE)</f>
        <v>#N/A</v>
      </c>
      <c r="K1109" t="e">
        <f>VLOOKUP(B1109,baru!$B$2:$I$2271,5,FALSE)</f>
        <v>#N/A</v>
      </c>
      <c r="L1109" t="e">
        <f>VLOOKUP(B1109,baru!$B$2:$I$2271,6,FALSE)</f>
        <v>#N/A</v>
      </c>
    </row>
    <row r="1110" spans="1:12" x14ac:dyDescent="0.35">
      <c r="A1110" s="6">
        <v>851087</v>
      </c>
      <c r="B1110" s="7" t="str">
        <f>"3326020202060002"</f>
        <v>3326020202060002</v>
      </c>
      <c r="C1110" s="7" t="s">
        <v>2466</v>
      </c>
      <c r="D1110" s="7" t="s">
        <v>189</v>
      </c>
      <c r="E1110" s="7" t="s">
        <v>11</v>
      </c>
      <c r="F1110" s="7" t="s">
        <v>18</v>
      </c>
      <c r="G1110" s="7" t="s">
        <v>195</v>
      </c>
      <c r="H1110" s="7" t="s">
        <v>586</v>
      </c>
      <c r="I1110" s="8" t="s">
        <v>767</v>
      </c>
    </row>
    <row r="1111" spans="1:12" hidden="1" x14ac:dyDescent="0.35">
      <c r="A1111" s="6">
        <v>1110846</v>
      </c>
      <c r="B1111" s="7" t="str">
        <f>"3326110110600001"</f>
        <v>3326110110600001</v>
      </c>
      <c r="C1111" s="7" t="s">
        <v>2467</v>
      </c>
      <c r="D1111" s="7" t="s">
        <v>10</v>
      </c>
      <c r="E1111" s="7" t="s">
        <v>11</v>
      </c>
      <c r="F1111" s="7" t="s">
        <v>18</v>
      </c>
      <c r="G1111" s="7" t="s">
        <v>195</v>
      </c>
      <c r="H1111" s="7" t="s">
        <v>906</v>
      </c>
      <c r="I1111" s="8" t="s">
        <v>2468</v>
      </c>
    </row>
    <row r="1112" spans="1:12" hidden="1" x14ac:dyDescent="0.35">
      <c r="A1112" s="6">
        <v>2540764</v>
      </c>
      <c r="B1112" s="7" t="str">
        <f>"3326110110600001"</f>
        <v>3326110110600001</v>
      </c>
      <c r="C1112" s="7" t="s">
        <v>2469</v>
      </c>
      <c r="D1112" s="7" t="s">
        <v>10</v>
      </c>
      <c r="E1112" s="7" t="s">
        <v>57</v>
      </c>
      <c r="F1112" s="7" t="s">
        <v>18</v>
      </c>
      <c r="G1112" s="7" t="s">
        <v>19</v>
      </c>
      <c r="H1112" s="7" t="s">
        <v>1394</v>
      </c>
      <c r="I1112" s="8" t="s">
        <v>1395</v>
      </c>
      <c r="J1112" t="e">
        <f>VLOOKUP(B1112,baru!$B$2:$I$2271,4,FALSE)</f>
        <v>#N/A</v>
      </c>
      <c r="K1112" t="e">
        <f>VLOOKUP(B1112,baru!$B$2:$I$2271,5,FALSE)</f>
        <v>#N/A</v>
      </c>
      <c r="L1112" t="e">
        <f>VLOOKUP(B1112,baru!$B$2:$I$2271,6,FALSE)</f>
        <v>#N/A</v>
      </c>
    </row>
    <row r="1113" spans="1:12" hidden="1" x14ac:dyDescent="0.35">
      <c r="A1113" s="6">
        <v>1184884</v>
      </c>
      <c r="B1113" s="7" t="str">
        <f>"3326112112700001"</f>
        <v>3326112112700001</v>
      </c>
      <c r="C1113" s="7" t="s">
        <v>2470</v>
      </c>
      <c r="D1113" s="7" t="s">
        <v>10</v>
      </c>
      <c r="E1113" s="7" t="s">
        <v>11</v>
      </c>
      <c r="F1113" s="7" t="s">
        <v>18</v>
      </c>
      <c r="G1113" s="7" t="s">
        <v>195</v>
      </c>
      <c r="H1113" s="7" t="s">
        <v>906</v>
      </c>
      <c r="I1113" s="8" t="s">
        <v>2471</v>
      </c>
    </row>
    <row r="1114" spans="1:12" hidden="1" x14ac:dyDescent="0.35">
      <c r="A1114" s="6">
        <v>2540811</v>
      </c>
      <c r="B1114" s="7" t="str">
        <f>"3326112112700001"</f>
        <v>3326112112700001</v>
      </c>
      <c r="C1114" s="7" t="s">
        <v>2472</v>
      </c>
      <c r="D1114" s="7" t="s">
        <v>10</v>
      </c>
      <c r="E1114" s="7" t="s">
        <v>57</v>
      </c>
      <c r="F1114" s="7" t="s">
        <v>18</v>
      </c>
      <c r="G1114" s="7" t="s">
        <v>19</v>
      </c>
      <c r="H1114" s="7" t="s">
        <v>1394</v>
      </c>
      <c r="I1114" s="8" t="s">
        <v>1395</v>
      </c>
      <c r="J1114" t="e">
        <f>VLOOKUP(B1114,baru!$B$2:$I$2271,4,FALSE)</f>
        <v>#N/A</v>
      </c>
      <c r="K1114" t="e">
        <f>VLOOKUP(B1114,baru!$B$2:$I$2271,5,FALSE)</f>
        <v>#N/A</v>
      </c>
      <c r="L1114" t="e">
        <f>VLOOKUP(B1114,baru!$B$2:$I$2271,6,FALSE)</f>
        <v>#N/A</v>
      </c>
    </row>
    <row r="1115" spans="1:12" hidden="1" x14ac:dyDescent="0.35">
      <c r="A1115" s="6">
        <v>975205</v>
      </c>
      <c r="B1115" s="7" t="str">
        <f>"3326131509660021"</f>
        <v>3326131509660021</v>
      </c>
      <c r="C1115" s="7" t="s">
        <v>2473</v>
      </c>
      <c r="D1115" s="7" t="s">
        <v>10</v>
      </c>
      <c r="E1115" s="7" t="s">
        <v>11</v>
      </c>
      <c r="F1115" s="7" t="s">
        <v>18</v>
      </c>
      <c r="G1115" s="7" t="s">
        <v>195</v>
      </c>
      <c r="H1115" s="7" t="s">
        <v>1434</v>
      </c>
      <c r="I1115" s="8" t="s">
        <v>2474</v>
      </c>
    </row>
    <row r="1116" spans="1:12" hidden="1" x14ac:dyDescent="0.35">
      <c r="A1116" s="6">
        <v>2540696</v>
      </c>
      <c r="B1116" s="7" t="str">
        <f>"3326131509660021"</f>
        <v>3326131509660021</v>
      </c>
      <c r="C1116" s="7" t="s">
        <v>2475</v>
      </c>
      <c r="D1116" s="7" t="s">
        <v>10</v>
      </c>
      <c r="E1116" s="7" t="s">
        <v>57</v>
      </c>
      <c r="F1116" s="7" t="s">
        <v>18</v>
      </c>
      <c r="G1116" s="7" t="s">
        <v>19</v>
      </c>
      <c r="H1116" s="7" t="s">
        <v>1394</v>
      </c>
      <c r="I1116" s="8" t="s">
        <v>1395</v>
      </c>
      <c r="J1116" t="e">
        <f>VLOOKUP(B1116,baru!$B$2:$I$2271,4,FALSE)</f>
        <v>#N/A</v>
      </c>
      <c r="K1116" t="e">
        <f>VLOOKUP(B1116,baru!$B$2:$I$2271,5,FALSE)</f>
        <v>#N/A</v>
      </c>
      <c r="L1116" t="e">
        <f>VLOOKUP(B1116,baru!$B$2:$I$2271,6,FALSE)</f>
        <v>#N/A</v>
      </c>
    </row>
    <row r="1117" spans="1:12" hidden="1" x14ac:dyDescent="0.35">
      <c r="A1117" s="6">
        <v>985782</v>
      </c>
      <c r="B1117" s="7" t="str">
        <f>"3326131903860063"</f>
        <v>3326131903860063</v>
      </c>
      <c r="C1117" s="7" t="s">
        <v>2476</v>
      </c>
      <c r="D1117" s="7" t="s">
        <v>10</v>
      </c>
      <c r="E1117" s="7" t="s">
        <v>11</v>
      </c>
      <c r="F1117" s="7" t="s">
        <v>18</v>
      </c>
      <c r="G1117" s="7" t="s">
        <v>195</v>
      </c>
      <c r="H1117" s="7" t="s">
        <v>1434</v>
      </c>
      <c r="I1117" s="8" t="s">
        <v>2477</v>
      </c>
    </row>
    <row r="1118" spans="1:12" hidden="1" x14ac:dyDescent="0.35">
      <c r="A1118" s="6">
        <v>2540881</v>
      </c>
      <c r="B1118" s="7" t="str">
        <f>"3326131903860063"</f>
        <v>3326131903860063</v>
      </c>
      <c r="C1118" s="7" t="s">
        <v>2478</v>
      </c>
      <c r="D1118" s="7" t="s">
        <v>10</v>
      </c>
      <c r="E1118" s="7" t="s">
        <v>57</v>
      </c>
      <c r="F1118" s="7" t="s">
        <v>18</v>
      </c>
      <c r="G1118" s="7" t="s">
        <v>19</v>
      </c>
      <c r="H1118" s="7" t="s">
        <v>1394</v>
      </c>
      <c r="I1118" s="8" t="s">
        <v>1395</v>
      </c>
      <c r="J1118" t="e">
        <f>VLOOKUP(B1118,baru!$B$2:$I$2271,4,FALSE)</f>
        <v>#N/A</v>
      </c>
      <c r="K1118" t="e">
        <f>VLOOKUP(B1118,baru!$B$2:$I$2271,5,FALSE)</f>
        <v>#N/A</v>
      </c>
      <c r="L1118" t="e">
        <f>VLOOKUP(B1118,baru!$B$2:$I$2271,6,FALSE)</f>
        <v>#N/A</v>
      </c>
    </row>
    <row r="1119" spans="1:12" hidden="1" x14ac:dyDescent="0.35">
      <c r="A1119" s="13">
        <v>2540680</v>
      </c>
      <c r="B1119" s="14" t="str">
        <f>"3326132210910003"</f>
        <v>3326132210910003</v>
      </c>
      <c r="C1119" s="14" t="s">
        <v>2479</v>
      </c>
      <c r="D1119" s="14" t="s">
        <v>10</v>
      </c>
      <c r="E1119" s="14" t="s">
        <v>57</v>
      </c>
      <c r="F1119" s="14" t="s">
        <v>18</v>
      </c>
      <c r="G1119" s="14" t="s">
        <v>19</v>
      </c>
      <c r="H1119" s="14" t="s">
        <v>1394</v>
      </c>
      <c r="I1119" s="15" t="s">
        <v>1395</v>
      </c>
      <c r="J1119" s="16" t="str">
        <f>VLOOKUP(B1119,baru!$B$2:$I$2271,4,FALSE)</f>
        <v>Reguler</v>
      </c>
      <c r="K1119" s="16" t="str">
        <f>VLOOKUP(B1119,baru!$B$2:$I$2271,5,FALSE)</f>
        <v>JAWA TENGAH</v>
      </c>
      <c r="L1119" s="16" t="str">
        <f>VLOOKUP(B1119,baru!$B$2:$I$2271,6,FALSE)</f>
        <v>PEKALONGAN</v>
      </c>
    </row>
    <row r="1120" spans="1:12" hidden="1" x14ac:dyDescent="0.35">
      <c r="A1120" s="6">
        <v>1003513</v>
      </c>
      <c r="B1120" s="7" t="str">
        <f>"3326141212930001"</f>
        <v>3326141212930001</v>
      </c>
      <c r="C1120" s="7" t="s">
        <v>2481</v>
      </c>
      <c r="D1120" s="7" t="s">
        <v>10</v>
      </c>
      <c r="E1120" s="7" t="s">
        <v>11</v>
      </c>
      <c r="F1120" s="7" t="s">
        <v>18</v>
      </c>
      <c r="G1120" s="7" t="s">
        <v>195</v>
      </c>
      <c r="H1120" s="7" t="s">
        <v>470</v>
      </c>
      <c r="I1120" s="8" t="s">
        <v>2482</v>
      </c>
    </row>
    <row r="1121" spans="1:12" hidden="1" x14ac:dyDescent="0.35">
      <c r="A1121" s="6">
        <v>2540799</v>
      </c>
      <c r="B1121" s="7" t="str">
        <f>"3326141212930001"</f>
        <v>3326141212930001</v>
      </c>
      <c r="C1121" s="7" t="s">
        <v>2483</v>
      </c>
      <c r="D1121" s="7" t="s">
        <v>10</v>
      </c>
      <c r="E1121" s="7" t="s">
        <v>57</v>
      </c>
      <c r="F1121" s="7" t="s">
        <v>18</v>
      </c>
      <c r="G1121" s="7" t="s">
        <v>19</v>
      </c>
      <c r="H1121" s="7" t="s">
        <v>1394</v>
      </c>
      <c r="I1121" s="8" t="s">
        <v>1395</v>
      </c>
      <c r="J1121" t="e">
        <f>VLOOKUP(B1121,baru!$B$2:$I$2271,4,FALSE)</f>
        <v>#N/A</v>
      </c>
      <c r="K1121" t="e">
        <f>VLOOKUP(B1121,baru!$B$2:$I$2271,5,FALSE)</f>
        <v>#N/A</v>
      </c>
      <c r="L1121" t="e">
        <f>VLOOKUP(B1121,baru!$B$2:$I$2271,6,FALSE)</f>
        <v>#N/A</v>
      </c>
    </row>
    <row r="1122" spans="1:12" hidden="1" x14ac:dyDescent="0.35">
      <c r="A1122" s="6">
        <v>1040491</v>
      </c>
      <c r="B1122" s="7" t="str">
        <f>"3326141605980002"</f>
        <v>3326141605980002</v>
      </c>
      <c r="C1122" s="7" t="s">
        <v>2484</v>
      </c>
      <c r="D1122" s="7" t="s">
        <v>10</v>
      </c>
      <c r="E1122" s="7" t="s">
        <v>11</v>
      </c>
      <c r="F1122" s="7" t="s">
        <v>18</v>
      </c>
      <c r="G1122" s="7" t="s">
        <v>195</v>
      </c>
      <c r="H1122" s="7" t="s">
        <v>470</v>
      </c>
      <c r="I1122" s="8" t="s">
        <v>2485</v>
      </c>
    </row>
    <row r="1123" spans="1:12" hidden="1" x14ac:dyDescent="0.35">
      <c r="A1123" s="6">
        <v>2540668</v>
      </c>
      <c r="B1123" s="7" t="str">
        <f>"3326141605980002"</f>
        <v>3326141605980002</v>
      </c>
      <c r="C1123" s="7" t="s">
        <v>2486</v>
      </c>
      <c r="D1123" s="7" t="s">
        <v>10</v>
      </c>
      <c r="E1123" s="7" t="s">
        <v>57</v>
      </c>
      <c r="F1123" s="7" t="s">
        <v>18</v>
      </c>
      <c r="G1123" s="7" t="s">
        <v>19</v>
      </c>
      <c r="H1123" s="7" t="s">
        <v>1394</v>
      </c>
      <c r="I1123" s="8" t="s">
        <v>1395</v>
      </c>
      <c r="J1123" t="e">
        <f>VLOOKUP(B1123,baru!$B$2:$I$2271,4,FALSE)</f>
        <v>#N/A</v>
      </c>
      <c r="K1123" t="e">
        <f>VLOOKUP(B1123,baru!$B$2:$I$2271,5,FALSE)</f>
        <v>#N/A</v>
      </c>
      <c r="L1123" t="e">
        <f>VLOOKUP(B1123,baru!$B$2:$I$2271,6,FALSE)</f>
        <v>#N/A</v>
      </c>
    </row>
    <row r="1124" spans="1:12" hidden="1" x14ac:dyDescent="0.35">
      <c r="A1124" s="6">
        <v>1001814</v>
      </c>
      <c r="B1124" s="7" t="str">
        <f>"3326142111820001"</f>
        <v>3326142111820001</v>
      </c>
      <c r="C1124" s="7" t="s">
        <v>2487</v>
      </c>
      <c r="D1124" s="7" t="s">
        <v>10</v>
      </c>
      <c r="E1124" s="7" t="s">
        <v>11</v>
      </c>
      <c r="F1124" s="7" t="s">
        <v>18</v>
      </c>
      <c r="G1124" s="7" t="s">
        <v>195</v>
      </c>
      <c r="H1124" s="7" t="s">
        <v>470</v>
      </c>
      <c r="I1124" s="8" t="s">
        <v>2482</v>
      </c>
    </row>
    <row r="1125" spans="1:12" hidden="1" x14ac:dyDescent="0.35">
      <c r="A1125" s="6">
        <v>2540657</v>
      </c>
      <c r="B1125" s="7" t="str">
        <f>"3326142111820001"</f>
        <v>3326142111820001</v>
      </c>
      <c r="C1125" s="7" t="s">
        <v>2488</v>
      </c>
      <c r="D1125" s="7" t="s">
        <v>10</v>
      </c>
      <c r="E1125" s="7" t="s">
        <v>57</v>
      </c>
      <c r="F1125" s="7" t="s">
        <v>18</v>
      </c>
      <c r="G1125" s="7" t="s">
        <v>19</v>
      </c>
      <c r="H1125" s="7" t="s">
        <v>1394</v>
      </c>
      <c r="I1125" s="8" t="s">
        <v>1395</v>
      </c>
      <c r="J1125" t="e">
        <f>VLOOKUP(B1125,baru!$B$2:$I$2271,4,FALSE)</f>
        <v>#N/A</v>
      </c>
      <c r="K1125" t="e">
        <f>VLOOKUP(B1125,baru!$B$2:$I$2271,5,FALSE)</f>
        <v>#N/A</v>
      </c>
      <c r="L1125" t="e">
        <f>VLOOKUP(B1125,baru!$B$2:$I$2271,6,FALSE)</f>
        <v>#N/A</v>
      </c>
    </row>
    <row r="1126" spans="1:12" hidden="1" x14ac:dyDescent="0.35">
      <c r="A1126" s="6">
        <v>1028807</v>
      </c>
      <c r="B1126" s="7" t="str">
        <f>"3326160810970021"</f>
        <v>3326160810970021</v>
      </c>
      <c r="C1126" s="7" t="s">
        <v>2489</v>
      </c>
      <c r="D1126" s="7" t="s">
        <v>10</v>
      </c>
      <c r="E1126" s="7" t="s">
        <v>11</v>
      </c>
      <c r="F1126" s="7" t="s">
        <v>18</v>
      </c>
      <c r="G1126" s="7" t="s">
        <v>962</v>
      </c>
      <c r="H1126" s="7" t="s">
        <v>2490</v>
      </c>
      <c r="I1126" s="8" t="s">
        <v>2491</v>
      </c>
    </row>
    <row r="1127" spans="1:12" hidden="1" x14ac:dyDescent="0.35">
      <c r="A1127" s="6">
        <v>2540731</v>
      </c>
      <c r="B1127" s="7" t="str">
        <f>"3326160810970021"</f>
        <v>3326160810970021</v>
      </c>
      <c r="C1127" s="7" t="s">
        <v>2492</v>
      </c>
      <c r="D1127" s="7" t="s">
        <v>10</v>
      </c>
      <c r="E1127" s="7" t="s">
        <v>57</v>
      </c>
      <c r="F1127" s="7" t="s">
        <v>18</v>
      </c>
      <c r="G1127" s="7" t="s">
        <v>19</v>
      </c>
      <c r="H1127" s="7" t="s">
        <v>1394</v>
      </c>
      <c r="I1127" s="8" t="s">
        <v>1395</v>
      </c>
      <c r="J1127" t="e">
        <f>VLOOKUP(B1127,baru!$B$2:$I$2271,4,FALSE)</f>
        <v>#N/A</v>
      </c>
      <c r="K1127" t="e">
        <f>VLOOKUP(B1127,baru!$B$2:$I$2271,5,FALSE)</f>
        <v>#N/A</v>
      </c>
      <c r="L1127" t="e">
        <f>VLOOKUP(B1127,baru!$B$2:$I$2271,6,FALSE)</f>
        <v>#N/A</v>
      </c>
    </row>
    <row r="1128" spans="1:12" hidden="1" x14ac:dyDescent="0.35">
      <c r="A1128" s="6">
        <v>1370218</v>
      </c>
      <c r="B1128" s="7" t="str">
        <f>"3326170202020001"</f>
        <v>3326170202020001</v>
      </c>
      <c r="C1128" s="7" t="s">
        <v>2493</v>
      </c>
      <c r="D1128" s="7" t="s">
        <v>10</v>
      </c>
      <c r="E1128" s="7" t="s">
        <v>11</v>
      </c>
      <c r="F1128" s="7" t="s">
        <v>18</v>
      </c>
      <c r="G1128" s="7" t="s">
        <v>195</v>
      </c>
      <c r="H1128" s="7" t="s">
        <v>2494</v>
      </c>
      <c r="I1128" s="8" t="s">
        <v>2495</v>
      </c>
    </row>
    <row r="1129" spans="1:12" hidden="1" x14ac:dyDescent="0.35">
      <c r="A1129" s="6">
        <v>2540806</v>
      </c>
      <c r="B1129" s="7" t="str">
        <f>"3326170202020001"</f>
        <v>3326170202020001</v>
      </c>
      <c r="C1129" s="7" t="s">
        <v>2496</v>
      </c>
      <c r="D1129" s="7" t="s">
        <v>10</v>
      </c>
      <c r="E1129" s="7" t="s">
        <v>57</v>
      </c>
      <c r="F1129" s="7" t="s">
        <v>18</v>
      </c>
      <c r="G1129" s="7" t="s">
        <v>19</v>
      </c>
      <c r="H1129" s="7" t="s">
        <v>1394</v>
      </c>
      <c r="I1129" s="8" t="s">
        <v>1395</v>
      </c>
      <c r="J1129" t="e">
        <f>VLOOKUP(B1129,baru!$B$2:$I$2271,4,FALSE)</f>
        <v>#N/A</v>
      </c>
      <c r="K1129" t="e">
        <f>VLOOKUP(B1129,baru!$B$2:$I$2271,5,FALSE)</f>
        <v>#N/A</v>
      </c>
      <c r="L1129" t="e">
        <f>VLOOKUP(B1129,baru!$B$2:$I$2271,6,FALSE)</f>
        <v>#N/A</v>
      </c>
    </row>
    <row r="1130" spans="1:12" hidden="1" x14ac:dyDescent="0.35">
      <c r="A1130" s="6">
        <v>1808502</v>
      </c>
      <c r="B1130" s="7" t="str">
        <f>"3327034107470130"</f>
        <v>3327034107470130</v>
      </c>
      <c r="C1130" s="7" t="s">
        <v>2497</v>
      </c>
      <c r="D1130" s="7" t="s">
        <v>10</v>
      </c>
      <c r="E1130" s="7" t="s">
        <v>11</v>
      </c>
      <c r="F1130" s="7" t="s">
        <v>18</v>
      </c>
      <c r="G1130" s="7" t="s">
        <v>199</v>
      </c>
      <c r="H1130" s="7" t="s">
        <v>599</v>
      </c>
      <c r="I1130" s="8" t="s">
        <v>599</v>
      </c>
    </row>
    <row r="1131" spans="1:12" hidden="1" x14ac:dyDescent="0.35">
      <c r="A1131" s="6">
        <v>1496614</v>
      </c>
      <c r="B1131" s="7" t="str">
        <f>"3327060106680003"</f>
        <v>3327060106680003</v>
      </c>
      <c r="C1131" s="7" t="s">
        <v>2499</v>
      </c>
      <c r="D1131" s="7" t="s">
        <v>10</v>
      </c>
      <c r="E1131" s="7" t="s">
        <v>11</v>
      </c>
      <c r="F1131" s="7" t="s">
        <v>18</v>
      </c>
      <c r="G1131" s="7" t="s">
        <v>199</v>
      </c>
      <c r="H1131" s="7" t="s">
        <v>974</v>
      </c>
      <c r="I1131" s="8" t="s">
        <v>2500</v>
      </c>
    </row>
    <row r="1132" spans="1:12" hidden="1" x14ac:dyDescent="0.35">
      <c r="A1132" s="6">
        <v>2540871</v>
      </c>
      <c r="B1132" s="7" t="str">
        <f>"3327060106680003"</f>
        <v>3327060106680003</v>
      </c>
      <c r="C1132" s="7" t="s">
        <v>2501</v>
      </c>
      <c r="D1132" s="7" t="s">
        <v>10</v>
      </c>
      <c r="E1132" s="7" t="s">
        <v>57</v>
      </c>
      <c r="F1132" s="7" t="s">
        <v>18</v>
      </c>
      <c r="G1132" s="7" t="s">
        <v>19</v>
      </c>
      <c r="H1132" s="7" t="s">
        <v>1394</v>
      </c>
      <c r="I1132" s="8" t="s">
        <v>1395</v>
      </c>
      <c r="J1132" t="e">
        <f>VLOOKUP(B1132,baru!$B$2:$I$2271,4,FALSE)</f>
        <v>#N/A</v>
      </c>
      <c r="K1132" t="e">
        <f>VLOOKUP(B1132,baru!$B$2:$I$2271,5,FALSE)</f>
        <v>#N/A</v>
      </c>
      <c r="L1132" t="e">
        <f>VLOOKUP(B1132,baru!$B$2:$I$2271,6,FALSE)</f>
        <v>#N/A</v>
      </c>
    </row>
    <row r="1133" spans="1:12" hidden="1" x14ac:dyDescent="0.35">
      <c r="A1133" s="6">
        <v>1262524</v>
      </c>
      <c r="B1133" s="7" t="str">
        <f>"3327125207950002"</f>
        <v>3327125207950002</v>
      </c>
      <c r="C1133" s="7" t="s">
        <v>2502</v>
      </c>
      <c r="D1133" s="7" t="s">
        <v>10</v>
      </c>
      <c r="E1133" s="7" t="s">
        <v>11</v>
      </c>
      <c r="F1133" s="7" t="s">
        <v>50</v>
      </c>
      <c r="G1133" s="7" t="s">
        <v>86</v>
      </c>
      <c r="H1133" s="7" t="s">
        <v>1268</v>
      </c>
      <c r="I1133" s="8" t="s">
        <v>2503</v>
      </c>
    </row>
    <row r="1134" spans="1:12" hidden="1" x14ac:dyDescent="0.35">
      <c r="A1134" s="6">
        <v>1278645</v>
      </c>
      <c r="B1134" s="7" t="str">
        <f>"3328011802950008"</f>
        <v>3328011802950008</v>
      </c>
      <c r="C1134" s="7" t="s">
        <v>2504</v>
      </c>
      <c r="D1134" s="7" t="s">
        <v>10</v>
      </c>
      <c r="E1134" s="7" t="s">
        <v>11</v>
      </c>
      <c r="F1134" s="7" t="s">
        <v>50</v>
      </c>
      <c r="G1134" s="7" t="s">
        <v>86</v>
      </c>
      <c r="H1134" s="7" t="s">
        <v>1268</v>
      </c>
      <c r="I1134" s="8" t="s">
        <v>2503</v>
      </c>
    </row>
    <row r="1135" spans="1:12" hidden="1" x14ac:dyDescent="0.35">
      <c r="A1135" s="6">
        <v>2540868</v>
      </c>
      <c r="B1135" s="7" t="str">
        <f>"3328011802950008"</f>
        <v>3328011802950008</v>
      </c>
      <c r="C1135" s="7" t="s">
        <v>2505</v>
      </c>
      <c r="D1135" s="7" t="s">
        <v>10</v>
      </c>
      <c r="E1135" s="7" t="s">
        <v>57</v>
      </c>
      <c r="F1135" s="7" t="s">
        <v>18</v>
      </c>
      <c r="G1135" s="7" t="s">
        <v>19</v>
      </c>
      <c r="H1135" s="7" t="s">
        <v>1394</v>
      </c>
      <c r="I1135" s="8" t="s">
        <v>1395</v>
      </c>
      <c r="J1135" t="e">
        <f>VLOOKUP(B1135,baru!$B$2:$I$2271,4,FALSE)</f>
        <v>#N/A</v>
      </c>
      <c r="K1135" t="e">
        <f>VLOOKUP(B1135,baru!$B$2:$I$2271,5,FALSE)</f>
        <v>#N/A</v>
      </c>
      <c r="L1135" t="e">
        <f>VLOOKUP(B1135,baru!$B$2:$I$2271,6,FALSE)</f>
        <v>#N/A</v>
      </c>
    </row>
    <row r="1136" spans="1:12" hidden="1" x14ac:dyDescent="0.35">
      <c r="A1136" s="6">
        <v>572268</v>
      </c>
      <c r="B1136" s="7" t="str">
        <f>"3328042901990003"</f>
        <v>3328042901990003</v>
      </c>
      <c r="C1136" s="7" t="s">
        <v>2506</v>
      </c>
      <c r="D1136" s="7" t="s">
        <v>10</v>
      </c>
      <c r="E1136" s="7" t="s">
        <v>11</v>
      </c>
      <c r="F1136" s="7" t="s">
        <v>50</v>
      </c>
      <c r="G1136" s="7" t="s">
        <v>280</v>
      </c>
      <c r="H1136" s="7" t="s">
        <v>2507</v>
      </c>
      <c r="I1136" s="8" t="s">
        <v>2507</v>
      </c>
    </row>
    <row r="1137" spans="1:12" hidden="1" x14ac:dyDescent="0.35">
      <c r="A1137" s="6">
        <v>2540804</v>
      </c>
      <c r="B1137" s="7" t="str">
        <f>"3328042901990003"</f>
        <v>3328042901990003</v>
      </c>
      <c r="C1137" s="7" t="s">
        <v>2508</v>
      </c>
      <c r="D1137" s="7" t="s">
        <v>10</v>
      </c>
      <c r="E1137" s="7" t="s">
        <v>57</v>
      </c>
      <c r="F1137" s="7" t="s">
        <v>18</v>
      </c>
      <c r="G1137" s="7" t="s">
        <v>19</v>
      </c>
      <c r="H1137" s="7" t="s">
        <v>1394</v>
      </c>
      <c r="I1137" s="8" t="s">
        <v>1395</v>
      </c>
      <c r="J1137" t="e">
        <f>VLOOKUP(B1137,baru!$B$2:$I$2271,4,FALSE)</f>
        <v>#N/A</v>
      </c>
      <c r="K1137" t="e">
        <f>VLOOKUP(B1137,baru!$B$2:$I$2271,5,FALSE)</f>
        <v>#N/A</v>
      </c>
      <c r="L1137" t="e">
        <f>VLOOKUP(B1137,baru!$B$2:$I$2271,6,FALSE)</f>
        <v>#N/A</v>
      </c>
    </row>
    <row r="1138" spans="1:12" hidden="1" x14ac:dyDescent="0.35">
      <c r="A1138" s="6">
        <v>2036606</v>
      </c>
      <c r="B1138" s="7" t="str">
        <f>"3328055311890002"</f>
        <v>3328055311890002</v>
      </c>
      <c r="C1138" s="7" t="s">
        <v>2509</v>
      </c>
      <c r="D1138" s="7" t="s">
        <v>10</v>
      </c>
      <c r="E1138" s="7" t="s">
        <v>11</v>
      </c>
      <c r="F1138" s="7" t="s">
        <v>50</v>
      </c>
      <c r="G1138" s="7" t="s">
        <v>58</v>
      </c>
      <c r="H1138" s="7" t="s">
        <v>260</v>
      </c>
      <c r="I1138" s="8" t="s">
        <v>2510</v>
      </c>
    </row>
    <row r="1139" spans="1:12" hidden="1" x14ac:dyDescent="0.35">
      <c r="A1139" s="6">
        <v>247749</v>
      </c>
      <c r="B1139" s="7" t="str">
        <f>"3328060206870004"</f>
        <v>3328060206870004</v>
      </c>
      <c r="C1139" s="7" t="s">
        <v>2511</v>
      </c>
      <c r="D1139" s="7" t="s">
        <v>10</v>
      </c>
      <c r="E1139" s="7" t="s">
        <v>11</v>
      </c>
      <c r="F1139" s="7" t="s">
        <v>18</v>
      </c>
      <c r="G1139" s="7" t="s">
        <v>264</v>
      </c>
      <c r="H1139" s="7" t="s">
        <v>468</v>
      </c>
      <c r="I1139" s="8" t="s">
        <v>861</v>
      </c>
    </row>
    <row r="1140" spans="1:12" hidden="1" x14ac:dyDescent="0.35">
      <c r="A1140" s="6">
        <v>769720</v>
      </c>
      <c r="B1140" s="7" t="str">
        <f>"3328060301910001"</f>
        <v>3328060301910001</v>
      </c>
      <c r="C1140" s="7" t="s">
        <v>2512</v>
      </c>
      <c r="D1140" s="7" t="s">
        <v>10</v>
      </c>
      <c r="E1140" s="7" t="s">
        <v>11</v>
      </c>
      <c r="F1140" s="7" t="s">
        <v>18</v>
      </c>
      <c r="G1140" s="7" t="s">
        <v>264</v>
      </c>
      <c r="H1140" s="7" t="s">
        <v>248</v>
      </c>
      <c r="I1140" s="8" t="s">
        <v>2513</v>
      </c>
    </row>
    <row r="1141" spans="1:12" hidden="1" x14ac:dyDescent="0.35">
      <c r="A1141" s="13">
        <v>1856246</v>
      </c>
      <c r="B1141" s="14" t="str">
        <f>"3328060303950012"</f>
        <v>3328060303950012</v>
      </c>
      <c r="C1141" s="14" t="s">
        <v>2514</v>
      </c>
      <c r="D1141" s="14" t="s">
        <v>10</v>
      </c>
      <c r="E1141" s="14" t="s">
        <v>11</v>
      </c>
      <c r="F1141" s="14" t="s">
        <v>18</v>
      </c>
      <c r="G1141" s="14" t="s">
        <v>19</v>
      </c>
      <c r="H1141" s="14" t="s">
        <v>1394</v>
      </c>
      <c r="I1141" s="15" t="s">
        <v>2194</v>
      </c>
      <c r="J1141" s="16" t="str">
        <f>VLOOKUP(B1141,baru!$B$2:$I$2271,4,FALSE)</f>
        <v>Reguler</v>
      </c>
      <c r="K1141" s="16" t="str">
        <f>VLOOKUP(B1141,baru!$B$2:$I$2271,5,FALSE)</f>
        <v>DKI JAKARTA</v>
      </c>
      <c r="L1141" s="16" t="str">
        <f>VLOOKUP(B1141,baru!$B$2:$I$2271,6,FALSE)</f>
        <v>KOTA JAKARTA BARAT</v>
      </c>
    </row>
    <row r="1142" spans="1:12" x14ac:dyDescent="0.35">
      <c r="A1142" s="13">
        <v>1773080</v>
      </c>
      <c r="B1142" s="14" t="str">
        <f>"3328060303970007"</f>
        <v>3328060303970007</v>
      </c>
      <c r="C1142" s="14" t="s">
        <v>2517</v>
      </c>
      <c r="D1142" s="14" t="s">
        <v>189</v>
      </c>
      <c r="E1142" s="14" t="s">
        <v>11</v>
      </c>
      <c r="F1142" s="14" t="s">
        <v>18</v>
      </c>
      <c r="G1142" s="14" t="s">
        <v>19</v>
      </c>
      <c r="H1142" s="14" t="s">
        <v>1394</v>
      </c>
      <c r="I1142" s="15" t="s">
        <v>2520</v>
      </c>
      <c r="J1142" s="16" t="str">
        <f>VLOOKUP(B1142,baru!$B$2:$I$2271,4,FALSE)</f>
        <v>Reguler</v>
      </c>
      <c r="K1142" s="16" t="str">
        <f>VLOOKUP(B1142,baru!$B$2:$I$2271,5,FALSE)</f>
        <v>BANTEN</v>
      </c>
      <c r="L1142" s="16" t="str">
        <f>VLOOKUP(B1142,baru!$B$2:$I$2271,6,FALSE)</f>
        <v>SERANG</v>
      </c>
    </row>
    <row r="1143" spans="1:12" hidden="1" x14ac:dyDescent="0.35">
      <c r="A1143" s="13">
        <v>1779394</v>
      </c>
      <c r="B1143" s="14" t="str">
        <f>"3328060603860001"</f>
        <v>3328060603860001</v>
      </c>
      <c r="C1143" s="14" t="s">
        <v>2521</v>
      </c>
      <c r="D1143" s="14" t="s">
        <v>10</v>
      </c>
      <c r="E1143" s="14" t="s">
        <v>11</v>
      </c>
      <c r="F1143" s="14" t="s">
        <v>18</v>
      </c>
      <c r="G1143" s="14" t="s">
        <v>19</v>
      </c>
      <c r="H1143" s="14" t="s">
        <v>1394</v>
      </c>
      <c r="I1143" s="15" t="s">
        <v>2238</v>
      </c>
      <c r="J1143" s="16" t="str">
        <f>VLOOKUP(B1143,baru!$B$2:$I$2271,4,FALSE)</f>
        <v>Reguler</v>
      </c>
      <c r="K1143" s="16" t="str">
        <f>VLOOKUP(B1143,baru!$B$2:$I$2271,5,FALSE)</f>
        <v>JAWA BARAT</v>
      </c>
      <c r="L1143" s="16" t="str">
        <f>VLOOKUP(B1143,baru!$B$2:$I$2271,6,FALSE)</f>
        <v>KARAWANG</v>
      </c>
    </row>
    <row r="1144" spans="1:12" hidden="1" x14ac:dyDescent="0.35">
      <c r="A1144" s="6">
        <v>315339</v>
      </c>
      <c r="B1144" s="7" t="str">
        <f>"3328060706760005"</f>
        <v>3328060706760005</v>
      </c>
      <c r="C1144" s="7" t="s">
        <v>2526</v>
      </c>
      <c r="D1144" s="7" t="s">
        <v>10</v>
      </c>
      <c r="E1144" s="7" t="s">
        <v>11</v>
      </c>
      <c r="F1144" s="7" t="s">
        <v>50</v>
      </c>
      <c r="G1144" s="7" t="s">
        <v>58</v>
      </c>
      <c r="H1144" s="7" t="s">
        <v>2527</v>
      </c>
      <c r="I1144" s="8" t="s">
        <v>2528</v>
      </c>
    </row>
    <row r="1145" spans="1:12" hidden="1" x14ac:dyDescent="0.35">
      <c r="A1145" s="6">
        <v>1490633</v>
      </c>
      <c r="B1145" s="7" t="str">
        <f>"3328060912710005"</f>
        <v>3328060912710005</v>
      </c>
      <c r="C1145" s="7" t="s">
        <v>2529</v>
      </c>
      <c r="D1145" s="7" t="s">
        <v>10</v>
      </c>
      <c r="E1145" s="7" t="s">
        <v>11</v>
      </c>
      <c r="F1145" s="7" t="s">
        <v>91</v>
      </c>
      <c r="G1145" s="7" t="s">
        <v>92</v>
      </c>
      <c r="H1145" s="7" t="s">
        <v>571</v>
      </c>
      <c r="I1145" s="8" t="s">
        <v>572</v>
      </c>
    </row>
    <row r="1146" spans="1:12" x14ac:dyDescent="0.35">
      <c r="A1146" s="13">
        <v>1827895</v>
      </c>
      <c r="B1146" s="14" t="str">
        <f>"3328061002880005"</f>
        <v>3328061002880005</v>
      </c>
      <c r="C1146" s="14" t="s">
        <v>2530</v>
      </c>
      <c r="D1146" s="14" t="s">
        <v>189</v>
      </c>
      <c r="E1146" s="14" t="s">
        <v>11</v>
      </c>
      <c r="F1146" s="14" t="s">
        <v>18</v>
      </c>
      <c r="G1146" s="14" t="s">
        <v>19</v>
      </c>
      <c r="H1146" s="14" t="s">
        <v>1394</v>
      </c>
      <c r="I1146" s="15" t="s">
        <v>2187</v>
      </c>
      <c r="J1146" s="16" t="str">
        <f>VLOOKUP(B1146,baru!$B$2:$I$2271,4,FALSE)</f>
        <v>Reguler</v>
      </c>
      <c r="K1146" s="16" t="str">
        <f>VLOOKUP(B1146,baru!$B$2:$I$2271,5,FALSE)</f>
        <v>JAWA TENGAH</v>
      </c>
      <c r="L1146" s="16" t="str">
        <f>VLOOKUP(B1146,baru!$B$2:$I$2271,6,FALSE)</f>
        <v>SEMARANG</v>
      </c>
    </row>
    <row r="1147" spans="1:12" x14ac:dyDescent="0.35">
      <c r="A1147" s="13">
        <v>1826887</v>
      </c>
      <c r="B1147" s="14" t="str">
        <f>"3328061008930008"</f>
        <v>3328061008930008</v>
      </c>
      <c r="C1147" s="14" t="s">
        <v>2533</v>
      </c>
      <c r="D1147" s="14" t="s">
        <v>189</v>
      </c>
      <c r="E1147" s="14" t="s">
        <v>11</v>
      </c>
      <c r="F1147" s="14" t="s">
        <v>18</v>
      </c>
      <c r="G1147" s="14" t="s">
        <v>19</v>
      </c>
      <c r="H1147" s="14" t="s">
        <v>1394</v>
      </c>
      <c r="I1147" s="15" t="s">
        <v>2187</v>
      </c>
      <c r="J1147" s="16" t="str">
        <f>VLOOKUP(B1147,baru!$B$2:$I$2271,4,FALSE)</f>
        <v>Reguler</v>
      </c>
      <c r="K1147" s="16" t="str">
        <f>VLOOKUP(B1147,baru!$B$2:$I$2271,5,FALSE)</f>
        <v>DAERAH ISTIMEWA YOGYAKARTA</v>
      </c>
      <c r="L1147" s="16" t="str">
        <f>VLOOKUP(B1147,baru!$B$2:$I$2271,6,FALSE)</f>
        <v>SLEMAN</v>
      </c>
    </row>
    <row r="1148" spans="1:12" hidden="1" x14ac:dyDescent="0.35">
      <c r="A1148" s="6">
        <v>1634753</v>
      </c>
      <c r="B1148" s="7" t="str">
        <f>"3328061112020001"</f>
        <v>3328061112020001</v>
      </c>
      <c r="C1148" s="7" t="s">
        <v>2535</v>
      </c>
      <c r="D1148" s="7" t="s">
        <v>10</v>
      </c>
      <c r="E1148" s="7" t="s">
        <v>11</v>
      </c>
      <c r="F1148" s="7" t="s">
        <v>91</v>
      </c>
      <c r="G1148" s="7" t="s">
        <v>101</v>
      </c>
      <c r="H1148" s="7" t="s">
        <v>1106</v>
      </c>
      <c r="I1148" s="8" t="s">
        <v>1106</v>
      </c>
    </row>
    <row r="1149" spans="1:12" hidden="1" x14ac:dyDescent="0.35">
      <c r="A1149" s="6">
        <v>1418973</v>
      </c>
      <c r="B1149" s="7" t="str">
        <f>"3328061202830010"</f>
        <v>3328061202830010</v>
      </c>
      <c r="C1149" s="7" t="s">
        <v>2536</v>
      </c>
      <c r="D1149" s="7" t="s">
        <v>10</v>
      </c>
      <c r="E1149" s="7" t="s">
        <v>11</v>
      </c>
      <c r="F1149" s="7" t="s">
        <v>91</v>
      </c>
      <c r="G1149" s="7" t="s">
        <v>320</v>
      </c>
      <c r="H1149" s="7" t="s">
        <v>1289</v>
      </c>
      <c r="I1149" s="8" t="s">
        <v>1766</v>
      </c>
    </row>
    <row r="1150" spans="1:12" hidden="1" x14ac:dyDescent="0.35">
      <c r="A1150" s="6">
        <v>880612</v>
      </c>
      <c r="B1150" s="7" t="str">
        <f>"3328061205750007"</f>
        <v>3328061205750007</v>
      </c>
      <c r="C1150" s="7" t="s">
        <v>2537</v>
      </c>
      <c r="D1150" s="7" t="s">
        <v>10</v>
      </c>
      <c r="E1150" s="7" t="s">
        <v>11</v>
      </c>
      <c r="F1150" s="7" t="s">
        <v>18</v>
      </c>
      <c r="G1150" s="7" t="s">
        <v>385</v>
      </c>
      <c r="H1150" s="7" t="s">
        <v>2538</v>
      </c>
      <c r="I1150" s="8" t="s">
        <v>2539</v>
      </c>
    </row>
    <row r="1151" spans="1:12" hidden="1" x14ac:dyDescent="0.35">
      <c r="A1151" s="6">
        <v>258564</v>
      </c>
      <c r="B1151" s="7" t="str">
        <f>"3328061303910001"</f>
        <v>3328061303910001</v>
      </c>
      <c r="C1151" s="7" t="s">
        <v>2540</v>
      </c>
      <c r="D1151" s="7" t="s">
        <v>10</v>
      </c>
      <c r="E1151" s="7" t="s">
        <v>11</v>
      </c>
      <c r="F1151" s="7" t="s">
        <v>50</v>
      </c>
      <c r="G1151" s="7" t="s">
        <v>280</v>
      </c>
      <c r="H1151" s="7" t="s">
        <v>2179</v>
      </c>
      <c r="I1151" s="8" t="s">
        <v>2541</v>
      </c>
    </row>
    <row r="1152" spans="1:12" hidden="1" x14ac:dyDescent="0.35">
      <c r="A1152" s="6">
        <v>2373237</v>
      </c>
      <c r="B1152" s="7" t="str">
        <f>"3328061412800003"</f>
        <v>3328061412800003</v>
      </c>
      <c r="C1152" s="7" t="s">
        <v>1892</v>
      </c>
      <c r="D1152" s="7" t="s">
        <v>10</v>
      </c>
      <c r="E1152" s="7" t="s">
        <v>11</v>
      </c>
      <c r="F1152" s="7" t="s">
        <v>91</v>
      </c>
      <c r="G1152" s="7" t="s">
        <v>555</v>
      </c>
      <c r="H1152" s="7" t="s">
        <v>1927</v>
      </c>
      <c r="I1152" s="8" t="s">
        <v>2542</v>
      </c>
    </row>
    <row r="1153" spans="1:12" hidden="1" x14ac:dyDescent="0.35">
      <c r="A1153" s="6">
        <v>28511</v>
      </c>
      <c r="B1153" s="7" t="str">
        <f>"3328061505650012"</f>
        <v>3328061505650012</v>
      </c>
      <c r="C1153" s="7" t="s">
        <v>2544</v>
      </c>
      <c r="D1153" s="7" t="s">
        <v>10</v>
      </c>
      <c r="E1153" s="7" t="s">
        <v>11</v>
      </c>
      <c r="F1153" s="7" t="s">
        <v>2545</v>
      </c>
      <c r="G1153" s="7" t="s">
        <v>2546</v>
      </c>
      <c r="H1153" s="7" t="s">
        <v>2547</v>
      </c>
      <c r="I1153" s="8" t="s">
        <v>2548</v>
      </c>
    </row>
    <row r="1154" spans="1:12" hidden="1" x14ac:dyDescent="0.35">
      <c r="A1154" s="6">
        <v>1262522</v>
      </c>
      <c r="B1154" s="7" t="str">
        <f>"3328061506940009"</f>
        <v>3328061506940009</v>
      </c>
      <c r="C1154" s="7" t="s">
        <v>2549</v>
      </c>
      <c r="D1154" s="7" t="s">
        <v>10</v>
      </c>
      <c r="E1154" s="7" t="s">
        <v>11</v>
      </c>
      <c r="F1154" s="7" t="s">
        <v>50</v>
      </c>
      <c r="G1154" s="7" t="s">
        <v>86</v>
      </c>
      <c r="H1154" s="7" t="s">
        <v>1268</v>
      </c>
      <c r="I1154" s="8" t="s">
        <v>2503</v>
      </c>
    </row>
    <row r="1155" spans="1:12" hidden="1" x14ac:dyDescent="0.35">
      <c r="A1155" s="6">
        <v>118608</v>
      </c>
      <c r="B1155" s="7" t="str">
        <f>"3328061606860008"</f>
        <v>3328061606860008</v>
      </c>
      <c r="C1155" s="7" t="s">
        <v>2550</v>
      </c>
      <c r="D1155" s="7" t="s">
        <v>10</v>
      </c>
      <c r="E1155" s="7" t="s">
        <v>11</v>
      </c>
      <c r="F1155" s="7" t="s">
        <v>1374</v>
      </c>
      <c r="G1155" s="7" t="s">
        <v>2551</v>
      </c>
      <c r="H1155" s="7" t="s">
        <v>2552</v>
      </c>
      <c r="I1155" s="8" t="s">
        <v>2553</v>
      </c>
    </row>
    <row r="1156" spans="1:12" hidden="1" x14ac:dyDescent="0.35">
      <c r="A1156" s="17">
        <v>1824417</v>
      </c>
      <c r="B1156" s="18" t="str">
        <f>"3328061708760011"</f>
        <v>3328061708760011</v>
      </c>
      <c r="C1156" s="18" t="s">
        <v>2554</v>
      </c>
      <c r="D1156" s="18" t="s">
        <v>10</v>
      </c>
      <c r="E1156" s="18" t="s">
        <v>11</v>
      </c>
      <c r="F1156" s="18" t="s">
        <v>18</v>
      </c>
      <c r="G1156" s="18" t="s">
        <v>19</v>
      </c>
      <c r="H1156" s="18" t="s">
        <v>1394</v>
      </c>
      <c r="I1156" s="19" t="s">
        <v>2172</v>
      </c>
      <c r="J1156" s="20" t="str">
        <f>VLOOKUP(B1156,baru!$B$2:$I$2271,4,FALSE)</f>
        <v>Khusus</v>
      </c>
      <c r="K1156" s="20" t="str">
        <f>VLOOKUP(B1156,baru!$B$2:$I$2271,5,FALSE)</f>
        <v>PAPUA BARAT DAYA</v>
      </c>
      <c r="L1156" s="20" t="str">
        <f>VLOOKUP(B1156,baru!$B$2:$I$2271,6,FALSE)</f>
        <v>SORONG SELATAN</v>
      </c>
    </row>
    <row r="1157" spans="1:12" hidden="1" x14ac:dyDescent="0.35">
      <c r="A1157" s="6">
        <v>455369</v>
      </c>
      <c r="B1157" s="7" t="str">
        <f>"3328061711960005"</f>
        <v>3328061711960005</v>
      </c>
      <c r="C1157" s="7" t="s">
        <v>2562</v>
      </c>
      <c r="D1157" s="7" t="s">
        <v>10</v>
      </c>
      <c r="E1157" s="7" t="s">
        <v>11</v>
      </c>
      <c r="F1157" s="7" t="s">
        <v>783</v>
      </c>
      <c r="G1157" s="7" t="s">
        <v>1112</v>
      </c>
      <c r="H1157" s="7" t="s">
        <v>2563</v>
      </c>
      <c r="I1157" s="8" t="s">
        <v>2564</v>
      </c>
    </row>
    <row r="1158" spans="1:12" hidden="1" x14ac:dyDescent="0.35">
      <c r="A1158" s="6">
        <v>1350389</v>
      </c>
      <c r="B1158" s="7" t="str">
        <f>"3328061806050001"</f>
        <v>3328061806050001</v>
      </c>
      <c r="C1158" s="7" t="s">
        <v>2565</v>
      </c>
      <c r="D1158" s="7" t="s">
        <v>10</v>
      </c>
      <c r="E1158" s="7" t="s">
        <v>57</v>
      </c>
      <c r="F1158" s="7" t="s">
        <v>303</v>
      </c>
      <c r="G1158" s="7" t="s">
        <v>608</v>
      </c>
      <c r="H1158" s="7" t="s">
        <v>609</v>
      </c>
      <c r="I1158" s="8" t="s">
        <v>610</v>
      </c>
    </row>
    <row r="1159" spans="1:12" x14ac:dyDescent="0.35">
      <c r="A1159" s="6">
        <v>228693</v>
      </c>
      <c r="B1159" s="7" t="str">
        <f>"3328061807920005"</f>
        <v>3328061807920005</v>
      </c>
      <c r="C1159" s="7" t="s">
        <v>2566</v>
      </c>
      <c r="D1159" s="7" t="s">
        <v>189</v>
      </c>
      <c r="E1159" s="7" t="s">
        <v>11</v>
      </c>
      <c r="F1159" s="7" t="s">
        <v>18</v>
      </c>
      <c r="G1159" s="7" t="s">
        <v>171</v>
      </c>
      <c r="H1159" s="7" t="s">
        <v>2567</v>
      </c>
      <c r="I1159" s="8" t="s">
        <v>2568</v>
      </c>
    </row>
    <row r="1160" spans="1:12" x14ac:dyDescent="0.35">
      <c r="A1160" s="13">
        <v>1771492</v>
      </c>
      <c r="B1160" s="14" t="str">
        <f>"3328061812960005"</f>
        <v>3328061812960005</v>
      </c>
      <c r="C1160" s="14" t="s">
        <v>2570</v>
      </c>
      <c r="D1160" s="14" t="s">
        <v>189</v>
      </c>
      <c r="E1160" s="14" t="s">
        <v>11</v>
      </c>
      <c r="F1160" s="14" t="s">
        <v>18</v>
      </c>
      <c r="G1160" s="14" t="s">
        <v>19</v>
      </c>
      <c r="H1160" s="14" t="s">
        <v>1394</v>
      </c>
      <c r="I1160" s="15" t="s">
        <v>2520</v>
      </c>
      <c r="J1160" s="16" t="str">
        <f>VLOOKUP(B1160,baru!$B$2:$I$2271,4,FALSE)</f>
        <v>Reguler</v>
      </c>
      <c r="K1160" s="16" t="str">
        <f>VLOOKUP(B1160,baru!$B$2:$I$2271,5,FALSE)</f>
        <v>JAWA TENGAH</v>
      </c>
      <c r="L1160" s="16" t="str">
        <f>VLOOKUP(B1160,baru!$B$2:$I$2271,6,FALSE)</f>
        <v>KOTA TEGAL</v>
      </c>
    </row>
    <row r="1161" spans="1:12" hidden="1" x14ac:dyDescent="0.35">
      <c r="A1161" s="13">
        <v>1861860</v>
      </c>
      <c r="B1161" s="14" t="str">
        <f>"3328061907890002"</f>
        <v>3328061907890002</v>
      </c>
      <c r="C1161" s="14" t="s">
        <v>2100</v>
      </c>
      <c r="D1161" s="14" t="s">
        <v>10</v>
      </c>
      <c r="E1161" s="14" t="s">
        <v>11</v>
      </c>
      <c r="F1161" s="14" t="s">
        <v>18</v>
      </c>
      <c r="G1161" s="14" t="s">
        <v>19</v>
      </c>
      <c r="H1161" s="14" t="s">
        <v>1394</v>
      </c>
      <c r="I1161" s="15" t="s">
        <v>1395</v>
      </c>
      <c r="J1161" s="16" t="str">
        <f>VLOOKUP(B1161,baru!$B$2:$I$2271,4,FALSE)</f>
        <v>Reguler</v>
      </c>
      <c r="K1161" s="16" t="str">
        <f>VLOOKUP(B1161,baru!$B$2:$I$2271,5,FALSE)</f>
        <v>DKI JAKARTA</v>
      </c>
      <c r="L1161" s="16" t="str">
        <f>VLOOKUP(B1161,baru!$B$2:$I$2271,6,FALSE)</f>
        <v>KOTA JAKARTA BARAT</v>
      </c>
    </row>
    <row r="1162" spans="1:12" hidden="1" x14ac:dyDescent="0.35">
      <c r="A1162" s="6">
        <v>238996</v>
      </c>
      <c r="B1162" s="7" t="str">
        <f>"3328062001010007"</f>
        <v>3328062001010007</v>
      </c>
      <c r="C1162" s="7" t="s">
        <v>2572</v>
      </c>
      <c r="D1162" s="7" t="s">
        <v>10</v>
      </c>
      <c r="E1162" s="7" t="s">
        <v>11</v>
      </c>
      <c r="F1162" s="7" t="s">
        <v>18</v>
      </c>
      <c r="G1162" s="7" t="s">
        <v>268</v>
      </c>
      <c r="H1162" s="7" t="s">
        <v>371</v>
      </c>
      <c r="I1162" s="8" t="s">
        <v>372</v>
      </c>
    </row>
    <row r="1163" spans="1:12" x14ac:dyDescent="0.35">
      <c r="A1163" s="6">
        <v>1808142</v>
      </c>
      <c r="B1163" s="7" t="str">
        <f>"3328062001010007"</f>
        <v>3328062001010007</v>
      </c>
      <c r="C1163" s="7" t="s">
        <v>2573</v>
      </c>
      <c r="D1163" s="7" t="s">
        <v>189</v>
      </c>
      <c r="E1163" s="7" t="s">
        <v>11</v>
      </c>
      <c r="F1163" s="7" t="s">
        <v>18</v>
      </c>
      <c r="G1163" s="7" t="s">
        <v>19</v>
      </c>
      <c r="H1163" s="7" t="s">
        <v>1394</v>
      </c>
      <c r="I1163" s="8" t="s">
        <v>2212</v>
      </c>
      <c r="J1163" t="e">
        <f>VLOOKUP(B1163,baru!$B$2:$I$2271,4,FALSE)</f>
        <v>#N/A</v>
      </c>
      <c r="K1163" t="e">
        <f>VLOOKUP(B1163,baru!$B$2:$I$2271,5,FALSE)</f>
        <v>#N/A</v>
      </c>
      <c r="L1163" t="e">
        <f>VLOOKUP(B1163,baru!$B$2:$I$2271,6,FALSE)</f>
        <v>#N/A</v>
      </c>
    </row>
    <row r="1164" spans="1:12" x14ac:dyDescent="0.35">
      <c r="A1164" s="13">
        <v>1830867</v>
      </c>
      <c r="B1164" s="14" t="str">
        <f>"3328062010990007"</f>
        <v>3328062010990007</v>
      </c>
      <c r="C1164" s="14" t="s">
        <v>2574</v>
      </c>
      <c r="D1164" s="14" t="s">
        <v>189</v>
      </c>
      <c r="E1164" s="14" t="s">
        <v>11</v>
      </c>
      <c r="F1164" s="14" t="s">
        <v>18</v>
      </c>
      <c r="G1164" s="14" t="s">
        <v>19</v>
      </c>
      <c r="H1164" s="14" t="s">
        <v>1394</v>
      </c>
      <c r="I1164" s="15" t="s">
        <v>2187</v>
      </c>
      <c r="J1164" s="16" t="str">
        <f>VLOOKUP(B1164,baru!$B$2:$I$2271,4,FALSE)</f>
        <v>Reguler</v>
      </c>
      <c r="K1164" s="16" t="str">
        <f>VLOOKUP(B1164,baru!$B$2:$I$2271,5,FALSE)</f>
        <v>JAWA TENGAH</v>
      </c>
      <c r="L1164" s="16" t="str">
        <f>VLOOKUP(B1164,baru!$B$2:$I$2271,6,FALSE)</f>
        <v>TEGAL</v>
      </c>
    </row>
    <row r="1165" spans="1:12" hidden="1" x14ac:dyDescent="0.35">
      <c r="A1165" s="6">
        <v>1502641</v>
      </c>
      <c r="B1165" s="7" t="str">
        <f>"3328062312700003"</f>
        <v>3328062312700003</v>
      </c>
      <c r="C1165" s="7" t="s">
        <v>2576</v>
      </c>
      <c r="D1165" s="7" t="s">
        <v>10</v>
      </c>
      <c r="E1165" s="7" t="s">
        <v>11</v>
      </c>
      <c r="F1165" s="7" t="s">
        <v>50</v>
      </c>
      <c r="G1165" s="7" t="s">
        <v>58</v>
      </c>
      <c r="H1165" s="7" t="s">
        <v>417</v>
      </c>
      <c r="I1165" s="8" t="s">
        <v>1936</v>
      </c>
    </row>
    <row r="1166" spans="1:12" hidden="1" x14ac:dyDescent="0.35">
      <c r="A1166" s="6">
        <v>1350391</v>
      </c>
      <c r="B1166" s="7" t="str">
        <f>"3328062401040004"</f>
        <v>3328062401040004</v>
      </c>
      <c r="C1166" s="7" t="s">
        <v>2578</v>
      </c>
      <c r="D1166" s="7" t="s">
        <v>10</v>
      </c>
      <c r="E1166" s="7" t="s">
        <v>57</v>
      </c>
      <c r="F1166" s="7" t="s">
        <v>303</v>
      </c>
      <c r="G1166" s="7" t="s">
        <v>608</v>
      </c>
      <c r="H1166" s="7" t="s">
        <v>609</v>
      </c>
      <c r="I1166" s="8" t="s">
        <v>610</v>
      </c>
    </row>
    <row r="1167" spans="1:12" hidden="1" x14ac:dyDescent="0.35">
      <c r="A1167" s="6">
        <v>683053</v>
      </c>
      <c r="B1167" s="7" t="str">
        <f>"3328062411820006"</f>
        <v>3328062411820006</v>
      </c>
      <c r="C1167" s="7" t="s">
        <v>2579</v>
      </c>
      <c r="D1167" s="7" t="s">
        <v>10</v>
      </c>
      <c r="E1167" s="7" t="s">
        <v>11</v>
      </c>
      <c r="F1167" s="7" t="s">
        <v>91</v>
      </c>
      <c r="G1167" s="7" t="s">
        <v>114</v>
      </c>
      <c r="H1167" s="7" t="s">
        <v>2580</v>
      </c>
      <c r="I1167" s="8" t="s">
        <v>2581</v>
      </c>
    </row>
    <row r="1168" spans="1:12" hidden="1" x14ac:dyDescent="0.35">
      <c r="A1168" s="6">
        <v>732128</v>
      </c>
      <c r="B1168" s="7" t="str">
        <f>"3328062504910002"</f>
        <v>3328062504910002</v>
      </c>
      <c r="C1168" s="7" t="s">
        <v>2582</v>
      </c>
      <c r="D1168" s="7" t="s">
        <v>10</v>
      </c>
      <c r="E1168" s="7" t="s">
        <v>11</v>
      </c>
      <c r="F1168" s="7" t="s">
        <v>50</v>
      </c>
      <c r="G1168" s="7" t="s">
        <v>72</v>
      </c>
      <c r="H1168" s="7" t="s">
        <v>628</v>
      </c>
      <c r="I1168" s="8" t="s">
        <v>1281</v>
      </c>
    </row>
    <row r="1169" spans="1:12" hidden="1" x14ac:dyDescent="0.35">
      <c r="A1169" s="6">
        <v>1400765</v>
      </c>
      <c r="B1169" s="7" t="str">
        <f>"3328062511860002"</f>
        <v>3328062511860002</v>
      </c>
      <c r="C1169" s="7" t="s">
        <v>2584</v>
      </c>
      <c r="D1169" s="7" t="s">
        <v>10</v>
      </c>
      <c r="E1169" s="7" t="s">
        <v>11</v>
      </c>
      <c r="F1169" s="7" t="s">
        <v>91</v>
      </c>
      <c r="G1169" s="7" t="s">
        <v>92</v>
      </c>
      <c r="H1169" s="7" t="s">
        <v>678</v>
      </c>
      <c r="I1169" s="8" t="s">
        <v>2585</v>
      </c>
    </row>
    <row r="1170" spans="1:12" hidden="1" x14ac:dyDescent="0.35">
      <c r="A1170" s="6">
        <v>2036607</v>
      </c>
      <c r="B1170" s="7" t="str">
        <f>"3328062703910001"</f>
        <v>3328062703910001</v>
      </c>
      <c r="C1170" s="7" t="s">
        <v>2586</v>
      </c>
      <c r="D1170" s="7" t="s">
        <v>10</v>
      </c>
      <c r="E1170" s="7" t="s">
        <v>11</v>
      </c>
      <c r="F1170" s="7" t="s">
        <v>50</v>
      </c>
      <c r="G1170" s="7" t="s">
        <v>58</v>
      </c>
      <c r="H1170" s="7" t="s">
        <v>260</v>
      </c>
      <c r="I1170" s="8" t="s">
        <v>2510</v>
      </c>
    </row>
    <row r="1171" spans="1:12" hidden="1" x14ac:dyDescent="0.35">
      <c r="A1171" s="6">
        <v>263680</v>
      </c>
      <c r="B1171" s="7" t="str">
        <f>"3328062704780007"</f>
        <v>3328062704780007</v>
      </c>
      <c r="C1171" s="7" t="s">
        <v>2587</v>
      </c>
      <c r="D1171" s="7" t="s">
        <v>10</v>
      </c>
      <c r="E1171" s="7" t="s">
        <v>11</v>
      </c>
      <c r="F1171" s="7" t="s">
        <v>18</v>
      </c>
      <c r="G1171" s="7" t="s">
        <v>264</v>
      </c>
      <c r="H1171" s="7" t="s">
        <v>468</v>
      </c>
      <c r="I1171" s="8" t="s">
        <v>2588</v>
      </c>
    </row>
    <row r="1172" spans="1:12" hidden="1" x14ac:dyDescent="0.35">
      <c r="A1172" s="13">
        <v>1770096</v>
      </c>
      <c r="B1172" s="14" t="str">
        <f>"3328062707990007"</f>
        <v>3328062707990007</v>
      </c>
      <c r="C1172" s="14" t="s">
        <v>2589</v>
      </c>
      <c r="D1172" s="14" t="s">
        <v>10</v>
      </c>
      <c r="E1172" s="14" t="s">
        <v>11</v>
      </c>
      <c r="F1172" s="14" t="s">
        <v>18</v>
      </c>
      <c r="G1172" s="14" t="s">
        <v>19</v>
      </c>
      <c r="H1172" s="14" t="s">
        <v>1394</v>
      </c>
      <c r="I1172" s="15" t="s">
        <v>2520</v>
      </c>
      <c r="J1172" s="16" t="str">
        <f>VLOOKUP(B1172,baru!$B$2:$I$2271,4,FALSE)</f>
        <v>Reguler</v>
      </c>
      <c r="K1172" s="16" t="str">
        <f>VLOOKUP(B1172,baru!$B$2:$I$2271,5,FALSE)</f>
        <v>JAWA TENGAH</v>
      </c>
      <c r="L1172" s="16" t="str">
        <f>VLOOKUP(B1172,baru!$B$2:$I$2271,6,FALSE)</f>
        <v>BREBES</v>
      </c>
    </row>
    <row r="1173" spans="1:12" x14ac:dyDescent="0.35">
      <c r="A1173" s="13">
        <v>1851268</v>
      </c>
      <c r="B1173" s="14" t="str">
        <f>"3328062801970007"</f>
        <v>3328062801970007</v>
      </c>
      <c r="C1173" s="14" t="s">
        <v>2592</v>
      </c>
      <c r="D1173" s="14" t="s">
        <v>189</v>
      </c>
      <c r="E1173" s="14" t="s">
        <v>11</v>
      </c>
      <c r="F1173" s="14" t="s">
        <v>18</v>
      </c>
      <c r="G1173" s="14" t="s">
        <v>19</v>
      </c>
      <c r="H1173" s="14" t="s">
        <v>1394</v>
      </c>
      <c r="I1173" s="15" t="s">
        <v>2235</v>
      </c>
      <c r="J1173" s="16" t="str">
        <f>VLOOKUP(B1173,baru!$B$2:$I$2271,4,FALSE)</f>
        <v>Reguler</v>
      </c>
      <c r="K1173" s="16" t="str">
        <f>VLOOKUP(B1173,baru!$B$2:$I$2271,5,FALSE)</f>
        <v>JAWA TENGAH</v>
      </c>
      <c r="L1173" s="16" t="str">
        <f>VLOOKUP(B1173,baru!$B$2:$I$2271,6,FALSE)</f>
        <v>BREBES</v>
      </c>
    </row>
    <row r="1174" spans="1:12" hidden="1" x14ac:dyDescent="0.35">
      <c r="A1174" s="6">
        <v>2023385</v>
      </c>
      <c r="B1174" s="7" t="str">
        <f>"3328062808990021"</f>
        <v>3328062808990021</v>
      </c>
      <c r="C1174" s="7" t="s">
        <v>2593</v>
      </c>
      <c r="D1174" s="7" t="s">
        <v>10</v>
      </c>
      <c r="E1174" s="7" t="s">
        <v>11</v>
      </c>
      <c r="F1174" s="7" t="s">
        <v>91</v>
      </c>
      <c r="G1174" s="7" t="s">
        <v>92</v>
      </c>
      <c r="H1174" s="7" t="s">
        <v>673</v>
      </c>
      <c r="I1174" s="8" t="s">
        <v>2594</v>
      </c>
    </row>
    <row r="1175" spans="1:12" hidden="1" x14ac:dyDescent="0.35">
      <c r="A1175" s="6">
        <v>1969428</v>
      </c>
      <c r="B1175" s="7" t="str">
        <f>"3328062902840004"</f>
        <v>3328062902840004</v>
      </c>
      <c r="C1175" s="7" t="s">
        <v>2595</v>
      </c>
      <c r="D1175" s="7" t="s">
        <v>10</v>
      </c>
      <c r="E1175" s="7" t="s">
        <v>11</v>
      </c>
      <c r="F1175" s="7" t="s">
        <v>50</v>
      </c>
      <c r="G1175" s="7" t="s">
        <v>58</v>
      </c>
      <c r="H1175" s="7" t="s">
        <v>417</v>
      </c>
      <c r="I1175" s="8" t="s">
        <v>2271</v>
      </c>
    </row>
    <row r="1176" spans="1:12" hidden="1" x14ac:dyDescent="0.35">
      <c r="A1176" s="6">
        <v>123201</v>
      </c>
      <c r="B1176" s="7" t="str">
        <f>"3328062908750001"</f>
        <v>3328062908750001</v>
      </c>
      <c r="C1176" s="7" t="s">
        <v>2596</v>
      </c>
      <c r="D1176" s="7" t="s">
        <v>10</v>
      </c>
      <c r="E1176" s="7" t="s">
        <v>11</v>
      </c>
      <c r="F1176" s="7" t="s">
        <v>18</v>
      </c>
      <c r="G1176" s="7" t="s">
        <v>2389</v>
      </c>
      <c r="H1176" s="7" t="s">
        <v>2597</v>
      </c>
      <c r="I1176" s="8" t="s">
        <v>2598</v>
      </c>
    </row>
    <row r="1177" spans="1:12" hidden="1" x14ac:dyDescent="0.35">
      <c r="A1177" s="6">
        <v>144847</v>
      </c>
      <c r="B1177" s="7" t="str">
        <f>"3328063012700014"</f>
        <v>3328063012700014</v>
      </c>
      <c r="C1177" s="7" t="s">
        <v>2599</v>
      </c>
      <c r="D1177" s="7" t="s">
        <v>10</v>
      </c>
      <c r="E1177" s="7" t="s">
        <v>11</v>
      </c>
      <c r="F1177" s="7" t="s">
        <v>232</v>
      </c>
      <c r="G1177" s="7" t="s">
        <v>642</v>
      </c>
      <c r="H1177" s="7" t="s">
        <v>2600</v>
      </c>
      <c r="I1177" s="8" t="s">
        <v>2601</v>
      </c>
    </row>
    <row r="1178" spans="1:12" hidden="1" x14ac:dyDescent="0.35">
      <c r="A1178" s="13">
        <v>1767443</v>
      </c>
      <c r="B1178" s="14" t="str">
        <f>"3328063105000014"</f>
        <v>3328063105000014</v>
      </c>
      <c r="C1178" s="14" t="s">
        <v>2603</v>
      </c>
      <c r="D1178" s="14" t="s">
        <v>10</v>
      </c>
      <c r="E1178" s="14" t="s">
        <v>11</v>
      </c>
      <c r="F1178" s="14" t="s">
        <v>18</v>
      </c>
      <c r="G1178" s="14" t="s">
        <v>19</v>
      </c>
      <c r="H1178" s="14" t="s">
        <v>1394</v>
      </c>
      <c r="I1178" s="15" t="s">
        <v>2189</v>
      </c>
      <c r="J1178" s="16" t="str">
        <f>VLOOKUP(B1178,baru!$B$2:$I$2271,4,FALSE)</f>
        <v>Reguler</v>
      </c>
      <c r="K1178" s="16" t="str">
        <f>VLOOKUP(B1178,baru!$B$2:$I$2271,5,FALSE)</f>
        <v>JAWA TENGAH</v>
      </c>
      <c r="L1178" s="16" t="str">
        <f>VLOOKUP(B1178,baru!$B$2:$I$2271,6,FALSE)</f>
        <v>PEKALONGAN</v>
      </c>
    </row>
    <row r="1179" spans="1:12" hidden="1" x14ac:dyDescent="0.35">
      <c r="A1179" s="13">
        <v>1856510</v>
      </c>
      <c r="B1179" s="14" t="str">
        <f>"3328064105800003"</f>
        <v>3328064105800003</v>
      </c>
      <c r="C1179" s="14" t="s">
        <v>2606</v>
      </c>
      <c r="D1179" s="14" t="s">
        <v>10</v>
      </c>
      <c r="E1179" s="14" t="s">
        <v>11</v>
      </c>
      <c r="F1179" s="14" t="s">
        <v>18</v>
      </c>
      <c r="G1179" s="14" t="s">
        <v>19</v>
      </c>
      <c r="H1179" s="14" t="s">
        <v>1394</v>
      </c>
      <c r="I1179" s="15" t="s">
        <v>2194</v>
      </c>
      <c r="J1179" s="16" t="str">
        <f>VLOOKUP(B1179,baru!$B$2:$I$2271,4,FALSE)</f>
        <v>Reguler</v>
      </c>
      <c r="K1179" s="16" t="str">
        <f>VLOOKUP(B1179,baru!$B$2:$I$2271,5,FALSE)</f>
        <v>DKI JAKARTA</v>
      </c>
      <c r="L1179" s="16" t="str">
        <f>VLOOKUP(B1179,baru!$B$2:$I$2271,6,FALSE)</f>
        <v>KOTA JAKARTA UTARA</v>
      </c>
    </row>
    <row r="1180" spans="1:12" hidden="1" x14ac:dyDescent="0.35">
      <c r="A1180" s="13">
        <v>1826833</v>
      </c>
      <c r="B1180" s="14" t="str">
        <f>"3328064107820008"</f>
        <v>3328064107820008</v>
      </c>
      <c r="C1180" s="14" t="s">
        <v>2608</v>
      </c>
      <c r="D1180" s="14" t="s">
        <v>10</v>
      </c>
      <c r="E1180" s="14" t="s">
        <v>11</v>
      </c>
      <c r="F1180" s="14" t="s">
        <v>18</v>
      </c>
      <c r="G1180" s="14" t="s">
        <v>19</v>
      </c>
      <c r="H1180" s="14" t="s">
        <v>1394</v>
      </c>
      <c r="I1180" s="15" t="s">
        <v>2187</v>
      </c>
      <c r="J1180" s="16" t="str">
        <f>VLOOKUP(B1180,baru!$B$2:$I$2271,4,FALSE)</f>
        <v>Reguler</v>
      </c>
      <c r="K1180" s="16" t="str">
        <f>VLOOKUP(B1180,baru!$B$2:$I$2271,5,FALSE)</f>
        <v>JAWA TIMUR</v>
      </c>
      <c r="L1180" s="16" t="str">
        <f>VLOOKUP(B1180,baru!$B$2:$I$2271,6,FALSE)</f>
        <v>BONDOWOSO</v>
      </c>
    </row>
    <row r="1181" spans="1:12" hidden="1" x14ac:dyDescent="0.35">
      <c r="A1181" s="6">
        <v>1653270</v>
      </c>
      <c r="B1181" s="7" t="str">
        <f>"3328064107890006"</f>
        <v>3328064107890006</v>
      </c>
      <c r="C1181" s="7" t="s">
        <v>2245</v>
      </c>
      <c r="D1181" s="7" t="s">
        <v>10</v>
      </c>
      <c r="E1181" s="7" t="s">
        <v>11</v>
      </c>
      <c r="F1181" s="7" t="s">
        <v>50</v>
      </c>
      <c r="G1181" s="7" t="s">
        <v>72</v>
      </c>
      <c r="H1181" s="7" t="s">
        <v>1172</v>
      </c>
      <c r="I1181" s="8" t="s">
        <v>1173</v>
      </c>
    </row>
    <row r="1182" spans="1:12" hidden="1" x14ac:dyDescent="0.35">
      <c r="A1182" s="6">
        <v>1768471</v>
      </c>
      <c r="B1182" s="7" t="str">
        <f>"3328064108740003"</f>
        <v>3328064108740003</v>
      </c>
      <c r="C1182" s="7" t="s">
        <v>2611</v>
      </c>
      <c r="D1182" s="7" t="s">
        <v>10</v>
      </c>
      <c r="E1182" s="7" t="s">
        <v>11</v>
      </c>
      <c r="F1182" s="7" t="s">
        <v>18</v>
      </c>
      <c r="G1182" s="7" t="s">
        <v>19</v>
      </c>
      <c r="H1182" s="7" t="s">
        <v>1394</v>
      </c>
      <c r="I1182" s="8" t="s">
        <v>2189</v>
      </c>
      <c r="J1182" t="e">
        <f>VLOOKUP(B1182,baru!$B$2:$I$2271,4,FALSE)</f>
        <v>#N/A</v>
      </c>
      <c r="K1182" t="e">
        <f>VLOOKUP(B1182,baru!$B$2:$I$2271,5,FALSE)</f>
        <v>#N/A</v>
      </c>
      <c r="L1182" t="e">
        <f>VLOOKUP(B1182,baru!$B$2:$I$2271,6,FALSE)</f>
        <v>#N/A</v>
      </c>
    </row>
    <row r="1183" spans="1:12" hidden="1" x14ac:dyDescent="0.35">
      <c r="A1183" s="6">
        <v>1349038</v>
      </c>
      <c r="B1183" s="7" t="str">
        <f>"3328064108740003"</f>
        <v>3328064108740003</v>
      </c>
      <c r="C1183" s="7" t="s">
        <v>2612</v>
      </c>
      <c r="D1183" s="7" t="s">
        <v>10</v>
      </c>
      <c r="E1183" s="7" t="s">
        <v>57</v>
      </c>
      <c r="F1183" s="7" t="s">
        <v>303</v>
      </c>
      <c r="G1183" s="7" t="s">
        <v>608</v>
      </c>
      <c r="H1183" s="7" t="s">
        <v>609</v>
      </c>
      <c r="I1183" s="8" t="s">
        <v>610</v>
      </c>
    </row>
    <row r="1184" spans="1:12" hidden="1" x14ac:dyDescent="0.35">
      <c r="A1184" s="6">
        <v>356253</v>
      </c>
      <c r="B1184" s="7" t="str">
        <f>"3328064109830006"</f>
        <v>3328064109830006</v>
      </c>
      <c r="C1184" s="7" t="s">
        <v>2613</v>
      </c>
      <c r="D1184" s="7" t="s">
        <v>10</v>
      </c>
      <c r="E1184" s="7" t="s">
        <v>11</v>
      </c>
      <c r="F1184" s="7" t="s">
        <v>91</v>
      </c>
      <c r="G1184" s="7" t="s">
        <v>159</v>
      </c>
      <c r="H1184" s="7" t="s">
        <v>2614</v>
      </c>
      <c r="I1184" s="8" t="s">
        <v>2615</v>
      </c>
    </row>
    <row r="1185" spans="1:12" x14ac:dyDescent="0.35">
      <c r="A1185" s="13">
        <v>1831765</v>
      </c>
      <c r="B1185" s="14" t="str">
        <f>"3328064203860006"</f>
        <v>3328064203860006</v>
      </c>
      <c r="C1185" s="14" t="s">
        <v>2616</v>
      </c>
      <c r="D1185" s="14" t="s">
        <v>189</v>
      </c>
      <c r="E1185" s="14" t="s">
        <v>11</v>
      </c>
      <c r="F1185" s="14" t="s">
        <v>18</v>
      </c>
      <c r="G1185" s="14" t="s">
        <v>19</v>
      </c>
      <c r="H1185" s="14" t="s">
        <v>1394</v>
      </c>
      <c r="I1185" s="15" t="s">
        <v>2261</v>
      </c>
      <c r="J1185" s="16" t="str">
        <f>VLOOKUP(B1185,baru!$B$2:$I$2271,4,FALSE)</f>
        <v>Reguler</v>
      </c>
      <c r="K1185" s="16" t="str">
        <f>VLOOKUP(B1185,baru!$B$2:$I$2271,5,FALSE)</f>
        <v>BANTEN</v>
      </c>
      <c r="L1185" s="16" t="str">
        <f>VLOOKUP(B1185,baru!$B$2:$I$2271,6,FALSE)</f>
        <v>SERANG</v>
      </c>
    </row>
    <row r="1186" spans="1:12" hidden="1" x14ac:dyDescent="0.35">
      <c r="A1186" s="6">
        <v>318485</v>
      </c>
      <c r="B1186" s="7" t="str">
        <f>"3328064203990002"</f>
        <v>3328064203990002</v>
      </c>
      <c r="C1186" s="7" t="s">
        <v>2619</v>
      </c>
      <c r="D1186" s="7" t="s">
        <v>10</v>
      </c>
      <c r="E1186" s="7" t="s">
        <v>11</v>
      </c>
      <c r="F1186" s="7" t="s">
        <v>91</v>
      </c>
      <c r="G1186" s="7" t="s">
        <v>101</v>
      </c>
      <c r="H1186" s="7" t="s">
        <v>2294</v>
      </c>
      <c r="I1186" s="8" t="s">
        <v>2295</v>
      </c>
    </row>
    <row r="1187" spans="1:12" hidden="1" x14ac:dyDescent="0.35">
      <c r="A1187" s="6">
        <v>118609</v>
      </c>
      <c r="B1187" s="7" t="str">
        <f>"3328064709870005"</f>
        <v>3328064709870005</v>
      </c>
      <c r="C1187" s="7" t="s">
        <v>2620</v>
      </c>
      <c r="D1187" s="7" t="s">
        <v>10</v>
      </c>
      <c r="E1187" s="7" t="s">
        <v>11</v>
      </c>
      <c r="F1187" s="7" t="s">
        <v>1374</v>
      </c>
      <c r="G1187" s="7" t="s">
        <v>2551</v>
      </c>
      <c r="H1187" s="7" t="s">
        <v>2552</v>
      </c>
      <c r="I1187" s="8" t="s">
        <v>2553</v>
      </c>
    </row>
    <row r="1188" spans="1:12" hidden="1" x14ac:dyDescent="0.35">
      <c r="A1188" s="6">
        <v>779501</v>
      </c>
      <c r="B1188" s="7" t="str">
        <f>"3328064710950002"</f>
        <v>3328064710950002</v>
      </c>
      <c r="C1188" s="7" t="s">
        <v>2621</v>
      </c>
      <c r="D1188" s="7" t="s">
        <v>10</v>
      </c>
      <c r="E1188" s="7" t="s">
        <v>11</v>
      </c>
      <c r="F1188" s="7" t="s">
        <v>50</v>
      </c>
      <c r="G1188" s="7" t="s">
        <v>72</v>
      </c>
      <c r="H1188" s="7" t="s">
        <v>803</v>
      </c>
      <c r="I1188" s="8" t="s">
        <v>2244</v>
      </c>
    </row>
    <row r="1189" spans="1:12" hidden="1" x14ac:dyDescent="0.35">
      <c r="A1189" s="6">
        <v>379246</v>
      </c>
      <c r="B1189" s="7" t="str">
        <f>"3328064807880006"</f>
        <v>3328064807880006</v>
      </c>
      <c r="C1189" s="7" t="s">
        <v>2622</v>
      </c>
      <c r="D1189" s="7" t="s">
        <v>10</v>
      </c>
      <c r="E1189" s="7" t="s">
        <v>11</v>
      </c>
      <c r="F1189" s="7" t="s">
        <v>18</v>
      </c>
      <c r="G1189" s="7" t="s">
        <v>1522</v>
      </c>
      <c r="H1189" s="7" t="s">
        <v>2623</v>
      </c>
      <c r="I1189" s="8" t="s">
        <v>2624</v>
      </c>
    </row>
    <row r="1190" spans="1:12" hidden="1" x14ac:dyDescent="0.35">
      <c r="A1190" s="13">
        <v>1772167</v>
      </c>
      <c r="B1190" s="14" t="str">
        <f>"3328064909910012"</f>
        <v>3328064909910012</v>
      </c>
      <c r="C1190" s="14" t="s">
        <v>2625</v>
      </c>
      <c r="D1190" s="14" t="s">
        <v>10</v>
      </c>
      <c r="E1190" s="14" t="s">
        <v>11</v>
      </c>
      <c r="F1190" s="14" t="s">
        <v>18</v>
      </c>
      <c r="G1190" s="14" t="s">
        <v>19</v>
      </c>
      <c r="H1190" s="14" t="s">
        <v>1394</v>
      </c>
      <c r="I1190" s="15" t="s">
        <v>2520</v>
      </c>
      <c r="J1190" s="16" t="str">
        <f>VLOOKUP(B1190,baru!$B$2:$I$2271,4,FALSE)</f>
        <v>Reguler</v>
      </c>
      <c r="K1190" s="16" t="str">
        <f>VLOOKUP(B1190,baru!$B$2:$I$2271,5,FALSE)</f>
        <v>DAERAH ISTIMEWA YOGYAKARTA</v>
      </c>
      <c r="L1190" s="16" t="str">
        <f>VLOOKUP(B1190,baru!$B$2:$I$2271,6,FALSE)</f>
        <v>BANTUL</v>
      </c>
    </row>
    <row r="1191" spans="1:12" hidden="1" x14ac:dyDescent="0.35">
      <c r="A1191" s="6">
        <v>752902</v>
      </c>
      <c r="B1191" s="7" t="str">
        <f>"3328065103950016"</f>
        <v>3328065103950016</v>
      </c>
      <c r="C1191" s="7" t="s">
        <v>2629</v>
      </c>
      <c r="D1191" s="7" t="s">
        <v>10</v>
      </c>
      <c r="E1191" s="7" t="s">
        <v>11</v>
      </c>
      <c r="F1191" s="7" t="s">
        <v>91</v>
      </c>
      <c r="G1191" s="7" t="s">
        <v>903</v>
      </c>
      <c r="H1191" s="7" t="s">
        <v>2371</v>
      </c>
      <c r="I1191" s="8" t="s">
        <v>2372</v>
      </c>
    </row>
    <row r="1192" spans="1:12" hidden="1" x14ac:dyDescent="0.35">
      <c r="A1192" s="6">
        <v>1851794</v>
      </c>
      <c r="B1192" s="7" t="str">
        <f>"3328065207980008"</f>
        <v>3328065207980008</v>
      </c>
      <c r="C1192" s="7" t="s">
        <v>2630</v>
      </c>
      <c r="D1192" s="7" t="s">
        <v>10</v>
      </c>
      <c r="E1192" s="7" t="s">
        <v>11</v>
      </c>
      <c r="F1192" s="7" t="s">
        <v>18</v>
      </c>
      <c r="G1192" s="7" t="s">
        <v>19</v>
      </c>
      <c r="H1192" s="7" t="s">
        <v>1394</v>
      </c>
      <c r="I1192" s="8" t="s">
        <v>2235</v>
      </c>
      <c r="J1192" t="e">
        <f>VLOOKUP(B1192,baru!$B$2:$I$2271,4,FALSE)</f>
        <v>#N/A</v>
      </c>
      <c r="K1192" t="e">
        <f>VLOOKUP(B1192,baru!$B$2:$I$2271,5,FALSE)</f>
        <v>#N/A</v>
      </c>
      <c r="L1192" t="e">
        <f>VLOOKUP(B1192,baru!$B$2:$I$2271,6,FALSE)</f>
        <v>#N/A</v>
      </c>
    </row>
    <row r="1193" spans="1:12" hidden="1" x14ac:dyDescent="0.35">
      <c r="A1193" s="6">
        <v>1862381</v>
      </c>
      <c r="B1193" s="7" t="str">
        <f>"3328065207980008"</f>
        <v>3328065207980008</v>
      </c>
      <c r="C1193" s="7" t="s">
        <v>2631</v>
      </c>
      <c r="D1193" s="7" t="s">
        <v>10</v>
      </c>
      <c r="E1193" s="7" t="s">
        <v>57</v>
      </c>
      <c r="F1193" s="7" t="s">
        <v>18</v>
      </c>
      <c r="G1193" s="7" t="s">
        <v>733</v>
      </c>
      <c r="H1193" s="7" t="s">
        <v>733</v>
      </c>
      <c r="I1193" s="8" t="s">
        <v>734</v>
      </c>
    </row>
    <row r="1194" spans="1:12" hidden="1" x14ac:dyDescent="0.35">
      <c r="A1194" s="13">
        <v>1770761</v>
      </c>
      <c r="B1194" s="14" t="str">
        <f>"3328065607700002"</f>
        <v>3328065607700002</v>
      </c>
      <c r="C1194" s="14" t="s">
        <v>2632</v>
      </c>
      <c r="D1194" s="14" t="s">
        <v>10</v>
      </c>
      <c r="E1194" s="14" t="s">
        <v>11</v>
      </c>
      <c r="F1194" s="14" t="s">
        <v>18</v>
      </c>
      <c r="G1194" s="14" t="s">
        <v>19</v>
      </c>
      <c r="H1194" s="14" t="s">
        <v>1394</v>
      </c>
      <c r="I1194" s="15" t="s">
        <v>2520</v>
      </c>
      <c r="J1194" s="16" t="str">
        <f>VLOOKUP(B1194,baru!$B$2:$I$2271,4,FALSE)</f>
        <v>Reguler</v>
      </c>
      <c r="K1194" s="16" t="str">
        <f>VLOOKUP(B1194,baru!$B$2:$I$2271,5,FALSE)</f>
        <v>DKI JAKARTA</v>
      </c>
      <c r="L1194" s="16" t="str">
        <f>VLOOKUP(B1194,baru!$B$2:$I$2271,6,FALSE)</f>
        <v>KOTA JAKARTA SELATAN</v>
      </c>
    </row>
    <row r="1195" spans="1:12" x14ac:dyDescent="0.35">
      <c r="A1195" s="13">
        <v>1844983</v>
      </c>
      <c r="B1195" s="14" t="str">
        <f>"3328065607980005"</f>
        <v>3328065607980005</v>
      </c>
      <c r="C1195" s="14" t="s">
        <v>2633</v>
      </c>
      <c r="D1195" s="14" t="s">
        <v>189</v>
      </c>
      <c r="E1195" s="14" t="s">
        <v>11</v>
      </c>
      <c r="F1195" s="14" t="s">
        <v>18</v>
      </c>
      <c r="G1195" s="14" t="s">
        <v>19</v>
      </c>
      <c r="H1195" s="14" t="s">
        <v>1394</v>
      </c>
      <c r="I1195" s="15" t="s">
        <v>2235</v>
      </c>
      <c r="J1195" s="16" t="str">
        <f>VLOOKUP(B1195,baru!$B$2:$I$2271,4,FALSE)</f>
        <v>Reguler</v>
      </c>
      <c r="K1195" s="16" t="str">
        <f>VLOOKUP(B1195,baru!$B$2:$I$2271,5,FALSE)</f>
        <v>JAWA TENGAH</v>
      </c>
      <c r="L1195" s="16" t="str">
        <f>VLOOKUP(B1195,baru!$B$2:$I$2271,6,FALSE)</f>
        <v>BREBES</v>
      </c>
    </row>
    <row r="1196" spans="1:12" hidden="1" x14ac:dyDescent="0.35">
      <c r="A1196" s="13">
        <v>1856519</v>
      </c>
      <c r="B1196" s="14" t="str">
        <f>"3328065804940005"</f>
        <v>3328065804940005</v>
      </c>
      <c r="C1196" s="14" t="s">
        <v>2634</v>
      </c>
      <c r="D1196" s="14" t="s">
        <v>10</v>
      </c>
      <c r="E1196" s="14" t="s">
        <v>11</v>
      </c>
      <c r="F1196" s="14" t="s">
        <v>18</v>
      </c>
      <c r="G1196" s="14" t="s">
        <v>19</v>
      </c>
      <c r="H1196" s="14" t="s">
        <v>1394</v>
      </c>
      <c r="I1196" s="15" t="s">
        <v>2194</v>
      </c>
      <c r="J1196" s="16" t="str">
        <f>VLOOKUP(B1196,baru!$B$2:$I$2271,4,FALSE)</f>
        <v>Reguler</v>
      </c>
      <c r="K1196" s="16" t="str">
        <f>VLOOKUP(B1196,baru!$B$2:$I$2271,5,FALSE)</f>
        <v>DKI JAKARTA</v>
      </c>
      <c r="L1196" s="16" t="str">
        <f>VLOOKUP(B1196,baru!$B$2:$I$2271,6,FALSE)</f>
        <v>KOTA JAKARTA BARAT</v>
      </c>
    </row>
    <row r="1197" spans="1:12" hidden="1" x14ac:dyDescent="0.35">
      <c r="A1197" s="13">
        <v>1776320</v>
      </c>
      <c r="B1197" s="14" t="str">
        <f>"3328065806790005"</f>
        <v>3328065806790005</v>
      </c>
      <c r="C1197" s="14" t="s">
        <v>2636</v>
      </c>
      <c r="D1197" s="14" t="s">
        <v>10</v>
      </c>
      <c r="E1197" s="14" t="s">
        <v>11</v>
      </c>
      <c r="F1197" s="14" t="s">
        <v>18</v>
      </c>
      <c r="G1197" s="14" t="s">
        <v>19</v>
      </c>
      <c r="H1197" s="14" t="s">
        <v>1394</v>
      </c>
      <c r="I1197" s="15" t="s">
        <v>2238</v>
      </c>
      <c r="J1197" s="16" t="str">
        <f>VLOOKUP(B1197,baru!$B$2:$I$2271,4,FALSE)</f>
        <v>Reguler</v>
      </c>
      <c r="K1197" s="16" t="str">
        <f>VLOOKUP(B1197,baru!$B$2:$I$2271,5,FALSE)</f>
        <v>JAWA TENGAH</v>
      </c>
      <c r="L1197" s="16" t="str">
        <f>VLOOKUP(B1197,baru!$B$2:$I$2271,6,FALSE)</f>
        <v>MAGELANG</v>
      </c>
    </row>
    <row r="1198" spans="1:12" x14ac:dyDescent="0.35">
      <c r="A1198" s="13">
        <v>1852119</v>
      </c>
      <c r="B1198" s="14" t="str">
        <f>"3328065811950001"</f>
        <v>3328065811950001</v>
      </c>
      <c r="C1198" s="14" t="s">
        <v>2638</v>
      </c>
      <c r="D1198" s="14" t="s">
        <v>189</v>
      </c>
      <c r="E1198" s="14" t="s">
        <v>11</v>
      </c>
      <c r="F1198" s="14" t="s">
        <v>18</v>
      </c>
      <c r="G1198" s="14" t="s">
        <v>19</v>
      </c>
      <c r="H1198" s="14" t="s">
        <v>1394</v>
      </c>
      <c r="I1198" s="15" t="s">
        <v>2235</v>
      </c>
      <c r="J1198" s="16" t="str">
        <f>VLOOKUP(B1198,baru!$B$2:$I$2271,4,FALSE)</f>
        <v>Reguler</v>
      </c>
      <c r="K1198" s="16" t="str">
        <f>VLOOKUP(B1198,baru!$B$2:$I$2271,5,FALSE)</f>
        <v>JAWA TENGAH</v>
      </c>
      <c r="L1198" s="16" t="str">
        <f>VLOOKUP(B1198,baru!$B$2:$I$2271,6,FALSE)</f>
        <v>BLORA</v>
      </c>
    </row>
    <row r="1199" spans="1:12" hidden="1" x14ac:dyDescent="0.35">
      <c r="A1199" s="6">
        <v>1604140</v>
      </c>
      <c r="B1199" s="7" t="str">
        <f>"3328065912860003"</f>
        <v>3328065912860003</v>
      </c>
      <c r="C1199" s="7" t="s">
        <v>2641</v>
      </c>
      <c r="D1199" s="7" t="s">
        <v>10</v>
      </c>
      <c r="E1199" s="7" t="s">
        <v>11</v>
      </c>
      <c r="F1199" s="7" t="s">
        <v>50</v>
      </c>
      <c r="G1199" s="7" t="s">
        <v>86</v>
      </c>
      <c r="H1199" s="7" t="s">
        <v>445</v>
      </c>
      <c r="I1199" s="8" t="s">
        <v>1739</v>
      </c>
    </row>
    <row r="1200" spans="1:12" hidden="1" x14ac:dyDescent="0.35">
      <c r="A1200" s="6">
        <v>109393</v>
      </c>
      <c r="B1200" s="7" t="str">
        <f>"3328066005930003"</f>
        <v>3328066005930003</v>
      </c>
      <c r="C1200" s="7" t="s">
        <v>2642</v>
      </c>
      <c r="D1200" s="7" t="s">
        <v>10</v>
      </c>
      <c r="E1200" s="7" t="s">
        <v>11</v>
      </c>
      <c r="F1200" s="7" t="s">
        <v>91</v>
      </c>
      <c r="G1200" s="7" t="s">
        <v>159</v>
      </c>
      <c r="H1200" s="7" t="s">
        <v>685</v>
      </c>
      <c r="I1200" s="8" t="s">
        <v>686</v>
      </c>
    </row>
    <row r="1201" spans="1:12" hidden="1" x14ac:dyDescent="0.35">
      <c r="A1201" s="13">
        <v>1768619</v>
      </c>
      <c r="B1201" s="14" t="str">
        <f>"3328066006860005"</f>
        <v>3328066006860005</v>
      </c>
      <c r="C1201" s="14" t="s">
        <v>2643</v>
      </c>
      <c r="D1201" s="14" t="s">
        <v>10</v>
      </c>
      <c r="E1201" s="14" t="s">
        <v>11</v>
      </c>
      <c r="F1201" s="14" t="s">
        <v>18</v>
      </c>
      <c r="G1201" s="14" t="s">
        <v>19</v>
      </c>
      <c r="H1201" s="14" t="s">
        <v>1394</v>
      </c>
      <c r="I1201" s="15" t="s">
        <v>2189</v>
      </c>
      <c r="J1201" s="16" t="str">
        <f>VLOOKUP(B1201,baru!$B$2:$I$2271,4,FALSE)</f>
        <v>Reguler</v>
      </c>
      <c r="K1201" s="16" t="str">
        <f>VLOOKUP(B1201,baru!$B$2:$I$2271,5,FALSE)</f>
        <v>JAWA TENGAH</v>
      </c>
      <c r="L1201" s="16" t="str">
        <f>VLOOKUP(B1201,baru!$B$2:$I$2271,6,FALSE)</f>
        <v>JEPARA</v>
      </c>
    </row>
    <row r="1202" spans="1:12" x14ac:dyDescent="0.35">
      <c r="A1202" s="13">
        <v>1765606</v>
      </c>
      <c r="B1202" s="14" t="str">
        <f>"3328066205930002"</f>
        <v>3328066205930002</v>
      </c>
      <c r="C1202" s="14" t="s">
        <v>2647</v>
      </c>
      <c r="D1202" s="14" t="s">
        <v>189</v>
      </c>
      <c r="E1202" s="14" t="s">
        <v>11</v>
      </c>
      <c r="F1202" s="14" t="s">
        <v>18</v>
      </c>
      <c r="G1202" s="14" t="s">
        <v>19</v>
      </c>
      <c r="H1202" s="14" t="s">
        <v>1394</v>
      </c>
      <c r="I1202" s="15" t="s">
        <v>2189</v>
      </c>
      <c r="J1202" s="16" t="str">
        <f>VLOOKUP(B1202,baru!$B$2:$I$2271,4,FALSE)</f>
        <v>Reguler</v>
      </c>
      <c r="K1202" s="16" t="str">
        <f>VLOOKUP(B1202,baru!$B$2:$I$2271,5,FALSE)</f>
        <v>DKI JAKARTA</v>
      </c>
      <c r="L1202" s="16" t="str">
        <f>VLOOKUP(B1202,baru!$B$2:$I$2271,6,FALSE)</f>
        <v>KOTA JAKARTA PUSAT</v>
      </c>
    </row>
    <row r="1203" spans="1:12" hidden="1" x14ac:dyDescent="0.35">
      <c r="A1203" s="6">
        <v>485425</v>
      </c>
      <c r="B1203" s="7" t="str">
        <f>"3328066603770005"</f>
        <v>3328066603770005</v>
      </c>
      <c r="C1203" s="7" t="s">
        <v>2649</v>
      </c>
      <c r="D1203" s="7" t="s">
        <v>10</v>
      </c>
      <c r="E1203" s="7" t="s">
        <v>11</v>
      </c>
      <c r="F1203" s="7" t="s">
        <v>50</v>
      </c>
      <c r="G1203" s="7" t="s">
        <v>51</v>
      </c>
      <c r="H1203" s="7" t="s">
        <v>62</v>
      </c>
      <c r="I1203" s="8" t="s">
        <v>2193</v>
      </c>
    </row>
    <row r="1204" spans="1:12" hidden="1" x14ac:dyDescent="0.35">
      <c r="A1204" s="13">
        <v>1812167</v>
      </c>
      <c r="B1204" s="14" t="str">
        <f>"3328066701790005"</f>
        <v>3328066701790005</v>
      </c>
      <c r="C1204" s="14" t="s">
        <v>2650</v>
      </c>
      <c r="D1204" s="14" t="s">
        <v>10</v>
      </c>
      <c r="E1204" s="14" t="s">
        <v>11</v>
      </c>
      <c r="F1204" s="14" t="s">
        <v>18</v>
      </c>
      <c r="G1204" s="14" t="s">
        <v>19</v>
      </c>
      <c r="H1204" s="14" t="s">
        <v>1394</v>
      </c>
      <c r="I1204" s="15" t="s">
        <v>2212</v>
      </c>
      <c r="J1204" s="16" t="str">
        <f>VLOOKUP(B1204,baru!$B$2:$I$2271,4,FALSE)</f>
        <v>Reguler</v>
      </c>
      <c r="K1204" s="16" t="str">
        <f>VLOOKUP(B1204,baru!$B$2:$I$2271,5,FALSE)</f>
        <v>JAWA TENGAH</v>
      </c>
      <c r="L1204" s="16" t="str">
        <f>VLOOKUP(B1204,baru!$B$2:$I$2271,6,FALSE)</f>
        <v>BATANG</v>
      </c>
    </row>
    <row r="1205" spans="1:12" hidden="1" x14ac:dyDescent="0.35">
      <c r="A1205" s="6">
        <v>84062</v>
      </c>
      <c r="B1205" s="7" t="str">
        <f>"3328066702040004"</f>
        <v>3328066702040004</v>
      </c>
      <c r="C1205" s="7" t="s">
        <v>2653</v>
      </c>
      <c r="D1205" s="7" t="s">
        <v>10</v>
      </c>
      <c r="E1205" s="7" t="s">
        <v>11</v>
      </c>
      <c r="F1205" s="7" t="s">
        <v>225</v>
      </c>
      <c r="G1205" s="7" t="s">
        <v>226</v>
      </c>
      <c r="H1205" s="7" t="s">
        <v>2654</v>
      </c>
      <c r="I1205" s="8" t="s">
        <v>2655</v>
      </c>
    </row>
    <row r="1206" spans="1:12" hidden="1" x14ac:dyDescent="0.35">
      <c r="A1206" s="13">
        <v>1819412</v>
      </c>
      <c r="B1206" s="14" t="str">
        <f>"3328066805010005"</f>
        <v>3328066805010005</v>
      </c>
      <c r="C1206" s="14" t="s">
        <v>2656</v>
      </c>
      <c r="D1206" s="14" t="s">
        <v>10</v>
      </c>
      <c r="E1206" s="14" t="s">
        <v>11</v>
      </c>
      <c r="F1206" s="14" t="s">
        <v>18</v>
      </c>
      <c r="G1206" s="14" t="s">
        <v>19</v>
      </c>
      <c r="H1206" s="14" t="s">
        <v>1394</v>
      </c>
      <c r="I1206" s="15" t="s">
        <v>2212</v>
      </c>
      <c r="J1206" s="16" t="str">
        <f>VLOOKUP(B1206,baru!$B$2:$I$2271,4,FALSE)</f>
        <v>Reguler</v>
      </c>
      <c r="K1206" s="16" t="str">
        <f>VLOOKUP(B1206,baru!$B$2:$I$2271,5,FALSE)</f>
        <v>JAWA TENGAH</v>
      </c>
      <c r="L1206" s="16" t="str">
        <f>VLOOKUP(B1206,baru!$B$2:$I$2271,6,FALSE)</f>
        <v>BREBES</v>
      </c>
    </row>
    <row r="1207" spans="1:12" hidden="1" x14ac:dyDescent="0.35">
      <c r="A1207" s="6">
        <v>444703</v>
      </c>
      <c r="B1207" s="7" t="str">
        <f>"3328066902040002"</f>
        <v>3328066902040002</v>
      </c>
      <c r="C1207" s="7" t="s">
        <v>2657</v>
      </c>
      <c r="D1207" s="7" t="s">
        <v>10</v>
      </c>
      <c r="E1207" s="7" t="s">
        <v>11</v>
      </c>
      <c r="F1207" s="7" t="s">
        <v>379</v>
      </c>
      <c r="G1207" s="7" t="s">
        <v>1206</v>
      </c>
      <c r="H1207" s="7" t="s">
        <v>1207</v>
      </c>
      <c r="I1207" s="8" t="s">
        <v>1208</v>
      </c>
    </row>
    <row r="1208" spans="1:12" hidden="1" x14ac:dyDescent="0.35">
      <c r="A1208" s="6">
        <v>2540673</v>
      </c>
      <c r="B1208" s="7" t="str">
        <f>"3328100308760004"</f>
        <v>3328100308760004</v>
      </c>
      <c r="C1208" s="7" t="s">
        <v>2659</v>
      </c>
      <c r="D1208" s="7" t="s">
        <v>10</v>
      </c>
      <c r="E1208" s="7" t="s">
        <v>11</v>
      </c>
      <c r="F1208" s="7" t="s">
        <v>18</v>
      </c>
      <c r="G1208" s="7" t="s">
        <v>19</v>
      </c>
      <c r="H1208" s="7" t="s">
        <v>1394</v>
      </c>
      <c r="I1208" s="8" t="s">
        <v>1395</v>
      </c>
      <c r="J1208" t="e">
        <f>VLOOKUP(B1208,baru!$B$2:$I$2271,4,FALSE)</f>
        <v>#N/A</v>
      </c>
      <c r="K1208" t="e">
        <f>VLOOKUP(B1208,baru!$B$2:$I$2271,5,FALSE)</f>
        <v>#N/A</v>
      </c>
      <c r="L1208" t="e">
        <f>VLOOKUP(B1208,baru!$B$2:$I$2271,6,FALSE)</f>
        <v>#N/A</v>
      </c>
    </row>
    <row r="1209" spans="1:12" hidden="1" x14ac:dyDescent="0.35">
      <c r="A1209" s="6">
        <v>2567011</v>
      </c>
      <c r="B1209" s="7" t="str">
        <f>"3328100308760004"</f>
        <v>3328100308760004</v>
      </c>
      <c r="C1209" s="7" t="s">
        <v>2660</v>
      </c>
      <c r="D1209" s="7" t="s">
        <v>10</v>
      </c>
      <c r="E1209" s="7" t="s">
        <v>57</v>
      </c>
      <c r="F1209" s="7" t="s">
        <v>18</v>
      </c>
      <c r="G1209" s="7" t="s">
        <v>19</v>
      </c>
      <c r="H1209" s="7" t="s">
        <v>1394</v>
      </c>
      <c r="I1209" s="8" t="s">
        <v>1395</v>
      </c>
      <c r="J1209" t="e">
        <f>VLOOKUP(B1209,baru!$B$2:$I$2271,4,FALSE)</f>
        <v>#N/A</v>
      </c>
      <c r="K1209" t="e">
        <f>VLOOKUP(B1209,baru!$B$2:$I$2271,5,FALSE)</f>
        <v>#N/A</v>
      </c>
      <c r="L1209" t="e">
        <f>VLOOKUP(B1209,baru!$B$2:$I$2271,6,FALSE)</f>
        <v>#N/A</v>
      </c>
    </row>
    <row r="1210" spans="1:12" hidden="1" x14ac:dyDescent="0.35">
      <c r="A1210" s="13">
        <v>1779395</v>
      </c>
      <c r="B1210" s="14" t="str">
        <f>"3328104101900012"</f>
        <v>3328104101900012</v>
      </c>
      <c r="C1210" s="14" t="s">
        <v>2661</v>
      </c>
      <c r="D1210" s="14" t="s">
        <v>10</v>
      </c>
      <c r="E1210" s="14" t="s">
        <v>11</v>
      </c>
      <c r="F1210" s="14" t="s">
        <v>18</v>
      </c>
      <c r="G1210" s="14" t="s">
        <v>19</v>
      </c>
      <c r="H1210" s="14" t="s">
        <v>1394</v>
      </c>
      <c r="I1210" s="15" t="s">
        <v>2238</v>
      </c>
      <c r="J1210" s="16" t="str">
        <f>VLOOKUP(B1210,baru!$B$2:$I$2271,4,FALSE)</f>
        <v>Reguler</v>
      </c>
      <c r="K1210" s="16" t="str">
        <f>VLOOKUP(B1210,baru!$B$2:$I$2271,5,FALSE)</f>
        <v>JAWA BARAT</v>
      </c>
      <c r="L1210" s="16" t="str">
        <f>VLOOKUP(B1210,baru!$B$2:$I$2271,6,FALSE)</f>
        <v>KARAWANG</v>
      </c>
    </row>
    <row r="1211" spans="1:12" hidden="1" x14ac:dyDescent="0.35">
      <c r="A1211" s="6">
        <v>348782</v>
      </c>
      <c r="B1211" s="7" t="str">
        <f>"3328131802950002"</f>
        <v>3328131802950002</v>
      </c>
      <c r="C1211" s="7" t="s">
        <v>2662</v>
      </c>
      <c r="D1211" s="7" t="s">
        <v>10</v>
      </c>
      <c r="E1211" s="7" t="s">
        <v>11</v>
      </c>
      <c r="F1211" s="7" t="s">
        <v>18</v>
      </c>
      <c r="G1211" s="7" t="s">
        <v>268</v>
      </c>
      <c r="H1211" s="7" t="s">
        <v>269</v>
      </c>
      <c r="I1211" s="8" t="s">
        <v>270</v>
      </c>
    </row>
    <row r="1212" spans="1:12" hidden="1" x14ac:dyDescent="0.35">
      <c r="A1212" s="6">
        <v>2540689</v>
      </c>
      <c r="B1212" s="7" t="str">
        <f>"3328131802950002"</f>
        <v>3328131802950002</v>
      </c>
      <c r="C1212" s="7" t="s">
        <v>2663</v>
      </c>
      <c r="D1212" s="7" t="s">
        <v>10</v>
      </c>
      <c r="E1212" s="7" t="s">
        <v>57</v>
      </c>
      <c r="F1212" s="7" t="s">
        <v>18</v>
      </c>
      <c r="G1212" s="7" t="s">
        <v>19</v>
      </c>
      <c r="H1212" s="7" t="s">
        <v>1394</v>
      </c>
      <c r="I1212" s="8" t="s">
        <v>1395</v>
      </c>
      <c r="J1212" t="e">
        <f>VLOOKUP(B1212,baru!$B$2:$I$2271,4,FALSE)</f>
        <v>#N/A</v>
      </c>
      <c r="K1212" t="e">
        <f>VLOOKUP(B1212,baru!$B$2:$I$2271,5,FALSE)</f>
        <v>#N/A</v>
      </c>
      <c r="L1212" t="e">
        <f>VLOOKUP(B1212,baru!$B$2:$I$2271,6,FALSE)</f>
        <v>#N/A</v>
      </c>
    </row>
    <row r="1213" spans="1:12" hidden="1" x14ac:dyDescent="0.35">
      <c r="A1213" s="6">
        <v>289200</v>
      </c>
      <c r="B1213" s="7" t="str">
        <f>"3328160204790004"</f>
        <v>3328160204790004</v>
      </c>
      <c r="C1213" s="7" t="s">
        <v>2664</v>
      </c>
      <c r="D1213" s="7" t="s">
        <v>10</v>
      </c>
      <c r="E1213" s="7" t="s">
        <v>11</v>
      </c>
      <c r="F1213" s="7" t="s">
        <v>18</v>
      </c>
      <c r="G1213" s="7" t="s">
        <v>268</v>
      </c>
      <c r="H1213" s="7" t="s">
        <v>277</v>
      </c>
      <c r="I1213" s="8" t="s">
        <v>2665</v>
      </c>
    </row>
    <row r="1214" spans="1:12" hidden="1" x14ac:dyDescent="0.35">
      <c r="A1214" s="6">
        <v>2540774</v>
      </c>
      <c r="B1214" s="7" t="str">
        <f>"3328160204790004"</f>
        <v>3328160204790004</v>
      </c>
      <c r="C1214" s="7" t="s">
        <v>2666</v>
      </c>
      <c r="D1214" s="7" t="s">
        <v>10</v>
      </c>
      <c r="E1214" s="7" t="s">
        <v>57</v>
      </c>
      <c r="F1214" s="7" t="s">
        <v>18</v>
      </c>
      <c r="G1214" s="7" t="s">
        <v>19</v>
      </c>
      <c r="H1214" s="7" t="s">
        <v>1394</v>
      </c>
      <c r="I1214" s="8" t="s">
        <v>1395</v>
      </c>
      <c r="J1214" t="e">
        <f>VLOOKUP(B1214,baru!$B$2:$I$2271,4,FALSE)</f>
        <v>#N/A</v>
      </c>
      <c r="K1214" t="e">
        <f>VLOOKUP(B1214,baru!$B$2:$I$2271,5,FALSE)</f>
        <v>#N/A</v>
      </c>
      <c r="L1214" t="e">
        <f>VLOOKUP(B1214,baru!$B$2:$I$2271,6,FALSE)</f>
        <v>#N/A</v>
      </c>
    </row>
    <row r="1215" spans="1:12" hidden="1" x14ac:dyDescent="0.35">
      <c r="A1215" s="6">
        <v>1454675</v>
      </c>
      <c r="B1215" s="7" t="str">
        <f>"3329051904980001"</f>
        <v>3329051904980001</v>
      </c>
      <c r="C1215" s="7" t="s">
        <v>2667</v>
      </c>
      <c r="D1215" s="7" t="s">
        <v>10</v>
      </c>
      <c r="E1215" s="7" t="s">
        <v>11</v>
      </c>
      <c r="F1215" s="7" t="s">
        <v>18</v>
      </c>
      <c r="G1215" s="7" t="s">
        <v>264</v>
      </c>
      <c r="H1215" s="7" t="s">
        <v>289</v>
      </c>
      <c r="I1215" s="8" t="s">
        <v>2668</v>
      </c>
    </row>
    <row r="1216" spans="1:12" hidden="1" x14ac:dyDescent="0.35">
      <c r="A1216" s="6">
        <v>2540911</v>
      </c>
      <c r="B1216" s="7" t="str">
        <f>"3329051904980001"</f>
        <v>3329051904980001</v>
      </c>
      <c r="C1216" s="7" t="s">
        <v>2669</v>
      </c>
      <c r="D1216" s="7" t="s">
        <v>10</v>
      </c>
      <c r="E1216" s="7" t="s">
        <v>11</v>
      </c>
      <c r="F1216" s="7" t="s">
        <v>18</v>
      </c>
      <c r="G1216" s="7" t="s">
        <v>19</v>
      </c>
      <c r="H1216" s="7" t="s">
        <v>1394</v>
      </c>
      <c r="I1216" s="8" t="s">
        <v>1395</v>
      </c>
      <c r="J1216" t="e">
        <f>VLOOKUP(B1216,baru!$B$2:$I$2271,4,FALSE)</f>
        <v>#N/A</v>
      </c>
      <c r="K1216" t="e">
        <f>VLOOKUP(B1216,baru!$B$2:$I$2271,5,FALSE)</f>
        <v>#N/A</v>
      </c>
      <c r="L1216" t="e">
        <f>VLOOKUP(B1216,baru!$B$2:$I$2271,6,FALSE)</f>
        <v>#N/A</v>
      </c>
    </row>
    <row r="1217" spans="1:12" hidden="1" x14ac:dyDescent="0.35">
      <c r="A1217" s="6">
        <v>1494756</v>
      </c>
      <c r="B1217" s="7" t="str">
        <f>"3329052406720006"</f>
        <v>3329052406720006</v>
      </c>
      <c r="C1217" s="7" t="s">
        <v>1622</v>
      </c>
      <c r="D1217" s="7" t="s">
        <v>10</v>
      </c>
      <c r="E1217" s="7" t="s">
        <v>11</v>
      </c>
      <c r="F1217" s="7" t="s">
        <v>18</v>
      </c>
      <c r="G1217" s="7" t="s">
        <v>264</v>
      </c>
      <c r="H1217" s="7" t="s">
        <v>289</v>
      </c>
      <c r="I1217" s="8" t="s">
        <v>853</v>
      </c>
    </row>
    <row r="1218" spans="1:12" hidden="1" x14ac:dyDescent="0.35">
      <c r="A1218" s="6">
        <v>241026</v>
      </c>
      <c r="B1218" s="7" t="str">
        <f>"3329061002900002"</f>
        <v>3329061002900002</v>
      </c>
      <c r="C1218" s="7" t="s">
        <v>2670</v>
      </c>
      <c r="D1218" s="7" t="s">
        <v>10</v>
      </c>
      <c r="E1218" s="7" t="s">
        <v>11</v>
      </c>
      <c r="F1218" s="7" t="s">
        <v>18</v>
      </c>
      <c r="G1218" s="7" t="s">
        <v>264</v>
      </c>
      <c r="H1218" s="7" t="s">
        <v>468</v>
      </c>
      <c r="I1218" s="8" t="s">
        <v>2671</v>
      </c>
    </row>
    <row r="1219" spans="1:12" hidden="1" x14ac:dyDescent="0.35">
      <c r="A1219" s="6">
        <v>2540846</v>
      </c>
      <c r="B1219" s="7" t="str">
        <f>"3329061002900002"</f>
        <v>3329061002900002</v>
      </c>
      <c r="C1219" s="7" t="s">
        <v>2672</v>
      </c>
      <c r="D1219" s="7" t="s">
        <v>10</v>
      </c>
      <c r="E1219" s="7" t="s">
        <v>57</v>
      </c>
      <c r="F1219" s="7" t="s">
        <v>18</v>
      </c>
      <c r="G1219" s="7" t="s">
        <v>19</v>
      </c>
      <c r="H1219" s="7" t="s">
        <v>1394</v>
      </c>
      <c r="I1219" s="8" t="s">
        <v>1395</v>
      </c>
      <c r="J1219" t="e">
        <f>VLOOKUP(B1219,baru!$B$2:$I$2271,4,FALSE)</f>
        <v>#N/A</v>
      </c>
      <c r="K1219" t="e">
        <f>VLOOKUP(B1219,baru!$B$2:$I$2271,5,FALSE)</f>
        <v>#N/A</v>
      </c>
      <c r="L1219" t="e">
        <f>VLOOKUP(B1219,baru!$B$2:$I$2271,6,FALSE)</f>
        <v>#N/A</v>
      </c>
    </row>
    <row r="1220" spans="1:12" hidden="1" x14ac:dyDescent="0.35">
      <c r="A1220" s="6">
        <v>264360</v>
      </c>
      <c r="B1220" s="7" t="str">
        <f>"3329061802930003"</f>
        <v>3329061802930003</v>
      </c>
      <c r="C1220" s="7" t="s">
        <v>2673</v>
      </c>
      <c r="D1220" s="7" t="s">
        <v>10</v>
      </c>
      <c r="E1220" s="7" t="s">
        <v>11</v>
      </c>
      <c r="F1220" s="7" t="s">
        <v>18</v>
      </c>
      <c r="G1220" s="7" t="s">
        <v>264</v>
      </c>
      <c r="H1220" s="7" t="s">
        <v>468</v>
      </c>
      <c r="I1220" s="8" t="s">
        <v>468</v>
      </c>
    </row>
    <row r="1221" spans="1:12" hidden="1" x14ac:dyDescent="0.35">
      <c r="A1221" s="6">
        <v>274937</v>
      </c>
      <c r="B1221" s="7" t="str">
        <f>"3329062210780003"</f>
        <v>3329062210780003</v>
      </c>
      <c r="C1221" s="7" t="s">
        <v>2674</v>
      </c>
      <c r="D1221" s="7" t="s">
        <v>10</v>
      </c>
      <c r="E1221" s="7" t="s">
        <v>11</v>
      </c>
      <c r="F1221" s="7" t="s">
        <v>18</v>
      </c>
      <c r="G1221" s="7" t="s">
        <v>264</v>
      </c>
      <c r="H1221" s="7" t="s">
        <v>468</v>
      </c>
      <c r="I1221" s="8" t="s">
        <v>2675</v>
      </c>
    </row>
    <row r="1222" spans="1:12" hidden="1" x14ac:dyDescent="0.35">
      <c r="A1222" s="6">
        <v>2540831</v>
      </c>
      <c r="B1222" s="7" t="str">
        <f>"3329062210780003"</f>
        <v>3329062210780003</v>
      </c>
      <c r="C1222" s="7" t="s">
        <v>2676</v>
      </c>
      <c r="D1222" s="7" t="s">
        <v>10</v>
      </c>
      <c r="E1222" s="7" t="s">
        <v>57</v>
      </c>
      <c r="F1222" s="7" t="s">
        <v>18</v>
      </c>
      <c r="G1222" s="7" t="s">
        <v>19</v>
      </c>
      <c r="H1222" s="7" t="s">
        <v>1394</v>
      </c>
      <c r="I1222" s="8" t="s">
        <v>1395</v>
      </c>
      <c r="J1222" t="e">
        <f>VLOOKUP(B1222,baru!$B$2:$I$2271,4,FALSE)</f>
        <v>#N/A</v>
      </c>
      <c r="K1222" t="e">
        <f>VLOOKUP(B1222,baru!$B$2:$I$2271,5,FALSE)</f>
        <v>#N/A</v>
      </c>
      <c r="L1222" t="e">
        <f>VLOOKUP(B1222,baru!$B$2:$I$2271,6,FALSE)</f>
        <v>#N/A</v>
      </c>
    </row>
    <row r="1223" spans="1:12" hidden="1" x14ac:dyDescent="0.35">
      <c r="A1223" s="6">
        <v>247748</v>
      </c>
      <c r="B1223" s="7" t="str">
        <f>"3329064909910003"</f>
        <v>3329064909910003</v>
      </c>
      <c r="C1223" s="7" t="s">
        <v>2677</v>
      </c>
      <c r="D1223" s="7" t="s">
        <v>10</v>
      </c>
      <c r="E1223" s="7" t="s">
        <v>11</v>
      </c>
      <c r="F1223" s="7" t="s">
        <v>18</v>
      </c>
      <c r="G1223" s="7" t="s">
        <v>264</v>
      </c>
      <c r="H1223" s="7" t="s">
        <v>468</v>
      </c>
      <c r="I1223" s="8" t="s">
        <v>861</v>
      </c>
    </row>
    <row r="1224" spans="1:12" hidden="1" x14ac:dyDescent="0.35">
      <c r="A1224" s="6">
        <v>1254804</v>
      </c>
      <c r="B1224" s="7" t="str">
        <f>"3329070107020029"</f>
        <v>3329070107020029</v>
      </c>
      <c r="C1224" s="7" t="s">
        <v>2678</v>
      </c>
      <c r="D1224" s="7" t="s">
        <v>10</v>
      </c>
      <c r="E1224" s="7" t="s">
        <v>11</v>
      </c>
      <c r="F1224" s="7" t="s">
        <v>18</v>
      </c>
      <c r="G1224" s="7" t="s">
        <v>264</v>
      </c>
      <c r="H1224" s="7" t="s">
        <v>265</v>
      </c>
      <c r="I1224" s="8" t="s">
        <v>266</v>
      </c>
    </row>
    <row r="1225" spans="1:12" hidden="1" x14ac:dyDescent="0.35">
      <c r="A1225" s="6">
        <v>2540737</v>
      </c>
      <c r="B1225" s="7" t="str">
        <f>"3329070107020029"</f>
        <v>3329070107020029</v>
      </c>
      <c r="C1225" s="7" t="s">
        <v>2679</v>
      </c>
      <c r="D1225" s="7" t="s">
        <v>10</v>
      </c>
      <c r="E1225" s="7" t="s">
        <v>57</v>
      </c>
      <c r="F1225" s="7" t="s">
        <v>18</v>
      </c>
      <c r="G1225" s="7" t="s">
        <v>19</v>
      </c>
      <c r="H1225" s="7" t="s">
        <v>1394</v>
      </c>
      <c r="I1225" s="8" t="s">
        <v>1395</v>
      </c>
      <c r="J1225" t="e">
        <f>VLOOKUP(B1225,baru!$B$2:$I$2271,4,FALSE)</f>
        <v>#N/A</v>
      </c>
      <c r="K1225" t="e">
        <f>VLOOKUP(B1225,baru!$B$2:$I$2271,5,FALSE)</f>
        <v>#N/A</v>
      </c>
      <c r="L1225" t="e">
        <f>VLOOKUP(B1225,baru!$B$2:$I$2271,6,FALSE)</f>
        <v>#N/A</v>
      </c>
    </row>
    <row r="1226" spans="1:12" hidden="1" x14ac:dyDescent="0.35">
      <c r="A1226" s="13">
        <v>1868363</v>
      </c>
      <c r="B1226" s="14" t="str">
        <f>"3329070305780004"</f>
        <v>3329070305780004</v>
      </c>
      <c r="C1226" s="14" t="s">
        <v>2680</v>
      </c>
      <c r="D1226" s="14" t="s">
        <v>10</v>
      </c>
      <c r="E1226" s="14" t="s">
        <v>11</v>
      </c>
      <c r="F1226" s="14" t="s">
        <v>18</v>
      </c>
      <c r="G1226" s="14" t="s">
        <v>19</v>
      </c>
      <c r="H1226" s="14" t="s">
        <v>1394</v>
      </c>
      <c r="I1226" s="15" t="s">
        <v>2280</v>
      </c>
      <c r="J1226" s="16" t="str">
        <f>VLOOKUP(B1226,baru!$B$2:$I$2271,4,FALSE)</f>
        <v>Reguler</v>
      </c>
      <c r="K1226" s="16" t="str">
        <f>VLOOKUP(B1226,baru!$B$2:$I$2271,5,FALSE)</f>
        <v>JAWA TENGAH</v>
      </c>
      <c r="L1226" s="16" t="str">
        <f>VLOOKUP(B1226,baru!$B$2:$I$2271,6,FALSE)</f>
        <v>BREBES</v>
      </c>
    </row>
    <row r="1227" spans="1:12" hidden="1" x14ac:dyDescent="0.35">
      <c r="A1227" s="6">
        <v>1254781</v>
      </c>
      <c r="B1227" s="7" t="str">
        <f>"3329072302000002"</f>
        <v>3329072302000002</v>
      </c>
      <c r="C1227" s="7" t="s">
        <v>2681</v>
      </c>
      <c r="D1227" s="7" t="s">
        <v>10</v>
      </c>
      <c r="E1227" s="7" t="s">
        <v>11</v>
      </c>
      <c r="F1227" s="7" t="s">
        <v>18</v>
      </c>
      <c r="G1227" s="7" t="s">
        <v>264</v>
      </c>
      <c r="H1227" s="7" t="s">
        <v>265</v>
      </c>
      <c r="I1227" s="8" t="s">
        <v>266</v>
      </c>
    </row>
    <row r="1228" spans="1:12" hidden="1" x14ac:dyDescent="0.35">
      <c r="A1228" s="6">
        <v>2540675</v>
      </c>
      <c r="B1228" s="7" t="str">
        <f>"3329072302000002"</f>
        <v>3329072302000002</v>
      </c>
      <c r="C1228" s="7" t="s">
        <v>2682</v>
      </c>
      <c r="D1228" s="7" t="s">
        <v>10</v>
      </c>
      <c r="E1228" s="7" t="s">
        <v>57</v>
      </c>
      <c r="F1228" s="7" t="s">
        <v>18</v>
      </c>
      <c r="G1228" s="7" t="s">
        <v>19</v>
      </c>
      <c r="H1228" s="7" t="s">
        <v>1394</v>
      </c>
      <c r="I1228" s="8" t="s">
        <v>1395</v>
      </c>
      <c r="J1228" t="e">
        <f>VLOOKUP(B1228,baru!$B$2:$I$2271,4,FALSE)</f>
        <v>#N/A</v>
      </c>
      <c r="K1228" t="e">
        <f>VLOOKUP(B1228,baru!$B$2:$I$2271,5,FALSE)</f>
        <v>#N/A</v>
      </c>
      <c r="L1228" t="e">
        <f>VLOOKUP(B1228,baru!$B$2:$I$2271,6,FALSE)</f>
        <v>#N/A</v>
      </c>
    </row>
    <row r="1229" spans="1:12" hidden="1" x14ac:dyDescent="0.35">
      <c r="A1229" s="13">
        <v>1868362</v>
      </c>
      <c r="B1229" s="14" t="str">
        <f>"3329073107990002"</f>
        <v>3329073107990002</v>
      </c>
      <c r="C1229" s="14" t="s">
        <v>1843</v>
      </c>
      <c r="D1229" s="14" t="s">
        <v>10</v>
      </c>
      <c r="E1229" s="14" t="s">
        <v>11</v>
      </c>
      <c r="F1229" s="14" t="s">
        <v>18</v>
      </c>
      <c r="G1229" s="14" t="s">
        <v>19</v>
      </c>
      <c r="H1229" s="14" t="s">
        <v>1394</v>
      </c>
      <c r="I1229" s="15" t="s">
        <v>2280</v>
      </c>
      <c r="J1229" s="16" t="str">
        <f>VLOOKUP(B1229,baru!$B$2:$I$2271,4,FALSE)</f>
        <v>Reguler</v>
      </c>
      <c r="K1229" s="16" t="str">
        <f>VLOOKUP(B1229,baru!$B$2:$I$2271,5,FALSE)</f>
        <v>JAWA TENGAH</v>
      </c>
      <c r="L1229" s="16" t="str">
        <f>VLOOKUP(B1229,baru!$B$2:$I$2271,6,FALSE)</f>
        <v>BREBES</v>
      </c>
    </row>
    <row r="1230" spans="1:12" hidden="1" x14ac:dyDescent="0.35">
      <c r="A1230" s="13">
        <v>1868360</v>
      </c>
      <c r="B1230" s="14" t="str">
        <f>"3329074408060002"</f>
        <v>3329074408060002</v>
      </c>
      <c r="C1230" s="14" t="s">
        <v>2683</v>
      </c>
      <c r="D1230" s="14" t="s">
        <v>10</v>
      </c>
      <c r="E1230" s="14" t="s">
        <v>11</v>
      </c>
      <c r="F1230" s="14" t="s">
        <v>18</v>
      </c>
      <c r="G1230" s="14" t="s">
        <v>19</v>
      </c>
      <c r="H1230" s="14" t="s">
        <v>1394</v>
      </c>
      <c r="I1230" s="15" t="s">
        <v>2280</v>
      </c>
      <c r="J1230" s="16" t="str">
        <f>VLOOKUP(B1230,baru!$B$2:$I$2271,4,FALSE)</f>
        <v>Reguler</v>
      </c>
      <c r="K1230" s="16" t="str">
        <f>VLOOKUP(B1230,baru!$B$2:$I$2271,5,FALSE)</f>
        <v>JAWA TENGAH</v>
      </c>
      <c r="L1230" s="16" t="str">
        <f>VLOOKUP(B1230,baru!$B$2:$I$2271,6,FALSE)</f>
        <v>BREBES</v>
      </c>
    </row>
    <row r="1231" spans="1:12" hidden="1" x14ac:dyDescent="0.35">
      <c r="A1231" s="6">
        <v>779272</v>
      </c>
      <c r="B1231" s="7" t="str">
        <f>"3329080506810011"</f>
        <v>3329080506810011</v>
      </c>
      <c r="C1231" s="7" t="s">
        <v>2684</v>
      </c>
      <c r="D1231" s="7" t="s">
        <v>10</v>
      </c>
      <c r="E1231" s="7" t="s">
        <v>11</v>
      </c>
      <c r="F1231" s="7" t="s">
        <v>18</v>
      </c>
      <c r="G1231" s="7" t="s">
        <v>264</v>
      </c>
      <c r="H1231" s="7" t="s">
        <v>248</v>
      </c>
      <c r="I1231" s="8" t="s">
        <v>2513</v>
      </c>
    </row>
    <row r="1232" spans="1:12" hidden="1" x14ac:dyDescent="0.35">
      <c r="A1232" s="6">
        <v>2540836</v>
      </c>
      <c r="B1232" s="7" t="str">
        <f>"3329080506810011"</f>
        <v>3329080506810011</v>
      </c>
      <c r="C1232" s="7" t="s">
        <v>2685</v>
      </c>
      <c r="D1232" s="7" t="s">
        <v>10</v>
      </c>
      <c r="E1232" s="7" t="s">
        <v>57</v>
      </c>
      <c r="F1232" s="7" t="s">
        <v>18</v>
      </c>
      <c r="G1232" s="7" t="s">
        <v>19</v>
      </c>
      <c r="H1232" s="7" t="s">
        <v>1394</v>
      </c>
      <c r="I1232" s="8" t="s">
        <v>1395</v>
      </c>
      <c r="J1232" t="e">
        <f>VLOOKUP(B1232,baru!$B$2:$I$2271,4,FALSE)</f>
        <v>#N/A</v>
      </c>
      <c r="K1232" t="e">
        <f>VLOOKUP(B1232,baru!$B$2:$I$2271,5,FALSE)</f>
        <v>#N/A</v>
      </c>
      <c r="L1232" t="e">
        <f>VLOOKUP(B1232,baru!$B$2:$I$2271,6,FALSE)</f>
        <v>#N/A</v>
      </c>
    </row>
    <row r="1233" spans="1:12" hidden="1" x14ac:dyDescent="0.35">
      <c r="A1233" s="6">
        <v>52260</v>
      </c>
      <c r="B1233" s="7" t="str">
        <f>"3329081706000008"</f>
        <v>3329081706000008</v>
      </c>
      <c r="C1233" s="7" t="s">
        <v>2686</v>
      </c>
      <c r="D1233" s="7" t="s">
        <v>10</v>
      </c>
      <c r="E1233" s="7" t="s">
        <v>11</v>
      </c>
      <c r="F1233" s="7" t="s">
        <v>18</v>
      </c>
      <c r="G1233" s="7" t="s">
        <v>264</v>
      </c>
      <c r="H1233" s="7" t="s">
        <v>248</v>
      </c>
      <c r="I1233" s="8" t="s">
        <v>1142</v>
      </c>
    </row>
    <row r="1234" spans="1:12" hidden="1" x14ac:dyDescent="0.35">
      <c r="A1234" s="6">
        <v>2540725</v>
      </c>
      <c r="B1234" s="7" t="str">
        <f>"3329081706000008"</f>
        <v>3329081706000008</v>
      </c>
      <c r="C1234" s="7" t="s">
        <v>2687</v>
      </c>
      <c r="D1234" s="7" t="s">
        <v>10</v>
      </c>
      <c r="E1234" s="7" t="s">
        <v>57</v>
      </c>
      <c r="F1234" s="7" t="s">
        <v>18</v>
      </c>
      <c r="G1234" s="7" t="s">
        <v>19</v>
      </c>
      <c r="H1234" s="7" t="s">
        <v>1394</v>
      </c>
      <c r="I1234" s="8" t="s">
        <v>1395</v>
      </c>
      <c r="J1234" t="e">
        <f>VLOOKUP(B1234,baru!$B$2:$I$2271,4,FALSE)</f>
        <v>#N/A</v>
      </c>
      <c r="K1234" t="e">
        <f>VLOOKUP(B1234,baru!$B$2:$I$2271,5,FALSE)</f>
        <v>#N/A</v>
      </c>
      <c r="L1234" t="e">
        <f>VLOOKUP(B1234,baru!$B$2:$I$2271,6,FALSE)</f>
        <v>#N/A</v>
      </c>
    </row>
    <row r="1235" spans="1:12" hidden="1" x14ac:dyDescent="0.35">
      <c r="A1235" s="6">
        <v>1002266</v>
      </c>
      <c r="B1235" s="7" t="str">
        <f>"3329082205940006"</f>
        <v>3329082205940006</v>
      </c>
      <c r="C1235" s="7" t="s">
        <v>2688</v>
      </c>
      <c r="D1235" s="7" t="s">
        <v>10</v>
      </c>
      <c r="E1235" s="7" t="s">
        <v>11</v>
      </c>
      <c r="F1235" s="7" t="s">
        <v>18</v>
      </c>
      <c r="G1235" s="7" t="s">
        <v>264</v>
      </c>
      <c r="H1235" s="7" t="s">
        <v>248</v>
      </c>
      <c r="I1235" s="8" t="s">
        <v>2689</v>
      </c>
    </row>
    <row r="1236" spans="1:12" hidden="1" x14ac:dyDescent="0.35">
      <c r="A1236" s="6">
        <v>2540713</v>
      </c>
      <c r="B1236" s="7" t="str">
        <f>"3329082205940006"</f>
        <v>3329082205940006</v>
      </c>
      <c r="C1236" s="7" t="s">
        <v>2690</v>
      </c>
      <c r="D1236" s="7" t="s">
        <v>10</v>
      </c>
      <c r="E1236" s="7" t="s">
        <v>57</v>
      </c>
      <c r="F1236" s="7" t="s">
        <v>18</v>
      </c>
      <c r="G1236" s="7" t="s">
        <v>19</v>
      </c>
      <c r="H1236" s="7" t="s">
        <v>1394</v>
      </c>
      <c r="I1236" s="8" t="s">
        <v>1395</v>
      </c>
      <c r="J1236" t="e">
        <f>VLOOKUP(B1236,baru!$B$2:$I$2271,4,FALSE)</f>
        <v>#N/A</v>
      </c>
      <c r="K1236" t="e">
        <f>VLOOKUP(B1236,baru!$B$2:$I$2271,5,FALSE)</f>
        <v>#N/A</v>
      </c>
      <c r="L1236" t="e">
        <f>VLOOKUP(B1236,baru!$B$2:$I$2271,6,FALSE)</f>
        <v>#N/A</v>
      </c>
    </row>
    <row r="1237" spans="1:12" hidden="1" x14ac:dyDescent="0.35">
      <c r="A1237" s="6">
        <v>769719</v>
      </c>
      <c r="B1237" s="7" t="str">
        <f>"3329084802970006"</f>
        <v>3329084802970006</v>
      </c>
      <c r="C1237" s="7" t="s">
        <v>2691</v>
      </c>
      <c r="D1237" s="7" t="s">
        <v>10</v>
      </c>
      <c r="E1237" s="7" t="s">
        <v>11</v>
      </c>
      <c r="F1237" s="7" t="s">
        <v>18</v>
      </c>
      <c r="G1237" s="7" t="s">
        <v>264</v>
      </c>
      <c r="H1237" s="7" t="s">
        <v>248</v>
      </c>
      <c r="I1237" s="8" t="s">
        <v>2513</v>
      </c>
    </row>
    <row r="1238" spans="1:12" hidden="1" x14ac:dyDescent="0.35">
      <c r="A1238" s="13">
        <v>2540665</v>
      </c>
      <c r="B1238" s="14" t="str">
        <f>"3329090304890002"</f>
        <v>3329090304890002</v>
      </c>
      <c r="C1238" s="14" t="s">
        <v>2693</v>
      </c>
      <c r="D1238" s="14" t="s">
        <v>10</v>
      </c>
      <c r="E1238" s="14" t="s">
        <v>57</v>
      </c>
      <c r="F1238" s="14" t="s">
        <v>18</v>
      </c>
      <c r="G1238" s="14" t="s">
        <v>19</v>
      </c>
      <c r="H1238" s="14" t="s">
        <v>1394</v>
      </c>
      <c r="I1238" s="15" t="s">
        <v>1395</v>
      </c>
      <c r="J1238" s="16" t="str">
        <f>VLOOKUP(B1238,baru!$B$2:$I$2271,4,FALSE)</f>
        <v>Reguler</v>
      </c>
      <c r="K1238" s="16" t="str">
        <f>VLOOKUP(B1238,baru!$B$2:$I$2271,5,FALSE)</f>
        <v>JAWA TENGAH</v>
      </c>
      <c r="L1238" s="16" t="str">
        <f>VLOOKUP(B1238,baru!$B$2:$I$2271,6,FALSE)</f>
        <v>BREBES</v>
      </c>
    </row>
    <row r="1239" spans="1:12" hidden="1" x14ac:dyDescent="0.35">
      <c r="A1239" s="6">
        <v>1144890</v>
      </c>
      <c r="B1239" s="7" t="str">
        <f>"3329091010740023"</f>
        <v>3329091010740023</v>
      </c>
      <c r="C1239" s="7" t="s">
        <v>2694</v>
      </c>
      <c r="D1239" s="7" t="s">
        <v>10</v>
      </c>
      <c r="E1239" s="7" t="s">
        <v>11</v>
      </c>
      <c r="F1239" s="7" t="s">
        <v>18</v>
      </c>
      <c r="G1239" s="7" t="s">
        <v>264</v>
      </c>
      <c r="H1239" s="7" t="s">
        <v>264</v>
      </c>
      <c r="I1239" s="8" t="s">
        <v>2695</v>
      </c>
    </row>
    <row r="1240" spans="1:12" hidden="1" x14ac:dyDescent="0.35">
      <c r="A1240" s="6">
        <v>2540816</v>
      </c>
      <c r="B1240" s="7" t="str">
        <f>"3329091010740023"</f>
        <v>3329091010740023</v>
      </c>
      <c r="C1240" s="7" t="s">
        <v>2696</v>
      </c>
      <c r="D1240" s="7" t="s">
        <v>10</v>
      </c>
      <c r="E1240" s="7" t="s">
        <v>57</v>
      </c>
      <c r="F1240" s="7" t="s">
        <v>18</v>
      </c>
      <c r="G1240" s="7" t="s">
        <v>19</v>
      </c>
      <c r="H1240" s="7" t="s">
        <v>1394</v>
      </c>
      <c r="I1240" s="8" t="s">
        <v>1395</v>
      </c>
      <c r="J1240" t="e">
        <f>VLOOKUP(B1240,baru!$B$2:$I$2271,4,FALSE)</f>
        <v>#N/A</v>
      </c>
      <c r="K1240" t="e">
        <f>VLOOKUP(B1240,baru!$B$2:$I$2271,5,FALSE)</f>
        <v>#N/A</v>
      </c>
      <c r="L1240" t="e">
        <f>VLOOKUP(B1240,baru!$B$2:$I$2271,6,FALSE)</f>
        <v>#N/A</v>
      </c>
    </row>
    <row r="1241" spans="1:12" hidden="1" x14ac:dyDescent="0.35">
      <c r="A1241" s="6">
        <v>579409</v>
      </c>
      <c r="B1241" s="7" t="str">
        <f>"3329091602860010"</f>
        <v>3329091602860010</v>
      </c>
      <c r="C1241" s="7" t="s">
        <v>2697</v>
      </c>
      <c r="D1241" s="7" t="s">
        <v>10</v>
      </c>
      <c r="E1241" s="7" t="s">
        <v>11</v>
      </c>
      <c r="F1241" s="7" t="s">
        <v>18</v>
      </c>
      <c r="G1241" s="7" t="s">
        <v>264</v>
      </c>
      <c r="H1241" s="7" t="s">
        <v>264</v>
      </c>
      <c r="I1241" s="8" t="s">
        <v>2698</v>
      </c>
    </row>
    <row r="1242" spans="1:12" hidden="1" x14ac:dyDescent="0.35">
      <c r="A1242" s="6">
        <v>2540762</v>
      </c>
      <c r="B1242" s="7" t="str">
        <f>"3329091602860010"</f>
        <v>3329091602860010</v>
      </c>
      <c r="C1242" s="7" t="s">
        <v>2699</v>
      </c>
      <c r="D1242" s="7" t="s">
        <v>10</v>
      </c>
      <c r="E1242" s="7" t="s">
        <v>57</v>
      </c>
      <c r="F1242" s="7" t="s">
        <v>18</v>
      </c>
      <c r="G1242" s="7" t="s">
        <v>19</v>
      </c>
      <c r="H1242" s="7" t="s">
        <v>1394</v>
      </c>
      <c r="I1242" s="8" t="s">
        <v>1395</v>
      </c>
      <c r="J1242" t="e">
        <f>VLOOKUP(B1242,baru!$B$2:$I$2271,4,FALSE)</f>
        <v>#N/A</v>
      </c>
      <c r="K1242" t="e">
        <f>VLOOKUP(B1242,baru!$B$2:$I$2271,5,FALSE)</f>
        <v>#N/A</v>
      </c>
      <c r="L1242" t="e">
        <f>VLOOKUP(B1242,baru!$B$2:$I$2271,6,FALSE)</f>
        <v>#N/A</v>
      </c>
    </row>
    <row r="1243" spans="1:12" hidden="1" x14ac:dyDescent="0.35">
      <c r="A1243" s="6">
        <v>570591</v>
      </c>
      <c r="B1243" s="7" t="str">
        <f>"3329092008950007"</f>
        <v>3329092008950007</v>
      </c>
      <c r="C1243" s="7" t="s">
        <v>2700</v>
      </c>
      <c r="D1243" s="7" t="s">
        <v>10</v>
      </c>
      <c r="E1243" s="7" t="s">
        <v>11</v>
      </c>
      <c r="F1243" s="7" t="s">
        <v>18</v>
      </c>
      <c r="G1243" s="7" t="s">
        <v>264</v>
      </c>
      <c r="H1243" s="7" t="s">
        <v>264</v>
      </c>
      <c r="I1243" s="8" t="s">
        <v>1406</v>
      </c>
    </row>
    <row r="1244" spans="1:12" hidden="1" x14ac:dyDescent="0.35">
      <c r="A1244" s="6">
        <v>2540729</v>
      </c>
      <c r="B1244" s="7" t="str">
        <f>"3329092008950007"</f>
        <v>3329092008950007</v>
      </c>
      <c r="C1244" s="7" t="s">
        <v>2701</v>
      </c>
      <c r="D1244" s="7" t="s">
        <v>10</v>
      </c>
      <c r="E1244" s="7" t="s">
        <v>57</v>
      </c>
      <c r="F1244" s="7" t="s">
        <v>18</v>
      </c>
      <c r="G1244" s="7" t="s">
        <v>19</v>
      </c>
      <c r="H1244" s="7" t="s">
        <v>1394</v>
      </c>
      <c r="I1244" s="8" t="s">
        <v>1395</v>
      </c>
      <c r="J1244" t="e">
        <f>VLOOKUP(B1244,baru!$B$2:$I$2271,4,FALSE)</f>
        <v>#N/A</v>
      </c>
      <c r="K1244" t="e">
        <f>VLOOKUP(B1244,baru!$B$2:$I$2271,5,FALSE)</f>
        <v>#N/A</v>
      </c>
      <c r="L1244" t="e">
        <f>VLOOKUP(B1244,baru!$B$2:$I$2271,6,FALSE)</f>
        <v>#N/A</v>
      </c>
    </row>
    <row r="1245" spans="1:12" hidden="1" x14ac:dyDescent="0.35">
      <c r="A1245" s="6">
        <v>1146702</v>
      </c>
      <c r="B1245" s="7" t="str">
        <f>"3329092508000005"</f>
        <v>3329092508000005</v>
      </c>
      <c r="C1245" s="7" t="s">
        <v>2702</v>
      </c>
      <c r="D1245" s="7" t="s">
        <v>10</v>
      </c>
      <c r="E1245" s="7" t="s">
        <v>11</v>
      </c>
      <c r="F1245" s="7" t="s">
        <v>18</v>
      </c>
      <c r="G1245" s="7" t="s">
        <v>264</v>
      </c>
      <c r="H1245" s="7" t="s">
        <v>264</v>
      </c>
      <c r="I1245" s="8" t="s">
        <v>2695</v>
      </c>
    </row>
    <row r="1246" spans="1:12" hidden="1" x14ac:dyDescent="0.35">
      <c r="A1246" s="6">
        <v>2540829</v>
      </c>
      <c r="B1246" s="7" t="str">
        <f>"3329092508000005"</f>
        <v>3329092508000005</v>
      </c>
      <c r="C1246" s="7" t="s">
        <v>2703</v>
      </c>
      <c r="D1246" s="7" t="s">
        <v>10</v>
      </c>
      <c r="E1246" s="7" t="s">
        <v>57</v>
      </c>
      <c r="F1246" s="7" t="s">
        <v>18</v>
      </c>
      <c r="G1246" s="7" t="s">
        <v>19</v>
      </c>
      <c r="H1246" s="7" t="s">
        <v>1394</v>
      </c>
      <c r="I1246" s="8" t="s">
        <v>1395</v>
      </c>
      <c r="J1246" t="e">
        <f>VLOOKUP(B1246,baru!$B$2:$I$2271,4,FALSE)</f>
        <v>#N/A</v>
      </c>
      <c r="K1246" t="e">
        <f>VLOOKUP(B1246,baru!$B$2:$I$2271,5,FALSE)</f>
        <v>#N/A</v>
      </c>
      <c r="L1246" t="e">
        <f>VLOOKUP(B1246,baru!$B$2:$I$2271,6,FALSE)</f>
        <v>#N/A</v>
      </c>
    </row>
    <row r="1247" spans="1:12" hidden="1" x14ac:dyDescent="0.35">
      <c r="A1247" s="13">
        <v>2540912</v>
      </c>
      <c r="B1247" s="14" t="str">
        <f>"3329092709930001"</f>
        <v>3329092709930001</v>
      </c>
      <c r="C1247" s="14" t="s">
        <v>2705</v>
      </c>
      <c r="D1247" s="14" t="s">
        <v>10</v>
      </c>
      <c r="E1247" s="14" t="s">
        <v>57</v>
      </c>
      <c r="F1247" s="14" t="s">
        <v>18</v>
      </c>
      <c r="G1247" s="14" t="s">
        <v>19</v>
      </c>
      <c r="H1247" s="14" t="s">
        <v>1394</v>
      </c>
      <c r="I1247" s="15" t="s">
        <v>1395</v>
      </c>
      <c r="J1247" s="16" t="str">
        <f>VLOOKUP(B1247,baru!$B$2:$I$2271,4,FALSE)</f>
        <v>Reguler</v>
      </c>
      <c r="K1247" s="16" t="str">
        <f>VLOOKUP(B1247,baru!$B$2:$I$2271,5,FALSE)</f>
        <v>JAWA TENGAH</v>
      </c>
      <c r="L1247" s="16" t="str">
        <f>VLOOKUP(B1247,baru!$B$2:$I$2271,6,FALSE)</f>
        <v>BREBES</v>
      </c>
    </row>
    <row r="1248" spans="1:12" hidden="1" x14ac:dyDescent="0.35">
      <c r="A1248" s="6">
        <v>1467775</v>
      </c>
      <c r="B1248" s="7" t="str">
        <f>"3329101710880009"</f>
        <v>3329101710880009</v>
      </c>
      <c r="C1248" s="7" t="s">
        <v>2706</v>
      </c>
      <c r="D1248" s="7" t="s">
        <v>10</v>
      </c>
      <c r="E1248" s="7" t="s">
        <v>11</v>
      </c>
      <c r="F1248" s="7" t="s">
        <v>18</v>
      </c>
      <c r="G1248" s="7" t="s">
        <v>264</v>
      </c>
      <c r="H1248" s="7" t="s">
        <v>273</v>
      </c>
      <c r="I1248" s="8" t="s">
        <v>2080</v>
      </c>
    </row>
    <row r="1249" spans="1:12" hidden="1" x14ac:dyDescent="0.35">
      <c r="A1249" s="6">
        <v>2540772</v>
      </c>
      <c r="B1249" s="7" t="str">
        <f>"3329101710880009"</f>
        <v>3329101710880009</v>
      </c>
      <c r="C1249" s="7" t="s">
        <v>2707</v>
      </c>
      <c r="D1249" s="7" t="s">
        <v>10</v>
      </c>
      <c r="E1249" s="7" t="s">
        <v>57</v>
      </c>
      <c r="F1249" s="7" t="s">
        <v>18</v>
      </c>
      <c r="G1249" s="7" t="s">
        <v>19</v>
      </c>
      <c r="H1249" s="7" t="s">
        <v>1394</v>
      </c>
      <c r="I1249" s="8" t="s">
        <v>1395</v>
      </c>
      <c r="J1249" t="e">
        <f>VLOOKUP(B1249,baru!$B$2:$I$2271,4,FALSE)</f>
        <v>#N/A</v>
      </c>
      <c r="K1249" t="e">
        <f>VLOOKUP(B1249,baru!$B$2:$I$2271,5,FALSE)</f>
        <v>#N/A</v>
      </c>
      <c r="L1249" t="e">
        <f>VLOOKUP(B1249,baru!$B$2:$I$2271,6,FALSE)</f>
        <v>#N/A</v>
      </c>
    </row>
    <row r="1250" spans="1:12" hidden="1" x14ac:dyDescent="0.35">
      <c r="A1250" s="6">
        <v>1519797</v>
      </c>
      <c r="B1250" s="7" t="str">
        <f>"3329102812900003"</f>
        <v>3329102812900003</v>
      </c>
      <c r="C1250" s="7" t="s">
        <v>2708</v>
      </c>
      <c r="D1250" s="7" t="s">
        <v>10</v>
      </c>
      <c r="E1250" s="7" t="s">
        <v>11</v>
      </c>
      <c r="F1250" s="7" t="s">
        <v>18</v>
      </c>
      <c r="G1250" s="7" t="s">
        <v>264</v>
      </c>
      <c r="H1250" s="7" t="s">
        <v>273</v>
      </c>
      <c r="I1250" s="8" t="s">
        <v>2709</v>
      </c>
    </row>
    <row r="1251" spans="1:12" hidden="1" x14ac:dyDescent="0.35">
      <c r="A1251" s="6">
        <v>2540842</v>
      </c>
      <c r="B1251" s="7" t="str">
        <f>"3329102812900003"</f>
        <v>3329102812900003</v>
      </c>
      <c r="C1251" s="7" t="s">
        <v>2710</v>
      </c>
      <c r="D1251" s="7" t="s">
        <v>10</v>
      </c>
      <c r="E1251" s="7" t="s">
        <v>57</v>
      </c>
      <c r="F1251" s="7" t="s">
        <v>18</v>
      </c>
      <c r="G1251" s="7" t="s">
        <v>19</v>
      </c>
      <c r="H1251" s="7" t="s">
        <v>1394</v>
      </c>
      <c r="I1251" s="8" t="s">
        <v>1395</v>
      </c>
      <c r="J1251" t="e">
        <f>VLOOKUP(B1251,baru!$B$2:$I$2271,4,FALSE)</f>
        <v>#N/A</v>
      </c>
      <c r="K1251" t="e">
        <f>VLOOKUP(B1251,baru!$B$2:$I$2271,5,FALSE)</f>
        <v>#N/A</v>
      </c>
      <c r="L1251" t="e">
        <f>VLOOKUP(B1251,baru!$B$2:$I$2271,6,FALSE)</f>
        <v>#N/A</v>
      </c>
    </row>
    <row r="1252" spans="1:12" hidden="1" x14ac:dyDescent="0.35">
      <c r="A1252" s="6">
        <v>1461214</v>
      </c>
      <c r="B1252" s="7" t="str">
        <f>"3329104703890008"</f>
        <v>3329104703890008</v>
      </c>
      <c r="C1252" s="7" t="s">
        <v>2711</v>
      </c>
      <c r="D1252" s="7" t="s">
        <v>10</v>
      </c>
      <c r="E1252" s="7" t="s">
        <v>11</v>
      </c>
      <c r="F1252" s="7" t="s">
        <v>18</v>
      </c>
      <c r="G1252" s="7" t="s">
        <v>264</v>
      </c>
      <c r="H1252" s="7" t="s">
        <v>273</v>
      </c>
      <c r="I1252" s="8" t="s">
        <v>2083</v>
      </c>
    </row>
    <row r="1253" spans="1:12" hidden="1" x14ac:dyDescent="0.35">
      <c r="A1253" s="6">
        <v>409597</v>
      </c>
      <c r="B1253" s="7" t="str">
        <f>"3329140107750392"</f>
        <v>3329140107750392</v>
      </c>
      <c r="C1253" s="7" t="s">
        <v>2712</v>
      </c>
      <c r="D1253" s="7" t="s">
        <v>10</v>
      </c>
      <c r="E1253" s="7" t="s">
        <v>11</v>
      </c>
      <c r="F1253" s="7" t="s">
        <v>18</v>
      </c>
      <c r="G1253" s="7" t="s">
        <v>264</v>
      </c>
      <c r="H1253" s="7" t="s">
        <v>477</v>
      </c>
      <c r="I1253" s="8" t="s">
        <v>2091</v>
      </c>
    </row>
    <row r="1254" spans="1:12" hidden="1" x14ac:dyDescent="0.35">
      <c r="A1254" s="6">
        <v>389522</v>
      </c>
      <c r="B1254" s="7" t="str">
        <f>"3329141208970004"</f>
        <v>3329141208970004</v>
      </c>
      <c r="C1254" s="7" t="s">
        <v>2713</v>
      </c>
      <c r="D1254" s="7" t="s">
        <v>10</v>
      </c>
      <c r="E1254" s="7" t="s">
        <v>11</v>
      </c>
      <c r="F1254" s="7" t="s">
        <v>18</v>
      </c>
      <c r="G1254" s="7" t="s">
        <v>264</v>
      </c>
      <c r="H1254" s="7" t="s">
        <v>477</v>
      </c>
      <c r="I1254" s="8" t="s">
        <v>2714</v>
      </c>
    </row>
    <row r="1255" spans="1:12" hidden="1" x14ac:dyDescent="0.35">
      <c r="A1255" s="6">
        <v>718970</v>
      </c>
      <c r="B1255" s="7" t="str">
        <f>"3329151007940021"</f>
        <v>3329151007940021</v>
      </c>
      <c r="C1255" s="7" t="s">
        <v>2715</v>
      </c>
      <c r="D1255" s="7" t="s">
        <v>10</v>
      </c>
      <c r="E1255" s="7" t="s">
        <v>11</v>
      </c>
      <c r="F1255" s="7" t="s">
        <v>18</v>
      </c>
      <c r="G1255" s="7" t="s">
        <v>264</v>
      </c>
      <c r="H1255" s="7" t="s">
        <v>330</v>
      </c>
      <c r="I1255" s="8" t="s">
        <v>2093</v>
      </c>
    </row>
    <row r="1256" spans="1:12" hidden="1" x14ac:dyDescent="0.35">
      <c r="A1256" s="6">
        <v>2540891</v>
      </c>
      <c r="B1256" s="7" t="str">
        <f>"3329151007940021"</f>
        <v>3329151007940021</v>
      </c>
      <c r="C1256" s="7" t="s">
        <v>2716</v>
      </c>
      <c r="D1256" s="7" t="s">
        <v>10</v>
      </c>
      <c r="E1256" s="7" t="s">
        <v>57</v>
      </c>
      <c r="F1256" s="7" t="s">
        <v>18</v>
      </c>
      <c r="G1256" s="7" t="s">
        <v>19</v>
      </c>
      <c r="H1256" s="7" t="s">
        <v>1394</v>
      </c>
      <c r="I1256" s="8" t="s">
        <v>1395</v>
      </c>
      <c r="J1256" t="e">
        <f>VLOOKUP(B1256,baru!$B$2:$I$2271,4,FALSE)</f>
        <v>#N/A</v>
      </c>
      <c r="K1256" t="e">
        <f>VLOOKUP(B1256,baru!$B$2:$I$2271,5,FALSE)</f>
        <v>#N/A</v>
      </c>
      <c r="L1256" t="e">
        <f>VLOOKUP(B1256,baru!$B$2:$I$2271,6,FALSE)</f>
        <v>#N/A</v>
      </c>
    </row>
    <row r="1257" spans="1:12" hidden="1" x14ac:dyDescent="0.35">
      <c r="A1257" s="6">
        <v>719011</v>
      </c>
      <c r="B1257" s="7" t="str">
        <f>"3329151210920003"</f>
        <v>3329151210920003</v>
      </c>
      <c r="C1257" s="7" t="s">
        <v>2717</v>
      </c>
      <c r="D1257" s="7" t="s">
        <v>10</v>
      </c>
      <c r="E1257" s="7" t="s">
        <v>11</v>
      </c>
      <c r="F1257" s="7" t="s">
        <v>18</v>
      </c>
      <c r="G1257" s="7" t="s">
        <v>264</v>
      </c>
      <c r="H1257" s="7" t="s">
        <v>330</v>
      </c>
      <c r="I1257" s="8" t="s">
        <v>2093</v>
      </c>
    </row>
    <row r="1258" spans="1:12" hidden="1" x14ac:dyDescent="0.35">
      <c r="A1258" s="6">
        <v>2540906</v>
      </c>
      <c r="B1258" s="7" t="str">
        <f>"3329151210920003"</f>
        <v>3329151210920003</v>
      </c>
      <c r="C1258" s="7" t="s">
        <v>2718</v>
      </c>
      <c r="D1258" s="7" t="s">
        <v>10</v>
      </c>
      <c r="E1258" s="7" t="s">
        <v>57</v>
      </c>
      <c r="F1258" s="7" t="s">
        <v>18</v>
      </c>
      <c r="G1258" s="7" t="s">
        <v>19</v>
      </c>
      <c r="H1258" s="7" t="s">
        <v>1394</v>
      </c>
      <c r="I1258" s="8" t="s">
        <v>1395</v>
      </c>
      <c r="J1258" t="e">
        <f>VLOOKUP(B1258,baru!$B$2:$I$2271,4,FALSE)</f>
        <v>#N/A</v>
      </c>
      <c r="K1258" t="e">
        <f>VLOOKUP(B1258,baru!$B$2:$I$2271,5,FALSE)</f>
        <v>#N/A</v>
      </c>
      <c r="L1258" t="e">
        <f>VLOOKUP(B1258,baru!$B$2:$I$2271,6,FALSE)</f>
        <v>#N/A</v>
      </c>
    </row>
    <row r="1259" spans="1:12" hidden="1" x14ac:dyDescent="0.35">
      <c r="A1259" s="6">
        <v>907250</v>
      </c>
      <c r="B1259" s="7" t="str">
        <f>"3329151507930005"</f>
        <v>3329151507930005</v>
      </c>
      <c r="C1259" s="7" t="s">
        <v>2719</v>
      </c>
      <c r="D1259" s="7" t="s">
        <v>10</v>
      </c>
      <c r="E1259" s="7" t="s">
        <v>11</v>
      </c>
      <c r="F1259" s="7" t="s">
        <v>18</v>
      </c>
      <c r="G1259" s="7" t="s">
        <v>264</v>
      </c>
      <c r="H1259" s="7" t="s">
        <v>330</v>
      </c>
      <c r="I1259" s="8" t="s">
        <v>2720</v>
      </c>
    </row>
    <row r="1260" spans="1:12" hidden="1" x14ac:dyDescent="0.35">
      <c r="A1260" s="6">
        <v>2540678</v>
      </c>
      <c r="B1260" s="7" t="str">
        <f>"3329151507930005"</f>
        <v>3329151507930005</v>
      </c>
      <c r="C1260" s="7" t="s">
        <v>2721</v>
      </c>
      <c r="D1260" s="7" t="s">
        <v>10</v>
      </c>
      <c r="E1260" s="7" t="s">
        <v>57</v>
      </c>
      <c r="F1260" s="7" t="s">
        <v>18</v>
      </c>
      <c r="G1260" s="7" t="s">
        <v>19</v>
      </c>
      <c r="H1260" s="7" t="s">
        <v>1394</v>
      </c>
      <c r="I1260" s="8" t="s">
        <v>1395</v>
      </c>
      <c r="J1260" t="e">
        <f>VLOOKUP(B1260,baru!$B$2:$I$2271,4,FALSE)</f>
        <v>#N/A</v>
      </c>
      <c r="K1260" t="e">
        <f>VLOOKUP(B1260,baru!$B$2:$I$2271,5,FALSE)</f>
        <v>#N/A</v>
      </c>
      <c r="L1260" t="e">
        <f>VLOOKUP(B1260,baru!$B$2:$I$2271,6,FALSE)</f>
        <v>#N/A</v>
      </c>
    </row>
    <row r="1261" spans="1:12" hidden="1" x14ac:dyDescent="0.35">
      <c r="A1261" s="6">
        <v>805703</v>
      </c>
      <c r="B1261" s="7" t="str">
        <f>"3329162707810004"</f>
        <v>3329162707810004</v>
      </c>
      <c r="C1261" s="7" t="s">
        <v>71</v>
      </c>
      <c r="D1261" s="7" t="s">
        <v>10</v>
      </c>
      <c r="E1261" s="7" t="s">
        <v>11</v>
      </c>
      <c r="F1261" s="7" t="s">
        <v>18</v>
      </c>
      <c r="G1261" s="7" t="s">
        <v>264</v>
      </c>
      <c r="H1261" s="7" t="s">
        <v>344</v>
      </c>
      <c r="I1261" s="8" t="s">
        <v>344</v>
      </c>
    </row>
    <row r="1262" spans="1:12" hidden="1" x14ac:dyDescent="0.35">
      <c r="A1262" s="6">
        <v>2540913</v>
      </c>
      <c r="B1262" s="7" t="str">
        <f>"3329162707810004"</f>
        <v>3329162707810004</v>
      </c>
      <c r="C1262" s="7" t="s">
        <v>2722</v>
      </c>
      <c r="D1262" s="7" t="s">
        <v>10</v>
      </c>
      <c r="E1262" s="7" t="s">
        <v>57</v>
      </c>
      <c r="F1262" s="7" t="s">
        <v>18</v>
      </c>
      <c r="G1262" s="7" t="s">
        <v>19</v>
      </c>
      <c r="H1262" s="7" t="s">
        <v>1394</v>
      </c>
      <c r="I1262" s="8" t="s">
        <v>1395</v>
      </c>
      <c r="J1262" t="e">
        <f>VLOOKUP(B1262,baru!$B$2:$I$2271,4,FALSE)</f>
        <v>#N/A</v>
      </c>
      <c r="K1262" t="e">
        <f>VLOOKUP(B1262,baru!$B$2:$I$2271,5,FALSE)</f>
        <v>#N/A</v>
      </c>
      <c r="L1262" t="e">
        <f>VLOOKUP(B1262,baru!$B$2:$I$2271,6,FALSE)</f>
        <v>#N/A</v>
      </c>
    </row>
    <row r="1263" spans="1:12" hidden="1" x14ac:dyDescent="0.35">
      <c r="A1263" s="6">
        <v>175100</v>
      </c>
      <c r="B1263" s="7" t="str">
        <f>"3371022606710003"</f>
        <v>3371022606710003</v>
      </c>
      <c r="C1263" s="7" t="s">
        <v>2723</v>
      </c>
      <c r="D1263" s="7" t="s">
        <v>10</v>
      </c>
      <c r="E1263" s="7" t="s">
        <v>11</v>
      </c>
      <c r="F1263" s="7" t="s">
        <v>18</v>
      </c>
      <c r="G1263" s="7" t="s">
        <v>298</v>
      </c>
      <c r="H1263" s="7" t="s">
        <v>2724</v>
      </c>
      <c r="I1263" s="8" t="s">
        <v>2725</v>
      </c>
    </row>
    <row r="1264" spans="1:12" hidden="1" x14ac:dyDescent="0.35">
      <c r="A1264" s="6">
        <v>352401</v>
      </c>
      <c r="B1264" s="7" t="str">
        <f>"3372042201970004"</f>
        <v>3372042201970004</v>
      </c>
      <c r="C1264" s="7" t="s">
        <v>2727</v>
      </c>
      <c r="D1264" s="7" t="s">
        <v>10</v>
      </c>
      <c r="E1264" s="7" t="s">
        <v>11</v>
      </c>
      <c r="F1264" s="7" t="s">
        <v>18</v>
      </c>
      <c r="G1264" s="7" t="s">
        <v>2389</v>
      </c>
      <c r="H1264" s="7" t="s">
        <v>2728</v>
      </c>
      <c r="I1264" s="8" t="s">
        <v>2729</v>
      </c>
    </row>
    <row r="1265" spans="1:12" hidden="1" x14ac:dyDescent="0.35">
      <c r="A1265" s="6">
        <v>2540775</v>
      </c>
      <c r="B1265" s="7" t="str">
        <f>"3372042201970004"</f>
        <v>3372042201970004</v>
      </c>
      <c r="C1265" s="7" t="s">
        <v>2730</v>
      </c>
      <c r="D1265" s="7" t="s">
        <v>10</v>
      </c>
      <c r="E1265" s="7" t="s">
        <v>57</v>
      </c>
      <c r="F1265" s="7" t="s">
        <v>18</v>
      </c>
      <c r="G1265" s="7" t="s">
        <v>19</v>
      </c>
      <c r="H1265" s="7" t="s">
        <v>1394</v>
      </c>
      <c r="I1265" s="8" t="s">
        <v>1395</v>
      </c>
      <c r="J1265" t="e">
        <f>VLOOKUP(B1265,baru!$B$2:$I$2271,4,FALSE)</f>
        <v>#N/A</v>
      </c>
      <c r="K1265" t="e">
        <f>VLOOKUP(B1265,baru!$B$2:$I$2271,5,FALSE)</f>
        <v>#N/A</v>
      </c>
      <c r="L1265" t="e">
        <f>VLOOKUP(B1265,baru!$B$2:$I$2271,6,FALSE)</f>
        <v>#N/A</v>
      </c>
    </row>
    <row r="1266" spans="1:12" hidden="1" x14ac:dyDescent="0.35">
      <c r="A1266" s="6">
        <v>1860271</v>
      </c>
      <c r="B1266" s="7" t="str">
        <f>"3374050204850005"</f>
        <v>3374050204850005</v>
      </c>
      <c r="C1266" s="7" t="s">
        <v>2731</v>
      </c>
      <c r="D1266" s="7" t="s">
        <v>10</v>
      </c>
      <c r="E1266" s="7" t="s">
        <v>11</v>
      </c>
      <c r="F1266" s="7" t="s">
        <v>18</v>
      </c>
      <c r="G1266" s="7" t="s">
        <v>1438</v>
      </c>
      <c r="H1266" s="7" t="s">
        <v>2732</v>
      </c>
      <c r="I1266" s="8" t="s">
        <v>2733</v>
      </c>
    </row>
    <row r="1267" spans="1:12" hidden="1" x14ac:dyDescent="0.35">
      <c r="A1267" s="6">
        <v>2540672</v>
      </c>
      <c r="B1267" s="7" t="str">
        <f>"3374050204850005"</f>
        <v>3374050204850005</v>
      </c>
      <c r="C1267" s="7" t="s">
        <v>2734</v>
      </c>
      <c r="D1267" s="7" t="s">
        <v>10</v>
      </c>
      <c r="E1267" s="7" t="s">
        <v>57</v>
      </c>
      <c r="F1267" s="7" t="s">
        <v>18</v>
      </c>
      <c r="G1267" s="7" t="s">
        <v>19</v>
      </c>
      <c r="H1267" s="7" t="s">
        <v>1394</v>
      </c>
      <c r="I1267" s="8" t="s">
        <v>1395</v>
      </c>
      <c r="J1267" t="e">
        <f>VLOOKUP(B1267,baru!$B$2:$I$2271,4,FALSE)</f>
        <v>#N/A</v>
      </c>
      <c r="K1267" t="e">
        <f>VLOOKUP(B1267,baru!$B$2:$I$2271,5,FALSE)</f>
        <v>#N/A</v>
      </c>
      <c r="L1267" t="e">
        <f>VLOOKUP(B1267,baru!$B$2:$I$2271,6,FALSE)</f>
        <v>#N/A</v>
      </c>
    </row>
    <row r="1268" spans="1:12" hidden="1" x14ac:dyDescent="0.35">
      <c r="A1268" s="6">
        <v>1860641</v>
      </c>
      <c r="B1268" s="7" t="str">
        <f>"3374050703690001"</f>
        <v>3374050703690001</v>
      </c>
      <c r="C1268" s="7" t="s">
        <v>2735</v>
      </c>
      <c r="D1268" s="7" t="s">
        <v>10</v>
      </c>
      <c r="E1268" s="7" t="s">
        <v>11</v>
      </c>
      <c r="F1268" s="7" t="s">
        <v>18</v>
      </c>
      <c r="G1268" s="7" t="s">
        <v>1438</v>
      </c>
      <c r="H1268" s="7" t="s">
        <v>2732</v>
      </c>
      <c r="I1268" s="8" t="s">
        <v>2733</v>
      </c>
    </row>
    <row r="1269" spans="1:12" hidden="1" x14ac:dyDescent="0.35">
      <c r="A1269" s="6">
        <v>1904015</v>
      </c>
      <c r="B1269" s="7" t="str">
        <f>"3374061003630007"</f>
        <v>3374061003630007</v>
      </c>
      <c r="C1269" s="7" t="s">
        <v>2737</v>
      </c>
      <c r="D1269" s="7" t="s">
        <v>10</v>
      </c>
      <c r="E1269" s="7" t="s">
        <v>11</v>
      </c>
      <c r="F1269" s="7" t="s">
        <v>18</v>
      </c>
      <c r="G1269" s="7" t="s">
        <v>1438</v>
      </c>
      <c r="H1269" s="7" t="s">
        <v>2738</v>
      </c>
      <c r="I1269" s="8" t="s">
        <v>2739</v>
      </c>
    </row>
    <row r="1270" spans="1:12" hidden="1" x14ac:dyDescent="0.35">
      <c r="A1270" s="6">
        <v>2540722</v>
      </c>
      <c r="B1270" s="7" t="str">
        <f>"3374061003630007"</f>
        <v>3374061003630007</v>
      </c>
      <c r="C1270" s="7" t="s">
        <v>2740</v>
      </c>
      <c r="D1270" s="7" t="s">
        <v>10</v>
      </c>
      <c r="E1270" s="7" t="s">
        <v>57</v>
      </c>
      <c r="F1270" s="7" t="s">
        <v>18</v>
      </c>
      <c r="G1270" s="7" t="s">
        <v>19</v>
      </c>
      <c r="H1270" s="7" t="s">
        <v>1394</v>
      </c>
      <c r="I1270" s="8" t="s">
        <v>1395</v>
      </c>
      <c r="J1270" t="e">
        <f>VLOOKUP(B1270,baru!$B$2:$I$2271,4,FALSE)</f>
        <v>#N/A</v>
      </c>
      <c r="K1270" t="e">
        <f>VLOOKUP(B1270,baru!$B$2:$I$2271,5,FALSE)</f>
        <v>#N/A</v>
      </c>
      <c r="L1270" t="e">
        <f>VLOOKUP(B1270,baru!$B$2:$I$2271,6,FALSE)</f>
        <v>#N/A</v>
      </c>
    </row>
    <row r="1271" spans="1:12" hidden="1" x14ac:dyDescent="0.35">
      <c r="A1271" s="6">
        <v>2280530</v>
      </c>
      <c r="B1271" s="7" t="str">
        <f>"3374061904700004"</f>
        <v>3374061904700004</v>
      </c>
      <c r="C1271" s="7" t="s">
        <v>2741</v>
      </c>
      <c r="D1271" s="7" t="s">
        <v>10</v>
      </c>
      <c r="E1271" s="7" t="s">
        <v>11</v>
      </c>
      <c r="F1271" s="7" t="s">
        <v>18</v>
      </c>
      <c r="G1271" s="7" t="s">
        <v>1438</v>
      </c>
      <c r="H1271" s="7" t="s">
        <v>2732</v>
      </c>
      <c r="I1271" s="8" t="s">
        <v>2742</v>
      </c>
    </row>
    <row r="1272" spans="1:12" hidden="1" x14ac:dyDescent="0.35">
      <c r="A1272" s="6">
        <v>2540814</v>
      </c>
      <c r="B1272" s="7" t="str">
        <f>"3374061904700004"</f>
        <v>3374061904700004</v>
      </c>
      <c r="C1272" s="7" t="s">
        <v>2743</v>
      </c>
      <c r="D1272" s="7" t="s">
        <v>10</v>
      </c>
      <c r="E1272" s="7" t="s">
        <v>57</v>
      </c>
      <c r="F1272" s="7" t="s">
        <v>18</v>
      </c>
      <c r="G1272" s="7" t="s">
        <v>19</v>
      </c>
      <c r="H1272" s="7" t="s">
        <v>1394</v>
      </c>
      <c r="I1272" s="8" t="s">
        <v>1395</v>
      </c>
      <c r="J1272" t="e">
        <f>VLOOKUP(B1272,baru!$B$2:$I$2271,4,FALSE)</f>
        <v>#N/A</v>
      </c>
      <c r="K1272" t="e">
        <f>VLOOKUP(B1272,baru!$B$2:$I$2271,5,FALSE)</f>
        <v>#N/A</v>
      </c>
      <c r="L1272" t="e">
        <f>VLOOKUP(B1272,baru!$B$2:$I$2271,6,FALSE)</f>
        <v>#N/A</v>
      </c>
    </row>
    <row r="1273" spans="1:12" hidden="1" x14ac:dyDescent="0.35">
      <c r="A1273" s="6">
        <v>2511913</v>
      </c>
      <c r="B1273" s="7" t="str">
        <f>"3374063101910001"</f>
        <v>3374063101910001</v>
      </c>
      <c r="C1273" s="7" t="s">
        <v>2744</v>
      </c>
      <c r="D1273" s="7" t="s">
        <v>10</v>
      </c>
      <c r="E1273" s="7" t="s">
        <v>11</v>
      </c>
      <c r="F1273" s="7" t="s">
        <v>18</v>
      </c>
      <c r="G1273" s="7" t="s">
        <v>1438</v>
      </c>
      <c r="H1273" s="7" t="s">
        <v>2738</v>
      </c>
      <c r="I1273" s="8" t="s">
        <v>2745</v>
      </c>
    </row>
    <row r="1274" spans="1:12" hidden="1" x14ac:dyDescent="0.35">
      <c r="A1274" s="6">
        <v>2540876</v>
      </c>
      <c r="B1274" s="7" t="str">
        <f>"3374063101910001"</f>
        <v>3374063101910001</v>
      </c>
      <c r="C1274" s="7" t="s">
        <v>2746</v>
      </c>
      <c r="D1274" s="7" t="s">
        <v>10</v>
      </c>
      <c r="E1274" s="7" t="s">
        <v>57</v>
      </c>
      <c r="F1274" s="7" t="s">
        <v>18</v>
      </c>
      <c r="G1274" s="7" t="s">
        <v>19</v>
      </c>
      <c r="H1274" s="7" t="s">
        <v>1394</v>
      </c>
      <c r="I1274" s="8" t="s">
        <v>1395</v>
      </c>
      <c r="J1274" t="e">
        <f>VLOOKUP(B1274,baru!$B$2:$I$2271,4,FALSE)</f>
        <v>#N/A</v>
      </c>
      <c r="K1274" t="e">
        <f>VLOOKUP(B1274,baru!$B$2:$I$2271,5,FALSE)</f>
        <v>#N/A</v>
      </c>
      <c r="L1274" t="e">
        <f>VLOOKUP(B1274,baru!$B$2:$I$2271,6,FALSE)</f>
        <v>#N/A</v>
      </c>
    </row>
    <row r="1275" spans="1:12" hidden="1" x14ac:dyDescent="0.35">
      <c r="A1275" s="6">
        <v>1636325</v>
      </c>
      <c r="B1275" s="7" t="str">
        <f>"3374071704720002"</f>
        <v>3374071704720002</v>
      </c>
      <c r="C1275" s="7" t="s">
        <v>2747</v>
      </c>
      <c r="D1275" s="7" t="s">
        <v>10</v>
      </c>
      <c r="E1275" s="7" t="s">
        <v>11</v>
      </c>
      <c r="F1275" s="7" t="s">
        <v>18</v>
      </c>
      <c r="G1275" s="7" t="s">
        <v>1438</v>
      </c>
      <c r="H1275" s="7" t="s">
        <v>2748</v>
      </c>
      <c r="I1275" s="8" t="s">
        <v>2748</v>
      </c>
    </row>
    <row r="1276" spans="1:12" hidden="1" x14ac:dyDescent="0.35">
      <c r="A1276" s="6">
        <v>2540818</v>
      </c>
      <c r="B1276" s="7" t="str">
        <f>"3374071704720002"</f>
        <v>3374071704720002</v>
      </c>
      <c r="C1276" s="7" t="s">
        <v>2749</v>
      </c>
      <c r="D1276" s="7" t="s">
        <v>10</v>
      </c>
      <c r="E1276" s="7" t="s">
        <v>57</v>
      </c>
      <c r="F1276" s="7" t="s">
        <v>18</v>
      </c>
      <c r="G1276" s="7" t="s">
        <v>19</v>
      </c>
      <c r="H1276" s="7" t="s">
        <v>1394</v>
      </c>
      <c r="I1276" s="8" t="s">
        <v>1395</v>
      </c>
      <c r="J1276" t="e">
        <f>VLOOKUP(B1276,baru!$B$2:$I$2271,4,FALSE)</f>
        <v>#N/A</v>
      </c>
      <c r="K1276" t="e">
        <f>VLOOKUP(B1276,baru!$B$2:$I$2271,5,FALSE)</f>
        <v>#N/A</v>
      </c>
      <c r="L1276" t="e">
        <f>VLOOKUP(B1276,baru!$B$2:$I$2271,6,FALSE)</f>
        <v>#N/A</v>
      </c>
    </row>
    <row r="1277" spans="1:12" hidden="1" x14ac:dyDescent="0.35">
      <c r="A1277" s="6">
        <v>1641230</v>
      </c>
      <c r="B1277" s="7" t="str">
        <f>"3374092005870001"</f>
        <v>3374092005870001</v>
      </c>
      <c r="C1277" s="7" t="s">
        <v>2750</v>
      </c>
      <c r="D1277" s="7" t="s">
        <v>10</v>
      </c>
      <c r="E1277" s="7" t="s">
        <v>11</v>
      </c>
      <c r="F1277" s="7" t="s">
        <v>18</v>
      </c>
      <c r="G1277" s="7" t="s">
        <v>1438</v>
      </c>
      <c r="H1277" s="7" t="s">
        <v>2748</v>
      </c>
      <c r="I1277" s="8" t="s">
        <v>2748</v>
      </c>
    </row>
    <row r="1278" spans="1:12" hidden="1" x14ac:dyDescent="0.35">
      <c r="A1278" s="6">
        <v>2540670</v>
      </c>
      <c r="B1278" s="7" t="str">
        <f>"3374092005870001"</f>
        <v>3374092005870001</v>
      </c>
      <c r="C1278" s="7" t="s">
        <v>2751</v>
      </c>
      <c r="D1278" s="7" t="s">
        <v>10</v>
      </c>
      <c r="E1278" s="7" t="s">
        <v>57</v>
      </c>
      <c r="F1278" s="7" t="s">
        <v>18</v>
      </c>
      <c r="G1278" s="7" t="s">
        <v>19</v>
      </c>
      <c r="H1278" s="7" t="s">
        <v>1394</v>
      </c>
      <c r="I1278" s="8" t="s">
        <v>1395</v>
      </c>
      <c r="J1278" t="e">
        <f>VLOOKUP(B1278,baru!$B$2:$I$2271,4,FALSE)</f>
        <v>#N/A</v>
      </c>
      <c r="K1278" t="e">
        <f>VLOOKUP(B1278,baru!$B$2:$I$2271,5,FALSE)</f>
        <v>#N/A</v>
      </c>
      <c r="L1278" t="e">
        <f>VLOOKUP(B1278,baru!$B$2:$I$2271,6,FALSE)</f>
        <v>#N/A</v>
      </c>
    </row>
    <row r="1279" spans="1:12" x14ac:dyDescent="0.35">
      <c r="A1279" s="6">
        <v>426013</v>
      </c>
      <c r="B1279" s="7" t="str">
        <f>"3375043003880004"</f>
        <v>3375043003880004</v>
      </c>
      <c r="C1279" s="7" t="s">
        <v>2752</v>
      </c>
      <c r="D1279" s="7" t="s">
        <v>189</v>
      </c>
      <c r="E1279" s="7" t="s">
        <v>11</v>
      </c>
      <c r="F1279" s="7" t="s">
        <v>18</v>
      </c>
      <c r="G1279" s="7" t="s">
        <v>2753</v>
      </c>
      <c r="H1279" s="7" t="s">
        <v>2754</v>
      </c>
      <c r="I1279" s="8" t="s">
        <v>2755</v>
      </c>
    </row>
    <row r="1280" spans="1:12" hidden="1" x14ac:dyDescent="0.35">
      <c r="A1280" s="6">
        <v>2540687</v>
      </c>
      <c r="B1280" s="7" t="str">
        <f>"3375043003880004"</f>
        <v>3375043003880004</v>
      </c>
      <c r="C1280" s="7" t="s">
        <v>2756</v>
      </c>
      <c r="D1280" s="7" t="s">
        <v>10</v>
      </c>
      <c r="E1280" s="7" t="s">
        <v>57</v>
      </c>
      <c r="F1280" s="7" t="s">
        <v>18</v>
      </c>
      <c r="G1280" s="7" t="s">
        <v>19</v>
      </c>
      <c r="H1280" s="7" t="s">
        <v>1394</v>
      </c>
      <c r="I1280" s="8" t="s">
        <v>1395</v>
      </c>
      <c r="J1280" t="e">
        <f>VLOOKUP(B1280,baru!$B$2:$I$2271,4,FALSE)</f>
        <v>#N/A</v>
      </c>
      <c r="K1280" t="e">
        <f>VLOOKUP(B1280,baru!$B$2:$I$2271,5,FALSE)</f>
        <v>#N/A</v>
      </c>
      <c r="L1280" t="e">
        <f>VLOOKUP(B1280,baru!$B$2:$I$2271,6,FALSE)</f>
        <v>#N/A</v>
      </c>
    </row>
    <row r="1281" spans="1:12" hidden="1" x14ac:dyDescent="0.35">
      <c r="A1281" s="6">
        <v>338328</v>
      </c>
      <c r="B1281" s="7" t="str">
        <f>"3376010206820008"</f>
        <v>3376010206820008</v>
      </c>
      <c r="C1281" s="7" t="s">
        <v>2757</v>
      </c>
      <c r="D1281" s="7" t="s">
        <v>10</v>
      </c>
      <c r="E1281" s="7" t="s">
        <v>11</v>
      </c>
      <c r="F1281" s="7" t="s">
        <v>18</v>
      </c>
      <c r="G1281" s="7" t="s">
        <v>268</v>
      </c>
      <c r="H1281" s="7" t="s">
        <v>277</v>
      </c>
      <c r="I1281" s="8" t="s">
        <v>278</v>
      </c>
    </row>
    <row r="1282" spans="1:12" hidden="1" x14ac:dyDescent="0.35">
      <c r="A1282" s="6">
        <v>2540853</v>
      </c>
      <c r="B1282" s="7" t="str">
        <f>"3376010206820008"</f>
        <v>3376010206820008</v>
      </c>
      <c r="C1282" s="7" t="s">
        <v>2758</v>
      </c>
      <c r="D1282" s="7" t="s">
        <v>10</v>
      </c>
      <c r="E1282" s="7" t="s">
        <v>57</v>
      </c>
      <c r="F1282" s="7" t="s">
        <v>18</v>
      </c>
      <c r="G1282" s="7" t="s">
        <v>19</v>
      </c>
      <c r="H1282" s="7" t="s">
        <v>1394</v>
      </c>
      <c r="I1282" s="8" t="s">
        <v>1395</v>
      </c>
      <c r="J1282" t="e">
        <f>VLOOKUP(B1282,baru!$B$2:$I$2271,4,FALSE)</f>
        <v>#N/A</v>
      </c>
      <c r="K1282" t="e">
        <f>VLOOKUP(B1282,baru!$B$2:$I$2271,5,FALSE)</f>
        <v>#N/A</v>
      </c>
      <c r="L1282" t="e">
        <f>VLOOKUP(B1282,baru!$B$2:$I$2271,6,FALSE)</f>
        <v>#N/A</v>
      </c>
    </row>
    <row r="1283" spans="1:12" hidden="1" x14ac:dyDescent="0.35">
      <c r="A1283" s="6">
        <v>284829</v>
      </c>
      <c r="B1283" s="7" t="str">
        <f>"3376011105810001"</f>
        <v>3376011105810001</v>
      </c>
      <c r="C1283" s="7" t="s">
        <v>2759</v>
      </c>
      <c r="D1283" s="7" t="s">
        <v>10</v>
      </c>
      <c r="E1283" s="7" t="s">
        <v>11</v>
      </c>
      <c r="F1283" s="7" t="s">
        <v>18</v>
      </c>
      <c r="G1283" s="7" t="s">
        <v>268</v>
      </c>
      <c r="H1283" s="7" t="s">
        <v>277</v>
      </c>
      <c r="I1283" s="8" t="s">
        <v>884</v>
      </c>
    </row>
    <row r="1284" spans="1:12" hidden="1" x14ac:dyDescent="0.35">
      <c r="A1284" s="6">
        <v>2540776</v>
      </c>
      <c r="B1284" s="7" t="str">
        <f>"3376011105810001"</f>
        <v>3376011105810001</v>
      </c>
      <c r="C1284" s="7" t="s">
        <v>2760</v>
      </c>
      <c r="D1284" s="7" t="s">
        <v>10</v>
      </c>
      <c r="E1284" s="7" t="s">
        <v>57</v>
      </c>
      <c r="F1284" s="7" t="s">
        <v>18</v>
      </c>
      <c r="G1284" s="7" t="s">
        <v>19</v>
      </c>
      <c r="H1284" s="7" t="s">
        <v>1394</v>
      </c>
      <c r="I1284" s="8" t="s">
        <v>1395</v>
      </c>
      <c r="J1284" t="e">
        <f>VLOOKUP(B1284,baru!$B$2:$I$2271,4,FALSE)</f>
        <v>#N/A</v>
      </c>
      <c r="K1284" t="e">
        <f>VLOOKUP(B1284,baru!$B$2:$I$2271,5,FALSE)</f>
        <v>#N/A</v>
      </c>
      <c r="L1284" t="e">
        <f>VLOOKUP(B1284,baru!$B$2:$I$2271,6,FALSE)</f>
        <v>#N/A</v>
      </c>
    </row>
    <row r="1285" spans="1:12" hidden="1" x14ac:dyDescent="0.35">
      <c r="A1285" s="6">
        <v>294054</v>
      </c>
      <c r="B1285" s="7" t="str">
        <f>"3376012803780002"</f>
        <v>3376012803780002</v>
      </c>
      <c r="C1285" s="7" t="s">
        <v>2761</v>
      </c>
      <c r="D1285" s="7" t="s">
        <v>10</v>
      </c>
      <c r="E1285" s="7" t="s">
        <v>11</v>
      </c>
      <c r="F1285" s="7" t="s">
        <v>18</v>
      </c>
      <c r="G1285" s="7" t="s">
        <v>268</v>
      </c>
      <c r="H1285" s="7" t="s">
        <v>277</v>
      </c>
      <c r="I1285" s="8" t="s">
        <v>2762</v>
      </c>
    </row>
    <row r="1286" spans="1:12" hidden="1" x14ac:dyDescent="0.35">
      <c r="A1286" s="6">
        <v>2540724</v>
      </c>
      <c r="B1286" s="7" t="str">
        <f>"3376012803780002"</f>
        <v>3376012803780002</v>
      </c>
      <c r="C1286" s="7" t="s">
        <v>2763</v>
      </c>
      <c r="D1286" s="7" t="s">
        <v>10</v>
      </c>
      <c r="E1286" s="7" t="s">
        <v>57</v>
      </c>
      <c r="F1286" s="7" t="s">
        <v>18</v>
      </c>
      <c r="G1286" s="7" t="s">
        <v>19</v>
      </c>
      <c r="H1286" s="7" t="s">
        <v>1394</v>
      </c>
      <c r="I1286" s="8" t="s">
        <v>1395</v>
      </c>
      <c r="J1286" t="e">
        <f>VLOOKUP(B1286,baru!$B$2:$I$2271,4,FALSE)</f>
        <v>#N/A</v>
      </c>
      <c r="K1286" t="e">
        <f>VLOOKUP(B1286,baru!$B$2:$I$2271,5,FALSE)</f>
        <v>#N/A</v>
      </c>
      <c r="L1286" t="e">
        <f>VLOOKUP(B1286,baru!$B$2:$I$2271,6,FALSE)</f>
        <v>#N/A</v>
      </c>
    </row>
    <row r="1287" spans="1:12" hidden="1" x14ac:dyDescent="0.35">
      <c r="A1287" s="6">
        <v>238980</v>
      </c>
      <c r="B1287" s="7" t="str">
        <f>"3376020102940007"</f>
        <v>3376020102940007</v>
      </c>
      <c r="C1287" s="7" t="s">
        <v>2764</v>
      </c>
      <c r="D1287" s="7" t="s">
        <v>10</v>
      </c>
      <c r="E1287" s="7" t="s">
        <v>11</v>
      </c>
      <c r="F1287" s="7" t="s">
        <v>18</v>
      </c>
      <c r="G1287" s="7" t="s">
        <v>268</v>
      </c>
      <c r="H1287" s="7" t="s">
        <v>371</v>
      </c>
      <c r="I1287" s="8" t="s">
        <v>372</v>
      </c>
    </row>
    <row r="1288" spans="1:12" hidden="1" x14ac:dyDescent="0.35">
      <c r="A1288" s="6">
        <v>2540797</v>
      </c>
      <c r="B1288" s="7" t="str">
        <f>"3376020102940007"</f>
        <v>3376020102940007</v>
      </c>
      <c r="C1288" s="7" t="s">
        <v>2765</v>
      </c>
      <c r="D1288" s="7" t="s">
        <v>10</v>
      </c>
      <c r="E1288" s="7" t="s">
        <v>57</v>
      </c>
      <c r="F1288" s="7" t="s">
        <v>18</v>
      </c>
      <c r="G1288" s="7" t="s">
        <v>19</v>
      </c>
      <c r="H1288" s="7" t="s">
        <v>1394</v>
      </c>
      <c r="I1288" s="8" t="s">
        <v>1395</v>
      </c>
      <c r="J1288" t="e">
        <f>VLOOKUP(B1288,baru!$B$2:$I$2271,4,FALSE)</f>
        <v>#N/A</v>
      </c>
      <c r="K1288" t="e">
        <f>VLOOKUP(B1288,baru!$B$2:$I$2271,5,FALSE)</f>
        <v>#N/A</v>
      </c>
      <c r="L1288" t="e">
        <f>VLOOKUP(B1288,baru!$B$2:$I$2271,6,FALSE)</f>
        <v>#N/A</v>
      </c>
    </row>
    <row r="1289" spans="1:12" hidden="1" x14ac:dyDescent="0.35">
      <c r="A1289" s="6">
        <v>237929</v>
      </c>
      <c r="B1289" s="7" t="str">
        <f>"3376020103960003"</f>
        <v>3376020103960003</v>
      </c>
      <c r="C1289" s="7" t="s">
        <v>2766</v>
      </c>
      <c r="D1289" s="7" t="s">
        <v>10</v>
      </c>
      <c r="E1289" s="7" t="s">
        <v>11</v>
      </c>
      <c r="F1289" s="7" t="s">
        <v>18</v>
      </c>
      <c r="G1289" s="7" t="s">
        <v>268</v>
      </c>
      <c r="H1289" s="7" t="s">
        <v>371</v>
      </c>
      <c r="I1289" s="8" t="s">
        <v>372</v>
      </c>
    </row>
    <row r="1290" spans="1:12" hidden="1" x14ac:dyDescent="0.35">
      <c r="A1290" s="6">
        <v>2540863</v>
      </c>
      <c r="B1290" s="7" t="str">
        <f>"3376020103960003"</f>
        <v>3376020103960003</v>
      </c>
      <c r="C1290" s="7" t="s">
        <v>2767</v>
      </c>
      <c r="D1290" s="7" t="s">
        <v>10</v>
      </c>
      <c r="E1290" s="7" t="s">
        <v>57</v>
      </c>
      <c r="F1290" s="7" t="s">
        <v>18</v>
      </c>
      <c r="G1290" s="7" t="s">
        <v>19</v>
      </c>
      <c r="H1290" s="7" t="s">
        <v>1394</v>
      </c>
      <c r="I1290" s="8" t="s">
        <v>1395</v>
      </c>
      <c r="J1290" t="e">
        <f>VLOOKUP(B1290,baru!$B$2:$I$2271,4,FALSE)</f>
        <v>#N/A</v>
      </c>
      <c r="K1290" t="e">
        <f>VLOOKUP(B1290,baru!$B$2:$I$2271,5,FALSE)</f>
        <v>#N/A</v>
      </c>
      <c r="L1290" t="e">
        <f>VLOOKUP(B1290,baru!$B$2:$I$2271,6,FALSE)</f>
        <v>#N/A</v>
      </c>
    </row>
    <row r="1291" spans="1:12" hidden="1" x14ac:dyDescent="0.35">
      <c r="A1291" s="6">
        <v>207395</v>
      </c>
      <c r="B1291" s="7" t="str">
        <f>"3376020504780004"</f>
        <v>3376020504780004</v>
      </c>
      <c r="C1291" s="7" t="s">
        <v>2768</v>
      </c>
      <c r="D1291" s="7" t="s">
        <v>10</v>
      </c>
      <c r="E1291" s="7" t="s">
        <v>11</v>
      </c>
      <c r="F1291" s="7" t="s">
        <v>18</v>
      </c>
      <c r="G1291" s="7" t="s">
        <v>268</v>
      </c>
      <c r="H1291" s="7" t="s">
        <v>371</v>
      </c>
      <c r="I1291" s="8" t="s">
        <v>2769</v>
      </c>
    </row>
    <row r="1292" spans="1:12" hidden="1" x14ac:dyDescent="0.35">
      <c r="A1292" s="6">
        <v>2540800</v>
      </c>
      <c r="B1292" s="7" t="str">
        <f>"3376020504780004"</f>
        <v>3376020504780004</v>
      </c>
      <c r="C1292" s="7" t="s">
        <v>2770</v>
      </c>
      <c r="D1292" s="7" t="s">
        <v>10</v>
      </c>
      <c r="E1292" s="7" t="s">
        <v>57</v>
      </c>
      <c r="F1292" s="7" t="s">
        <v>18</v>
      </c>
      <c r="G1292" s="7" t="s">
        <v>19</v>
      </c>
      <c r="H1292" s="7" t="s">
        <v>1394</v>
      </c>
      <c r="I1292" s="8" t="s">
        <v>1395</v>
      </c>
      <c r="J1292" t="e">
        <f>VLOOKUP(B1292,baru!$B$2:$I$2271,4,FALSE)</f>
        <v>#N/A</v>
      </c>
      <c r="K1292" t="e">
        <f>VLOOKUP(B1292,baru!$B$2:$I$2271,5,FALSE)</f>
        <v>#N/A</v>
      </c>
      <c r="L1292" t="e">
        <f>VLOOKUP(B1292,baru!$B$2:$I$2271,6,FALSE)</f>
        <v>#N/A</v>
      </c>
    </row>
    <row r="1293" spans="1:12" hidden="1" x14ac:dyDescent="0.35">
      <c r="A1293" s="6">
        <v>213736</v>
      </c>
      <c r="B1293" s="7" t="str">
        <f>"3376021410950002"</f>
        <v>3376021410950002</v>
      </c>
      <c r="C1293" s="7" t="s">
        <v>2771</v>
      </c>
      <c r="D1293" s="7" t="s">
        <v>10</v>
      </c>
      <c r="E1293" s="7" t="s">
        <v>11</v>
      </c>
      <c r="F1293" s="7" t="s">
        <v>18</v>
      </c>
      <c r="G1293" s="7" t="s">
        <v>268</v>
      </c>
      <c r="H1293" s="7" t="s">
        <v>371</v>
      </c>
      <c r="I1293" s="8" t="s">
        <v>2772</v>
      </c>
    </row>
    <row r="1294" spans="1:12" hidden="1" x14ac:dyDescent="0.35">
      <c r="A1294" s="6">
        <v>233533</v>
      </c>
      <c r="B1294" s="7" t="str">
        <f>"3376022604990001"</f>
        <v>3376022604990001</v>
      </c>
      <c r="C1294" s="7" t="s">
        <v>2773</v>
      </c>
      <c r="D1294" s="7" t="s">
        <v>10</v>
      </c>
      <c r="E1294" s="7" t="s">
        <v>11</v>
      </c>
      <c r="F1294" s="7" t="s">
        <v>18</v>
      </c>
      <c r="G1294" s="7" t="s">
        <v>268</v>
      </c>
      <c r="H1294" s="7" t="s">
        <v>371</v>
      </c>
      <c r="I1294" s="8" t="s">
        <v>372</v>
      </c>
    </row>
    <row r="1295" spans="1:12" hidden="1" x14ac:dyDescent="0.35">
      <c r="A1295" s="6">
        <v>2540894</v>
      </c>
      <c r="B1295" s="7" t="str">
        <f>"3376022604990001"</f>
        <v>3376022604990001</v>
      </c>
      <c r="C1295" s="7" t="s">
        <v>2774</v>
      </c>
      <c r="D1295" s="7" t="s">
        <v>10</v>
      </c>
      <c r="E1295" s="7" t="s">
        <v>57</v>
      </c>
      <c r="F1295" s="7" t="s">
        <v>18</v>
      </c>
      <c r="G1295" s="7" t="s">
        <v>19</v>
      </c>
      <c r="H1295" s="7" t="s">
        <v>1394</v>
      </c>
      <c r="I1295" s="8" t="s">
        <v>1395</v>
      </c>
      <c r="J1295" t="e">
        <f>VLOOKUP(B1295,baru!$B$2:$I$2271,4,FALSE)</f>
        <v>#N/A</v>
      </c>
      <c r="K1295" t="e">
        <f>VLOOKUP(B1295,baru!$B$2:$I$2271,5,FALSE)</f>
        <v>#N/A</v>
      </c>
      <c r="L1295" t="e">
        <f>VLOOKUP(B1295,baru!$B$2:$I$2271,6,FALSE)</f>
        <v>#N/A</v>
      </c>
    </row>
    <row r="1296" spans="1:12" hidden="1" x14ac:dyDescent="0.35">
      <c r="A1296" s="6">
        <v>315099</v>
      </c>
      <c r="B1296" s="7" t="str">
        <f>"3376031209870002"</f>
        <v>3376031209870002</v>
      </c>
      <c r="C1296" s="7" t="s">
        <v>2775</v>
      </c>
      <c r="D1296" s="7" t="s">
        <v>10</v>
      </c>
      <c r="E1296" s="7" t="s">
        <v>11</v>
      </c>
      <c r="F1296" s="7" t="s">
        <v>18</v>
      </c>
      <c r="G1296" s="7" t="s">
        <v>268</v>
      </c>
      <c r="H1296" s="7" t="s">
        <v>269</v>
      </c>
      <c r="I1296" s="8" t="s">
        <v>1662</v>
      </c>
    </row>
    <row r="1297" spans="1:12" hidden="1" x14ac:dyDescent="0.35">
      <c r="A1297" s="6">
        <v>384484</v>
      </c>
      <c r="B1297" s="7" t="str">
        <f>"3376041012970001"</f>
        <v>3376041012970001</v>
      </c>
      <c r="C1297" s="7" t="s">
        <v>2776</v>
      </c>
      <c r="D1297" s="7" t="s">
        <v>10</v>
      </c>
      <c r="E1297" s="7" t="s">
        <v>11</v>
      </c>
      <c r="F1297" s="7" t="s">
        <v>18</v>
      </c>
      <c r="G1297" s="7" t="s">
        <v>268</v>
      </c>
      <c r="H1297" s="7" t="s">
        <v>448</v>
      </c>
      <c r="I1297" s="8" t="s">
        <v>2777</v>
      </c>
    </row>
    <row r="1298" spans="1:12" hidden="1" x14ac:dyDescent="0.35">
      <c r="A1298" s="6">
        <v>2540907</v>
      </c>
      <c r="B1298" s="7" t="str">
        <f>"3376041012970001"</f>
        <v>3376041012970001</v>
      </c>
      <c r="C1298" s="7" t="s">
        <v>2778</v>
      </c>
      <c r="D1298" s="7" t="s">
        <v>10</v>
      </c>
      <c r="E1298" s="7" t="s">
        <v>57</v>
      </c>
      <c r="F1298" s="7" t="s">
        <v>18</v>
      </c>
      <c r="G1298" s="7" t="s">
        <v>19</v>
      </c>
      <c r="H1298" s="7" t="s">
        <v>1394</v>
      </c>
      <c r="I1298" s="8" t="s">
        <v>1395</v>
      </c>
      <c r="J1298" t="e">
        <f>VLOOKUP(B1298,baru!$B$2:$I$2271,4,FALSE)</f>
        <v>#N/A</v>
      </c>
      <c r="K1298" t="e">
        <f>VLOOKUP(B1298,baru!$B$2:$I$2271,5,FALSE)</f>
        <v>#N/A</v>
      </c>
      <c r="L1298" t="e">
        <f>VLOOKUP(B1298,baru!$B$2:$I$2271,6,FALSE)</f>
        <v>#N/A</v>
      </c>
    </row>
    <row r="1299" spans="1:12" hidden="1" x14ac:dyDescent="0.35">
      <c r="A1299" s="6">
        <v>379393</v>
      </c>
      <c r="B1299" s="7" t="str">
        <f>"3376041207960001"</f>
        <v>3376041207960001</v>
      </c>
      <c r="C1299" s="7" t="s">
        <v>1292</v>
      </c>
      <c r="D1299" s="7" t="s">
        <v>10</v>
      </c>
      <c r="E1299" s="7" t="s">
        <v>11</v>
      </c>
      <c r="F1299" s="7" t="s">
        <v>18</v>
      </c>
      <c r="G1299" s="7" t="s">
        <v>268</v>
      </c>
      <c r="H1299" s="7" t="s">
        <v>448</v>
      </c>
      <c r="I1299" s="8" t="s">
        <v>449</v>
      </c>
    </row>
    <row r="1300" spans="1:12" hidden="1" x14ac:dyDescent="0.35">
      <c r="A1300" s="6">
        <v>402673</v>
      </c>
      <c r="B1300" s="7" t="str">
        <f>"3376041906930001"</f>
        <v>3376041906930001</v>
      </c>
      <c r="C1300" s="7" t="s">
        <v>2779</v>
      </c>
      <c r="D1300" s="7" t="s">
        <v>10</v>
      </c>
      <c r="E1300" s="7" t="s">
        <v>11</v>
      </c>
      <c r="F1300" s="7" t="s">
        <v>18</v>
      </c>
      <c r="G1300" s="7" t="s">
        <v>268</v>
      </c>
      <c r="H1300" s="7" t="s">
        <v>448</v>
      </c>
      <c r="I1300" s="8" t="s">
        <v>448</v>
      </c>
    </row>
    <row r="1301" spans="1:12" hidden="1" x14ac:dyDescent="0.35">
      <c r="A1301" s="6">
        <v>2540908</v>
      </c>
      <c r="B1301" s="7" t="str">
        <f>"3376041906930001"</f>
        <v>3376041906930001</v>
      </c>
      <c r="C1301" s="7" t="s">
        <v>2780</v>
      </c>
      <c r="D1301" s="7" t="s">
        <v>10</v>
      </c>
      <c r="E1301" s="7" t="s">
        <v>57</v>
      </c>
      <c r="F1301" s="7" t="s">
        <v>18</v>
      </c>
      <c r="G1301" s="7" t="s">
        <v>19</v>
      </c>
      <c r="H1301" s="7" t="s">
        <v>1394</v>
      </c>
      <c r="I1301" s="8" t="s">
        <v>1395</v>
      </c>
      <c r="J1301" t="e">
        <f>VLOOKUP(B1301,baru!$B$2:$I$2271,4,FALSE)</f>
        <v>#N/A</v>
      </c>
      <c r="K1301" t="e">
        <f>VLOOKUP(B1301,baru!$B$2:$I$2271,5,FALSE)</f>
        <v>#N/A</v>
      </c>
      <c r="L1301" t="e">
        <f>VLOOKUP(B1301,baru!$B$2:$I$2271,6,FALSE)</f>
        <v>#N/A</v>
      </c>
    </row>
    <row r="1302" spans="1:12" hidden="1" x14ac:dyDescent="0.35">
      <c r="A1302" s="6">
        <v>379749</v>
      </c>
      <c r="B1302" s="7" t="str">
        <f>"3376043012940005"</f>
        <v>3376043012940005</v>
      </c>
      <c r="C1302" s="7" t="s">
        <v>2781</v>
      </c>
      <c r="D1302" s="7" t="s">
        <v>10</v>
      </c>
      <c r="E1302" s="7" t="s">
        <v>11</v>
      </c>
      <c r="F1302" s="7" t="s">
        <v>18</v>
      </c>
      <c r="G1302" s="7" t="s">
        <v>268</v>
      </c>
      <c r="H1302" s="7" t="s">
        <v>448</v>
      </c>
      <c r="I1302" s="8" t="s">
        <v>449</v>
      </c>
    </row>
    <row r="1303" spans="1:12" hidden="1" x14ac:dyDescent="0.35">
      <c r="A1303" s="6">
        <v>2540683</v>
      </c>
      <c r="B1303" s="7" t="str">
        <f>"3516011110790001"</f>
        <v>3516011110790001</v>
      </c>
      <c r="C1303" s="7" t="s">
        <v>2782</v>
      </c>
      <c r="D1303" s="7" t="s">
        <v>10</v>
      </c>
      <c r="E1303" s="7" t="s">
        <v>57</v>
      </c>
      <c r="F1303" s="7" t="s">
        <v>18</v>
      </c>
      <c r="G1303" s="7" t="s">
        <v>19</v>
      </c>
      <c r="H1303" s="7" t="s">
        <v>1394</v>
      </c>
      <c r="I1303" s="8" t="s">
        <v>1395</v>
      </c>
      <c r="J1303" t="e">
        <f>VLOOKUP(B1303,baru!$B$2:$I$2271,4,FALSE)</f>
        <v>#N/A</v>
      </c>
      <c r="K1303" t="e">
        <f>VLOOKUP(B1303,baru!$B$2:$I$2271,5,FALSE)</f>
        <v>#N/A</v>
      </c>
      <c r="L1303" t="e">
        <f>VLOOKUP(B1303,baru!$B$2:$I$2271,6,FALSE)</f>
        <v>#N/A</v>
      </c>
    </row>
    <row r="1304" spans="1:12" hidden="1" x14ac:dyDescent="0.35">
      <c r="A1304" s="6">
        <v>617166</v>
      </c>
      <c r="B1304" s="7" t="str">
        <f>"3516011110790001"</f>
        <v>3516011110790001</v>
      </c>
      <c r="C1304" s="7" t="s">
        <v>2783</v>
      </c>
      <c r="D1304" s="7" t="s">
        <v>10</v>
      </c>
      <c r="E1304" s="7" t="s">
        <v>11</v>
      </c>
      <c r="F1304" s="7" t="s">
        <v>303</v>
      </c>
      <c r="G1304" s="7" t="s">
        <v>2784</v>
      </c>
      <c r="H1304" s="7" t="s">
        <v>2785</v>
      </c>
      <c r="I1304" s="8" t="s">
        <v>2786</v>
      </c>
    </row>
    <row r="1305" spans="1:12" hidden="1" x14ac:dyDescent="0.35">
      <c r="A1305" s="6">
        <v>2165860</v>
      </c>
      <c r="B1305" s="7" t="str">
        <f>"3524091604760005"</f>
        <v>3524091604760005</v>
      </c>
      <c r="C1305" s="7" t="s">
        <v>2787</v>
      </c>
      <c r="D1305" s="7" t="s">
        <v>10</v>
      </c>
      <c r="E1305" s="7" t="s">
        <v>11</v>
      </c>
      <c r="F1305" s="7" t="s">
        <v>303</v>
      </c>
      <c r="G1305" s="7" t="s">
        <v>1987</v>
      </c>
      <c r="H1305" s="7" t="s">
        <v>2108</v>
      </c>
      <c r="I1305" s="8" t="s">
        <v>2788</v>
      </c>
    </row>
    <row r="1306" spans="1:12" hidden="1" x14ac:dyDescent="0.35">
      <c r="A1306" s="6">
        <v>2540752</v>
      </c>
      <c r="B1306" s="7" t="str">
        <f>"3524091604760005"</f>
        <v>3524091604760005</v>
      </c>
      <c r="C1306" s="7" t="s">
        <v>2789</v>
      </c>
      <c r="D1306" s="7" t="s">
        <v>10</v>
      </c>
      <c r="E1306" s="7" t="s">
        <v>57</v>
      </c>
      <c r="F1306" s="7" t="s">
        <v>18</v>
      </c>
      <c r="G1306" s="7" t="s">
        <v>19</v>
      </c>
      <c r="H1306" s="7" t="s">
        <v>1394</v>
      </c>
      <c r="I1306" s="8" t="s">
        <v>1395</v>
      </c>
      <c r="J1306" t="e">
        <f>VLOOKUP(B1306,baru!$B$2:$I$2271,4,FALSE)</f>
        <v>#N/A</v>
      </c>
      <c r="K1306" t="e">
        <f>VLOOKUP(B1306,baru!$B$2:$I$2271,5,FALSE)</f>
        <v>#N/A</v>
      </c>
      <c r="L1306" t="e">
        <f>VLOOKUP(B1306,baru!$B$2:$I$2271,6,FALSE)</f>
        <v>#N/A</v>
      </c>
    </row>
    <row r="1307" spans="1:12" hidden="1" x14ac:dyDescent="0.35">
      <c r="A1307" s="6">
        <v>477626</v>
      </c>
      <c r="B1307" s="7" t="str">
        <f>"3528020102730004"</f>
        <v>3528020102730004</v>
      </c>
      <c r="C1307" s="7" t="s">
        <v>2790</v>
      </c>
      <c r="D1307" s="7" t="s">
        <v>10</v>
      </c>
      <c r="E1307" s="7" t="s">
        <v>11</v>
      </c>
      <c r="F1307" s="7" t="s">
        <v>303</v>
      </c>
      <c r="G1307" s="7" t="s">
        <v>2791</v>
      </c>
      <c r="H1307" s="7" t="s">
        <v>2792</v>
      </c>
      <c r="I1307" s="8" t="s">
        <v>2793</v>
      </c>
    </row>
    <row r="1308" spans="1:12" hidden="1" x14ac:dyDescent="0.35">
      <c r="A1308" s="6">
        <v>2540904</v>
      </c>
      <c r="B1308" s="7" t="str">
        <f>"3528020102730004"</f>
        <v>3528020102730004</v>
      </c>
      <c r="C1308" s="7" t="s">
        <v>2794</v>
      </c>
      <c r="D1308" s="7" t="s">
        <v>10</v>
      </c>
      <c r="E1308" s="7" t="s">
        <v>57</v>
      </c>
      <c r="F1308" s="7" t="s">
        <v>18</v>
      </c>
      <c r="G1308" s="7" t="s">
        <v>19</v>
      </c>
      <c r="H1308" s="7" t="s">
        <v>1394</v>
      </c>
      <c r="I1308" s="8" t="s">
        <v>1395</v>
      </c>
      <c r="J1308" t="e">
        <f>VLOOKUP(B1308,baru!$B$2:$I$2271,4,FALSE)</f>
        <v>#N/A</v>
      </c>
      <c r="K1308" t="e">
        <f>VLOOKUP(B1308,baru!$B$2:$I$2271,5,FALSE)</f>
        <v>#N/A</v>
      </c>
      <c r="L1308" t="e">
        <f>VLOOKUP(B1308,baru!$B$2:$I$2271,6,FALSE)</f>
        <v>#N/A</v>
      </c>
    </row>
    <row r="1309" spans="1:12" hidden="1" x14ac:dyDescent="0.35">
      <c r="A1309" s="6">
        <v>788755</v>
      </c>
      <c r="B1309" s="7" t="str">
        <f>"3578062008780006"</f>
        <v>3578062008780006</v>
      </c>
      <c r="C1309" s="7" t="s">
        <v>2795</v>
      </c>
      <c r="D1309" s="7" t="s">
        <v>10</v>
      </c>
      <c r="E1309" s="7" t="s">
        <v>11</v>
      </c>
      <c r="F1309" s="7" t="s">
        <v>303</v>
      </c>
      <c r="G1309" s="7" t="s">
        <v>2796</v>
      </c>
      <c r="H1309" s="7" t="s">
        <v>2797</v>
      </c>
      <c r="I1309" s="8" t="s">
        <v>2798</v>
      </c>
    </row>
    <row r="1310" spans="1:12" hidden="1" x14ac:dyDescent="0.35">
      <c r="A1310" s="6">
        <v>2540695</v>
      </c>
      <c r="B1310" s="7" t="str">
        <f>"3578062008780006"</f>
        <v>3578062008780006</v>
      </c>
      <c r="C1310" s="7" t="s">
        <v>2799</v>
      </c>
      <c r="D1310" s="7" t="s">
        <v>10</v>
      </c>
      <c r="E1310" s="7" t="s">
        <v>57</v>
      </c>
      <c r="F1310" s="7" t="s">
        <v>18</v>
      </c>
      <c r="G1310" s="7" t="s">
        <v>19</v>
      </c>
      <c r="H1310" s="7" t="s">
        <v>1394</v>
      </c>
      <c r="I1310" s="8" t="s">
        <v>1395</v>
      </c>
      <c r="J1310" t="e">
        <f>VLOOKUP(B1310,baru!$B$2:$I$2271,4,FALSE)</f>
        <v>#N/A</v>
      </c>
      <c r="K1310" t="e">
        <f>VLOOKUP(B1310,baru!$B$2:$I$2271,5,FALSE)</f>
        <v>#N/A</v>
      </c>
      <c r="L1310" t="e">
        <f>VLOOKUP(B1310,baru!$B$2:$I$2271,6,FALSE)</f>
        <v>#N/A</v>
      </c>
    </row>
    <row r="1311" spans="1:12" x14ac:dyDescent="0.35">
      <c r="A1311" s="13">
        <v>1833912</v>
      </c>
      <c r="B1311" s="14" t="str">
        <f>"3601244704870005"</f>
        <v>3601244704870005</v>
      </c>
      <c r="C1311" s="14" t="s">
        <v>2800</v>
      </c>
      <c r="D1311" s="14" t="s">
        <v>189</v>
      </c>
      <c r="E1311" s="14" t="s">
        <v>11</v>
      </c>
      <c r="F1311" s="14" t="s">
        <v>18</v>
      </c>
      <c r="G1311" s="14" t="s">
        <v>19</v>
      </c>
      <c r="H1311" s="14" t="s">
        <v>1394</v>
      </c>
      <c r="I1311" s="15" t="s">
        <v>2261</v>
      </c>
      <c r="J1311" s="16" t="str">
        <f>VLOOKUP(B1311,baru!$B$2:$I$2271,4,FALSE)</f>
        <v>Reguler</v>
      </c>
      <c r="K1311" s="16" t="str">
        <f>VLOOKUP(B1311,baru!$B$2:$I$2271,5,FALSE)</f>
        <v>BANTEN</v>
      </c>
      <c r="L1311" s="16" t="str">
        <f>VLOOKUP(B1311,baru!$B$2:$I$2271,6,FALSE)</f>
        <v>SERANG</v>
      </c>
    </row>
    <row r="1312" spans="1:12" hidden="1" x14ac:dyDescent="0.35">
      <c r="A1312" s="6">
        <v>361837</v>
      </c>
      <c r="B1312" s="7" t="str">
        <f>"3603070711880004"</f>
        <v>3603070711880004</v>
      </c>
      <c r="C1312" s="7" t="s">
        <v>2803</v>
      </c>
      <c r="D1312" s="7" t="s">
        <v>10</v>
      </c>
      <c r="E1312" s="7" t="s">
        <v>11</v>
      </c>
      <c r="F1312" s="7" t="s">
        <v>67</v>
      </c>
      <c r="G1312" s="7" t="s">
        <v>791</v>
      </c>
      <c r="H1312" s="7" t="s">
        <v>2804</v>
      </c>
      <c r="I1312" s="8" t="s">
        <v>2805</v>
      </c>
    </row>
    <row r="1313" spans="1:12" hidden="1" x14ac:dyDescent="0.35">
      <c r="A1313" s="6">
        <v>2508303</v>
      </c>
      <c r="B1313" s="7" t="str">
        <f>"3671051207730001"</f>
        <v>3671051207730001</v>
      </c>
      <c r="C1313" s="7" t="s">
        <v>2807</v>
      </c>
      <c r="D1313" s="7" t="s">
        <v>10</v>
      </c>
      <c r="E1313" s="7" t="s">
        <v>11</v>
      </c>
      <c r="F1313" s="7" t="s">
        <v>67</v>
      </c>
      <c r="G1313" s="7" t="s">
        <v>512</v>
      </c>
      <c r="H1313" s="7" t="s">
        <v>2808</v>
      </c>
      <c r="I1313" s="8" t="s">
        <v>2809</v>
      </c>
    </row>
    <row r="1314" spans="1:12" hidden="1" x14ac:dyDescent="0.35">
      <c r="A1314" s="6">
        <v>2540777</v>
      </c>
      <c r="B1314" s="7" t="str">
        <f>"3671051207730001"</f>
        <v>3671051207730001</v>
      </c>
      <c r="C1314" s="7" t="s">
        <v>2810</v>
      </c>
      <c r="D1314" s="7" t="s">
        <v>10</v>
      </c>
      <c r="E1314" s="7" t="s">
        <v>57</v>
      </c>
      <c r="F1314" s="7" t="s">
        <v>18</v>
      </c>
      <c r="G1314" s="7" t="s">
        <v>19</v>
      </c>
      <c r="H1314" s="7" t="s">
        <v>1394</v>
      </c>
      <c r="I1314" s="8" t="s">
        <v>1395</v>
      </c>
      <c r="J1314" t="e">
        <f>VLOOKUP(B1314,baru!$B$2:$I$2271,4,FALSE)</f>
        <v>#N/A</v>
      </c>
      <c r="K1314" t="e">
        <f>VLOOKUP(B1314,baru!$B$2:$I$2271,5,FALSE)</f>
        <v>#N/A</v>
      </c>
      <c r="L1314" t="e">
        <f>VLOOKUP(B1314,baru!$B$2:$I$2271,6,FALSE)</f>
        <v>#N/A</v>
      </c>
    </row>
    <row r="1315" spans="1:12" hidden="1" x14ac:dyDescent="0.35">
      <c r="A1315" s="6">
        <v>1205861</v>
      </c>
      <c r="B1315" s="7" t="str">
        <f>"3671090607750006"</f>
        <v>3671090607750006</v>
      </c>
      <c r="C1315" s="7" t="s">
        <v>2811</v>
      </c>
      <c r="D1315" s="7" t="s">
        <v>10</v>
      </c>
      <c r="E1315" s="7" t="s">
        <v>11</v>
      </c>
      <c r="F1315" s="7" t="s">
        <v>91</v>
      </c>
      <c r="G1315" s="7" t="s">
        <v>650</v>
      </c>
      <c r="H1315" s="7" t="s">
        <v>688</v>
      </c>
      <c r="I1315" s="8" t="s">
        <v>689</v>
      </c>
    </row>
    <row r="1316" spans="1:12" hidden="1" x14ac:dyDescent="0.35">
      <c r="A1316" s="6">
        <v>2540757</v>
      </c>
      <c r="B1316" s="7" t="str">
        <f>"3671090607750006"</f>
        <v>3671090607750006</v>
      </c>
      <c r="C1316" s="7" t="s">
        <v>2812</v>
      </c>
      <c r="D1316" s="7" t="s">
        <v>10</v>
      </c>
      <c r="E1316" s="7" t="s">
        <v>57</v>
      </c>
      <c r="F1316" s="7" t="s">
        <v>18</v>
      </c>
      <c r="G1316" s="7" t="s">
        <v>19</v>
      </c>
      <c r="H1316" s="7" t="s">
        <v>1394</v>
      </c>
      <c r="I1316" s="8" t="s">
        <v>1395</v>
      </c>
      <c r="J1316" t="e">
        <f>VLOOKUP(B1316,baru!$B$2:$I$2271,4,FALSE)</f>
        <v>#N/A</v>
      </c>
      <c r="K1316" t="e">
        <f>VLOOKUP(B1316,baru!$B$2:$I$2271,5,FALSE)</f>
        <v>#N/A</v>
      </c>
      <c r="L1316" t="e">
        <f>VLOOKUP(B1316,baru!$B$2:$I$2271,6,FALSE)</f>
        <v>#N/A</v>
      </c>
    </row>
    <row r="1317" spans="1:12" hidden="1" x14ac:dyDescent="0.35">
      <c r="A1317" s="6">
        <v>1453469</v>
      </c>
      <c r="B1317" s="7" t="str">
        <f>"3671091104770005"</f>
        <v>3671091104770005</v>
      </c>
      <c r="C1317" s="7" t="s">
        <v>2757</v>
      </c>
      <c r="D1317" s="7" t="s">
        <v>10</v>
      </c>
      <c r="E1317" s="7" t="s">
        <v>11</v>
      </c>
      <c r="F1317" s="7" t="s">
        <v>67</v>
      </c>
      <c r="G1317" s="7" t="s">
        <v>512</v>
      </c>
      <c r="H1317" s="7" t="s">
        <v>219</v>
      </c>
      <c r="I1317" s="8" t="s">
        <v>2813</v>
      </c>
    </row>
    <row r="1318" spans="1:12" hidden="1" x14ac:dyDescent="0.35">
      <c r="A1318" s="6">
        <v>2540698</v>
      </c>
      <c r="B1318" s="7" t="str">
        <f>"3671091104770005"</f>
        <v>3671091104770005</v>
      </c>
      <c r="C1318" s="7" t="s">
        <v>2814</v>
      </c>
      <c r="D1318" s="7" t="s">
        <v>10</v>
      </c>
      <c r="E1318" s="7" t="s">
        <v>57</v>
      </c>
      <c r="F1318" s="7" t="s">
        <v>18</v>
      </c>
      <c r="G1318" s="7" t="s">
        <v>19</v>
      </c>
      <c r="H1318" s="7" t="s">
        <v>1394</v>
      </c>
      <c r="I1318" s="8" t="s">
        <v>1395</v>
      </c>
      <c r="J1318" t="e">
        <f>VLOOKUP(B1318,baru!$B$2:$I$2271,4,FALSE)</f>
        <v>#N/A</v>
      </c>
      <c r="K1318" t="e">
        <f>VLOOKUP(B1318,baru!$B$2:$I$2271,5,FALSE)</f>
        <v>#N/A</v>
      </c>
      <c r="L1318" t="e">
        <f>VLOOKUP(B1318,baru!$B$2:$I$2271,6,FALSE)</f>
        <v>#N/A</v>
      </c>
    </row>
    <row r="1319" spans="1:12" hidden="1" x14ac:dyDescent="0.35">
      <c r="A1319" s="13">
        <v>1822175</v>
      </c>
      <c r="B1319" s="14" t="str">
        <f>"3674066006840014"</f>
        <v>3674066006840014</v>
      </c>
      <c r="C1319" s="14" t="s">
        <v>2815</v>
      </c>
      <c r="D1319" s="14" t="s">
        <v>10</v>
      </c>
      <c r="E1319" s="14" t="s">
        <v>11</v>
      </c>
      <c r="F1319" s="14" t="s">
        <v>18</v>
      </c>
      <c r="G1319" s="14" t="s">
        <v>19</v>
      </c>
      <c r="H1319" s="14" t="s">
        <v>1394</v>
      </c>
      <c r="I1319" s="15" t="s">
        <v>2212</v>
      </c>
      <c r="J1319" s="16" t="str">
        <f>VLOOKUP(B1319,baru!$B$2:$I$2271,4,FALSE)</f>
        <v>Reguler</v>
      </c>
      <c r="K1319" s="16" t="str">
        <f>VLOOKUP(B1319,baru!$B$2:$I$2271,5,FALSE)</f>
        <v>BANTEN</v>
      </c>
      <c r="L1319" s="16" t="str">
        <f>VLOOKUP(B1319,baru!$B$2:$I$2271,6,FALSE)</f>
        <v>KOTA TANGERANG SELATAN</v>
      </c>
    </row>
    <row r="1320" spans="1:12" hidden="1" x14ac:dyDescent="0.35">
      <c r="A1320" s="6">
        <v>90701</v>
      </c>
      <c r="B1320" s="7" t="str">
        <f>"5201013112730026"</f>
        <v>5201013112730026</v>
      </c>
      <c r="C1320" s="7" t="s">
        <v>2819</v>
      </c>
      <c r="D1320" s="7" t="s">
        <v>10</v>
      </c>
      <c r="E1320" s="7" t="s">
        <v>11</v>
      </c>
      <c r="F1320" s="7" t="s">
        <v>2820</v>
      </c>
      <c r="G1320" s="7" t="s">
        <v>2821</v>
      </c>
      <c r="H1320" s="7" t="s">
        <v>2822</v>
      </c>
      <c r="I1320" s="8" t="s">
        <v>2823</v>
      </c>
    </row>
    <row r="1321" spans="1:12" hidden="1" x14ac:dyDescent="0.35">
      <c r="A1321" s="6">
        <v>2540760</v>
      </c>
      <c r="B1321" s="7" t="str">
        <f>"5201013112730026"</f>
        <v>5201013112730026</v>
      </c>
      <c r="C1321" s="7" t="s">
        <v>2824</v>
      </c>
      <c r="D1321" s="7" t="s">
        <v>10</v>
      </c>
      <c r="E1321" s="7" t="s">
        <v>57</v>
      </c>
      <c r="F1321" s="7" t="s">
        <v>18</v>
      </c>
      <c r="G1321" s="7" t="s">
        <v>19</v>
      </c>
      <c r="H1321" s="7" t="s">
        <v>1394</v>
      </c>
      <c r="I1321" s="8" t="s">
        <v>1395</v>
      </c>
      <c r="J1321" t="e">
        <f>VLOOKUP(B1321,baru!$B$2:$I$2271,4,FALSE)</f>
        <v>#N/A</v>
      </c>
      <c r="K1321" t="e">
        <f>VLOOKUP(B1321,baru!$B$2:$I$2271,5,FALSE)</f>
        <v>#N/A</v>
      </c>
      <c r="L1321" t="e">
        <f>VLOOKUP(B1321,baru!$B$2:$I$2271,6,FALSE)</f>
        <v>#N/A</v>
      </c>
    </row>
    <row r="1322" spans="1:12" hidden="1" x14ac:dyDescent="0.35">
      <c r="A1322" s="6">
        <v>34786</v>
      </c>
      <c r="B1322" s="7" t="str">
        <f>"5311012408820002"</f>
        <v>5311012408820002</v>
      </c>
      <c r="C1322" s="7" t="s">
        <v>2825</v>
      </c>
      <c r="D1322" s="7" t="s">
        <v>10</v>
      </c>
      <c r="E1322" s="7" t="s">
        <v>11</v>
      </c>
      <c r="F1322" s="7" t="s">
        <v>2122</v>
      </c>
      <c r="G1322" s="7" t="s">
        <v>2123</v>
      </c>
      <c r="H1322" s="7" t="s">
        <v>2826</v>
      </c>
      <c r="I1322" s="8" t="s">
        <v>2827</v>
      </c>
    </row>
    <row r="1323" spans="1:12" hidden="1" x14ac:dyDescent="0.35">
      <c r="A1323" s="6">
        <v>438146</v>
      </c>
      <c r="B1323" s="7" t="str">
        <f>"6471032211790004"</f>
        <v>6471032211790004</v>
      </c>
      <c r="C1323" s="7" t="s">
        <v>2828</v>
      </c>
      <c r="D1323" s="7" t="s">
        <v>10</v>
      </c>
      <c r="E1323" s="7" t="s">
        <v>11</v>
      </c>
      <c r="F1323" s="7" t="s">
        <v>232</v>
      </c>
      <c r="G1323" s="7" t="s">
        <v>233</v>
      </c>
      <c r="H1323" s="7" t="s">
        <v>234</v>
      </c>
      <c r="I1323" s="8" t="s">
        <v>2829</v>
      </c>
    </row>
    <row r="1324" spans="1:12" hidden="1" x14ac:dyDescent="0.35">
      <c r="A1324" s="6">
        <v>438147</v>
      </c>
      <c r="B1324" s="7" t="str">
        <f>"6471034808900005"</f>
        <v>6471034808900005</v>
      </c>
      <c r="C1324" s="7" t="s">
        <v>2831</v>
      </c>
      <c r="D1324" s="7" t="s">
        <v>10</v>
      </c>
      <c r="E1324" s="7" t="s">
        <v>11</v>
      </c>
      <c r="F1324" s="7" t="s">
        <v>232</v>
      </c>
      <c r="G1324" s="7" t="s">
        <v>233</v>
      </c>
      <c r="H1324" s="7" t="s">
        <v>234</v>
      </c>
      <c r="I1324" s="8" t="s">
        <v>2829</v>
      </c>
    </row>
    <row r="1325" spans="1:12" hidden="1" x14ac:dyDescent="0.35">
      <c r="A1325" s="6">
        <v>76080</v>
      </c>
      <c r="B1325" s="7" t="str">
        <f>"8205021005980002"</f>
        <v>8205021005980002</v>
      </c>
      <c r="C1325" s="7" t="s">
        <v>2833</v>
      </c>
      <c r="D1325" s="7" t="s">
        <v>10</v>
      </c>
      <c r="E1325" s="7" t="s">
        <v>11</v>
      </c>
      <c r="F1325" s="7" t="s">
        <v>2545</v>
      </c>
      <c r="G1325" s="7" t="s">
        <v>2546</v>
      </c>
      <c r="H1325" s="7" t="s">
        <v>2834</v>
      </c>
      <c r="I1325" s="8" t="s">
        <v>2835</v>
      </c>
    </row>
    <row r="1326" spans="1:12" hidden="1" x14ac:dyDescent="0.35">
      <c r="A1326" s="6">
        <v>491011</v>
      </c>
      <c r="B1326" s="7" t="str">
        <f>"9171051010850009"</f>
        <v>9171051010850009</v>
      </c>
      <c r="C1326" s="7" t="s">
        <v>2836</v>
      </c>
      <c r="D1326" s="7" t="s">
        <v>10</v>
      </c>
      <c r="E1326" s="7" t="s">
        <v>11</v>
      </c>
      <c r="F1326" s="7" t="s">
        <v>783</v>
      </c>
      <c r="G1326" s="7" t="s">
        <v>1112</v>
      </c>
      <c r="H1326" s="7" t="s">
        <v>2563</v>
      </c>
      <c r="I1326" s="8" t="s">
        <v>2837</v>
      </c>
    </row>
    <row r="1327" spans="1:12" hidden="1" x14ac:dyDescent="0.35">
      <c r="A1327" s="6">
        <v>1721733</v>
      </c>
      <c r="B1327" s="7" t="str">
        <f>"3174033011880008"</f>
        <v>3174033011880008</v>
      </c>
      <c r="C1327" s="7" t="s">
        <v>2838</v>
      </c>
      <c r="D1327" s="7" t="s">
        <v>10</v>
      </c>
      <c r="E1327" s="7" t="s">
        <v>11</v>
      </c>
      <c r="F1327" s="7" t="s">
        <v>50</v>
      </c>
      <c r="G1327" s="7" t="s">
        <v>72</v>
      </c>
      <c r="H1327" s="7" t="s">
        <v>1172</v>
      </c>
      <c r="I1327" s="8" t="s">
        <v>226</v>
      </c>
    </row>
    <row r="1328" spans="1:12" hidden="1" x14ac:dyDescent="0.35">
      <c r="A1328" s="6">
        <v>2540915</v>
      </c>
      <c r="B1328" s="7" t="str">
        <f>"3174033011880008"</f>
        <v>3174033011880008</v>
      </c>
      <c r="C1328" s="7" t="s">
        <v>2839</v>
      </c>
      <c r="D1328" s="7" t="s">
        <v>10</v>
      </c>
      <c r="E1328" s="7" t="s">
        <v>57</v>
      </c>
      <c r="F1328" s="7" t="s">
        <v>18</v>
      </c>
      <c r="G1328" s="7" t="s">
        <v>19</v>
      </c>
      <c r="H1328" s="7" t="s">
        <v>1394</v>
      </c>
      <c r="I1328" s="8" t="s">
        <v>1395</v>
      </c>
      <c r="J1328" t="e">
        <f>VLOOKUP(B1328,baru!$B$2:$I$2271,4,FALSE)</f>
        <v>#N/A</v>
      </c>
      <c r="K1328" t="e">
        <f>VLOOKUP(B1328,baru!$B$2:$I$2271,5,FALSE)</f>
        <v>#N/A</v>
      </c>
      <c r="L1328" t="e">
        <f>VLOOKUP(B1328,baru!$B$2:$I$2271,6,FALSE)</f>
        <v>#N/A</v>
      </c>
    </row>
    <row r="1329" spans="1:12" hidden="1" x14ac:dyDescent="0.35">
      <c r="A1329" s="6">
        <v>687363</v>
      </c>
      <c r="B1329" s="7" t="str">
        <f>"3174033011880008"</f>
        <v>3174033011880008</v>
      </c>
      <c r="C1329" s="7" t="s">
        <v>2839</v>
      </c>
      <c r="D1329" s="7" t="s">
        <v>10</v>
      </c>
      <c r="E1329" s="7" t="s">
        <v>57</v>
      </c>
      <c r="F1329" s="7" t="s">
        <v>18</v>
      </c>
      <c r="G1329" s="7" t="s">
        <v>190</v>
      </c>
      <c r="H1329" s="7" t="s">
        <v>190</v>
      </c>
      <c r="I1329" s="8" t="s">
        <v>2413</v>
      </c>
    </row>
    <row r="1330" spans="1:12" hidden="1" x14ac:dyDescent="0.35">
      <c r="A1330" s="6">
        <v>969841</v>
      </c>
      <c r="B1330" s="7" t="str">
        <f>"3375040101780003"</f>
        <v>3375040101780003</v>
      </c>
      <c r="C1330" s="7" t="s">
        <v>2840</v>
      </c>
      <c r="D1330" s="7" t="s">
        <v>10</v>
      </c>
      <c r="E1330" s="7" t="s">
        <v>11</v>
      </c>
      <c r="F1330" s="7" t="s">
        <v>18</v>
      </c>
      <c r="G1330" s="7" t="s">
        <v>195</v>
      </c>
      <c r="H1330" s="7" t="s">
        <v>1434</v>
      </c>
      <c r="I1330" s="8" t="s">
        <v>2841</v>
      </c>
    </row>
    <row r="1331" spans="1:12" hidden="1" x14ac:dyDescent="0.35">
      <c r="A1331" s="6">
        <v>2540784</v>
      </c>
      <c r="B1331" s="7" t="str">
        <f>"3375040101780003"</f>
        <v>3375040101780003</v>
      </c>
      <c r="C1331" s="7" t="s">
        <v>2842</v>
      </c>
      <c r="D1331" s="7" t="s">
        <v>10</v>
      </c>
      <c r="E1331" s="7" t="s">
        <v>57</v>
      </c>
      <c r="F1331" s="7" t="s">
        <v>18</v>
      </c>
      <c r="G1331" s="7" t="s">
        <v>19</v>
      </c>
      <c r="H1331" s="7" t="s">
        <v>1394</v>
      </c>
      <c r="I1331" s="8" t="s">
        <v>1395</v>
      </c>
      <c r="J1331" t="e">
        <f>VLOOKUP(B1331,baru!$B$2:$I$2271,4,FALSE)</f>
        <v>#N/A</v>
      </c>
      <c r="K1331" t="e">
        <f>VLOOKUP(B1331,baru!$B$2:$I$2271,5,FALSE)</f>
        <v>#N/A</v>
      </c>
      <c r="L1331" t="e">
        <f>VLOOKUP(B1331,baru!$B$2:$I$2271,6,FALSE)</f>
        <v>#N/A</v>
      </c>
    </row>
    <row r="1332" spans="1:12" hidden="1" x14ac:dyDescent="0.35">
      <c r="A1332" s="6">
        <v>687375</v>
      </c>
      <c r="B1332" s="7" t="str">
        <f>"3375040101780003"</f>
        <v>3375040101780003</v>
      </c>
      <c r="C1332" s="7" t="s">
        <v>2843</v>
      </c>
      <c r="D1332" s="7" t="s">
        <v>10</v>
      </c>
      <c r="E1332" s="7" t="s">
        <v>57</v>
      </c>
      <c r="F1332" s="7" t="s">
        <v>18</v>
      </c>
      <c r="G1332" s="7" t="s">
        <v>190</v>
      </c>
      <c r="H1332" s="7" t="s">
        <v>190</v>
      </c>
      <c r="I1332" s="8" t="s">
        <v>2413</v>
      </c>
    </row>
    <row r="1333" spans="1:12" hidden="1" x14ac:dyDescent="0.35">
      <c r="A1333" s="6">
        <v>74255</v>
      </c>
      <c r="B1333" s="7" t="str">
        <f>"1801040112970009"</f>
        <v>1801040112970009</v>
      </c>
      <c r="C1333" s="7" t="s">
        <v>2844</v>
      </c>
      <c r="D1333" s="7" t="s">
        <v>10</v>
      </c>
      <c r="E1333" s="7" t="s">
        <v>11</v>
      </c>
      <c r="F1333" s="7" t="s">
        <v>44</v>
      </c>
      <c r="G1333" s="7" t="s">
        <v>909</v>
      </c>
      <c r="H1333" s="7" t="s">
        <v>2167</v>
      </c>
      <c r="I1333" s="8" t="s">
        <v>2845</v>
      </c>
    </row>
    <row r="1334" spans="1:12" hidden="1" x14ac:dyDescent="0.35">
      <c r="A1334" s="6">
        <v>777480</v>
      </c>
      <c r="B1334" s="7" t="str">
        <f>"1801231111920001"</f>
        <v>1801231111920001</v>
      </c>
      <c r="C1334" s="7" t="s">
        <v>2847</v>
      </c>
      <c r="D1334" s="7" t="s">
        <v>10</v>
      </c>
      <c r="E1334" s="7" t="s">
        <v>11</v>
      </c>
      <c r="F1334" s="7" t="s">
        <v>50</v>
      </c>
      <c r="G1334" s="7" t="s">
        <v>86</v>
      </c>
      <c r="H1334" s="7" t="s">
        <v>530</v>
      </c>
      <c r="I1334" s="8" t="s">
        <v>789</v>
      </c>
    </row>
    <row r="1335" spans="1:12" hidden="1" x14ac:dyDescent="0.35">
      <c r="A1335" s="6">
        <v>119077</v>
      </c>
      <c r="B1335" s="7" t="str">
        <f>"1802021004720003"</f>
        <v>1802021004720003</v>
      </c>
      <c r="C1335" s="7" t="s">
        <v>2850</v>
      </c>
      <c r="D1335" s="7" t="s">
        <v>10</v>
      </c>
      <c r="E1335" s="7" t="s">
        <v>11</v>
      </c>
      <c r="F1335" s="7" t="s">
        <v>44</v>
      </c>
      <c r="G1335" s="7" t="s">
        <v>1040</v>
      </c>
      <c r="H1335" s="7" t="s">
        <v>2851</v>
      </c>
      <c r="I1335" s="8" t="s">
        <v>2852</v>
      </c>
    </row>
    <row r="1336" spans="1:12" hidden="1" x14ac:dyDescent="0.35">
      <c r="A1336" s="6">
        <v>433462</v>
      </c>
      <c r="B1336" s="7" t="str">
        <f>"3172064409901001"</f>
        <v>3172064409901001</v>
      </c>
      <c r="C1336" s="7" t="s">
        <v>2853</v>
      </c>
      <c r="D1336" s="7" t="s">
        <v>10</v>
      </c>
      <c r="E1336" s="7" t="s">
        <v>11</v>
      </c>
      <c r="F1336" s="7" t="s">
        <v>50</v>
      </c>
      <c r="G1336" s="7" t="s">
        <v>51</v>
      </c>
      <c r="H1336" s="7" t="s">
        <v>425</v>
      </c>
      <c r="I1336" s="8" t="s">
        <v>426</v>
      </c>
    </row>
    <row r="1337" spans="1:12" hidden="1" x14ac:dyDescent="0.35">
      <c r="A1337" s="6">
        <v>1304561</v>
      </c>
      <c r="B1337" s="7" t="str">
        <f>"3173011004710019"</f>
        <v>3173011004710019</v>
      </c>
      <c r="C1337" s="7" t="s">
        <v>2855</v>
      </c>
      <c r="D1337" s="7" t="s">
        <v>10</v>
      </c>
      <c r="E1337" s="7" t="s">
        <v>11</v>
      </c>
      <c r="F1337" s="7" t="s">
        <v>50</v>
      </c>
      <c r="G1337" s="7" t="s">
        <v>86</v>
      </c>
      <c r="H1337" s="7" t="s">
        <v>1268</v>
      </c>
      <c r="I1337" s="8" t="s">
        <v>2203</v>
      </c>
    </row>
    <row r="1338" spans="1:12" hidden="1" x14ac:dyDescent="0.35">
      <c r="A1338" s="6">
        <v>970431</v>
      </c>
      <c r="B1338" s="7" t="str">
        <f>"3173014901051002"</f>
        <v>3173014901051002</v>
      </c>
      <c r="C1338" s="7" t="s">
        <v>2857</v>
      </c>
      <c r="D1338" s="7" t="s">
        <v>10</v>
      </c>
      <c r="E1338" s="7" t="s">
        <v>11</v>
      </c>
      <c r="F1338" s="7" t="s">
        <v>303</v>
      </c>
      <c r="G1338" s="7" t="s">
        <v>2858</v>
      </c>
      <c r="H1338" s="7" t="s">
        <v>2859</v>
      </c>
      <c r="I1338" s="8" t="s">
        <v>2860</v>
      </c>
    </row>
    <row r="1339" spans="1:12" hidden="1" x14ac:dyDescent="0.35">
      <c r="A1339" s="6">
        <v>1212515</v>
      </c>
      <c r="B1339" s="7" t="str">
        <f>"3174050506480006"</f>
        <v>3174050506480006</v>
      </c>
      <c r="C1339" s="7" t="s">
        <v>2863</v>
      </c>
      <c r="D1339" s="7" t="s">
        <v>10</v>
      </c>
      <c r="E1339" s="7" t="s">
        <v>11</v>
      </c>
      <c r="F1339" s="7" t="s">
        <v>50</v>
      </c>
      <c r="G1339" s="7" t="s">
        <v>72</v>
      </c>
      <c r="H1339" s="7" t="s">
        <v>803</v>
      </c>
      <c r="I1339" s="8" t="s">
        <v>2864</v>
      </c>
    </row>
    <row r="1340" spans="1:12" hidden="1" x14ac:dyDescent="0.35">
      <c r="A1340" s="6">
        <v>949558</v>
      </c>
      <c r="B1340" s="7" t="str">
        <f>"3174050707600012"</f>
        <v>3174050707600012</v>
      </c>
      <c r="C1340" s="7" t="s">
        <v>2865</v>
      </c>
      <c r="D1340" s="7" t="s">
        <v>10</v>
      </c>
      <c r="E1340" s="7" t="s">
        <v>11</v>
      </c>
      <c r="F1340" s="7" t="s">
        <v>50</v>
      </c>
      <c r="G1340" s="7" t="s">
        <v>72</v>
      </c>
      <c r="H1340" s="7" t="s">
        <v>803</v>
      </c>
      <c r="I1340" s="8" t="s">
        <v>2866</v>
      </c>
    </row>
    <row r="1341" spans="1:12" hidden="1" x14ac:dyDescent="0.35">
      <c r="A1341" s="6">
        <v>1212518</v>
      </c>
      <c r="B1341" s="7" t="str">
        <f>"3174054101540007"</f>
        <v>3174054101540007</v>
      </c>
      <c r="C1341" s="7" t="s">
        <v>2867</v>
      </c>
      <c r="D1341" s="7" t="s">
        <v>10</v>
      </c>
      <c r="E1341" s="7" t="s">
        <v>11</v>
      </c>
      <c r="F1341" s="7" t="s">
        <v>50</v>
      </c>
      <c r="G1341" s="7" t="s">
        <v>72</v>
      </c>
      <c r="H1341" s="7" t="s">
        <v>803</v>
      </c>
      <c r="I1341" s="8" t="s">
        <v>2864</v>
      </c>
    </row>
    <row r="1342" spans="1:12" hidden="1" x14ac:dyDescent="0.35">
      <c r="A1342" s="6">
        <v>623411</v>
      </c>
      <c r="B1342" s="7" t="str">
        <f>"3174102404760007"</f>
        <v>3174102404760007</v>
      </c>
      <c r="C1342" s="7" t="s">
        <v>2868</v>
      </c>
      <c r="D1342" s="7" t="s">
        <v>10</v>
      </c>
      <c r="E1342" s="7" t="s">
        <v>11</v>
      </c>
      <c r="F1342" s="7" t="s">
        <v>50</v>
      </c>
      <c r="G1342" s="7" t="s">
        <v>72</v>
      </c>
      <c r="H1342" s="7" t="s">
        <v>541</v>
      </c>
      <c r="I1342" s="8" t="s">
        <v>2869</v>
      </c>
    </row>
    <row r="1343" spans="1:12" hidden="1" x14ac:dyDescent="0.35">
      <c r="A1343" s="6">
        <v>623407</v>
      </c>
      <c r="B1343" s="7" t="str">
        <f>"3174104505810017"</f>
        <v>3174104505810017</v>
      </c>
      <c r="C1343" s="7" t="s">
        <v>2870</v>
      </c>
      <c r="D1343" s="7" t="s">
        <v>10</v>
      </c>
      <c r="E1343" s="7" t="s">
        <v>11</v>
      </c>
      <c r="F1343" s="7" t="s">
        <v>50</v>
      </c>
      <c r="G1343" s="7" t="s">
        <v>72</v>
      </c>
      <c r="H1343" s="7" t="s">
        <v>541</v>
      </c>
      <c r="I1343" s="8" t="s">
        <v>2869</v>
      </c>
    </row>
    <row r="1344" spans="1:12" hidden="1" x14ac:dyDescent="0.35">
      <c r="A1344" s="6">
        <v>480081</v>
      </c>
      <c r="B1344" s="7" t="str">
        <f>"3174105508380002"</f>
        <v>3174105508380002</v>
      </c>
      <c r="C1344" s="7" t="s">
        <v>2871</v>
      </c>
      <c r="D1344" s="7" t="s">
        <v>10</v>
      </c>
      <c r="E1344" s="7" t="s">
        <v>11</v>
      </c>
      <c r="F1344" s="7" t="s">
        <v>50</v>
      </c>
      <c r="G1344" s="7" t="s">
        <v>72</v>
      </c>
      <c r="H1344" s="7" t="s">
        <v>541</v>
      </c>
      <c r="I1344" s="8" t="s">
        <v>2869</v>
      </c>
    </row>
    <row r="1345" spans="1:12" hidden="1" x14ac:dyDescent="0.35">
      <c r="A1345" s="6">
        <v>623409</v>
      </c>
      <c r="B1345" s="7" t="str">
        <f>"3174105705030010"</f>
        <v>3174105705030010</v>
      </c>
      <c r="C1345" s="7" t="s">
        <v>2874</v>
      </c>
      <c r="D1345" s="7" t="s">
        <v>10</v>
      </c>
      <c r="E1345" s="7" t="s">
        <v>11</v>
      </c>
      <c r="F1345" s="7" t="s">
        <v>50</v>
      </c>
      <c r="G1345" s="7" t="s">
        <v>72</v>
      </c>
      <c r="H1345" s="7" t="s">
        <v>541</v>
      </c>
      <c r="I1345" s="8" t="s">
        <v>2869</v>
      </c>
    </row>
    <row r="1346" spans="1:12" hidden="1" x14ac:dyDescent="0.35">
      <c r="A1346" s="6">
        <v>2358480</v>
      </c>
      <c r="B1346" s="7" t="str">
        <f>"3175065910980009"</f>
        <v>3175065910980009</v>
      </c>
      <c r="C1346" s="7" t="s">
        <v>2875</v>
      </c>
      <c r="D1346" s="7" t="s">
        <v>10</v>
      </c>
      <c r="E1346" s="7" t="s">
        <v>11</v>
      </c>
      <c r="F1346" s="7" t="s">
        <v>50</v>
      </c>
      <c r="G1346" s="7" t="s">
        <v>58</v>
      </c>
      <c r="H1346" s="7" t="s">
        <v>417</v>
      </c>
      <c r="I1346" s="8" t="s">
        <v>59</v>
      </c>
    </row>
    <row r="1347" spans="1:12" hidden="1" x14ac:dyDescent="0.35">
      <c r="A1347" s="6">
        <v>597325</v>
      </c>
      <c r="B1347" s="7" t="str">
        <f>"3175105206861004"</f>
        <v>3175105206861004</v>
      </c>
      <c r="C1347" s="7" t="s">
        <v>2877</v>
      </c>
      <c r="D1347" s="7" t="s">
        <v>10</v>
      </c>
      <c r="E1347" s="7" t="s">
        <v>11</v>
      </c>
      <c r="F1347" s="7" t="s">
        <v>50</v>
      </c>
      <c r="G1347" s="7" t="s">
        <v>58</v>
      </c>
      <c r="H1347" s="7" t="s">
        <v>316</v>
      </c>
      <c r="I1347" s="8" t="s">
        <v>2878</v>
      </c>
    </row>
    <row r="1348" spans="1:12" hidden="1" x14ac:dyDescent="0.35">
      <c r="A1348" s="6">
        <v>875910</v>
      </c>
      <c r="B1348" s="7" t="str">
        <f>"3212192309900001"</f>
        <v>3212192309900001</v>
      </c>
      <c r="C1348" s="7" t="s">
        <v>2881</v>
      </c>
      <c r="D1348" s="7" t="s">
        <v>10</v>
      </c>
      <c r="E1348" s="7" t="s">
        <v>11</v>
      </c>
      <c r="F1348" s="7" t="s">
        <v>91</v>
      </c>
      <c r="G1348" s="7" t="s">
        <v>114</v>
      </c>
      <c r="H1348" s="7" t="s">
        <v>2580</v>
      </c>
      <c r="I1348" s="8" t="s">
        <v>2581</v>
      </c>
    </row>
    <row r="1349" spans="1:12" hidden="1" x14ac:dyDescent="0.35">
      <c r="A1349" s="6">
        <v>1330924</v>
      </c>
      <c r="B1349" s="7" t="str">
        <f>"3275052509970011"</f>
        <v>3275052509970011</v>
      </c>
      <c r="C1349" s="7" t="s">
        <v>2883</v>
      </c>
      <c r="D1349" s="7" t="s">
        <v>10</v>
      </c>
      <c r="E1349" s="7" t="s">
        <v>11</v>
      </c>
      <c r="F1349" s="7" t="s">
        <v>91</v>
      </c>
      <c r="G1349" s="7" t="s">
        <v>159</v>
      </c>
      <c r="H1349" s="7" t="s">
        <v>160</v>
      </c>
      <c r="I1349" s="8" t="s">
        <v>161</v>
      </c>
    </row>
    <row r="1350" spans="1:12" hidden="1" x14ac:dyDescent="0.35">
      <c r="A1350" s="6">
        <v>431953</v>
      </c>
      <c r="B1350" s="7" t="str">
        <f>"3324014711870003"</f>
        <v>3324014711870003</v>
      </c>
      <c r="C1350" s="7" t="s">
        <v>2885</v>
      </c>
      <c r="D1350" s="7" t="s">
        <v>10</v>
      </c>
      <c r="E1350" s="7" t="s">
        <v>11</v>
      </c>
      <c r="F1350" s="7" t="s">
        <v>50</v>
      </c>
      <c r="G1350" s="7" t="s">
        <v>51</v>
      </c>
      <c r="H1350" s="7" t="s">
        <v>425</v>
      </c>
      <c r="I1350" s="8" t="s">
        <v>426</v>
      </c>
    </row>
    <row r="1351" spans="1:12" hidden="1" x14ac:dyDescent="0.35">
      <c r="A1351" s="6">
        <v>242227</v>
      </c>
      <c r="B1351" s="7" t="str">
        <f>"3328070104840006"</f>
        <v>3328070104840006</v>
      </c>
      <c r="C1351" s="7" t="s">
        <v>1622</v>
      </c>
      <c r="D1351" s="7" t="s">
        <v>10</v>
      </c>
      <c r="E1351" s="7" t="s">
        <v>11</v>
      </c>
      <c r="F1351" s="7" t="s">
        <v>2889</v>
      </c>
      <c r="G1351" s="7" t="s">
        <v>2890</v>
      </c>
      <c r="H1351" s="7" t="s">
        <v>2891</v>
      </c>
      <c r="I1351" s="8" t="s">
        <v>2892</v>
      </c>
    </row>
    <row r="1352" spans="1:12" hidden="1" x14ac:dyDescent="0.35">
      <c r="A1352" s="6">
        <v>285299</v>
      </c>
      <c r="B1352" s="7" t="str">
        <f>"3328070107940014"</f>
        <v>3328070107940014</v>
      </c>
      <c r="C1352" s="7" t="s">
        <v>2894</v>
      </c>
      <c r="D1352" s="7" t="s">
        <v>10</v>
      </c>
      <c r="E1352" s="7" t="s">
        <v>11</v>
      </c>
      <c r="F1352" s="7" t="s">
        <v>50</v>
      </c>
      <c r="G1352" s="7" t="s">
        <v>58</v>
      </c>
      <c r="H1352" s="7" t="s">
        <v>316</v>
      </c>
      <c r="I1352" s="8" t="s">
        <v>2895</v>
      </c>
    </row>
    <row r="1353" spans="1:12" hidden="1" x14ac:dyDescent="0.35">
      <c r="A1353" s="6">
        <v>187497</v>
      </c>
      <c r="B1353" s="7" t="str">
        <f>"3328070206000009"</f>
        <v>3328070206000009</v>
      </c>
      <c r="C1353" s="7" t="s">
        <v>2896</v>
      </c>
      <c r="D1353" s="7" t="s">
        <v>10</v>
      </c>
      <c r="E1353" s="7" t="s">
        <v>11</v>
      </c>
      <c r="F1353" s="7" t="s">
        <v>232</v>
      </c>
      <c r="G1353" s="7" t="s">
        <v>233</v>
      </c>
      <c r="H1353" s="7" t="s">
        <v>2897</v>
      </c>
      <c r="I1353" s="8" t="s">
        <v>2898</v>
      </c>
    </row>
    <row r="1354" spans="1:12" hidden="1" x14ac:dyDescent="0.35">
      <c r="A1354" s="6">
        <v>1669935</v>
      </c>
      <c r="B1354" s="7" t="str">
        <f>"3328070311890001"</f>
        <v>3328070311890001</v>
      </c>
      <c r="C1354" s="7" t="s">
        <v>2899</v>
      </c>
      <c r="D1354" s="7" t="s">
        <v>10</v>
      </c>
      <c r="E1354" s="7" t="s">
        <v>11</v>
      </c>
      <c r="F1354" s="7" t="s">
        <v>18</v>
      </c>
      <c r="G1354" s="7" t="s">
        <v>19</v>
      </c>
      <c r="H1354" s="7" t="s">
        <v>59</v>
      </c>
      <c r="I1354" s="8" t="s">
        <v>2856</v>
      </c>
      <c r="J1354" t="e">
        <f>VLOOKUP(B1354,baru!$B$2:$I$2271,4,FALSE)</f>
        <v>#N/A</v>
      </c>
      <c r="K1354" t="e">
        <f>VLOOKUP(B1354,baru!$B$2:$I$2271,5,FALSE)</f>
        <v>#N/A</v>
      </c>
      <c r="L1354" t="e">
        <f>VLOOKUP(B1354,baru!$B$2:$I$2271,6,FALSE)</f>
        <v>#N/A</v>
      </c>
    </row>
    <row r="1355" spans="1:12" hidden="1" x14ac:dyDescent="0.35">
      <c r="A1355" s="6">
        <v>251515</v>
      </c>
      <c r="B1355" s="7" t="str">
        <f>"3328070311890001"</f>
        <v>3328070311890001</v>
      </c>
      <c r="C1355" s="7" t="s">
        <v>2899</v>
      </c>
      <c r="D1355" s="7" t="s">
        <v>10</v>
      </c>
      <c r="E1355" s="7" t="s">
        <v>57</v>
      </c>
      <c r="F1355" s="7" t="s">
        <v>521</v>
      </c>
      <c r="G1355" s="7" t="s">
        <v>657</v>
      </c>
      <c r="H1355" s="7" t="s">
        <v>658</v>
      </c>
      <c r="I1355" s="8" t="s">
        <v>871</v>
      </c>
    </row>
    <row r="1356" spans="1:12" hidden="1" x14ac:dyDescent="0.35">
      <c r="A1356" s="6">
        <v>99549</v>
      </c>
      <c r="B1356" s="7" t="str">
        <f>"3328070404040001"</f>
        <v>3328070404040001</v>
      </c>
      <c r="C1356" s="7" t="s">
        <v>2900</v>
      </c>
      <c r="D1356" s="7" t="s">
        <v>10</v>
      </c>
      <c r="E1356" s="7" t="s">
        <v>11</v>
      </c>
      <c r="F1356" s="7" t="s">
        <v>50</v>
      </c>
      <c r="G1356" s="7" t="s">
        <v>72</v>
      </c>
      <c r="H1356" s="7" t="s">
        <v>541</v>
      </c>
      <c r="I1356" s="8" t="s">
        <v>2901</v>
      </c>
    </row>
    <row r="1357" spans="1:12" hidden="1" x14ac:dyDescent="0.35">
      <c r="A1357" s="6">
        <v>641430</v>
      </c>
      <c r="B1357" s="7" t="str">
        <f>"3328070706820002"</f>
        <v>3328070706820002</v>
      </c>
      <c r="C1357" s="7" t="s">
        <v>2903</v>
      </c>
      <c r="D1357" s="7" t="s">
        <v>10</v>
      </c>
      <c r="E1357" s="7" t="s">
        <v>11</v>
      </c>
      <c r="F1357" s="7" t="s">
        <v>50</v>
      </c>
      <c r="G1357" s="7" t="s">
        <v>280</v>
      </c>
      <c r="H1357" s="7" t="s">
        <v>281</v>
      </c>
      <c r="I1357" s="8" t="s">
        <v>282</v>
      </c>
    </row>
    <row r="1358" spans="1:12" hidden="1" x14ac:dyDescent="0.35">
      <c r="A1358" s="6">
        <v>1842362</v>
      </c>
      <c r="B1358" s="7" t="str">
        <f>"3328070807720003"</f>
        <v>3328070807720003</v>
      </c>
      <c r="C1358" s="7" t="s">
        <v>2905</v>
      </c>
      <c r="D1358" s="7" t="s">
        <v>10</v>
      </c>
      <c r="E1358" s="7" t="s">
        <v>11</v>
      </c>
      <c r="F1358" s="7" t="s">
        <v>91</v>
      </c>
      <c r="G1358" s="7" t="s">
        <v>159</v>
      </c>
      <c r="H1358" s="7" t="s">
        <v>1332</v>
      </c>
      <c r="I1358" s="8" t="s">
        <v>2358</v>
      </c>
    </row>
    <row r="1359" spans="1:12" hidden="1" x14ac:dyDescent="0.35">
      <c r="A1359" s="6">
        <v>22803</v>
      </c>
      <c r="B1359" s="7" t="str">
        <f>"3328070812870007"</f>
        <v>3328070812870007</v>
      </c>
      <c r="C1359" s="7" t="s">
        <v>2906</v>
      </c>
      <c r="D1359" s="7" t="s">
        <v>10</v>
      </c>
      <c r="E1359" s="7" t="s">
        <v>11</v>
      </c>
      <c r="F1359" s="7" t="s">
        <v>2907</v>
      </c>
      <c r="G1359" s="7" t="s">
        <v>2908</v>
      </c>
      <c r="H1359" s="7" t="s">
        <v>2909</v>
      </c>
      <c r="I1359" s="8" t="s">
        <v>2910</v>
      </c>
    </row>
    <row r="1360" spans="1:12" hidden="1" x14ac:dyDescent="0.35">
      <c r="A1360" s="6">
        <v>1341669</v>
      </c>
      <c r="B1360" s="7" t="str">
        <f>"3328070905690001"</f>
        <v>3328070905690001</v>
      </c>
      <c r="C1360" s="7" t="s">
        <v>2911</v>
      </c>
      <c r="D1360" s="7" t="s">
        <v>10</v>
      </c>
      <c r="E1360" s="7" t="s">
        <v>11</v>
      </c>
      <c r="F1360" s="7" t="s">
        <v>50</v>
      </c>
      <c r="G1360" s="7" t="s">
        <v>58</v>
      </c>
      <c r="H1360" s="7" t="s">
        <v>417</v>
      </c>
      <c r="I1360" s="8" t="s">
        <v>1131</v>
      </c>
    </row>
    <row r="1361" spans="1:12" hidden="1" x14ac:dyDescent="0.35">
      <c r="A1361" s="6">
        <v>1509565</v>
      </c>
      <c r="B1361" s="7" t="str">
        <f>"3328070908710002"</f>
        <v>3328070908710002</v>
      </c>
      <c r="C1361" s="7" t="s">
        <v>2912</v>
      </c>
      <c r="D1361" s="7" t="s">
        <v>10</v>
      </c>
      <c r="E1361" s="7" t="s">
        <v>11</v>
      </c>
      <c r="F1361" s="7" t="s">
        <v>50</v>
      </c>
      <c r="G1361" s="7" t="s">
        <v>72</v>
      </c>
      <c r="H1361" s="7" t="s">
        <v>738</v>
      </c>
      <c r="I1361" s="8" t="s">
        <v>738</v>
      </c>
    </row>
    <row r="1362" spans="1:12" hidden="1" x14ac:dyDescent="0.35">
      <c r="A1362" s="6">
        <v>1392374</v>
      </c>
      <c r="B1362" s="7" t="str">
        <f>"3328070909950003"</f>
        <v>3328070909950003</v>
      </c>
      <c r="C1362" s="7" t="s">
        <v>2913</v>
      </c>
      <c r="D1362" s="7" t="s">
        <v>10</v>
      </c>
      <c r="E1362" s="7" t="s">
        <v>11</v>
      </c>
      <c r="F1362" s="7" t="s">
        <v>67</v>
      </c>
      <c r="G1362" s="7" t="s">
        <v>68</v>
      </c>
      <c r="H1362" s="7" t="s">
        <v>69</v>
      </c>
      <c r="I1362" s="8" t="s">
        <v>2117</v>
      </c>
    </row>
    <row r="1363" spans="1:12" hidden="1" x14ac:dyDescent="0.35">
      <c r="A1363" s="17">
        <v>1731073</v>
      </c>
      <c r="B1363" s="18" t="str">
        <f>"3328071010060006"</f>
        <v>3328071010060006</v>
      </c>
      <c r="C1363" s="18" t="s">
        <v>2914</v>
      </c>
      <c r="D1363" s="18" t="s">
        <v>10</v>
      </c>
      <c r="E1363" s="18" t="s">
        <v>11</v>
      </c>
      <c r="F1363" s="18" t="s">
        <v>18</v>
      </c>
      <c r="G1363" s="18" t="s">
        <v>19</v>
      </c>
      <c r="H1363" s="18" t="s">
        <v>59</v>
      </c>
      <c r="I1363" s="19" t="s">
        <v>2849</v>
      </c>
      <c r="J1363" s="20" t="str">
        <f>VLOOKUP(B1363,baru!$B$2:$I$2271,4,FALSE)</f>
        <v>Khusus</v>
      </c>
      <c r="K1363" s="20" t="str">
        <f>VLOOKUP(B1363,baru!$B$2:$I$2271,5,FALSE)</f>
        <v>JAWA TENGAH</v>
      </c>
      <c r="L1363" s="20" t="str">
        <f>VLOOKUP(B1363,baru!$B$2:$I$2271,6,FALSE)</f>
        <v>MAGELANG</v>
      </c>
    </row>
    <row r="1364" spans="1:12" hidden="1" x14ac:dyDescent="0.35">
      <c r="A1364" s="6">
        <v>243805</v>
      </c>
      <c r="B1364" s="7" t="str">
        <f>"3328071203700005"</f>
        <v>3328071203700005</v>
      </c>
      <c r="C1364" s="7" t="s">
        <v>2917</v>
      </c>
      <c r="D1364" s="7" t="s">
        <v>10</v>
      </c>
      <c r="E1364" s="7" t="s">
        <v>11</v>
      </c>
      <c r="F1364" s="7" t="s">
        <v>91</v>
      </c>
      <c r="G1364" s="7" t="s">
        <v>159</v>
      </c>
      <c r="H1364" s="7" t="s">
        <v>1288</v>
      </c>
      <c r="I1364" s="8" t="s">
        <v>2918</v>
      </c>
    </row>
    <row r="1365" spans="1:12" hidden="1" x14ac:dyDescent="0.35">
      <c r="A1365" s="6">
        <v>939166</v>
      </c>
      <c r="B1365" s="7" t="str">
        <f>"3328071207850018"</f>
        <v>3328071207850018</v>
      </c>
      <c r="C1365" s="7" t="s">
        <v>2920</v>
      </c>
      <c r="D1365" s="7" t="s">
        <v>10</v>
      </c>
      <c r="E1365" s="7" t="s">
        <v>11</v>
      </c>
      <c r="F1365" s="7" t="s">
        <v>18</v>
      </c>
      <c r="G1365" s="7" t="s">
        <v>264</v>
      </c>
      <c r="H1365" s="7" t="s">
        <v>264</v>
      </c>
      <c r="I1365" s="8" t="s">
        <v>2921</v>
      </c>
    </row>
    <row r="1366" spans="1:12" hidden="1" x14ac:dyDescent="0.35">
      <c r="A1366" s="6">
        <v>1593424</v>
      </c>
      <c r="B1366" s="7" t="str">
        <f>"3328071210910002"</f>
        <v>3328071210910002</v>
      </c>
      <c r="C1366" s="7" t="s">
        <v>2923</v>
      </c>
      <c r="D1366" s="7" t="s">
        <v>10</v>
      </c>
      <c r="E1366" s="7" t="s">
        <v>11</v>
      </c>
      <c r="F1366" s="7" t="s">
        <v>67</v>
      </c>
      <c r="G1366" s="7" t="s">
        <v>68</v>
      </c>
      <c r="H1366" s="7" t="s">
        <v>2924</v>
      </c>
      <c r="I1366" s="8" t="s">
        <v>2925</v>
      </c>
    </row>
    <row r="1367" spans="1:12" x14ac:dyDescent="0.35">
      <c r="A1367" s="6">
        <v>1752981</v>
      </c>
      <c r="B1367" s="7" t="str">
        <f>"3328071210910002"</f>
        <v>3328071210910002</v>
      </c>
      <c r="C1367" s="7" t="s">
        <v>2926</v>
      </c>
      <c r="D1367" s="7" t="s">
        <v>189</v>
      </c>
      <c r="E1367" s="7" t="s">
        <v>11</v>
      </c>
      <c r="F1367" s="7" t="s">
        <v>18</v>
      </c>
      <c r="G1367" s="7" t="s">
        <v>19</v>
      </c>
      <c r="H1367" s="7" t="s">
        <v>59</v>
      </c>
      <c r="I1367" s="8" t="s">
        <v>222</v>
      </c>
      <c r="J1367" t="e">
        <f>VLOOKUP(B1367,baru!$B$2:$I$2271,4,FALSE)</f>
        <v>#N/A</v>
      </c>
      <c r="K1367" t="e">
        <f>VLOOKUP(B1367,baru!$B$2:$I$2271,5,FALSE)</f>
        <v>#N/A</v>
      </c>
      <c r="L1367" t="e">
        <f>VLOOKUP(B1367,baru!$B$2:$I$2271,6,FALSE)</f>
        <v>#N/A</v>
      </c>
    </row>
    <row r="1368" spans="1:12" x14ac:dyDescent="0.35">
      <c r="A1368" s="6">
        <v>109235</v>
      </c>
      <c r="B1368" s="7" t="str">
        <f>"3328071406790002"</f>
        <v>3328071406790002</v>
      </c>
      <c r="C1368" s="7" t="s">
        <v>2927</v>
      </c>
      <c r="D1368" s="7" t="s">
        <v>189</v>
      </c>
      <c r="E1368" s="7" t="s">
        <v>11</v>
      </c>
      <c r="F1368" s="7" t="s">
        <v>516</v>
      </c>
      <c r="G1368" s="7" t="s">
        <v>2928</v>
      </c>
      <c r="H1368" s="7" t="s">
        <v>2929</v>
      </c>
      <c r="I1368" s="8" t="s">
        <v>2930</v>
      </c>
    </row>
    <row r="1369" spans="1:12" x14ac:dyDescent="0.35">
      <c r="A1369" s="6">
        <v>1701831</v>
      </c>
      <c r="B1369" s="7" t="str">
        <f>"3328071507000006"</f>
        <v>3328071507000006</v>
      </c>
      <c r="C1369" s="7" t="s">
        <v>2931</v>
      </c>
      <c r="D1369" s="7" t="s">
        <v>189</v>
      </c>
      <c r="E1369" s="7" t="s">
        <v>11</v>
      </c>
      <c r="F1369" s="7" t="s">
        <v>18</v>
      </c>
      <c r="G1369" s="7" t="s">
        <v>19</v>
      </c>
      <c r="H1369" s="7" t="s">
        <v>59</v>
      </c>
      <c r="I1369" s="8" t="s">
        <v>2884</v>
      </c>
      <c r="J1369" t="e">
        <f>VLOOKUP(B1369,baru!$B$2:$I$2271,4,FALSE)</f>
        <v>#N/A</v>
      </c>
      <c r="K1369" t="e">
        <f>VLOOKUP(B1369,baru!$B$2:$I$2271,5,FALSE)</f>
        <v>#N/A</v>
      </c>
      <c r="L1369" t="e">
        <f>VLOOKUP(B1369,baru!$B$2:$I$2271,6,FALSE)</f>
        <v>#N/A</v>
      </c>
    </row>
    <row r="1370" spans="1:12" hidden="1" x14ac:dyDescent="0.35">
      <c r="A1370" s="6">
        <v>1351209</v>
      </c>
      <c r="B1370" s="7" t="str">
        <f>"3328071507000006"</f>
        <v>3328071507000006</v>
      </c>
      <c r="C1370" s="7" t="s">
        <v>2931</v>
      </c>
      <c r="D1370" s="7" t="s">
        <v>10</v>
      </c>
      <c r="E1370" s="7" t="s">
        <v>57</v>
      </c>
      <c r="F1370" s="7" t="s">
        <v>303</v>
      </c>
      <c r="G1370" s="7" t="s">
        <v>608</v>
      </c>
      <c r="H1370" s="7" t="s">
        <v>609</v>
      </c>
      <c r="I1370" s="8" t="s">
        <v>610</v>
      </c>
    </row>
    <row r="1371" spans="1:12" hidden="1" x14ac:dyDescent="0.35">
      <c r="A1371" s="6">
        <v>1672659</v>
      </c>
      <c r="B1371" s="7" t="str">
        <f>"3328071608040003"</f>
        <v>3328071608040003</v>
      </c>
      <c r="C1371" s="7" t="s">
        <v>2932</v>
      </c>
      <c r="D1371" s="7" t="s">
        <v>10</v>
      </c>
      <c r="E1371" s="7" t="s">
        <v>11</v>
      </c>
      <c r="F1371" s="7" t="s">
        <v>18</v>
      </c>
      <c r="G1371" s="7" t="s">
        <v>19</v>
      </c>
      <c r="H1371" s="7" t="s">
        <v>59</v>
      </c>
      <c r="I1371" s="8" t="s">
        <v>2862</v>
      </c>
      <c r="J1371" t="e">
        <f>VLOOKUP(B1371,baru!$B$2:$I$2271,4,FALSE)</f>
        <v>#N/A</v>
      </c>
      <c r="K1371" t="e">
        <f>VLOOKUP(B1371,baru!$B$2:$I$2271,5,FALSE)</f>
        <v>#N/A</v>
      </c>
      <c r="L1371" t="e">
        <f>VLOOKUP(B1371,baru!$B$2:$I$2271,6,FALSE)</f>
        <v>#N/A</v>
      </c>
    </row>
    <row r="1372" spans="1:12" hidden="1" x14ac:dyDescent="0.35">
      <c r="A1372" s="6">
        <v>762447</v>
      </c>
      <c r="B1372" s="7" t="str">
        <f>"3328071608040003"</f>
        <v>3328071608040003</v>
      </c>
      <c r="C1372" s="7" t="s">
        <v>2933</v>
      </c>
      <c r="D1372" s="7" t="s">
        <v>10</v>
      </c>
      <c r="E1372" s="7" t="s">
        <v>57</v>
      </c>
      <c r="F1372" s="7" t="s">
        <v>379</v>
      </c>
      <c r="G1372" s="7" t="s">
        <v>711</v>
      </c>
      <c r="H1372" s="7" t="s">
        <v>718</v>
      </c>
      <c r="I1372" s="8" t="s">
        <v>719</v>
      </c>
    </row>
    <row r="1373" spans="1:12" hidden="1" x14ac:dyDescent="0.35">
      <c r="A1373" s="6">
        <v>1731948</v>
      </c>
      <c r="B1373" s="7" t="str">
        <f>"3328071707810011"</f>
        <v>3328071707810011</v>
      </c>
      <c r="C1373" s="7" t="s">
        <v>2934</v>
      </c>
      <c r="D1373" s="7" t="s">
        <v>10</v>
      </c>
      <c r="E1373" s="7" t="s">
        <v>11</v>
      </c>
      <c r="F1373" s="7" t="s">
        <v>18</v>
      </c>
      <c r="G1373" s="7" t="s">
        <v>19</v>
      </c>
      <c r="H1373" s="7" t="s">
        <v>59</v>
      </c>
      <c r="I1373" s="8" t="s">
        <v>2849</v>
      </c>
      <c r="J1373" t="e">
        <f>VLOOKUP(B1373,baru!$B$2:$I$2271,4,FALSE)</f>
        <v>#N/A</v>
      </c>
      <c r="K1373" t="e">
        <f>VLOOKUP(B1373,baru!$B$2:$I$2271,5,FALSE)</f>
        <v>#N/A</v>
      </c>
      <c r="L1373" t="e">
        <f>VLOOKUP(B1373,baru!$B$2:$I$2271,6,FALSE)</f>
        <v>#N/A</v>
      </c>
    </row>
    <row r="1374" spans="1:12" hidden="1" x14ac:dyDescent="0.35">
      <c r="A1374" s="6">
        <v>2406044</v>
      </c>
      <c r="B1374" s="7" t="str">
        <f>"3328071707810011"</f>
        <v>3328071707810011</v>
      </c>
      <c r="C1374" s="7" t="s">
        <v>2934</v>
      </c>
      <c r="D1374" s="7" t="s">
        <v>10</v>
      </c>
      <c r="E1374" s="7" t="s">
        <v>57</v>
      </c>
      <c r="F1374" s="7" t="s">
        <v>67</v>
      </c>
      <c r="G1374" s="7" t="s">
        <v>791</v>
      </c>
      <c r="H1374" s="7" t="s">
        <v>2935</v>
      </c>
      <c r="I1374" s="8" t="s">
        <v>2936</v>
      </c>
    </row>
    <row r="1375" spans="1:12" hidden="1" x14ac:dyDescent="0.35">
      <c r="A1375" s="6">
        <v>386311</v>
      </c>
      <c r="B1375" s="7" t="str">
        <f>"3328072103970002"</f>
        <v>3328072103970002</v>
      </c>
      <c r="C1375" s="7" t="s">
        <v>2937</v>
      </c>
      <c r="D1375" s="7" t="s">
        <v>10</v>
      </c>
      <c r="E1375" s="7" t="s">
        <v>11</v>
      </c>
      <c r="F1375" s="7" t="s">
        <v>18</v>
      </c>
      <c r="G1375" s="7" t="s">
        <v>2389</v>
      </c>
      <c r="H1375" s="7" t="s">
        <v>2728</v>
      </c>
      <c r="I1375" s="8" t="s">
        <v>2938</v>
      </c>
    </row>
    <row r="1376" spans="1:12" hidden="1" x14ac:dyDescent="0.35">
      <c r="A1376" s="6">
        <v>22802</v>
      </c>
      <c r="B1376" s="7" t="str">
        <f>"3328072707000001"</f>
        <v>3328072707000001</v>
      </c>
      <c r="C1376" s="7" t="s">
        <v>2940</v>
      </c>
      <c r="D1376" s="7" t="s">
        <v>10</v>
      </c>
      <c r="E1376" s="7" t="s">
        <v>11</v>
      </c>
      <c r="F1376" s="7" t="s">
        <v>2907</v>
      </c>
      <c r="G1376" s="7" t="s">
        <v>2908</v>
      </c>
      <c r="H1376" s="7" t="s">
        <v>2909</v>
      </c>
      <c r="I1376" s="8" t="s">
        <v>2910</v>
      </c>
    </row>
    <row r="1377" spans="1:12" hidden="1" x14ac:dyDescent="0.35">
      <c r="A1377" s="6">
        <v>60957</v>
      </c>
      <c r="B1377" s="7" t="str">
        <f>"3328072808030003"</f>
        <v>3328072808030003</v>
      </c>
      <c r="C1377" s="7" t="s">
        <v>2942</v>
      </c>
      <c r="D1377" s="7" t="s">
        <v>10</v>
      </c>
      <c r="E1377" s="7" t="s">
        <v>11</v>
      </c>
      <c r="F1377" s="7" t="s">
        <v>811</v>
      </c>
      <c r="G1377" s="7" t="s">
        <v>2943</v>
      </c>
      <c r="H1377" s="7" t="s">
        <v>2943</v>
      </c>
      <c r="I1377" s="8" t="s">
        <v>2944</v>
      </c>
    </row>
    <row r="1378" spans="1:12" hidden="1" x14ac:dyDescent="0.35">
      <c r="A1378" s="6">
        <v>910844</v>
      </c>
      <c r="B1378" s="7" t="str">
        <f>"3328073007690002"</f>
        <v>3328073007690002</v>
      </c>
      <c r="C1378" s="7" t="s">
        <v>2946</v>
      </c>
      <c r="D1378" s="7" t="s">
        <v>10</v>
      </c>
      <c r="E1378" s="7" t="s">
        <v>11</v>
      </c>
      <c r="F1378" s="7" t="s">
        <v>91</v>
      </c>
      <c r="G1378" s="7" t="s">
        <v>92</v>
      </c>
      <c r="H1378" s="7" t="s">
        <v>128</v>
      </c>
      <c r="I1378" s="8" t="s">
        <v>2947</v>
      </c>
    </row>
    <row r="1379" spans="1:12" hidden="1" x14ac:dyDescent="0.35">
      <c r="A1379" s="6">
        <v>1684387</v>
      </c>
      <c r="B1379" s="7" t="str">
        <f>"3328073101070003"</f>
        <v>3328073101070003</v>
      </c>
      <c r="C1379" s="7" t="s">
        <v>2949</v>
      </c>
      <c r="D1379" s="7" t="s">
        <v>10</v>
      </c>
      <c r="E1379" s="7" t="s">
        <v>57</v>
      </c>
      <c r="F1379" s="7" t="s">
        <v>18</v>
      </c>
      <c r="G1379" s="7" t="s">
        <v>184</v>
      </c>
      <c r="H1379" s="7" t="s">
        <v>1085</v>
      </c>
      <c r="I1379" s="8" t="s">
        <v>1086</v>
      </c>
    </row>
    <row r="1380" spans="1:12" x14ac:dyDescent="0.35">
      <c r="A1380" s="6">
        <v>1721595</v>
      </c>
      <c r="B1380" s="7" t="str">
        <f>"3328073101070003"</f>
        <v>3328073101070003</v>
      </c>
      <c r="C1380" s="7" t="s">
        <v>2949</v>
      </c>
      <c r="D1380" s="7" t="s">
        <v>189</v>
      </c>
      <c r="E1380" s="7" t="s">
        <v>11</v>
      </c>
      <c r="F1380" s="7" t="s">
        <v>18</v>
      </c>
      <c r="G1380" s="7" t="s">
        <v>19</v>
      </c>
      <c r="H1380" s="7" t="s">
        <v>59</v>
      </c>
      <c r="I1380" s="8" t="s">
        <v>2893</v>
      </c>
      <c r="J1380" t="e">
        <f>VLOOKUP(B1380,baru!$B$2:$I$2271,4,FALSE)</f>
        <v>#N/A</v>
      </c>
      <c r="K1380" t="e">
        <f>VLOOKUP(B1380,baru!$B$2:$I$2271,5,FALSE)</f>
        <v>#N/A</v>
      </c>
      <c r="L1380" t="e">
        <f>VLOOKUP(B1380,baru!$B$2:$I$2271,6,FALSE)</f>
        <v>#N/A</v>
      </c>
    </row>
    <row r="1381" spans="1:12" hidden="1" x14ac:dyDescent="0.35">
      <c r="A1381" s="6">
        <v>386312</v>
      </c>
      <c r="B1381" s="7" t="str">
        <f>"3328074107730070"</f>
        <v>3328074107730070</v>
      </c>
      <c r="C1381" s="7" t="s">
        <v>2950</v>
      </c>
      <c r="D1381" s="7" t="s">
        <v>10</v>
      </c>
      <c r="E1381" s="7" t="s">
        <v>11</v>
      </c>
      <c r="F1381" s="7" t="s">
        <v>18</v>
      </c>
      <c r="G1381" s="7" t="s">
        <v>2389</v>
      </c>
      <c r="H1381" s="7" t="s">
        <v>2728</v>
      </c>
      <c r="I1381" s="8" t="s">
        <v>2938</v>
      </c>
    </row>
    <row r="1382" spans="1:12" hidden="1" x14ac:dyDescent="0.35">
      <c r="A1382" s="6">
        <v>539038</v>
      </c>
      <c r="B1382" s="7" t="str">
        <f>"3328074110020003"</f>
        <v>3328074110020003</v>
      </c>
      <c r="C1382" s="7" t="s">
        <v>2952</v>
      </c>
      <c r="D1382" s="7" t="s">
        <v>10</v>
      </c>
      <c r="E1382" s="7" t="s">
        <v>11</v>
      </c>
      <c r="F1382" s="7" t="s">
        <v>50</v>
      </c>
      <c r="G1382" s="7" t="s">
        <v>58</v>
      </c>
      <c r="H1382" s="7" t="s">
        <v>316</v>
      </c>
      <c r="I1382" s="8" t="s">
        <v>1293</v>
      </c>
    </row>
    <row r="1383" spans="1:12" hidden="1" x14ac:dyDescent="0.35">
      <c r="A1383" s="6">
        <v>1727346</v>
      </c>
      <c r="B1383" s="7" t="str">
        <f>"3328074308860003"</f>
        <v>3328074308860003</v>
      </c>
      <c r="C1383" s="7" t="s">
        <v>2954</v>
      </c>
      <c r="D1383" s="7" t="s">
        <v>10</v>
      </c>
      <c r="E1383" s="7" t="s">
        <v>11</v>
      </c>
      <c r="F1383" s="7" t="s">
        <v>67</v>
      </c>
      <c r="G1383" s="7" t="s">
        <v>68</v>
      </c>
      <c r="H1383" s="7" t="s">
        <v>2955</v>
      </c>
      <c r="I1383" s="8" t="s">
        <v>2956</v>
      </c>
    </row>
    <row r="1384" spans="1:12" hidden="1" x14ac:dyDescent="0.35">
      <c r="A1384" s="6">
        <v>632352</v>
      </c>
      <c r="B1384" s="7" t="str">
        <f>"3328074701960007"</f>
        <v>3328074701960007</v>
      </c>
      <c r="C1384" s="7" t="s">
        <v>2957</v>
      </c>
      <c r="D1384" s="7" t="s">
        <v>10</v>
      </c>
      <c r="E1384" s="7" t="s">
        <v>11</v>
      </c>
      <c r="F1384" s="7" t="s">
        <v>91</v>
      </c>
      <c r="G1384" s="7" t="s">
        <v>438</v>
      </c>
      <c r="H1384" s="7" t="s">
        <v>2958</v>
      </c>
      <c r="I1384" s="8" t="s">
        <v>2959</v>
      </c>
    </row>
    <row r="1385" spans="1:12" hidden="1" x14ac:dyDescent="0.35">
      <c r="A1385" s="6">
        <v>539039</v>
      </c>
      <c r="B1385" s="7" t="str">
        <f>"3328074803980005"</f>
        <v>3328074803980005</v>
      </c>
      <c r="C1385" s="7" t="s">
        <v>2960</v>
      </c>
      <c r="D1385" s="7" t="s">
        <v>10</v>
      </c>
      <c r="E1385" s="7" t="s">
        <v>11</v>
      </c>
      <c r="F1385" s="7" t="s">
        <v>50</v>
      </c>
      <c r="G1385" s="7" t="s">
        <v>58</v>
      </c>
      <c r="H1385" s="7" t="s">
        <v>316</v>
      </c>
      <c r="I1385" s="8" t="s">
        <v>1293</v>
      </c>
    </row>
    <row r="1386" spans="1:12" hidden="1" x14ac:dyDescent="0.35">
      <c r="A1386" s="6">
        <v>1786904</v>
      </c>
      <c r="B1386" s="7" t="str">
        <f>"3328074903870003"</f>
        <v>3328074903870003</v>
      </c>
      <c r="C1386" s="7" t="s">
        <v>2962</v>
      </c>
      <c r="D1386" s="7" t="s">
        <v>10</v>
      </c>
      <c r="E1386" s="7" t="s">
        <v>11</v>
      </c>
      <c r="F1386" s="7" t="s">
        <v>67</v>
      </c>
      <c r="G1386" s="7" t="s">
        <v>68</v>
      </c>
      <c r="H1386" s="7" t="s">
        <v>2955</v>
      </c>
      <c r="I1386" s="8" t="s">
        <v>776</v>
      </c>
    </row>
    <row r="1387" spans="1:12" hidden="1" x14ac:dyDescent="0.35">
      <c r="A1387" s="6">
        <v>1341671</v>
      </c>
      <c r="B1387" s="7" t="str">
        <f>"3328075011750007"</f>
        <v>3328075011750007</v>
      </c>
      <c r="C1387" s="7" t="s">
        <v>2964</v>
      </c>
      <c r="D1387" s="7" t="s">
        <v>10</v>
      </c>
      <c r="E1387" s="7" t="s">
        <v>11</v>
      </c>
      <c r="F1387" s="7" t="s">
        <v>50</v>
      </c>
      <c r="G1387" s="7" t="s">
        <v>58</v>
      </c>
      <c r="H1387" s="7" t="s">
        <v>417</v>
      </c>
      <c r="I1387" s="8" t="s">
        <v>1131</v>
      </c>
    </row>
    <row r="1388" spans="1:12" hidden="1" x14ac:dyDescent="0.35">
      <c r="A1388" s="6">
        <v>158728</v>
      </c>
      <c r="B1388" s="7" t="str">
        <f>"3328075302010002"</f>
        <v>3328075302010002</v>
      </c>
      <c r="C1388" s="7" t="s">
        <v>2965</v>
      </c>
      <c r="D1388" s="7" t="s">
        <v>10</v>
      </c>
      <c r="E1388" s="7" t="s">
        <v>11</v>
      </c>
      <c r="F1388" s="7" t="s">
        <v>50</v>
      </c>
      <c r="G1388" s="7" t="s">
        <v>72</v>
      </c>
      <c r="H1388" s="7" t="s">
        <v>246</v>
      </c>
      <c r="I1388" s="8" t="s">
        <v>247</v>
      </c>
    </row>
    <row r="1389" spans="1:12" hidden="1" x14ac:dyDescent="0.35">
      <c r="A1389" s="6">
        <v>2241451</v>
      </c>
      <c r="B1389" s="7" t="str">
        <f>"3328075603900002"</f>
        <v>3328075603900002</v>
      </c>
      <c r="C1389" s="7" t="s">
        <v>2966</v>
      </c>
      <c r="D1389" s="7" t="s">
        <v>10</v>
      </c>
      <c r="E1389" s="7" t="s">
        <v>11</v>
      </c>
      <c r="F1389" s="7" t="s">
        <v>18</v>
      </c>
      <c r="G1389" s="7" t="s">
        <v>199</v>
      </c>
      <c r="H1389" s="7" t="s">
        <v>706</v>
      </c>
      <c r="I1389" s="8" t="s">
        <v>2967</v>
      </c>
    </row>
    <row r="1390" spans="1:12" hidden="1" x14ac:dyDescent="0.35">
      <c r="A1390" s="6">
        <v>1620468</v>
      </c>
      <c r="B1390" s="7" t="str">
        <f>"3328075710990001"</f>
        <v>3328075710990001</v>
      </c>
      <c r="C1390" s="7" t="s">
        <v>1536</v>
      </c>
      <c r="D1390" s="7" t="s">
        <v>10</v>
      </c>
      <c r="E1390" s="7" t="s">
        <v>11</v>
      </c>
      <c r="F1390" s="7" t="s">
        <v>67</v>
      </c>
      <c r="G1390" s="7" t="s">
        <v>512</v>
      </c>
      <c r="H1390" s="7" t="s">
        <v>791</v>
      </c>
      <c r="I1390" s="8" t="s">
        <v>2969</v>
      </c>
    </row>
    <row r="1391" spans="1:12" x14ac:dyDescent="0.35">
      <c r="A1391" s="6">
        <v>1966030</v>
      </c>
      <c r="B1391" s="7" t="str">
        <f>"3328075809950001"</f>
        <v>3328075809950001</v>
      </c>
      <c r="C1391" s="7" t="s">
        <v>2970</v>
      </c>
      <c r="D1391" s="7" t="s">
        <v>189</v>
      </c>
      <c r="E1391" s="7" t="s">
        <v>11</v>
      </c>
      <c r="F1391" s="7" t="s">
        <v>50</v>
      </c>
      <c r="G1391" s="7" t="s">
        <v>58</v>
      </c>
      <c r="H1391" s="7" t="s">
        <v>1283</v>
      </c>
      <c r="I1391" s="8" t="s">
        <v>2971</v>
      </c>
    </row>
    <row r="1392" spans="1:12" hidden="1" x14ac:dyDescent="0.35">
      <c r="A1392" s="6">
        <v>1703027</v>
      </c>
      <c r="B1392" s="7" t="str">
        <f>"3328076203030003"</f>
        <v>3328076203030003</v>
      </c>
      <c r="C1392" s="7" t="s">
        <v>2972</v>
      </c>
      <c r="D1392" s="7" t="s">
        <v>10</v>
      </c>
      <c r="E1392" s="7" t="s">
        <v>11</v>
      </c>
      <c r="F1392" s="7" t="s">
        <v>18</v>
      </c>
      <c r="G1392" s="7" t="s">
        <v>19</v>
      </c>
      <c r="H1392" s="7" t="s">
        <v>59</v>
      </c>
      <c r="I1392" s="8" t="s">
        <v>2887</v>
      </c>
      <c r="J1392" t="e">
        <f>VLOOKUP(B1392,baru!$B$2:$I$2271,4,FALSE)</f>
        <v>#N/A</v>
      </c>
      <c r="K1392" t="e">
        <f>VLOOKUP(B1392,baru!$B$2:$I$2271,5,FALSE)</f>
        <v>#N/A</v>
      </c>
      <c r="L1392" t="e">
        <f>VLOOKUP(B1392,baru!$B$2:$I$2271,6,FALSE)</f>
        <v>#N/A</v>
      </c>
    </row>
    <row r="1393" spans="1:12" hidden="1" x14ac:dyDescent="0.35">
      <c r="A1393" s="6">
        <v>1863010</v>
      </c>
      <c r="B1393" s="7" t="str">
        <f>"3328076203030003"</f>
        <v>3328076203030003</v>
      </c>
      <c r="C1393" s="7" t="s">
        <v>2972</v>
      </c>
      <c r="D1393" s="7" t="s">
        <v>10</v>
      </c>
      <c r="E1393" s="7" t="s">
        <v>57</v>
      </c>
      <c r="F1393" s="7" t="s">
        <v>18</v>
      </c>
      <c r="G1393" s="7" t="s">
        <v>733</v>
      </c>
      <c r="H1393" s="7" t="s">
        <v>1127</v>
      </c>
      <c r="I1393" s="8" t="s">
        <v>1127</v>
      </c>
    </row>
    <row r="1394" spans="1:12" hidden="1" x14ac:dyDescent="0.35">
      <c r="A1394" s="6">
        <v>539040</v>
      </c>
      <c r="B1394" s="7" t="str">
        <f>"3328076212600001"</f>
        <v>3328076212600001</v>
      </c>
      <c r="C1394" s="7" t="s">
        <v>2973</v>
      </c>
      <c r="D1394" s="7" t="s">
        <v>10</v>
      </c>
      <c r="E1394" s="7" t="s">
        <v>11</v>
      </c>
      <c r="F1394" s="7" t="s">
        <v>50</v>
      </c>
      <c r="G1394" s="7" t="s">
        <v>58</v>
      </c>
      <c r="H1394" s="7" t="s">
        <v>316</v>
      </c>
      <c r="I1394" s="8" t="s">
        <v>1293</v>
      </c>
    </row>
    <row r="1395" spans="1:12" hidden="1" x14ac:dyDescent="0.35">
      <c r="A1395" s="6">
        <v>1724926</v>
      </c>
      <c r="B1395" s="7" t="str">
        <f>"3328076212830002"</f>
        <v>3328076212830002</v>
      </c>
      <c r="C1395" s="7" t="s">
        <v>2974</v>
      </c>
      <c r="D1395" s="7" t="s">
        <v>10</v>
      </c>
      <c r="E1395" s="7" t="s">
        <v>11</v>
      </c>
      <c r="F1395" s="7" t="s">
        <v>18</v>
      </c>
      <c r="G1395" s="7" t="s">
        <v>19</v>
      </c>
      <c r="H1395" s="7" t="s">
        <v>59</v>
      </c>
      <c r="I1395" s="8" t="s">
        <v>110</v>
      </c>
      <c r="J1395" t="e">
        <f>VLOOKUP(B1395,baru!$B$2:$I$2271,4,FALSE)</f>
        <v>#N/A</v>
      </c>
      <c r="K1395" t="e">
        <f>VLOOKUP(B1395,baru!$B$2:$I$2271,5,FALSE)</f>
        <v>#N/A</v>
      </c>
      <c r="L1395" t="e">
        <f>VLOOKUP(B1395,baru!$B$2:$I$2271,6,FALSE)</f>
        <v>#N/A</v>
      </c>
    </row>
    <row r="1396" spans="1:12" hidden="1" x14ac:dyDescent="0.35">
      <c r="A1396" s="6">
        <v>2618366</v>
      </c>
      <c r="B1396" s="7" t="str">
        <f>"3328076212830002"</f>
        <v>3328076212830002</v>
      </c>
      <c r="C1396" s="7" t="s">
        <v>2975</v>
      </c>
      <c r="D1396" s="7" t="s">
        <v>10</v>
      </c>
      <c r="E1396" s="7" t="s">
        <v>57</v>
      </c>
      <c r="F1396" s="7" t="s">
        <v>18</v>
      </c>
      <c r="G1396" s="7" t="s">
        <v>1438</v>
      </c>
      <c r="H1396" s="7" t="s">
        <v>2976</v>
      </c>
      <c r="I1396" s="8" t="s">
        <v>2977</v>
      </c>
    </row>
    <row r="1397" spans="1:12" x14ac:dyDescent="0.35">
      <c r="A1397" s="6">
        <v>1670210</v>
      </c>
      <c r="B1397" s="7" t="str">
        <f>"3328076911040007"</f>
        <v>3328076911040007</v>
      </c>
      <c r="C1397" s="7" t="s">
        <v>2978</v>
      </c>
      <c r="D1397" s="7" t="s">
        <v>189</v>
      </c>
      <c r="E1397" s="7" t="s">
        <v>11</v>
      </c>
      <c r="F1397" s="7" t="s">
        <v>18</v>
      </c>
      <c r="G1397" s="7" t="s">
        <v>19</v>
      </c>
      <c r="H1397" s="7" t="s">
        <v>59</v>
      </c>
      <c r="I1397" s="8" t="s">
        <v>2856</v>
      </c>
      <c r="J1397" t="e">
        <f>VLOOKUP(B1397,baru!$B$2:$I$2271,4,FALSE)</f>
        <v>#N/A</v>
      </c>
      <c r="K1397" t="e">
        <f>VLOOKUP(B1397,baru!$B$2:$I$2271,5,FALSE)</f>
        <v>#N/A</v>
      </c>
      <c r="L1397" t="e">
        <f>VLOOKUP(B1397,baru!$B$2:$I$2271,6,FALSE)</f>
        <v>#N/A</v>
      </c>
    </row>
    <row r="1398" spans="1:12" hidden="1" x14ac:dyDescent="0.35">
      <c r="A1398" s="6">
        <v>1352902</v>
      </c>
      <c r="B1398" s="7" t="str">
        <f>"3328076911040007"</f>
        <v>3328076911040007</v>
      </c>
      <c r="C1398" s="7" t="s">
        <v>2978</v>
      </c>
      <c r="D1398" s="7" t="s">
        <v>10</v>
      </c>
      <c r="E1398" s="7" t="s">
        <v>57</v>
      </c>
      <c r="F1398" s="7" t="s">
        <v>303</v>
      </c>
      <c r="G1398" s="7" t="s">
        <v>608</v>
      </c>
      <c r="H1398" s="7" t="s">
        <v>609</v>
      </c>
      <c r="I1398" s="8" t="s">
        <v>610</v>
      </c>
    </row>
    <row r="1399" spans="1:12" hidden="1" x14ac:dyDescent="0.35">
      <c r="A1399" s="6">
        <v>597326</v>
      </c>
      <c r="B1399" s="7" t="str">
        <f>"3328131201796287"</f>
        <v>3328131201796287</v>
      </c>
      <c r="C1399" s="7" t="s">
        <v>2979</v>
      </c>
      <c r="D1399" s="7" t="s">
        <v>10</v>
      </c>
      <c r="E1399" s="7" t="s">
        <v>11</v>
      </c>
      <c r="F1399" s="7" t="s">
        <v>50</v>
      </c>
      <c r="G1399" s="7" t="s">
        <v>58</v>
      </c>
      <c r="H1399" s="7" t="s">
        <v>316</v>
      </c>
      <c r="I1399" s="8" t="s">
        <v>2878</v>
      </c>
    </row>
    <row r="1400" spans="1:12" x14ac:dyDescent="0.35">
      <c r="A1400" s="6">
        <v>1220677</v>
      </c>
      <c r="B1400" s="7" t="str">
        <f>"3329072010010002"</f>
        <v>3329072010010002</v>
      </c>
      <c r="C1400" s="7" t="s">
        <v>2980</v>
      </c>
      <c r="D1400" s="7" t="s">
        <v>189</v>
      </c>
      <c r="E1400" s="7" t="s">
        <v>11</v>
      </c>
      <c r="F1400" s="7" t="s">
        <v>18</v>
      </c>
      <c r="G1400" s="7" t="s">
        <v>264</v>
      </c>
      <c r="H1400" s="7" t="s">
        <v>265</v>
      </c>
      <c r="I1400" s="8" t="s">
        <v>863</v>
      </c>
    </row>
    <row r="1401" spans="1:12" hidden="1" x14ac:dyDescent="0.35">
      <c r="A1401" s="6">
        <v>651368</v>
      </c>
      <c r="B1401" s="7" t="str">
        <f>"3329091903660007"</f>
        <v>3329091903660007</v>
      </c>
      <c r="C1401" s="7" t="s">
        <v>2981</v>
      </c>
      <c r="D1401" s="7" t="s">
        <v>10</v>
      </c>
      <c r="E1401" s="7" t="s">
        <v>11</v>
      </c>
      <c r="F1401" s="7" t="s">
        <v>18</v>
      </c>
      <c r="G1401" s="7" t="s">
        <v>264</v>
      </c>
      <c r="H1401" s="7" t="s">
        <v>264</v>
      </c>
      <c r="I1401" s="8" t="s">
        <v>2982</v>
      </c>
    </row>
    <row r="1402" spans="1:12" hidden="1" x14ac:dyDescent="0.35">
      <c r="A1402" s="6">
        <v>939163</v>
      </c>
      <c r="B1402" s="7" t="str">
        <f>"3329096803750007"</f>
        <v>3329096803750007</v>
      </c>
      <c r="C1402" s="7" t="s">
        <v>2983</v>
      </c>
      <c r="D1402" s="7" t="s">
        <v>10</v>
      </c>
      <c r="E1402" s="7" t="s">
        <v>11</v>
      </c>
      <c r="F1402" s="7" t="s">
        <v>18</v>
      </c>
      <c r="G1402" s="7" t="s">
        <v>264</v>
      </c>
      <c r="H1402" s="7" t="s">
        <v>264</v>
      </c>
      <c r="I1402" s="8" t="s">
        <v>2921</v>
      </c>
    </row>
    <row r="1403" spans="1:12" hidden="1" x14ac:dyDescent="0.35">
      <c r="A1403" s="6">
        <v>658665</v>
      </c>
      <c r="B1403" s="7" t="str">
        <f>"3501112711830001"</f>
        <v>3501112711830001</v>
      </c>
      <c r="C1403" s="7" t="s">
        <v>2987</v>
      </c>
      <c r="D1403" s="7" t="s">
        <v>10</v>
      </c>
      <c r="E1403" s="7" t="s">
        <v>11</v>
      </c>
      <c r="F1403" s="7" t="s">
        <v>303</v>
      </c>
      <c r="G1403" s="7" t="s">
        <v>1855</v>
      </c>
      <c r="H1403" s="7" t="s">
        <v>2988</v>
      </c>
      <c r="I1403" s="8" t="s">
        <v>2989</v>
      </c>
    </row>
    <row r="1404" spans="1:12" x14ac:dyDescent="0.35">
      <c r="A1404" s="6">
        <v>1104900</v>
      </c>
      <c r="B1404" s="7" t="str">
        <f>"3602126911060002"</f>
        <v>3602126911060002</v>
      </c>
      <c r="C1404" s="7" t="s">
        <v>2990</v>
      </c>
      <c r="D1404" s="7" t="s">
        <v>189</v>
      </c>
      <c r="E1404" s="7" t="s">
        <v>11</v>
      </c>
      <c r="F1404" s="7" t="s">
        <v>67</v>
      </c>
      <c r="G1404" s="7" t="s">
        <v>638</v>
      </c>
      <c r="H1404" s="7" t="s">
        <v>2991</v>
      </c>
      <c r="I1404" s="8" t="s">
        <v>2992</v>
      </c>
    </row>
    <row r="1405" spans="1:12" hidden="1" x14ac:dyDescent="0.35">
      <c r="A1405" s="6">
        <v>769307</v>
      </c>
      <c r="B1405" s="7" t="str">
        <f>"3604031509060001"</f>
        <v>3604031509060001</v>
      </c>
      <c r="C1405" s="7" t="s">
        <v>2994</v>
      </c>
      <c r="D1405" s="7" t="s">
        <v>10</v>
      </c>
      <c r="E1405" s="7" t="s">
        <v>11</v>
      </c>
      <c r="F1405" s="7" t="s">
        <v>67</v>
      </c>
      <c r="G1405" s="7" t="s">
        <v>696</v>
      </c>
      <c r="H1405" s="7" t="s">
        <v>697</v>
      </c>
      <c r="I1405" s="8" t="s">
        <v>2995</v>
      </c>
    </row>
    <row r="1406" spans="1:12" hidden="1" x14ac:dyDescent="0.35">
      <c r="A1406" s="6">
        <v>769354</v>
      </c>
      <c r="B1406" s="7" t="str">
        <f>"3604035710790217"</f>
        <v>3604035710790217</v>
      </c>
      <c r="C1406" s="7" t="s">
        <v>2613</v>
      </c>
      <c r="D1406" s="7" t="s">
        <v>10</v>
      </c>
      <c r="E1406" s="7" t="s">
        <v>11</v>
      </c>
      <c r="F1406" s="7" t="s">
        <v>67</v>
      </c>
      <c r="G1406" s="7" t="s">
        <v>696</v>
      </c>
      <c r="H1406" s="7" t="s">
        <v>697</v>
      </c>
      <c r="I1406" s="8" t="s">
        <v>2995</v>
      </c>
    </row>
    <row r="1407" spans="1:12" x14ac:dyDescent="0.35">
      <c r="A1407" s="6">
        <v>265643</v>
      </c>
      <c r="B1407" s="7" t="str">
        <f>"3671052009740003"</f>
        <v>3671052009740003</v>
      </c>
      <c r="C1407" s="7" t="s">
        <v>2998</v>
      </c>
      <c r="D1407" s="7" t="s">
        <v>189</v>
      </c>
      <c r="E1407" s="7" t="s">
        <v>11</v>
      </c>
      <c r="F1407" s="7" t="s">
        <v>2889</v>
      </c>
      <c r="G1407" s="7" t="s">
        <v>2999</v>
      </c>
      <c r="H1407" s="7" t="s">
        <v>3000</v>
      </c>
      <c r="I1407" s="8" t="s">
        <v>3001</v>
      </c>
    </row>
    <row r="1408" spans="1:12" hidden="1" x14ac:dyDescent="0.35">
      <c r="A1408" s="6">
        <v>2556382</v>
      </c>
      <c r="B1408" s="7" t="str">
        <f>"3671062410610003"</f>
        <v>3671062410610003</v>
      </c>
      <c r="C1408" s="7" t="s">
        <v>3002</v>
      </c>
      <c r="D1408" s="7" t="s">
        <v>10</v>
      </c>
      <c r="E1408" s="7" t="s">
        <v>11</v>
      </c>
      <c r="F1408" s="7" t="s">
        <v>67</v>
      </c>
      <c r="G1408" s="7" t="s">
        <v>512</v>
      </c>
      <c r="H1408" s="7" t="s">
        <v>513</v>
      </c>
      <c r="I1408" s="8" t="s">
        <v>514</v>
      </c>
    </row>
    <row r="1409" spans="1:9" hidden="1" x14ac:dyDescent="0.35">
      <c r="A1409" s="6">
        <v>1639540</v>
      </c>
      <c r="B1409" s="7" t="str">
        <f>"3674031508740003"</f>
        <v>3674031508740003</v>
      </c>
      <c r="C1409" s="7" t="s">
        <v>3003</v>
      </c>
      <c r="D1409" s="7" t="s">
        <v>10</v>
      </c>
      <c r="E1409" s="7" t="s">
        <v>11</v>
      </c>
      <c r="F1409" s="7" t="s">
        <v>67</v>
      </c>
      <c r="G1409" s="7" t="s">
        <v>68</v>
      </c>
      <c r="H1409" s="7" t="s">
        <v>2924</v>
      </c>
      <c r="I1409" s="8" t="s">
        <v>3004</v>
      </c>
    </row>
    <row r="1410" spans="1:9" hidden="1" x14ac:dyDescent="0.35">
      <c r="A1410" s="6">
        <v>1392375</v>
      </c>
      <c r="B1410" s="7" t="str">
        <f>"3674044806900002"</f>
        <v>3674044806900002</v>
      </c>
      <c r="C1410" s="7" t="s">
        <v>3006</v>
      </c>
      <c r="D1410" s="7" t="s">
        <v>10</v>
      </c>
      <c r="E1410" s="7" t="s">
        <v>11</v>
      </c>
      <c r="F1410" s="7" t="s">
        <v>67</v>
      </c>
      <c r="G1410" s="7" t="s">
        <v>68</v>
      </c>
      <c r="H1410" s="7" t="s">
        <v>69</v>
      </c>
      <c r="I1410" s="8" t="s">
        <v>2117</v>
      </c>
    </row>
    <row r="1411" spans="1:9" hidden="1" x14ac:dyDescent="0.35">
      <c r="A1411" s="6">
        <v>1727341</v>
      </c>
      <c r="B1411" s="7" t="str">
        <f>"3674052703910002"</f>
        <v>3674052703910002</v>
      </c>
      <c r="C1411" s="7" t="s">
        <v>3007</v>
      </c>
      <c r="D1411" s="7" t="s">
        <v>10</v>
      </c>
      <c r="E1411" s="7" t="s">
        <v>11</v>
      </c>
      <c r="F1411" s="7" t="s">
        <v>67</v>
      </c>
      <c r="G1411" s="7" t="s">
        <v>68</v>
      </c>
      <c r="H1411" s="7" t="s">
        <v>2955</v>
      </c>
      <c r="I1411" s="8" t="s">
        <v>2956</v>
      </c>
    </row>
    <row r="1412" spans="1:9" hidden="1" x14ac:dyDescent="0.35">
      <c r="A1412" s="6">
        <v>1285369</v>
      </c>
      <c r="B1412" s="7" t="str">
        <f>"3674064410760002"</f>
        <v>3674064410760002</v>
      </c>
      <c r="C1412" s="7" t="s">
        <v>3008</v>
      </c>
      <c r="D1412" s="7" t="s">
        <v>10</v>
      </c>
      <c r="E1412" s="7" t="s">
        <v>11</v>
      </c>
      <c r="F1412" s="7" t="s">
        <v>67</v>
      </c>
      <c r="G1412" s="7" t="s">
        <v>68</v>
      </c>
      <c r="H1412" s="7" t="s">
        <v>2817</v>
      </c>
      <c r="I1412" s="8" t="s">
        <v>3009</v>
      </c>
    </row>
    <row r="1413" spans="1:9" hidden="1" x14ac:dyDescent="0.35">
      <c r="A1413" s="6">
        <v>1810846</v>
      </c>
      <c r="B1413" s="7" t="str">
        <f>"1801154203000002"</f>
        <v>1801154203000002</v>
      </c>
      <c r="C1413" s="7" t="s">
        <v>3011</v>
      </c>
      <c r="D1413" s="7" t="s">
        <v>10</v>
      </c>
      <c r="E1413" s="7" t="s">
        <v>11</v>
      </c>
      <c r="F1413" s="7" t="s">
        <v>67</v>
      </c>
      <c r="G1413" s="7" t="s">
        <v>375</v>
      </c>
      <c r="H1413" s="7" t="s">
        <v>3012</v>
      </c>
      <c r="I1413" s="8" t="s">
        <v>3013</v>
      </c>
    </row>
    <row r="1414" spans="1:9" hidden="1" x14ac:dyDescent="0.35">
      <c r="A1414" s="6">
        <v>87178</v>
      </c>
      <c r="B1414" s="7" t="str">
        <f>"3171020206810006"</f>
        <v>3171020206810006</v>
      </c>
      <c r="C1414" s="7" t="s">
        <v>3016</v>
      </c>
      <c r="D1414" s="7" t="s">
        <v>10</v>
      </c>
      <c r="E1414" s="7" t="s">
        <v>11</v>
      </c>
      <c r="F1414" s="7" t="s">
        <v>50</v>
      </c>
      <c r="G1414" s="7" t="s">
        <v>280</v>
      </c>
      <c r="H1414" s="7" t="s">
        <v>455</v>
      </c>
      <c r="I1414" s="8" t="s">
        <v>456</v>
      </c>
    </row>
    <row r="1415" spans="1:9" hidden="1" x14ac:dyDescent="0.35">
      <c r="A1415" s="6">
        <v>170535</v>
      </c>
      <c r="B1415" s="7" t="str">
        <f>"3172020205660011"</f>
        <v>3172020205660011</v>
      </c>
      <c r="C1415" s="7" t="s">
        <v>943</v>
      </c>
      <c r="D1415" s="7" t="s">
        <v>10</v>
      </c>
      <c r="E1415" s="7" t="s">
        <v>11</v>
      </c>
      <c r="F1415" s="7" t="s">
        <v>50</v>
      </c>
      <c r="G1415" s="7" t="s">
        <v>51</v>
      </c>
      <c r="H1415" s="7" t="s">
        <v>62</v>
      </c>
      <c r="I1415" s="8" t="s">
        <v>63</v>
      </c>
    </row>
    <row r="1416" spans="1:9" hidden="1" x14ac:dyDescent="0.35">
      <c r="A1416" s="6">
        <v>482134</v>
      </c>
      <c r="B1416" s="7" t="str">
        <f>"3172026206061003"</f>
        <v>3172026206061003</v>
      </c>
      <c r="C1416" s="7" t="s">
        <v>3019</v>
      </c>
      <c r="D1416" s="7" t="s">
        <v>10</v>
      </c>
      <c r="E1416" s="7" t="s">
        <v>11</v>
      </c>
      <c r="F1416" s="7" t="s">
        <v>50</v>
      </c>
      <c r="G1416" s="7" t="s">
        <v>51</v>
      </c>
      <c r="H1416" s="7" t="s">
        <v>62</v>
      </c>
      <c r="I1416" s="8" t="s">
        <v>2193</v>
      </c>
    </row>
    <row r="1417" spans="1:9" hidden="1" x14ac:dyDescent="0.35">
      <c r="A1417" s="6">
        <v>482133</v>
      </c>
      <c r="B1417" s="7" t="str">
        <f>"3172026304850021"</f>
        <v>3172026304850021</v>
      </c>
      <c r="C1417" s="7" t="s">
        <v>3021</v>
      </c>
      <c r="D1417" s="7" t="s">
        <v>10</v>
      </c>
      <c r="E1417" s="7" t="s">
        <v>11</v>
      </c>
      <c r="F1417" s="7" t="s">
        <v>50</v>
      </c>
      <c r="G1417" s="7" t="s">
        <v>51</v>
      </c>
      <c r="H1417" s="7" t="s">
        <v>62</v>
      </c>
      <c r="I1417" s="8" t="s">
        <v>2193</v>
      </c>
    </row>
    <row r="1418" spans="1:9" hidden="1" x14ac:dyDescent="0.35">
      <c r="A1418" s="6">
        <v>170536</v>
      </c>
      <c r="B1418" s="7" t="str">
        <f>"3172027112740016"</f>
        <v>3172027112740016</v>
      </c>
      <c r="C1418" s="7" t="s">
        <v>3023</v>
      </c>
      <c r="D1418" s="7" t="s">
        <v>10</v>
      </c>
      <c r="E1418" s="7" t="s">
        <v>11</v>
      </c>
      <c r="F1418" s="7" t="s">
        <v>50</v>
      </c>
      <c r="G1418" s="7" t="s">
        <v>51</v>
      </c>
      <c r="H1418" s="7" t="s">
        <v>62</v>
      </c>
      <c r="I1418" s="8" t="s">
        <v>63</v>
      </c>
    </row>
    <row r="1419" spans="1:9" hidden="1" x14ac:dyDescent="0.35">
      <c r="A1419" s="6">
        <v>431001</v>
      </c>
      <c r="B1419" s="7" t="str">
        <f>"3172060404740007"</f>
        <v>3172060404740007</v>
      </c>
      <c r="C1419" s="7" t="s">
        <v>3024</v>
      </c>
      <c r="D1419" s="7" t="s">
        <v>10</v>
      </c>
      <c r="E1419" s="7" t="s">
        <v>11</v>
      </c>
      <c r="F1419" s="7" t="s">
        <v>50</v>
      </c>
      <c r="G1419" s="7" t="s">
        <v>51</v>
      </c>
      <c r="H1419" s="7" t="s">
        <v>425</v>
      </c>
      <c r="I1419" s="8" t="s">
        <v>426</v>
      </c>
    </row>
    <row r="1420" spans="1:9" hidden="1" x14ac:dyDescent="0.35">
      <c r="A1420" s="6">
        <v>1197224</v>
      </c>
      <c r="B1420" s="7" t="str">
        <f>"3173012105870016"</f>
        <v>3173012105870016</v>
      </c>
      <c r="C1420" s="7" t="s">
        <v>3025</v>
      </c>
      <c r="D1420" s="7" t="s">
        <v>10</v>
      </c>
      <c r="E1420" s="7" t="s">
        <v>11</v>
      </c>
      <c r="F1420" s="7" t="s">
        <v>50</v>
      </c>
      <c r="G1420" s="7" t="s">
        <v>86</v>
      </c>
      <c r="H1420" s="7" t="s">
        <v>1268</v>
      </c>
      <c r="I1420" s="8" t="s">
        <v>2503</v>
      </c>
    </row>
    <row r="1421" spans="1:9" hidden="1" x14ac:dyDescent="0.35">
      <c r="A1421" s="6">
        <v>1197227</v>
      </c>
      <c r="B1421" s="7" t="str">
        <f>"3173015809931001"</f>
        <v>3173015809931001</v>
      </c>
      <c r="C1421" s="7" t="s">
        <v>3027</v>
      </c>
      <c r="D1421" s="7" t="s">
        <v>10</v>
      </c>
      <c r="E1421" s="7" t="s">
        <v>11</v>
      </c>
      <c r="F1421" s="7" t="s">
        <v>50</v>
      </c>
      <c r="G1421" s="7" t="s">
        <v>86</v>
      </c>
      <c r="H1421" s="7" t="s">
        <v>1268</v>
      </c>
      <c r="I1421" s="8" t="s">
        <v>2503</v>
      </c>
    </row>
    <row r="1422" spans="1:9" hidden="1" x14ac:dyDescent="0.35">
      <c r="A1422" s="6">
        <v>268043</v>
      </c>
      <c r="B1422" s="7" t="str">
        <f>"3173020411981002"</f>
        <v>3173020411981002</v>
      </c>
      <c r="C1422" s="7" t="s">
        <v>3028</v>
      </c>
      <c r="D1422" s="7" t="s">
        <v>10</v>
      </c>
      <c r="E1422" s="7" t="s">
        <v>11</v>
      </c>
      <c r="F1422" s="7" t="s">
        <v>50</v>
      </c>
      <c r="G1422" s="7" t="s">
        <v>86</v>
      </c>
      <c r="H1422" s="7" t="s">
        <v>205</v>
      </c>
      <c r="I1422" s="8" t="s">
        <v>2635</v>
      </c>
    </row>
    <row r="1423" spans="1:9" hidden="1" x14ac:dyDescent="0.35">
      <c r="A1423" s="6">
        <v>544074</v>
      </c>
      <c r="B1423" s="7" t="str">
        <f>"3173071705820004"</f>
        <v>3173071705820004</v>
      </c>
      <c r="C1423" s="7" t="s">
        <v>3029</v>
      </c>
      <c r="D1423" s="7" t="s">
        <v>10</v>
      </c>
      <c r="E1423" s="7" t="s">
        <v>11</v>
      </c>
      <c r="F1423" s="7" t="s">
        <v>50</v>
      </c>
      <c r="G1423" s="7" t="s">
        <v>72</v>
      </c>
      <c r="H1423" s="7" t="s">
        <v>803</v>
      </c>
      <c r="I1423" s="8" t="s">
        <v>3030</v>
      </c>
    </row>
    <row r="1424" spans="1:9" hidden="1" x14ac:dyDescent="0.35">
      <c r="A1424" s="6">
        <v>1636708</v>
      </c>
      <c r="B1424" s="7" t="str">
        <f>"3174030112700011"</f>
        <v>3174030112700011</v>
      </c>
      <c r="C1424" s="7" t="s">
        <v>3032</v>
      </c>
      <c r="D1424" s="7" t="s">
        <v>10</v>
      </c>
      <c r="E1424" s="7" t="s">
        <v>11</v>
      </c>
      <c r="F1424" s="7" t="s">
        <v>50</v>
      </c>
      <c r="G1424" s="7" t="s">
        <v>72</v>
      </c>
      <c r="H1424" s="7" t="s">
        <v>1172</v>
      </c>
      <c r="I1424" s="8" t="s">
        <v>1173</v>
      </c>
    </row>
    <row r="1425" spans="1:12" hidden="1" x14ac:dyDescent="0.35">
      <c r="A1425" s="6">
        <v>1620214</v>
      </c>
      <c r="B1425" s="7" t="str">
        <f>"3174035010700007"</f>
        <v>3174035010700007</v>
      </c>
      <c r="C1425" s="7" t="s">
        <v>3033</v>
      </c>
      <c r="D1425" s="7" t="s">
        <v>10</v>
      </c>
      <c r="E1425" s="7" t="s">
        <v>11</v>
      </c>
      <c r="F1425" s="7" t="s">
        <v>50</v>
      </c>
      <c r="G1425" s="7" t="s">
        <v>72</v>
      </c>
      <c r="H1425" s="7" t="s">
        <v>1172</v>
      </c>
      <c r="I1425" s="8" t="s">
        <v>1173</v>
      </c>
    </row>
    <row r="1426" spans="1:12" hidden="1" x14ac:dyDescent="0.35">
      <c r="A1426" s="6">
        <v>1366975</v>
      </c>
      <c r="B1426" s="7" t="str">
        <f>"3174071402830008"</f>
        <v>3174071402830008</v>
      </c>
      <c r="C1426" s="7" t="s">
        <v>3036</v>
      </c>
      <c r="D1426" s="7" t="s">
        <v>10</v>
      </c>
      <c r="E1426" s="7" t="s">
        <v>11</v>
      </c>
      <c r="F1426" s="7" t="s">
        <v>50</v>
      </c>
      <c r="G1426" s="7" t="s">
        <v>72</v>
      </c>
      <c r="H1426" s="7" t="s">
        <v>628</v>
      </c>
      <c r="I1426" s="8" t="s">
        <v>2252</v>
      </c>
    </row>
    <row r="1427" spans="1:12" hidden="1" x14ac:dyDescent="0.35">
      <c r="A1427" s="6">
        <v>2090120</v>
      </c>
      <c r="B1427" s="7" t="str">
        <f>"3175080611920003"</f>
        <v>3175080611920003</v>
      </c>
      <c r="C1427" s="7" t="s">
        <v>3038</v>
      </c>
      <c r="D1427" s="7" t="s">
        <v>10</v>
      </c>
      <c r="E1427" s="7" t="s">
        <v>11</v>
      </c>
      <c r="F1427" s="7" t="s">
        <v>50</v>
      </c>
      <c r="G1427" s="7" t="s">
        <v>58</v>
      </c>
      <c r="H1427" s="7" t="s">
        <v>1742</v>
      </c>
      <c r="I1427" s="8" t="s">
        <v>3039</v>
      </c>
    </row>
    <row r="1428" spans="1:12" hidden="1" x14ac:dyDescent="0.35">
      <c r="A1428" s="6">
        <v>1182623</v>
      </c>
      <c r="B1428" s="7" t="str">
        <f>"3175082507610005"</f>
        <v>3175082507610005</v>
      </c>
      <c r="C1428" s="7" t="s">
        <v>3041</v>
      </c>
      <c r="D1428" s="7" t="s">
        <v>10</v>
      </c>
      <c r="E1428" s="7" t="s">
        <v>11</v>
      </c>
      <c r="F1428" s="7" t="s">
        <v>50</v>
      </c>
      <c r="G1428" s="7" t="s">
        <v>58</v>
      </c>
      <c r="H1428" s="7" t="s">
        <v>1742</v>
      </c>
      <c r="I1428" s="8" t="s">
        <v>3042</v>
      </c>
    </row>
    <row r="1429" spans="1:12" hidden="1" x14ac:dyDescent="0.35">
      <c r="A1429" s="6">
        <v>1182624</v>
      </c>
      <c r="B1429" s="7" t="str">
        <f>"3175104605740008"</f>
        <v>3175104605740008</v>
      </c>
      <c r="C1429" s="7" t="s">
        <v>3044</v>
      </c>
      <c r="D1429" s="7" t="s">
        <v>10</v>
      </c>
      <c r="E1429" s="7" t="s">
        <v>11</v>
      </c>
      <c r="F1429" s="7" t="s">
        <v>50</v>
      </c>
      <c r="G1429" s="7" t="s">
        <v>58</v>
      </c>
      <c r="H1429" s="7" t="s">
        <v>1742</v>
      </c>
      <c r="I1429" s="8" t="s">
        <v>3042</v>
      </c>
    </row>
    <row r="1430" spans="1:12" hidden="1" x14ac:dyDescent="0.35">
      <c r="A1430" s="6">
        <v>470135</v>
      </c>
      <c r="B1430" s="7" t="str">
        <f>"3203205602900004"</f>
        <v>3203205602900004</v>
      </c>
      <c r="C1430" s="7" t="s">
        <v>3046</v>
      </c>
      <c r="D1430" s="7" t="s">
        <v>10</v>
      </c>
      <c r="E1430" s="7" t="s">
        <v>11</v>
      </c>
      <c r="F1430" s="7" t="s">
        <v>91</v>
      </c>
      <c r="G1430" s="7" t="s">
        <v>159</v>
      </c>
      <c r="H1430" s="7" t="s">
        <v>685</v>
      </c>
      <c r="I1430" s="8" t="s">
        <v>1632</v>
      </c>
    </row>
    <row r="1431" spans="1:12" hidden="1" x14ac:dyDescent="0.35">
      <c r="A1431" s="6">
        <v>815041</v>
      </c>
      <c r="B1431" s="7" t="str">
        <f>"3275031805060015"</f>
        <v>3275031805060015</v>
      </c>
      <c r="C1431" s="7" t="s">
        <v>3047</v>
      </c>
      <c r="D1431" s="7" t="s">
        <v>10</v>
      </c>
      <c r="E1431" s="7" t="s">
        <v>11</v>
      </c>
      <c r="F1431" s="7" t="s">
        <v>91</v>
      </c>
      <c r="G1431" s="7" t="s">
        <v>159</v>
      </c>
      <c r="H1431" s="7" t="s">
        <v>1828</v>
      </c>
      <c r="I1431" s="8" t="s">
        <v>1829</v>
      </c>
    </row>
    <row r="1432" spans="1:12" hidden="1" x14ac:dyDescent="0.35">
      <c r="A1432" s="6">
        <v>1428869</v>
      </c>
      <c r="B1432" s="7" t="str">
        <f>"3308082004900003"</f>
        <v>3308082004900003</v>
      </c>
      <c r="C1432" s="7" t="s">
        <v>3049</v>
      </c>
      <c r="D1432" s="7" t="s">
        <v>10</v>
      </c>
      <c r="E1432" s="7" t="s">
        <v>11</v>
      </c>
      <c r="F1432" s="7" t="s">
        <v>18</v>
      </c>
      <c r="G1432" s="7" t="s">
        <v>962</v>
      </c>
      <c r="H1432" s="7" t="s">
        <v>3050</v>
      </c>
      <c r="I1432" s="8" t="s">
        <v>3051</v>
      </c>
    </row>
    <row r="1433" spans="1:12" hidden="1" x14ac:dyDescent="0.35">
      <c r="A1433" s="13">
        <v>2042527</v>
      </c>
      <c r="B1433" s="14" t="str">
        <f>"3308132111960001"</f>
        <v>3308132111960001</v>
      </c>
      <c r="C1433" s="14" t="s">
        <v>3053</v>
      </c>
      <c r="D1433" s="14" t="s">
        <v>10</v>
      </c>
      <c r="E1433" s="14" t="s">
        <v>11</v>
      </c>
      <c r="F1433" s="14" t="s">
        <v>18</v>
      </c>
      <c r="G1433" s="14" t="s">
        <v>19</v>
      </c>
      <c r="H1433" s="14" t="s">
        <v>3014</v>
      </c>
      <c r="I1433" s="15" t="s">
        <v>3014</v>
      </c>
      <c r="J1433" s="16" t="str">
        <f>VLOOKUP(B1433,baru!$B$2:$I$2271,4,FALSE)</f>
        <v>Reguler</v>
      </c>
      <c r="K1433" s="16" t="str">
        <f>VLOOKUP(B1433,baru!$B$2:$I$2271,5,FALSE)</f>
        <v>JAWA TENGAH</v>
      </c>
      <c r="L1433" s="16" t="str">
        <f>VLOOKUP(B1433,baru!$B$2:$I$2271,6,FALSE)</f>
        <v>MAGELANG</v>
      </c>
    </row>
    <row r="1434" spans="1:12" hidden="1" x14ac:dyDescent="0.35">
      <c r="A1434" s="6">
        <v>835965</v>
      </c>
      <c r="B1434" s="7" t="str">
        <f>"3318161312900001"</f>
        <v>3318161312900001</v>
      </c>
      <c r="C1434" s="7" t="s">
        <v>3056</v>
      </c>
      <c r="D1434" s="7" t="s">
        <v>10</v>
      </c>
      <c r="E1434" s="7" t="s">
        <v>11</v>
      </c>
      <c r="F1434" s="7" t="s">
        <v>18</v>
      </c>
      <c r="G1434" s="7" t="s">
        <v>1787</v>
      </c>
      <c r="H1434" s="7" t="s">
        <v>3057</v>
      </c>
      <c r="I1434" s="8" t="s">
        <v>3058</v>
      </c>
    </row>
    <row r="1435" spans="1:12" x14ac:dyDescent="0.35">
      <c r="A1435" s="13">
        <v>2019369</v>
      </c>
      <c r="B1435" s="14" t="str">
        <f>"3328054107920021"</f>
        <v>3328054107920021</v>
      </c>
      <c r="C1435" s="14" t="s">
        <v>3066</v>
      </c>
      <c r="D1435" s="14" t="s">
        <v>189</v>
      </c>
      <c r="E1435" s="14" t="s">
        <v>11</v>
      </c>
      <c r="F1435" s="14" t="s">
        <v>18</v>
      </c>
      <c r="G1435" s="14" t="s">
        <v>19</v>
      </c>
      <c r="H1435" s="14" t="s">
        <v>3014</v>
      </c>
      <c r="I1435" s="15" t="s">
        <v>3015</v>
      </c>
      <c r="J1435" s="16" t="str">
        <f>VLOOKUP(B1435,baru!$B$2:$I$2271,4,FALSE)</f>
        <v>Reguler</v>
      </c>
      <c r="K1435" s="16" t="str">
        <f>VLOOKUP(B1435,baru!$B$2:$I$2271,5,FALSE)</f>
        <v>BALI</v>
      </c>
      <c r="L1435" s="16" t="str">
        <f>VLOOKUP(B1435,baru!$B$2:$I$2271,6,FALSE)</f>
        <v>TABANAN</v>
      </c>
    </row>
    <row r="1436" spans="1:12" hidden="1" x14ac:dyDescent="0.35">
      <c r="A1436" s="6">
        <v>205886</v>
      </c>
      <c r="B1436" s="7" t="str">
        <f>"3328062303990001"</f>
        <v>3328062303990001</v>
      </c>
      <c r="C1436" s="7" t="s">
        <v>3072</v>
      </c>
      <c r="D1436" s="7" t="s">
        <v>10</v>
      </c>
      <c r="E1436" s="7" t="s">
        <v>11</v>
      </c>
      <c r="F1436" s="7" t="s">
        <v>91</v>
      </c>
      <c r="G1436" s="7" t="s">
        <v>903</v>
      </c>
      <c r="H1436" s="7" t="s">
        <v>2368</v>
      </c>
      <c r="I1436" s="8" t="s">
        <v>2368</v>
      </c>
    </row>
    <row r="1437" spans="1:12" x14ac:dyDescent="0.35">
      <c r="A1437" s="17">
        <v>2035459</v>
      </c>
      <c r="B1437" s="18" t="str">
        <f>"3328080101060003"</f>
        <v>3328080101060003</v>
      </c>
      <c r="C1437" s="18" t="s">
        <v>3073</v>
      </c>
      <c r="D1437" s="18" t="s">
        <v>189</v>
      </c>
      <c r="E1437" s="18" t="s">
        <v>11</v>
      </c>
      <c r="F1437" s="18" t="s">
        <v>18</v>
      </c>
      <c r="G1437" s="18" t="s">
        <v>19</v>
      </c>
      <c r="H1437" s="18" t="s">
        <v>3014</v>
      </c>
      <c r="I1437" s="19" t="s">
        <v>3074</v>
      </c>
      <c r="J1437" s="20" t="str">
        <f>VLOOKUP(B1437,baru!$B$2:$I$2271,4,FALSE)</f>
        <v>Khusus</v>
      </c>
      <c r="K1437" s="20" t="str">
        <f>VLOOKUP(B1437,baru!$B$2:$I$2271,5,FALSE)</f>
        <v>JAWA TENGAH</v>
      </c>
      <c r="L1437" s="20" t="str">
        <f>VLOOKUP(B1437,baru!$B$2:$I$2271,6,FALSE)</f>
        <v>MAGELANG</v>
      </c>
    </row>
    <row r="1438" spans="1:12" hidden="1" x14ac:dyDescent="0.35">
      <c r="A1438" s="6">
        <v>470136</v>
      </c>
      <c r="B1438" s="7" t="str">
        <f>"3328080105910001"</f>
        <v>3328080105910001</v>
      </c>
      <c r="C1438" s="7" t="s">
        <v>3075</v>
      </c>
      <c r="D1438" s="7" t="s">
        <v>10</v>
      </c>
      <c r="E1438" s="7" t="s">
        <v>11</v>
      </c>
      <c r="F1438" s="7" t="s">
        <v>91</v>
      </c>
      <c r="G1438" s="7" t="s">
        <v>159</v>
      </c>
      <c r="H1438" s="7" t="s">
        <v>685</v>
      </c>
      <c r="I1438" s="8" t="s">
        <v>1632</v>
      </c>
    </row>
    <row r="1439" spans="1:12" hidden="1" x14ac:dyDescent="0.35">
      <c r="A1439" s="6">
        <v>371132</v>
      </c>
      <c r="B1439" s="7" t="str">
        <f>"3328080107700101"</f>
        <v>3328080107700101</v>
      </c>
      <c r="C1439" s="7" t="s">
        <v>2576</v>
      </c>
      <c r="D1439" s="7" t="s">
        <v>10</v>
      </c>
      <c r="E1439" s="7" t="s">
        <v>11</v>
      </c>
      <c r="F1439" s="7" t="s">
        <v>2889</v>
      </c>
      <c r="G1439" s="7" t="s">
        <v>3076</v>
      </c>
      <c r="H1439" s="7" t="s">
        <v>3077</v>
      </c>
      <c r="I1439" s="8" t="s">
        <v>3078</v>
      </c>
    </row>
    <row r="1440" spans="1:12" hidden="1" x14ac:dyDescent="0.35">
      <c r="A1440" s="6">
        <v>1351224</v>
      </c>
      <c r="B1440" s="7" t="str">
        <f>"3328080204040003"</f>
        <v>3328080204040003</v>
      </c>
      <c r="C1440" s="7" t="s">
        <v>3079</v>
      </c>
      <c r="D1440" s="7" t="s">
        <v>10</v>
      </c>
      <c r="E1440" s="7" t="s">
        <v>57</v>
      </c>
      <c r="F1440" s="7" t="s">
        <v>303</v>
      </c>
      <c r="G1440" s="7" t="s">
        <v>608</v>
      </c>
      <c r="H1440" s="7" t="s">
        <v>609</v>
      </c>
      <c r="I1440" s="8" t="s">
        <v>610</v>
      </c>
    </row>
    <row r="1441" spans="1:12" hidden="1" x14ac:dyDescent="0.35">
      <c r="A1441" s="13">
        <v>2044421</v>
      </c>
      <c r="B1441" s="14" t="str">
        <f>"3328080509920002"</f>
        <v>3328080509920002</v>
      </c>
      <c r="C1441" s="14" t="s">
        <v>3080</v>
      </c>
      <c r="D1441" s="14" t="s">
        <v>10</v>
      </c>
      <c r="E1441" s="14" t="s">
        <v>11</v>
      </c>
      <c r="F1441" s="14" t="s">
        <v>18</v>
      </c>
      <c r="G1441" s="14" t="s">
        <v>19</v>
      </c>
      <c r="H1441" s="14" t="s">
        <v>3014</v>
      </c>
      <c r="I1441" s="15" t="s">
        <v>1381</v>
      </c>
      <c r="J1441" s="16" t="str">
        <f>VLOOKUP(B1441,baru!$B$2:$I$2271,4,FALSE)</f>
        <v>Reguler</v>
      </c>
      <c r="K1441" s="16" t="str">
        <f>VLOOKUP(B1441,baru!$B$2:$I$2271,5,FALSE)</f>
        <v>JAWA TENGAH</v>
      </c>
      <c r="L1441" s="16" t="str">
        <f>VLOOKUP(B1441,baru!$B$2:$I$2271,6,FALSE)</f>
        <v>BREBES</v>
      </c>
    </row>
    <row r="1442" spans="1:12" hidden="1" x14ac:dyDescent="0.35">
      <c r="A1442" s="6">
        <v>1684308</v>
      </c>
      <c r="B1442" s="7" t="str">
        <f>"3328080802060005"</f>
        <v>3328080802060005</v>
      </c>
      <c r="C1442" s="7" t="s">
        <v>3081</v>
      </c>
      <c r="D1442" s="7" t="s">
        <v>10</v>
      </c>
      <c r="E1442" s="7" t="s">
        <v>57</v>
      </c>
      <c r="F1442" s="7" t="s">
        <v>18</v>
      </c>
      <c r="G1442" s="7" t="s">
        <v>184</v>
      </c>
      <c r="H1442" s="7" t="s">
        <v>1085</v>
      </c>
      <c r="I1442" s="8" t="s">
        <v>1086</v>
      </c>
    </row>
    <row r="1443" spans="1:12" x14ac:dyDescent="0.35">
      <c r="A1443" s="6">
        <v>2006493</v>
      </c>
      <c r="B1443" s="7" t="str">
        <f>"3328080802060005"</f>
        <v>3328080802060005</v>
      </c>
      <c r="C1443" s="7" t="s">
        <v>3081</v>
      </c>
      <c r="D1443" s="7" t="s">
        <v>189</v>
      </c>
      <c r="E1443" s="7" t="s">
        <v>11</v>
      </c>
      <c r="F1443" s="7" t="s">
        <v>18</v>
      </c>
      <c r="G1443" s="7" t="s">
        <v>19</v>
      </c>
      <c r="H1443" s="7" t="s">
        <v>3014</v>
      </c>
      <c r="I1443" s="8" t="s">
        <v>3040</v>
      </c>
      <c r="J1443" t="e">
        <f>VLOOKUP(B1443,baru!$B$2:$I$2271,4,FALSE)</f>
        <v>#N/A</v>
      </c>
      <c r="K1443" t="e">
        <f>VLOOKUP(B1443,baru!$B$2:$I$2271,5,FALSE)</f>
        <v>#N/A</v>
      </c>
      <c r="L1443" t="e">
        <f>VLOOKUP(B1443,baru!$B$2:$I$2271,6,FALSE)</f>
        <v>#N/A</v>
      </c>
    </row>
    <row r="1444" spans="1:12" hidden="1" x14ac:dyDescent="0.35">
      <c r="A1444" s="6">
        <v>1684309</v>
      </c>
      <c r="B1444" s="7" t="str">
        <f>"3328080805060004"</f>
        <v>3328080805060004</v>
      </c>
      <c r="C1444" s="7" t="s">
        <v>3082</v>
      </c>
      <c r="D1444" s="7" t="s">
        <v>10</v>
      </c>
      <c r="E1444" s="7" t="s">
        <v>57</v>
      </c>
      <c r="F1444" s="7" t="s">
        <v>18</v>
      </c>
      <c r="G1444" s="7" t="s">
        <v>184</v>
      </c>
      <c r="H1444" s="7" t="s">
        <v>1085</v>
      </c>
      <c r="I1444" s="8" t="s">
        <v>1086</v>
      </c>
    </row>
    <row r="1445" spans="1:12" x14ac:dyDescent="0.35">
      <c r="A1445" s="6">
        <v>2005186</v>
      </c>
      <c r="B1445" s="7" t="str">
        <f>"3328080805060004"</f>
        <v>3328080805060004</v>
      </c>
      <c r="C1445" s="7" t="s">
        <v>3082</v>
      </c>
      <c r="D1445" s="7" t="s">
        <v>189</v>
      </c>
      <c r="E1445" s="7" t="s">
        <v>11</v>
      </c>
      <c r="F1445" s="7" t="s">
        <v>18</v>
      </c>
      <c r="G1445" s="7" t="s">
        <v>19</v>
      </c>
      <c r="H1445" s="7" t="s">
        <v>3014</v>
      </c>
      <c r="I1445" s="8" t="s">
        <v>3040</v>
      </c>
      <c r="J1445" t="e">
        <f>VLOOKUP(B1445,baru!$B$2:$I$2271,4,FALSE)</f>
        <v>#N/A</v>
      </c>
      <c r="K1445" t="e">
        <f>VLOOKUP(B1445,baru!$B$2:$I$2271,5,FALSE)</f>
        <v>#N/A</v>
      </c>
      <c r="L1445" t="e">
        <f>VLOOKUP(B1445,baru!$B$2:$I$2271,6,FALSE)</f>
        <v>#N/A</v>
      </c>
    </row>
    <row r="1446" spans="1:12" hidden="1" x14ac:dyDescent="0.35">
      <c r="A1446" s="6">
        <v>50087</v>
      </c>
      <c r="B1446" s="7" t="str">
        <f>"3328081007930001"</f>
        <v>3328081007930001</v>
      </c>
      <c r="C1446" s="7" t="s">
        <v>3083</v>
      </c>
      <c r="D1446" s="7" t="s">
        <v>10</v>
      </c>
      <c r="E1446" s="7" t="s">
        <v>11</v>
      </c>
      <c r="F1446" s="7" t="s">
        <v>44</v>
      </c>
      <c r="G1446" s="7" t="s">
        <v>3084</v>
      </c>
      <c r="H1446" s="7" t="s">
        <v>3085</v>
      </c>
      <c r="I1446" s="8" t="s">
        <v>3086</v>
      </c>
    </row>
    <row r="1447" spans="1:12" hidden="1" x14ac:dyDescent="0.35">
      <c r="A1447" s="6">
        <v>852663</v>
      </c>
      <c r="B1447" s="7" t="str">
        <f>"3328081012910002"</f>
        <v>3328081012910002</v>
      </c>
      <c r="C1447" s="7" t="s">
        <v>3087</v>
      </c>
      <c r="D1447" s="7" t="s">
        <v>10</v>
      </c>
      <c r="E1447" s="7" t="s">
        <v>11</v>
      </c>
      <c r="F1447" s="7" t="s">
        <v>18</v>
      </c>
      <c r="G1447" s="7" t="s">
        <v>264</v>
      </c>
      <c r="H1447" s="7" t="s">
        <v>344</v>
      </c>
      <c r="I1447" s="8" t="s">
        <v>492</v>
      </c>
    </row>
    <row r="1448" spans="1:12" hidden="1" x14ac:dyDescent="0.35">
      <c r="A1448" s="6">
        <v>1427640</v>
      </c>
      <c r="B1448" s="7" t="str">
        <f>"3328081202820001"</f>
        <v>3328081202820001</v>
      </c>
      <c r="C1448" s="7" t="s">
        <v>3088</v>
      </c>
      <c r="D1448" s="7" t="s">
        <v>10</v>
      </c>
      <c r="E1448" s="7" t="s">
        <v>11</v>
      </c>
      <c r="F1448" s="7" t="s">
        <v>18</v>
      </c>
      <c r="G1448" s="7" t="s">
        <v>195</v>
      </c>
      <c r="H1448" s="7" t="s">
        <v>1381</v>
      </c>
      <c r="I1448" s="8" t="s">
        <v>3089</v>
      </c>
    </row>
    <row r="1449" spans="1:12" hidden="1" x14ac:dyDescent="0.35">
      <c r="A1449" s="6">
        <v>1500066</v>
      </c>
      <c r="B1449" s="7" t="str">
        <f>"3328081210930002"</f>
        <v>3328081210930002</v>
      </c>
      <c r="C1449" s="7" t="s">
        <v>3090</v>
      </c>
      <c r="D1449" s="7" t="s">
        <v>10</v>
      </c>
      <c r="E1449" s="7" t="s">
        <v>11</v>
      </c>
      <c r="F1449" s="7" t="s">
        <v>18</v>
      </c>
      <c r="G1449" s="7" t="s">
        <v>184</v>
      </c>
      <c r="H1449" s="7" t="s">
        <v>1266</v>
      </c>
      <c r="I1449" s="8" t="s">
        <v>3091</v>
      </c>
    </row>
    <row r="1450" spans="1:12" hidden="1" x14ac:dyDescent="0.35">
      <c r="A1450" s="6">
        <v>367803</v>
      </c>
      <c r="B1450" s="7" t="str">
        <f>"3328081507540004"</f>
        <v>3328081507540004</v>
      </c>
      <c r="C1450" s="7" t="s">
        <v>3092</v>
      </c>
      <c r="D1450" s="7" t="s">
        <v>10</v>
      </c>
      <c r="E1450" s="7" t="s">
        <v>11</v>
      </c>
      <c r="F1450" s="7" t="s">
        <v>50</v>
      </c>
      <c r="G1450" s="7" t="s">
        <v>51</v>
      </c>
      <c r="H1450" s="7" t="s">
        <v>922</v>
      </c>
      <c r="I1450" s="8" t="s">
        <v>3093</v>
      </c>
    </row>
    <row r="1451" spans="1:12" hidden="1" x14ac:dyDescent="0.35">
      <c r="A1451" s="17">
        <v>2023035</v>
      </c>
      <c r="B1451" s="18" t="str">
        <f>"3328081607650005"</f>
        <v>3328081607650005</v>
      </c>
      <c r="C1451" s="18" t="s">
        <v>3094</v>
      </c>
      <c r="D1451" s="18" t="s">
        <v>10</v>
      </c>
      <c r="E1451" s="18" t="s">
        <v>11</v>
      </c>
      <c r="F1451" s="18" t="s">
        <v>18</v>
      </c>
      <c r="G1451" s="18" t="s">
        <v>19</v>
      </c>
      <c r="H1451" s="18" t="s">
        <v>3014</v>
      </c>
      <c r="I1451" s="19" t="s">
        <v>492</v>
      </c>
      <c r="J1451" s="20" t="str">
        <f>VLOOKUP(B1451,baru!$B$2:$I$2271,4,FALSE)</f>
        <v>Khusus</v>
      </c>
      <c r="K1451" s="20" t="str">
        <f>VLOOKUP(B1451,baru!$B$2:$I$2271,5,FALSE)</f>
        <v>JAWA TENGAH</v>
      </c>
      <c r="L1451" s="20" t="str">
        <f>VLOOKUP(B1451,baru!$B$2:$I$2271,6,FALSE)</f>
        <v>CILACAP</v>
      </c>
    </row>
    <row r="1452" spans="1:12" x14ac:dyDescent="0.35">
      <c r="A1452" s="13">
        <v>2010838</v>
      </c>
      <c r="B1452" s="14" t="str">
        <f>"3328081812790003"</f>
        <v>3328081812790003</v>
      </c>
      <c r="C1452" s="14" t="s">
        <v>1190</v>
      </c>
      <c r="D1452" s="14" t="s">
        <v>189</v>
      </c>
      <c r="E1452" s="14" t="s">
        <v>11</v>
      </c>
      <c r="F1452" s="14" t="s">
        <v>18</v>
      </c>
      <c r="G1452" s="14" t="s">
        <v>19</v>
      </c>
      <c r="H1452" s="14" t="s">
        <v>3014</v>
      </c>
      <c r="I1452" s="15" t="s">
        <v>3095</v>
      </c>
      <c r="J1452" s="16" t="str">
        <f>VLOOKUP(B1452,baru!$B$2:$I$2271,4,FALSE)</f>
        <v>Reguler</v>
      </c>
      <c r="K1452" s="16" t="str">
        <f>VLOOKUP(B1452,baru!$B$2:$I$2271,5,FALSE)</f>
        <v>JAWA TENGAH</v>
      </c>
      <c r="L1452" s="16" t="str">
        <f>VLOOKUP(B1452,baru!$B$2:$I$2271,6,FALSE)</f>
        <v>BREBES</v>
      </c>
    </row>
    <row r="1453" spans="1:12" hidden="1" x14ac:dyDescent="0.35">
      <c r="A1453" s="6">
        <v>213236</v>
      </c>
      <c r="B1453" s="7" t="str">
        <f>"3328082004720001"</f>
        <v>3328082004720001</v>
      </c>
      <c r="C1453" s="7" t="s">
        <v>3097</v>
      </c>
      <c r="D1453" s="7" t="s">
        <v>10</v>
      </c>
      <c r="E1453" s="7" t="s">
        <v>11</v>
      </c>
      <c r="F1453" s="7" t="s">
        <v>50</v>
      </c>
      <c r="G1453" s="7" t="s">
        <v>51</v>
      </c>
      <c r="H1453" s="7" t="s">
        <v>78</v>
      </c>
      <c r="I1453" s="8" t="s">
        <v>436</v>
      </c>
    </row>
    <row r="1454" spans="1:12" hidden="1" x14ac:dyDescent="0.35">
      <c r="A1454" s="6">
        <v>26114</v>
      </c>
      <c r="B1454" s="7" t="str">
        <f>"3328082609990005"</f>
        <v>3328082609990005</v>
      </c>
      <c r="C1454" s="7" t="s">
        <v>3098</v>
      </c>
      <c r="D1454" s="7" t="s">
        <v>10</v>
      </c>
      <c r="E1454" s="7" t="s">
        <v>11</v>
      </c>
      <c r="F1454" s="7" t="s">
        <v>91</v>
      </c>
      <c r="G1454" s="7" t="s">
        <v>903</v>
      </c>
      <c r="H1454" s="7" t="s">
        <v>767</v>
      </c>
      <c r="I1454" s="8" t="s">
        <v>3099</v>
      </c>
    </row>
    <row r="1455" spans="1:12" hidden="1" x14ac:dyDescent="0.35">
      <c r="A1455" s="6">
        <v>1684312</v>
      </c>
      <c r="B1455" s="7" t="str">
        <f>"3328082701060004"</f>
        <v>3328082701060004</v>
      </c>
      <c r="C1455" s="7" t="s">
        <v>3101</v>
      </c>
      <c r="D1455" s="7" t="s">
        <v>10</v>
      </c>
      <c r="E1455" s="7" t="s">
        <v>57</v>
      </c>
      <c r="F1455" s="7" t="s">
        <v>18</v>
      </c>
      <c r="G1455" s="7" t="s">
        <v>184</v>
      </c>
      <c r="H1455" s="7" t="s">
        <v>1085</v>
      </c>
      <c r="I1455" s="8" t="s">
        <v>1086</v>
      </c>
    </row>
    <row r="1456" spans="1:12" x14ac:dyDescent="0.35">
      <c r="A1456" s="6">
        <v>2005126</v>
      </c>
      <c r="B1456" s="7" t="str">
        <f>"3328082701060004"</f>
        <v>3328082701060004</v>
      </c>
      <c r="C1456" s="7" t="s">
        <v>3102</v>
      </c>
      <c r="D1456" s="7" t="s">
        <v>189</v>
      </c>
      <c r="E1456" s="7" t="s">
        <v>11</v>
      </c>
      <c r="F1456" s="7" t="s">
        <v>18</v>
      </c>
      <c r="G1456" s="7" t="s">
        <v>19</v>
      </c>
      <c r="H1456" s="7" t="s">
        <v>3014</v>
      </c>
      <c r="I1456" s="8" t="s">
        <v>3040</v>
      </c>
      <c r="J1456" t="e">
        <f>VLOOKUP(B1456,baru!$B$2:$I$2271,4,FALSE)</f>
        <v>#N/A</v>
      </c>
      <c r="K1456" t="e">
        <f>VLOOKUP(B1456,baru!$B$2:$I$2271,5,FALSE)</f>
        <v>#N/A</v>
      </c>
      <c r="L1456" t="e">
        <f>VLOOKUP(B1456,baru!$B$2:$I$2271,6,FALSE)</f>
        <v>#N/A</v>
      </c>
    </row>
    <row r="1457" spans="1:12" hidden="1" x14ac:dyDescent="0.35">
      <c r="A1457" s="6">
        <v>1684313</v>
      </c>
      <c r="B1457" s="7" t="str">
        <f>"3328082807060002"</f>
        <v>3328082807060002</v>
      </c>
      <c r="C1457" s="7" t="s">
        <v>3103</v>
      </c>
      <c r="D1457" s="7" t="s">
        <v>10</v>
      </c>
      <c r="E1457" s="7" t="s">
        <v>57</v>
      </c>
      <c r="F1457" s="7" t="s">
        <v>18</v>
      </c>
      <c r="G1457" s="7" t="s">
        <v>184</v>
      </c>
      <c r="H1457" s="7" t="s">
        <v>1085</v>
      </c>
      <c r="I1457" s="8" t="s">
        <v>1086</v>
      </c>
    </row>
    <row r="1458" spans="1:12" x14ac:dyDescent="0.35">
      <c r="A1458" s="6">
        <v>2006401</v>
      </c>
      <c r="B1458" s="7" t="str">
        <f>"3328082807060002"</f>
        <v>3328082807060002</v>
      </c>
      <c r="C1458" s="7" t="s">
        <v>3103</v>
      </c>
      <c r="D1458" s="7" t="s">
        <v>189</v>
      </c>
      <c r="E1458" s="7" t="s">
        <v>11</v>
      </c>
      <c r="F1458" s="7" t="s">
        <v>18</v>
      </c>
      <c r="G1458" s="7" t="s">
        <v>19</v>
      </c>
      <c r="H1458" s="7" t="s">
        <v>3014</v>
      </c>
      <c r="I1458" s="8" t="s">
        <v>3040</v>
      </c>
      <c r="J1458" t="e">
        <f>VLOOKUP(B1458,baru!$B$2:$I$2271,4,FALSE)</f>
        <v>#N/A</v>
      </c>
      <c r="K1458" t="e">
        <f>VLOOKUP(B1458,baru!$B$2:$I$2271,5,FALSE)</f>
        <v>#N/A</v>
      </c>
      <c r="L1458" t="e">
        <f>VLOOKUP(B1458,baru!$B$2:$I$2271,6,FALSE)</f>
        <v>#N/A</v>
      </c>
    </row>
    <row r="1459" spans="1:12" hidden="1" x14ac:dyDescent="0.35">
      <c r="A1459" s="6">
        <v>1408764</v>
      </c>
      <c r="B1459" s="7" t="str">
        <f>"3328082812000002"</f>
        <v>3328082812000002</v>
      </c>
      <c r="C1459" s="7" t="s">
        <v>3104</v>
      </c>
      <c r="D1459" s="7" t="s">
        <v>10</v>
      </c>
      <c r="E1459" s="7" t="s">
        <v>11</v>
      </c>
      <c r="F1459" s="7" t="s">
        <v>91</v>
      </c>
      <c r="G1459" s="7" t="s">
        <v>159</v>
      </c>
      <c r="H1459" s="7" t="s">
        <v>685</v>
      </c>
      <c r="I1459" s="8" t="s">
        <v>3105</v>
      </c>
    </row>
    <row r="1460" spans="1:12" hidden="1" x14ac:dyDescent="0.35">
      <c r="A1460" s="6">
        <v>1268745</v>
      </c>
      <c r="B1460" s="7" t="str">
        <f>"3328083010930002"</f>
        <v>3328083010930002</v>
      </c>
      <c r="C1460" s="7" t="s">
        <v>3106</v>
      </c>
      <c r="D1460" s="7" t="s">
        <v>10</v>
      </c>
      <c r="E1460" s="7" t="s">
        <v>11</v>
      </c>
      <c r="F1460" s="7" t="s">
        <v>91</v>
      </c>
      <c r="G1460" s="7" t="s">
        <v>159</v>
      </c>
      <c r="H1460" s="7" t="s">
        <v>3107</v>
      </c>
      <c r="I1460" s="8" t="s">
        <v>680</v>
      </c>
    </row>
    <row r="1461" spans="1:12" x14ac:dyDescent="0.35">
      <c r="A1461" s="6">
        <v>849441</v>
      </c>
      <c r="B1461" s="7" t="str">
        <f>"3328083105060002"</f>
        <v>3328083105060002</v>
      </c>
      <c r="C1461" s="7" t="s">
        <v>3108</v>
      </c>
      <c r="D1461" s="7" t="s">
        <v>189</v>
      </c>
      <c r="E1461" s="7" t="s">
        <v>11</v>
      </c>
      <c r="F1461" s="7" t="s">
        <v>18</v>
      </c>
      <c r="G1461" s="7" t="s">
        <v>264</v>
      </c>
      <c r="H1461" s="7" t="s">
        <v>344</v>
      </c>
      <c r="I1461" s="8" t="s">
        <v>492</v>
      </c>
    </row>
    <row r="1462" spans="1:12" hidden="1" x14ac:dyDescent="0.35">
      <c r="A1462" s="6">
        <v>632593</v>
      </c>
      <c r="B1462" s="7" t="str">
        <f>"3328083112060001"</f>
        <v>3328083112060001</v>
      </c>
      <c r="C1462" s="7" t="s">
        <v>3110</v>
      </c>
      <c r="D1462" s="7" t="s">
        <v>10</v>
      </c>
      <c r="E1462" s="7" t="s">
        <v>11</v>
      </c>
      <c r="F1462" s="7" t="s">
        <v>50</v>
      </c>
      <c r="G1462" s="7" t="s">
        <v>51</v>
      </c>
      <c r="H1462" s="7" t="s">
        <v>78</v>
      </c>
      <c r="I1462" s="8" t="s">
        <v>334</v>
      </c>
    </row>
    <row r="1463" spans="1:12" x14ac:dyDescent="0.35">
      <c r="A1463" s="6">
        <v>2017097</v>
      </c>
      <c r="B1463" s="7" t="str">
        <f>"3328083112060001"</f>
        <v>3328083112060001</v>
      </c>
      <c r="C1463" s="7" t="s">
        <v>3111</v>
      </c>
      <c r="D1463" s="7" t="s">
        <v>189</v>
      </c>
      <c r="E1463" s="7" t="s">
        <v>11</v>
      </c>
      <c r="F1463" s="7" t="s">
        <v>18</v>
      </c>
      <c r="G1463" s="7" t="s">
        <v>19</v>
      </c>
      <c r="H1463" s="7" t="s">
        <v>3014</v>
      </c>
      <c r="I1463" s="8" t="s">
        <v>3015</v>
      </c>
      <c r="J1463" t="e">
        <f>VLOOKUP(B1463,baru!$B$2:$I$2271,4,FALSE)</f>
        <v>#N/A</v>
      </c>
      <c r="K1463" t="e">
        <f>VLOOKUP(B1463,baru!$B$2:$I$2271,5,FALSE)</f>
        <v>#N/A</v>
      </c>
      <c r="L1463" t="e">
        <f>VLOOKUP(B1463,baru!$B$2:$I$2271,6,FALSE)</f>
        <v>#N/A</v>
      </c>
    </row>
    <row r="1464" spans="1:12" hidden="1" x14ac:dyDescent="0.35">
      <c r="A1464" s="6">
        <v>371134</v>
      </c>
      <c r="B1464" s="7" t="str">
        <f>"3328084107030037"</f>
        <v>3328084107030037</v>
      </c>
      <c r="C1464" s="7" t="s">
        <v>3112</v>
      </c>
      <c r="D1464" s="7" t="s">
        <v>10</v>
      </c>
      <c r="E1464" s="7" t="s">
        <v>11</v>
      </c>
      <c r="F1464" s="7" t="s">
        <v>2889</v>
      </c>
      <c r="G1464" s="7" t="s">
        <v>3076</v>
      </c>
      <c r="H1464" s="7" t="s">
        <v>3077</v>
      </c>
      <c r="I1464" s="8" t="s">
        <v>3078</v>
      </c>
    </row>
    <row r="1465" spans="1:12" hidden="1" x14ac:dyDescent="0.35">
      <c r="A1465" s="6">
        <v>371133</v>
      </c>
      <c r="B1465" s="7" t="str">
        <f>"3328084107750076"</f>
        <v>3328084107750076</v>
      </c>
      <c r="C1465" s="7" t="s">
        <v>3113</v>
      </c>
      <c r="D1465" s="7" t="s">
        <v>10</v>
      </c>
      <c r="E1465" s="7" t="s">
        <v>11</v>
      </c>
      <c r="F1465" s="7" t="s">
        <v>2889</v>
      </c>
      <c r="G1465" s="7" t="s">
        <v>3076</v>
      </c>
      <c r="H1465" s="7" t="s">
        <v>3077</v>
      </c>
      <c r="I1465" s="8" t="s">
        <v>3078</v>
      </c>
    </row>
    <row r="1466" spans="1:12" x14ac:dyDescent="0.35">
      <c r="A1466" s="6">
        <v>228636</v>
      </c>
      <c r="B1466" s="7" t="str">
        <f>"3328084107920027"</f>
        <v>3328084107920027</v>
      </c>
      <c r="C1466" s="7" t="s">
        <v>3114</v>
      </c>
      <c r="D1466" s="7" t="s">
        <v>189</v>
      </c>
      <c r="E1466" s="7" t="s">
        <v>11</v>
      </c>
      <c r="F1466" s="7" t="s">
        <v>18</v>
      </c>
      <c r="G1466" s="7" t="s">
        <v>268</v>
      </c>
      <c r="H1466" s="7" t="s">
        <v>371</v>
      </c>
      <c r="I1466" s="8" t="s">
        <v>2346</v>
      </c>
    </row>
    <row r="1467" spans="1:12" hidden="1" x14ac:dyDescent="0.35">
      <c r="A1467" s="6">
        <v>2415119</v>
      </c>
      <c r="B1467" s="7" t="str">
        <f>"3328084208810002"</f>
        <v>3328084208810002</v>
      </c>
      <c r="C1467" s="7" t="s">
        <v>3115</v>
      </c>
      <c r="D1467" s="7" t="s">
        <v>10</v>
      </c>
      <c r="E1467" s="7" t="s">
        <v>11</v>
      </c>
      <c r="F1467" s="7" t="s">
        <v>50</v>
      </c>
      <c r="G1467" s="7" t="s">
        <v>58</v>
      </c>
      <c r="H1467" s="7" t="s">
        <v>406</v>
      </c>
      <c r="I1467" s="8" t="s">
        <v>3116</v>
      </c>
    </row>
    <row r="1468" spans="1:12" x14ac:dyDescent="0.35">
      <c r="A1468" s="6">
        <v>2039284</v>
      </c>
      <c r="B1468" s="7" t="str">
        <f>"3328084508060001"</f>
        <v>3328084508060001</v>
      </c>
      <c r="C1468" s="7" t="s">
        <v>3118</v>
      </c>
      <c r="D1468" s="7" t="s">
        <v>189</v>
      </c>
      <c r="E1468" s="7" t="s">
        <v>11</v>
      </c>
      <c r="F1468" s="7" t="s">
        <v>18</v>
      </c>
      <c r="G1468" s="7" t="s">
        <v>19</v>
      </c>
      <c r="H1468" s="7" t="s">
        <v>3014</v>
      </c>
      <c r="I1468" s="8" t="s">
        <v>3014</v>
      </c>
      <c r="J1468" t="e">
        <f>VLOOKUP(B1468,baru!$B$2:$I$2271,4,FALSE)</f>
        <v>#N/A</v>
      </c>
      <c r="K1468" t="e">
        <f>VLOOKUP(B1468,baru!$B$2:$I$2271,5,FALSE)</f>
        <v>#N/A</v>
      </c>
      <c r="L1468" t="e">
        <f>VLOOKUP(B1468,baru!$B$2:$I$2271,6,FALSE)</f>
        <v>#N/A</v>
      </c>
    </row>
    <row r="1469" spans="1:12" hidden="1" x14ac:dyDescent="0.35">
      <c r="A1469" s="6">
        <v>1352903</v>
      </c>
      <c r="B1469" s="7" t="str">
        <f>"3328084508060001"</f>
        <v>3328084508060001</v>
      </c>
      <c r="C1469" s="7" t="s">
        <v>3119</v>
      </c>
      <c r="D1469" s="7" t="s">
        <v>10</v>
      </c>
      <c r="E1469" s="7" t="s">
        <v>57</v>
      </c>
      <c r="F1469" s="7" t="s">
        <v>303</v>
      </c>
      <c r="G1469" s="7" t="s">
        <v>608</v>
      </c>
      <c r="H1469" s="7" t="s">
        <v>609</v>
      </c>
      <c r="I1469" s="8" t="s">
        <v>610</v>
      </c>
    </row>
    <row r="1470" spans="1:12" hidden="1" x14ac:dyDescent="0.35">
      <c r="A1470" s="13">
        <v>2030771</v>
      </c>
      <c r="B1470" s="14" t="str">
        <f>"3328084904740002"</f>
        <v>3328084904740002</v>
      </c>
      <c r="C1470" s="14" t="s">
        <v>3120</v>
      </c>
      <c r="D1470" s="14" t="s">
        <v>10</v>
      </c>
      <c r="E1470" s="14" t="s">
        <v>11</v>
      </c>
      <c r="F1470" s="14" t="s">
        <v>18</v>
      </c>
      <c r="G1470" s="14" t="s">
        <v>19</v>
      </c>
      <c r="H1470" s="14" t="s">
        <v>3014</v>
      </c>
      <c r="I1470" s="15" t="s">
        <v>3018</v>
      </c>
      <c r="J1470" s="16" t="str">
        <f>VLOOKUP(B1470,baru!$B$2:$I$2271,4,FALSE)</f>
        <v>Reguler</v>
      </c>
      <c r="K1470" s="16" t="str">
        <f>VLOOKUP(B1470,baru!$B$2:$I$2271,5,FALSE)</f>
        <v>DKI JAKARTA</v>
      </c>
      <c r="L1470" s="16" t="str">
        <f>VLOOKUP(B1470,baru!$B$2:$I$2271,6,FALSE)</f>
        <v>KOTA JAKARTA UTARA</v>
      </c>
    </row>
    <row r="1471" spans="1:12" hidden="1" x14ac:dyDescent="0.35">
      <c r="A1471" s="13">
        <v>1925988</v>
      </c>
      <c r="B1471" s="14" t="str">
        <f>"3328084909980004"</f>
        <v>3328084909980004</v>
      </c>
      <c r="C1471" s="14" t="s">
        <v>3121</v>
      </c>
      <c r="D1471" s="14" t="s">
        <v>10</v>
      </c>
      <c r="E1471" s="14" t="s">
        <v>11</v>
      </c>
      <c r="F1471" s="14" t="s">
        <v>18</v>
      </c>
      <c r="G1471" s="14" t="s">
        <v>19</v>
      </c>
      <c r="H1471" s="14" t="s">
        <v>3014</v>
      </c>
      <c r="I1471" s="15" t="s">
        <v>3035</v>
      </c>
      <c r="J1471" s="16" t="str">
        <f>VLOOKUP(B1471,baru!$B$2:$I$2271,4,FALSE)</f>
        <v>Reguler</v>
      </c>
      <c r="K1471" s="16" t="str">
        <f>VLOOKUP(B1471,baru!$B$2:$I$2271,5,FALSE)</f>
        <v>JAWA TENGAH</v>
      </c>
      <c r="L1471" s="16" t="str">
        <f>VLOOKUP(B1471,baru!$B$2:$I$2271,6,FALSE)</f>
        <v>PEKALONGAN</v>
      </c>
    </row>
    <row r="1472" spans="1:12" hidden="1" x14ac:dyDescent="0.35">
      <c r="A1472" s="13">
        <v>2012595</v>
      </c>
      <c r="B1472" s="14" t="str">
        <f>"3328085003870003"</f>
        <v>3328085003870003</v>
      </c>
      <c r="C1472" s="14" t="s">
        <v>3122</v>
      </c>
      <c r="D1472" s="14" t="s">
        <v>10</v>
      </c>
      <c r="E1472" s="14" t="s">
        <v>11</v>
      </c>
      <c r="F1472" s="14" t="s">
        <v>18</v>
      </c>
      <c r="G1472" s="14" t="s">
        <v>19</v>
      </c>
      <c r="H1472" s="14" t="s">
        <v>3014</v>
      </c>
      <c r="I1472" s="15" t="s">
        <v>3095</v>
      </c>
      <c r="J1472" s="16" t="str">
        <f>VLOOKUP(B1472,baru!$B$2:$I$2271,4,FALSE)</f>
        <v>Reguler</v>
      </c>
      <c r="K1472" s="16" t="str">
        <f>VLOOKUP(B1472,baru!$B$2:$I$2271,5,FALSE)</f>
        <v>DKI JAKARTA</v>
      </c>
      <c r="L1472" s="16" t="str">
        <f>VLOOKUP(B1472,baru!$B$2:$I$2271,6,FALSE)</f>
        <v>KOTA JAKARTA PUSAT</v>
      </c>
    </row>
    <row r="1473" spans="1:12" hidden="1" x14ac:dyDescent="0.35">
      <c r="A1473" s="6">
        <v>1684946</v>
      </c>
      <c r="B1473" s="7" t="str">
        <f>"3328085103060001"</f>
        <v>3328085103060001</v>
      </c>
      <c r="C1473" s="7" t="s">
        <v>3124</v>
      </c>
      <c r="D1473" s="7" t="s">
        <v>10</v>
      </c>
      <c r="E1473" s="7" t="s">
        <v>57</v>
      </c>
      <c r="F1473" s="7" t="s">
        <v>18</v>
      </c>
      <c r="G1473" s="7" t="s">
        <v>184</v>
      </c>
      <c r="H1473" s="7" t="s">
        <v>1085</v>
      </c>
      <c r="I1473" s="8" t="s">
        <v>1086</v>
      </c>
    </row>
    <row r="1474" spans="1:12" x14ac:dyDescent="0.35">
      <c r="A1474" s="6">
        <v>2005461</v>
      </c>
      <c r="B1474" s="7" t="str">
        <f>"3328085103060001"</f>
        <v>3328085103060001</v>
      </c>
      <c r="C1474" s="7" t="s">
        <v>3124</v>
      </c>
      <c r="D1474" s="7" t="s">
        <v>189</v>
      </c>
      <c r="E1474" s="7" t="s">
        <v>11</v>
      </c>
      <c r="F1474" s="7" t="s">
        <v>18</v>
      </c>
      <c r="G1474" s="7" t="s">
        <v>19</v>
      </c>
      <c r="H1474" s="7" t="s">
        <v>3014</v>
      </c>
      <c r="I1474" s="8" t="s">
        <v>3040</v>
      </c>
      <c r="J1474" t="e">
        <f>VLOOKUP(B1474,baru!$B$2:$I$2271,4,FALSE)</f>
        <v>#N/A</v>
      </c>
      <c r="K1474" t="e">
        <f>VLOOKUP(B1474,baru!$B$2:$I$2271,5,FALSE)</f>
        <v>#N/A</v>
      </c>
      <c r="L1474" t="e">
        <f>VLOOKUP(B1474,baru!$B$2:$I$2271,6,FALSE)</f>
        <v>#N/A</v>
      </c>
    </row>
    <row r="1475" spans="1:12" hidden="1" x14ac:dyDescent="0.35">
      <c r="A1475" s="6">
        <v>1427641</v>
      </c>
      <c r="B1475" s="7" t="str">
        <f>"3328085104840002"</f>
        <v>3328085104840002</v>
      </c>
      <c r="C1475" s="7" t="s">
        <v>3125</v>
      </c>
      <c r="D1475" s="7" t="s">
        <v>10</v>
      </c>
      <c r="E1475" s="7" t="s">
        <v>11</v>
      </c>
      <c r="F1475" s="7" t="s">
        <v>18</v>
      </c>
      <c r="G1475" s="7" t="s">
        <v>195</v>
      </c>
      <c r="H1475" s="7" t="s">
        <v>1381</v>
      </c>
      <c r="I1475" s="8" t="s">
        <v>3089</v>
      </c>
    </row>
    <row r="1476" spans="1:12" hidden="1" x14ac:dyDescent="0.35">
      <c r="A1476" s="6">
        <v>1352904</v>
      </c>
      <c r="B1476" s="7" t="str">
        <f>"3328085409040002"</f>
        <v>3328085409040002</v>
      </c>
      <c r="C1476" s="7" t="s">
        <v>3127</v>
      </c>
      <c r="D1476" s="7" t="s">
        <v>10</v>
      </c>
      <c r="E1476" s="7" t="s">
        <v>57</v>
      </c>
      <c r="F1476" s="7" t="s">
        <v>303</v>
      </c>
      <c r="G1476" s="7" t="s">
        <v>608</v>
      </c>
      <c r="H1476" s="7" t="s">
        <v>609</v>
      </c>
      <c r="I1476" s="8" t="s">
        <v>610</v>
      </c>
    </row>
    <row r="1477" spans="1:12" x14ac:dyDescent="0.35">
      <c r="A1477" s="13">
        <v>1926159</v>
      </c>
      <c r="B1477" s="14" t="str">
        <f>"3328085804940003"</f>
        <v>3328085804940003</v>
      </c>
      <c r="C1477" s="14" t="s">
        <v>3128</v>
      </c>
      <c r="D1477" s="14" t="s">
        <v>189</v>
      </c>
      <c r="E1477" s="14" t="s">
        <v>11</v>
      </c>
      <c r="F1477" s="14" t="s">
        <v>18</v>
      </c>
      <c r="G1477" s="14" t="s">
        <v>19</v>
      </c>
      <c r="H1477" s="14" t="s">
        <v>3014</v>
      </c>
      <c r="I1477" s="15" t="s">
        <v>3035</v>
      </c>
      <c r="J1477" s="16" t="str">
        <f>VLOOKUP(B1477,baru!$B$2:$I$2271,4,FALSE)</f>
        <v>Reguler</v>
      </c>
      <c r="K1477" s="16" t="str">
        <f>VLOOKUP(B1477,baru!$B$2:$I$2271,5,FALSE)</f>
        <v>JAWA TENGAH</v>
      </c>
      <c r="L1477" s="16" t="str">
        <f>VLOOKUP(B1477,baru!$B$2:$I$2271,6,FALSE)</f>
        <v>BREBES</v>
      </c>
    </row>
    <row r="1478" spans="1:12" hidden="1" x14ac:dyDescent="0.35">
      <c r="A1478" s="6">
        <v>386142</v>
      </c>
      <c r="B1478" s="7" t="str">
        <f>"3328086305900001"</f>
        <v>3328086305900001</v>
      </c>
      <c r="C1478" s="7" t="s">
        <v>3129</v>
      </c>
      <c r="D1478" s="7" t="s">
        <v>10</v>
      </c>
      <c r="E1478" s="7" t="s">
        <v>11</v>
      </c>
      <c r="F1478" s="7" t="s">
        <v>18</v>
      </c>
      <c r="G1478" s="7" t="s">
        <v>264</v>
      </c>
      <c r="H1478" s="7" t="s">
        <v>477</v>
      </c>
      <c r="I1478" s="8" t="s">
        <v>2714</v>
      </c>
    </row>
    <row r="1479" spans="1:12" hidden="1" x14ac:dyDescent="0.35">
      <c r="A1479" s="6">
        <v>852664</v>
      </c>
      <c r="B1479" s="7" t="str">
        <f>"3328086409970003"</f>
        <v>3328086409970003</v>
      </c>
      <c r="C1479" s="7" t="s">
        <v>3130</v>
      </c>
      <c r="D1479" s="7" t="s">
        <v>10</v>
      </c>
      <c r="E1479" s="7" t="s">
        <v>11</v>
      </c>
      <c r="F1479" s="7" t="s">
        <v>18</v>
      </c>
      <c r="G1479" s="7" t="s">
        <v>264</v>
      </c>
      <c r="H1479" s="7" t="s">
        <v>344</v>
      </c>
      <c r="I1479" s="8" t="s">
        <v>492</v>
      </c>
    </row>
    <row r="1480" spans="1:12" hidden="1" x14ac:dyDescent="0.35">
      <c r="A1480" s="6">
        <v>1108904</v>
      </c>
      <c r="B1480" s="7" t="str">
        <f>"3328086603000003"</f>
        <v>3328086603000003</v>
      </c>
      <c r="C1480" s="7" t="s">
        <v>3131</v>
      </c>
      <c r="D1480" s="7" t="s">
        <v>10</v>
      </c>
      <c r="E1480" s="7" t="s">
        <v>11</v>
      </c>
      <c r="F1480" s="7" t="s">
        <v>91</v>
      </c>
      <c r="G1480" s="7" t="s">
        <v>137</v>
      </c>
      <c r="H1480" s="7" t="s">
        <v>3132</v>
      </c>
      <c r="I1480" s="8" t="s">
        <v>3133</v>
      </c>
    </row>
    <row r="1481" spans="1:12" x14ac:dyDescent="0.35">
      <c r="A1481" s="13">
        <v>2018166</v>
      </c>
      <c r="B1481" s="14" t="str">
        <f>"3328086703010004"</f>
        <v>3328086703010004</v>
      </c>
      <c r="C1481" s="14" t="s">
        <v>3134</v>
      </c>
      <c r="D1481" s="14" t="s">
        <v>189</v>
      </c>
      <c r="E1481" s="14" t="s">
        <v>11</v>
      </c>
      <c r="F1481" s="14" t="s">
        <v>18</v>
      </c>
      <c r="G1481" s="14" t="s">
        <v>19</v>
      </c>
      <c r="H1481" s="14" t="s">
        <v>3014</v>
      </c>
      <c r="I1481" s="15" t="s">
        <v>3015</v>
      </c>
      <c r="J1481" s="16" t="str">
        <f>VLOOKUP(B1481,baru!$B$2:$I$2271,4,FALSE)</f>
        <v>Reguler</v>
      </c>
      <c r="K1481" s="16" t="str">
        <f>VLOOKUP(B1481,baru!$B$2:$I$2271,5,FALSE)</f>
        <v>DKI JAKARTA</v>
      </c>
      <c r="L1481" s="16" t="str">
        <f>VLOOKUP(B1481,baru!$B$2:$I$2271,6,FALSE)</f>
        <v>KOTA JAKARTA UTARA</v>
      </c>
    </row>
    <row r="1482" spans="1:12" hidden="1" x14ac:dyDescent="0.35">
      <c r="A1482" s="6">
        <v>466220</v>
      </c>
      <c r="B1482" s="7" t="str">
        <f>"3328150709892826"</f>
        <v>3328150709892826</v>
      </c>
      <c r="C1482" s="7" t="s">
        <v>3135</v>
      </c>
      <c r="D1482" s="7" t="s">
        <v>10</v>
      </c>
      <c r="E1482" s="7" t="s">
        <v>11</v>
      </c>
      <c r="F1482" s="7" t="s">
        <v>783</v>
      </c>
      <c r="G1482" s="7" t="s">
        <v>1112</v>
      </c>
      <c r="H1482" s="7" t="s">
        <v>2563</v>
      </c>
      <c r="I1482" s="8" t="s">
        <v>3136</v>
      </c>
    </row>
    <row r="1483" spans="1:12" hidden="1" x14ac:dyDescent="0.35">
      <c r="A1483" s="6">
        <v>835615</v>
      </c>
      <c r="B1483" s="7" t="str">
        <f>"3329091305830015"</f>
        <v>3329091305830015</v>
      </c>
      <c r="C1483" s="7" t="s">
        <v>3138</v>
      </c>
      <c r="D1483" s="7" t="s">
        <v>10</v>
      </c>
      <c r="E1483" s="7" t="s">
        <v>11</v>
      </c>
      <c r="F1483" s="7" t="s">
        <v>18</v>
      </c>
      <c r="G1483" s="7" t="s">
        <v>264</v>
      </c>
      <c r="H1483" s="7" t="s">
        <v>264</v>
      </c>
      <c r="I1483" s="8" t="s">
        <v>264</v>
      </c>
    </row>
    <row r="1484" spans="1:12" hidden="1" x14ac:dyDescent="0.35">
      <c r="A1484" s="6">
        <v>347485</v>
      </c>
      <c r="B1484" s="7" t="str">
        <f>"3376032907010003"</f>
        <v>3376032907010003</v>
      </c>
      <c r="C1484" s="7" t="s">
        <v>3139</v>
      </c>
      <c r="D1484" s="7" t="s">
        <v>10</v>
      </c>
      <c r="E1484" s="7" t="s">
        <v>11</v>
      </c>
      <c r="F1484" s="7" t="s">
        <v>18</v>
      </c>
      <c r="G1484" s="7" t="s">
        <v>268</v>
      </c>
      <c r="H1484" s="7" t="s">
        <v>269</v>
      </c>
      <c r="I1484" s="8" t="s">
        <v>3140</v>
      </c>
    </row>
    <row r="1485" spans="1:12" hidden="1" x14ac:dyDescent="0.35">
      <c r="A1485" s="6">
        <v>846659</v>
      </c>
      <c r="B1485" s="7" t="str">
        <f>"3527081706780001"</f>
        <v>3527081706780001</v>
      </c>
      <c r="C1485" s="7" t="s">
        <v>3141</v>
      </c>
      <c r="D1485" s="7" t="s">
        <v>10</v>
      </c>
      <c r="E1485" s="7" t="s">
        <v>11</v>
      </c>
      <c r="F1485" s="7" t="s">
        <v>303</v>
      </c>
      <c r="G1485" s="7" t="s">
        <v>509</v>
      </c>
      <c r="H1485" s="7" t="s">
        <v>3142</v>
      </c>
      <c r="I1485" s="8" t="s">
        <v>3143</v>
      </c>
    </row>
    <row r="1486" spans="1:12" hidden="1" x14ac:dyDescent="0.35">
      <c r="A1486" s="6">
        <v>1653118</v>
      </c>
      <c r="B1486" s="7" t="str">
        <f>"3602095512020001"</f>
        <v>3602095512020001</v>
      </c>
      <c r="C1486" s="7" t="s">
        <v>3144</v>
      </c>
      <c r="D1486" s="7" t="s">
        <v>10</v>
      </c>
      <c r="E1486" s="7" t="s">
        <v>11</v>
      </c>
      <c r="F1486" s="7" t="s">
        <v>67</v>
      </c>
      <c r="G1486" s="7" t="s">
        <v>638</v>
      </c>
      <c r="H1486" s="7" t="s">
        <v>2597</v>
      </c>
      <c r="I1486" s="8" t="s">
        <v>3145</v>
      </c>
    </row>
    <row r="1487" spans="1:12" hidden="1" x14ac:dyDescent="0.35">
      <c r="A1487" s="6">
        <v>1937429</v>
      </c>
      <c r="B1487" s="7" t="str">
        <f>"3603194508770003"</f>
        <v>3603194508770003</v>
      </c>
      <c r="C1487" s="7" t="s">
        <v>3146</v>
      </c>
      <c r="D1487" s="7" t="s">
        <v>10</v>
      </c>
      <c r="E1487" s="7" t="s">
        <v>11</v>
      </c>
      <c r="F1487" s="7" t="s">
        <v>67</v>
      </c>
      <c r="G1487" s="7" t="s">
        <v>791</v>
      </c>
      <c r="H1487" s="7" t="s">
        <v>3147</v>
      </c>
      <c r="I1487" s="8" t="s">
        <v>3148</v>
      </c>
    </row>
    <row r="1488" spans="1:12" x14ac:dyDescent="0.35">
      <c r="A1488" s="6">
        <v>2044501</v>
      </c>
      <c r="B1488" s="7" t="str">
        <f>"3603194508770003"</f>
        <v>3603194508770003</v>
      </c>
      <c r="C1488" s="7" t="s">
        <v>3149</v>
      </c>
      <c r="D1488" s="7" t="s">
        <v>189</v>
      </c>
      <c r="E1488" s="7" t="s">
        <v>11</v>
      </c>
      <c r="F1488" s="7" t="s">
        <v>18</v>
      </c>
      <c r="G1488" s="7" t="s">
        <v>19</v>
      </c>
      <c r="H1488" s="7" t="s">
        <v>3014</v>
      </c>
      <c r="I1488" s="8" t="s">
        <v>1381</v>
      </c>
      <c r="J1488" t="e">
        <f>VLOOKUP(B1488,baru!$B$2:$I$2271,4,FALSE)</f>
        <v>#N/A</v>
      </c>
      <c r="K1488" t="e">
        <f>VLOOKUP(B1488,baru!$B$2:$I$2271,5,FALSE)</f>
        <v>#N/A</v>
      </c>
      <c r="L1488" t="e">
        <f>VLOOKUP(B1488,baru!$B$2:$I$2271,6,FALSE)</f>
        <v>#N/A</v>
      </c>
    </row>
    <row r="1489" spans="1:12" hidden="1" x14ac:dyDescent="0.35">
      <c r="A1489" s="13">
        <v>2048979</v>
      </c>
      <c r="B1489" s="14" t="str">
        <f>"3604121211890003"</f>
        <v>3604121211890003</v>
      </c>
      <c r="C1489" s="14" t="s">
        <v>2327</v>
      </c>
      <c r="D1489" s="14" t="s">
        <v>10</v>
      </c>
      <c r="E1489" s="14" t="s">
        <v>11</v>
      </c>
      <c r="F1489" s="14" t="s">
        <v>18</v>
      </c>
      <c r="G1489" s="14" t="s">
        <v>19</v>
      </c>
      <c r="H1489" s="14" t="s">
        <v>3014</v>
      </c>
      <c r="I1489" s="15" t="s">
        <v>1381</v>
      </c>
      <c r="J1489" s="16" t="str">
        <f>VLOOKUP(B1489,baru!$B$2:$I$2271,4,FALSE)</f>
        <v>Reguler</v>
      </c>
      <c r="K1489" s="16" t="str">
        <f>VLOOKUP(B1489,baru!$B$2:$I$2271,5,FALSE)</f>
        <v>BANTEN</v>
      </c>
      <c r="L1489" s="16" t="str">
        <f>VLOOKUP(B1489,baru!$B$2:$I$2271,6,FALSE)</f>
        <v>SERANG</v>
      </c>
    </row>
    <row r="1490" spans="1:12" hidden="1" x14ac:dyDescent="0.35">
      <c r="A1490" s="6">
        <v>2061259</v>
      </c>
      <c r="B1490" s="7" t="str">
        <f>"3674031704780014"</f>
        <v>3674031704780014</v>
      </c>
      <c r="C1490" s="7" t="s">
        <v>3153</v>
      </c>
      <c r="D1490" s="7" t="s">
        <v>10</v>
      </c>
      <c r="E1490" s="7" t="s">
        <v>11</v>
      </c>
      <c r="F1490" s="7" t="s">
        <v>67</v>
      </c>
      <c r="G1490" s="7" t="s">
        <v>68</v>
      </c>
      <c r="H1490" s="7" t="s">
        <v>2924</v>
      </c>
      <c r="I1490" s="8" t="s">
        <v>3154</v>
      </c>
    </row>
    <row r="1491" spans="1:12" hidden="1" x14ac:dyDescent="0.35">
      <c r="A1491" s="6">
        <v>2061380</v>
      </c>
      <c r="B1491" s="7" t="str">
        <f>"3674036109770009"</f>
        <v>3674036109770009</v>
      </c>
      <c r="C1491" s="7" t="s">
        <v>3156</v>
      </c>
      <c r="D1491" s="7" t="s">
        <v>10</v>
      </c>
      <c r="E1491" s="7" t="s">
        <v>11</v>
      </c>
      <c r="F1491" s="7" t="s">
        <v>67</v>
      </c>
      <c r="G1491" s="7" t="s">
        <v>68</v>
      </c>
      <c r="H1491" s="7" t="s">
        <v>2924</v>
      </c>
      <c r="I1491" s="8" t="s">
        <v>3154</v>
      </c>
    </row>
    <row r="1492" spans="1:12" hidden="1" x14ac:dyDescent="0.35">
      <c r="A1492" s="6">
        <v>403905</v>
      </c>
      <c r="B1492" s="7" t="str">
        <f>"1306024704860005"</f>
        <v>1306024704860005</v>
      </c>
      <c r="C1492" s="7" t="s">
        <v>3157</v>
      </c>
      <c r="D1492" s="7" t="s">
        <v>10</v>
      </c>
      <c r="E1492" s="7" t="s">
        <v>11</v>
      </c>
      <c r="F1492" s="7" t="s">
        <v>12</v>
      </c>
      <c r="G1492" s="7" t="s">
        <v>3158</v>
      </c>
      <c r="H1492" s="7" t="s">
        <v>3159</v>
      </c>
      <c r="I1492" s="8" t="s">
        <v>3159</v>
      </c>
    </row>
    <row r="1493" spans="1:12" hidden="1" x14ac:dyDescent="0.35">
      <c r="A1493" s="6">
        <v>581023</v>
      </c>
      <c r="B1493" s="7" t="str">
        <f>"3171081501810002"</f>
        <v>3171081501810002</v>
      </c>
      <c r="C1493" s="7" t="s">
        <v>3094</v>
      </c>
      <c r="D1493" s="7" t="s">
        <v>10</v>
      </c>
      <c r="E1493" s="7" t="s">
        <v>11</v>
      </c>
      <c r="F1493" s="7" t="s">
        <v>50</v>
      </c>
      <c r="G1493" s="7" t="s">
        <v>280</v>
      </c>
      <c r="H1493" s="7" t="s">
        <v>2507</v>
      </c>
      <c r="I1493" s="8" t="s">
        <v>3162</v>
      </c>
    </row>
    <row r="1494" spans="1:12" hidden="1" x14ac:dyDescent="0.35">
      <c r="A1494" s="6">
        <v>161738</v>
      </c>
      <c r="B1494" s="7" t="str">
        <f>"3172027110940003"</f>
        <v>3172027110940003</v>
      </c>
      <c r="C1494" s="7" t="s">
        <v>3163</v>
      </c>
      <c r="D1494" s="7" t="s">
        <v>10</v>
      </c>
      <c r="E1494" s="7" t="s">
        <v>11</v>
      </c>
      <c r="F1494" s="7" t="s">
        <v>50</v>
      </c>
      <c r="G1494" s="7" t="s">
        <v>51</v>
      </c>
      <c r="H1494" s="7" t="s">
        <v>62</v>
      </c>
      <c r="I1494" s="8" t="s">
        <v>63</v>
      </c>
    </row>
    <row r="1495" spans="1:12" hidden="1" x14ac:dyDescent="0.35">
      <c r="A1495" s="6">
        <v>757547</v>
      </c>
      <c r="B1495" s="7" t="str">
        <f>"3172034302740003"</f>
        <v>3172034302740003</v>
      </c>
      <c r="C1495" s="7" t="s">
        <v>3164</v>
      </c>
      <c r="D1495" s="7" t="s">
        <v>10</v>
      </c>
      <c r="E1495" s="7" t="s">
        <v>11</v>
      </c>
      <c r="F1495" s="7" t="s">
        <v>50</v>
      </c>
      <c r="G1495" s="7" t="s">
        <v>51</v>
      </c>
      <c r="H1495" s="7" t="s">
        <v>284</v>
      </c>
      <c r="I1495" s="8" t="s">
        <v>284</v>
      </c>
    </row>
    <row r="1496" spans="1:12" hidden="1" x14ac:dyDescent="0.35">
      <c r="A1496" s="6">
        <v>987916</v>
      </c>
      <c r="B1496" s="7" t="str">
        <f>"3172040112820018"</f>
        <v>3172040112820018</v>
      </c>
      <c r="C1496" s="7" t="s">
        <v>3166</v>
      </c>
      <c r="D1496" s="7" t="s">
        <v>10</v>
      </c>
      <c r="E1496" s="7" t="s">
        <v>11</v>
      </c>
      <c r="F1496" s="7" t="s">
        <v>50</v>
      </c>
      <c r="G1496" s="7" t="s">
        <v>51</v>
      </c>
      <c r="H1496" s="7" t="s">
        <v>78</v>
      </c>
      <c r="I1496" s="8" t="s">
        <v>81</v>
      </c>
    </row>
    <row r="1497" spans="1:12" hidden="1" x14ac:dyDescent="0.35">
      <c r="A1497" s="6">
        <v>993249</v>
      </c>
      <c r="B1497" s="7" t="str">
        <f>"3172040401870018"</f>
        <v>3172040401870018</v>
      </c>
      <c r="C1497" s="7" t="s">
        <v>3168</v>
      </c>
      <c r="D1497" s="7" t="s">
        <v>10</v>
      </c>
      <c r="E1497" s="7" t="s">
        <v>11</v>
      </c>
      <c r="F1497" s="7" t="s">
        <v>50</v>
      </c>
      <c r="G1497" s="7" t="s">
        <v>51</v>
      </c>
      <c r="H1497" s="7" t="s">
        <v>78</v>
      </c>
      <c r="I1497" s="8" t="s">
        <v>81</v>
      </c>
    </row>
    <row r="1498" spans="1:12" hidden="1" x14ac:dyDescent="0.35">
      <c r="A1498" s="6">
        <v>987915</v>
      </c>
      <c r="B1498" s="7" t="str">
        <f>"3172044201891003"</f>
        <v>3172044201891003</v>
      </c>
      <c r="C1498" s="7" t="s">
        <v>421</v>
      </c>
      <c r="D1498" s="7" t="s">
        <v>10</v>
      </c>
      <c r="E1498" s="7" t="s">
        <v>11</v>
      </c>
      <c r="F1498" s="7" t="s">
        <v>50</v>
      </c>
      <c r="G1498" s="7" t="s">
        <v>51</v>
      </c>
      <c r="H1498" s="7" t="s">
        <v>78</v>
      </c>
      <c r="I1498" s="8" t="s">
        <v>81</v>
      </c>
    </row>
    <row r="1499" spans="1:12" hidden="1" x14ac:dyDescent="0.35">
      <c r="A1499" s="6">
        <v>349989</v>
      </c>
      <c r="B1499" s="7" t="str">
        <f>"3173025510741001"</f>
        <v>3173025510741001</v>
      </c>
      <c r="C1499" s="7" t="s">
        <v>3171</v>
      </c>
      <c r="D1499" s="7" t="s">
        <v>10</v>
      </c>
      <c r="E1499" s="7" t="s">
        <v>11</v>
      </c>
      <c r="F1499" s="7" t="s">
        <v>50</v>
      </c>
      <c r="G1499" s="7" t="s">
        <v>86</v>
      </c>
      <c r="H1499" s="7" t="s">
        <v>205</v>
      </c>
      <c r="I1499" s="8" t="s">
        <v>3172</v>
      </c>
    </row>
    <row r="1500" spans="1:12" hidden="1" x14ac:dyDescent="0.35">
      <c r="A1500" s="6">
        <v>603759</v>
      </c>
      <c r="B1500" s="7" t="str">
        <f>"3173030204680007"</f>
        <v>3173030204680007</v>
      </c>
      <c r="C1500" s="7" t="s">
        <v>1622</v>
      </c>
      <c r="D1500" s="7" t="s">
        <v>10</v>
      </c>
      <c r="E1500" s="7" t="s">
        <v>11</v>
      </c>
      <c r="F1500" s="7" t="s">
        <v>50</v>
      </c>
      <c r="G1500" s="7" t="s">
        <v>86</v>
      </c>
      <c r="H1500" s="7" t="s">
        <v>1463</v>
      </c>
      <c r="I1500" s="8" t="s">
        <v>3175</v>
      </c>
    </row>
    <row r="1501" spans="1:12" hidden="1" x14ac:dyDescent="0.35">
      <c r="A1501" s="6">
        <v>792207</v>
      </c>
      <c r="B1501" s="7" t="str">
        <f>"3174024101620006"</f>
        <v>3174024101620006</v>
      </c>
      <c r="C1501" s="7" t="s">
        <v>3177</v>
      </c>
      <c r="D1501" s="7" t="s">
        <v>10</v>
      </c>
      <c r="E1501" s="7" t="s">
        <v>11</v>
      </c>
      <c r="F1501" s="7" t="s">
        <v>50</v>
      </c>
      <c r="G1501" s="7" t="s">
        <v>72</v>
      </c>
      <c r="H1501" s="7" t="s">
        <v>73</v>
      </c>
      <c r="I1501" s="8" t="s">
        <v>74</v>
      </c>
    </row>
    <row r="1502" spans="1:12" hidden="1" x14ac:dyDescent="0.35">
      <c r="A1502" s="6">
        <v>1644764</v>
      </c>
      <c r="B1502" s="7" t="str">
        <f>"3174030308700008"</f>
        <v>3174030308700008</v>
      </c>
      <c r="C1502" s="7" t="s">
        <v>3179</v>
      </c>
      <c r="D1502" s="7" t="s">
        <v>10</v>
      </c>
      <c r="E1502" s="7" t="s">
        <v>11</v>
      </c>
      <c r="F1502" s="7" t="s">
        <v>50</v>
      </c>
      <c r="G1502" s="7" t="s">
        <v>72</v>
      </c>
      <c r="H1502" s="7" t="s">
        <v>1172</v>
      </c>
      <c r="I1502" s="8" t="s">
        <v>1173</v>
      </c>
    </row>
    <row r="1503" spans="1:12" hidden="1" x14ac:dyDescent="0.35">
      <c r="A1503" s="6">
        <v>1642550</v>
      </c>
      <c r="B1503" s="7" t="str">
        <f>"3174030908630001"</f>
        <v>3174030908630001</v>
      </c>
      <c r="C1503" s="7" t="s">
        <v>3181</v>
      </c>
      <c r="D1503" s="7" t="s">
        <v>10</v>
      </c>
      <c r="E1503" s="7" t="s">
        <v>11</v>
      </c>
      <c r="F1503" s="7" t="s">
        <v>50</v>
      </c>
      <c r="G1503" s="7" t="s">
        <v>72</v>
      </c>
      <c r="H1503" s="7" t="s">
        <v>1172</v>
      </c>
      <c r="I1503" s="8" t="s">
        <v>1173</v>
      </c>
    </row>
    <row r="1504" spans="1:12" hidden="1" x14ac:dyDescent="0.35">
      <c r="A1504" s="6">
        <v>1722737</v>
      </c>
      <c r="B1504" s="7" t="str">
        <f>"3174031608530002"</f>
        <v>3174031608530002</v>
      </c>
      <c r="C1504" s="7" t="s">
        <v>3182</v>
      </c>
      <c r="D1504" s="7" t="s">
        <v>10</v>
      </c>
      <c r="E1504" s="7" t="s">
        <v>11</v>
      </c>
      <c r="F1504" s="7" t="s">
        <v>50</v>
      </c>
      <c r="G1504" s="7" t="s">
        <v>72</v>
      </c>
      <c r="H1504" s="7" t="s">
        <v>1172</v>
      </c>
      <c r="I1504" s="8" t="s">
        <v>226</v>
      </c>
    </row>
    <row r="1505" spans="1:9" hidden="1" x14ac:dyDescent="0.35">
      <c r="A1505" s="6">
        <v>1722831</v>
      </c>
      <c r="B1505" s="7" t="str">
        <f>"3174035007540003"</f>
        <v>3174035007540003</v>
      </c>
      <c r="C1505" s="7" t="s">
        <v>3183</v>
      </c>
      <c r="D1505" s="7" t="s">
        <v>10</v>
      </c>
      <c r="E1505" s="7" t="s">
        <v>11</v>
      </c>
      <c r="F1505" s="7" t="s">
        <v>50</v>
      </c>
      <c r="G1505" s="7" t="s">
        <v>72</v>
      </c>
      <c r="H1505" s="7" t="s">
        <v>1172</v>
      </c>
      <c r="I1505" s="8" t="s">
        <v>226</v>
      </c>
    </row>
    <row r="1506" spans="1:9" hidden="1" x14ac:dyDescent="0.35">
      <c r="A1506" s="6">
        <v>1642549</v>
      </c>
      <c r="B1506" s="7" t="str">
        <f>"3174037112710011"</f>
        <v>3174037112710011</v>
      </c>
      <c r="C1506" s="7" t="s">
        <v>3184</v>
      </c>
      <c r="D1506" s="7" t="s">
        <v>10</v>
      </c>
      <c r="E1506" s="7" t="s">
        <v>11</v>
      </c>
      <c r="F1506" s="7" t="s">
        <v>50</v>
      </c>
      <c r="G1506" s="7" t="s">
        <v>72</v>
      </c>
      <c r="H1506" s="7" t="s">
        <v>1172</v>
      </c>
      <c r="I1506" s="8" t="s">
        <v>1173</v>
      </c>
    </row>
    <row r="1507" spans="1:9" hidden="1" x14ac:dyDescent="0.35">
      <c r="A1507" s="6">
        <v>233147</v>
      </c>
      <c r="B1507" s="7" t="str">
        <f>"3174052803810007"</f>
        <v>3174052803810007</v>
      </c>
      <c r="C1507" s="7" t="s">
        <v>3186</v>
      </c>
      <c r="D1507" s="7" t="s">
        <v>10</v>
      </c>
      <c r="E1507" s="7" t="s">
        <v>11</v>
      </c>
      <c r="F1507" s="7" t="s">
        <v>18</v>
      </c>
      <c r="G1507" s="7" t="s">
        <v>268</v>
      </c>
      <c r="H1507" s="7" t="s">
        <v>371</v>
      </c>
      <c r="I1507" s="8" t="s">
        <v>372</v>
      </c>
    </row>
    <row r="1508" spans="1:9" hidden="1" x14ac:dyDescent="0.35">
      <c r="A1508" s="6">
        <v>233148</v>
      </c>
      <c r="B1508" s="7" t="str">
        <f>"3174054107810010"</f>
        <v>3174054107810010</v>
      </c>
      <c r="C1508" s="7" t="s">
        <v>179</v>
      </c>
      <c r="D1508" s="7" t="s">
        <v>10</v>
      </c>
      <c r="E1508" s="7" t="s">
        <v>11</v>
      </c>
      <c r="F1508" s="7" t="s">
        <v>18</v>
      </c>
      <c r="G1508" s="7" t="s">
        <v>268</v>
      </c>
      <c r="H1508" s="7" t="s">
        <v>371</v>
      </c>
      <c r="I1508" s="8" t="s">
        <v>372</v>
      </c>
    </row>
    <row r="1509" spans="1:9" hidden="1" x14ac:dyDescent="0.35">
      <c r="A1509" s="6">
        <v>576541</v>
      </c>
      <c r="B1509" s="7" t="str">
        <f>"3174062811740003"</f>
        <v>3174062811740003</v>
      </c>
      <c r="C1509" s="7" t="s">
        <v>2736</v>
      </c>
      <c r="D1509" s="7" t="s">
        <v>10</v>
      </c>
      <c r="E1509" s="7" t="s">
        <v>11</v>
      </c>
      <c r="F1509" s="7" t="s">
        <v>50</v>
      </c>
      <c r="G1509" s="7" t="s">
        <v>72</v>
      </c>
      <c r="H1509" s="7" t="s">
        <v>1093</v>
      </c>
      <c r="I1509" s="8" t="s">
        <v>3190</v>
      </c>
    </row>
    <row r="1510" spans="1:9" hidden="1" x14ac:dyDescent="0.35">
      <c r="A1510" s="6">
        <v>739882</v>
      </c>
      <c r="B1510" s="7" t="str">
        <f>"3174071408610010"</f>
        <v>3174071408610010</v>
      </c>
      <c r="C1510" s="7" t="s">
        <v>3192</v>
      </c>
      <c r="D1510" s="7" t="s">
        <v>10</v>
      </c>
      <c r="E1510" s="7" t="s">
        <v>11</v>
      </c>
      <c r="F1510" s="7" t="s">
        <v>50</v>
      </c>
      <c r="G1510" s="7" t="s">
        <v>72</v>
      </c>
      <c r="H1510" s="7" t="s">
        <v>803</v>
      </c>
      <c r="I1510" s="8" t="s">
        <v>2244</v>
      </c>
    </row>
    <row r="1511" spans="1:9" hidden="1" x14ac:dyDescent="0.35">
      <c r="A1511" s="6">
        <v>739881</v>
      </c>
      <c r="B1511" s="7" t="str">
        <f>"3174075111640008"</f>
        <v>3174075111640008</v>
      </c>
      <c r="C1511" s="7" t="s">
        <v>3193</v>
      </c>
      <c r="D1511" s="7" t="s">
        <v>10</v>
      </c>
      <c r="E1511" s="7" t="s">
        <v>11</v>
      </c>
      <c r="F1511" s="7" t="s">
        <v>50</v>
      </c>
      <c r="G1511" s="7" t="s">
        <v>72</v>
      </c>
      <c r="H1511" s="7" t="s">
        <v>803</v>
      </c>
      <c r="I1511" s="8" t="s">
        <v>2244</v>
      </c>
    </row>
    <row r="1512" spans="1:9" hidden="1" x14ac:dyDescent="0.35">
      <c r="A1512" s="6">
        <v>802500</v>
      </c>
      <c r="B1512" s="7" t="str">
        <f>"3174106005791001"</f>
        <v>3174106005791001</v>
      </c>
      <c r="C1512" s="7" t="s">
        <v>3194</v>
      </c>
      <c r="D1512" s="7" t="s">
        <v>10</v>
      </c>
      <c r="E1512" s="7" t="s">
        <v>11</v>
      </c>
      <c r="F1512" s="7" t="s">
        <v>50</v>
      </c>
      <c r="G1512" s="7" t="s">
        <v>72</v>
      </c>
      <c r="H1512" s="7" t="s">
        <v>541</v>
      </c>
      <c r="I1512" s="8" t="s">
        <v>2901</v>
      </c>
    </row>
    <row r="1513" spans="1:9" hidden="1" x14ac:dyDescent="0.35">
      <c r="A1513" s="6">
        <v>106882</v>
      </c>
      <c r="B1513" s="7" t="str">
        <f>"3175011212770010"</f>
        <v>3175011212770010</v>
      </c>
      <c r="C1513" s="7" t="s">
        <v>2757</v>
      </c>
      <c r="D1513" s="7" t="s">
        <v>10</v>
      </c>
      <c r="E1513" s="7" t="s">
        <v>11</v>
      </c>
      <c r="F1513" s="7" t="s">
        <v>50</v>
      </c>
      <c r="G1513" s="7" t="s">
        <v>280</v>
      </c>
      <c r="H1513" s="7" t="s">
        <v>2179</v>
      </c>
      <c r="I1513" s="8" t="s">
        <v>2179</v>
      </c>
    </row>
    <row r="1514" spans="1:9" hidden="1" x14ac:dyDescent="0.35">
      <c r="A1514" s="6">
        <v>1982072</v>
      </c>
      <c r="B1514" s="7" t="str">
        <f>"3175050208820011"</f>
        <v>3175050208820011</v>
      </c>
      <c r="C1514" s="7" t="s">
        <v>3196</v>
      </c>
      <c r="D1514" s="7" t="s">
        <v>10</v>
      </c>
      <c r="E1514" s="7" t="s">
        <v>11</v>
      </c>
      <c r="F1514" s="7" t="s">
        <v>50</v>
      </c>
      <c r="G1514" s="7" t="s">
        <v>58</v>
      </c>
      <c r="H1514" s="7" t="s">
        <v>260</v>
      </c>
      <c r="I1514" s="8" t="s">
        <v>261</v>
      </c>
    </row>
    <row r="1515" spans="1:9" hidden="1" x14ac:dyDescent="0.35">
      <c r="A1515" s="6">
        <v>1554037</v>
      </c>
      <c r="B1515" s="7" t="str">
        <f>"3175092101971003"</f>
        <v>3175092101971003</v>
      </c>
      <c r="C1515" s="7" t="s">
        <v>3197</v>
      </c>
      <c r="D1515" s="7" t="s">
        <v>10</v>
      </c>
      <c r="E1515" s="7" t="s">
        <v>11</v>
      </c>
      <c r="F1515" s="7" t="s">
        <v>50</v>
      </c>
      <c r="G1515" s="7" t="s">
        <v>58</v>
      </c>
      <c r="H1515" s="7" t="s">
        <v>1747</v>
      </c>
      <c r="I1515" s="8" t="s">
        <v>1747</v>
      </c>
    </row>
    <row r="1516" spans="1:9" hidden="1" x14ac:dyDescent="0.35">
      <c r="A1516" s="6">
        <v>3547701</v>
      </c>
      <c r="B1516" s="7" t="str">
        <f>"3201152506920002"</f>
        <v>3201152506920002</v>
      </c>
      <c r="C1516" s="7" t="s">
        <v>3198</v>
      </c>
      <c r="D1516" s="7" t="s">
        <v>10</v>
      </c>
      <c r="E1516" s="7" t="s">
        <v>11</v>
      </c>
      <c r="F1516" s="7" t="s">
        <v>91</v>
      </c>
      <c r="G1516" s="7" t="s">
        <v>650</v>
      </c>
      <c r="H1516" s="7" t="s">
        <v>651</v>
      </c>
      <c r="I1516" s="8" t="s">
        <v>3199</v>
      </c>
    </row>
    <row r="1517" spans="1:9" hidden="1" x14ac:dyDescent="0.35">
      <c r="A1517" s="6">
        <v>3547699</v>
      </c>
      <c r="B1517" s="7" t="str">
        <f>"3201154810940009"</f>
        <v>3201154810940009</v>
      </c>
      <c r="C1517" s="7" t="s">
        <v>3201</v>
      </c>
      <c r="D1517" s="7" t="s">
        <v>10</v>
      </c>
      <c r="E1517" s="7" t="s">
        <v>11</v>
      </c>
      <c r="F1517" s="7" t="s">
        <v>91</v>
      </c>
      <c r="G1517" s="7" t="s">
        <v>650</v>
      </c>
      <c r="H1517" s="7" t="s">
        <v>651</v>
      </c>
      <c r="I1517" s="8" t="s">
        <v>3199</v>
      </c>
    </row>
    <row r="1518" spans="1:9" hidden="1" x14ac:dyDescent="0.35">
      <c r="A1518" s="6">
        <v>834287</v>
      </c>
      <c r="B1518" s="7" t="str">
        <f>"3206326004870002"</f>
        <v>3206326004870002</v>
      </c>
      <c r="C1518" s="7" t="s">
        <v>3202</v>
      </c>
      <c r="D1518" s="7" t="s">
        <v>10</v>
      </c>
      <c r="E1518" s="7" t="s">
        <v>11</v>
      </c>
      <c r="F1518" s="7" t="s">
        <v>50</v>
      </c>
      <c r="G1518" s="7" t="s">
        <v>51</v>
      </c>
      <c r="H1518" s="7" t="s">
        <v>284</v>
      </c>
      <c r="I1518" s="8" t="s">
        <v>400</v>
      </c>
    </row>
    <row r="1519" spans="1:9" hidden="1" x14ac:dyDescent="0.35">
      <c r="A1519" s="6">
        <v>286227</v>
      </c>
      <c r="B1519" s="7" t="str">
        <f>"3209051007750006"</f>
        <v>3209051007750006</v>
      </c>
      <c r="C1519" s="7" t="s">
        <v>3204</v>
      </c>
      <c r="D1519" s="7" t="s">
        <v>10</v>
      </c>
      <c r="E1519" s="7" t="s">
        <v>11</v>
      </c>
      <c r="F1519" s="7" t="s">
        <v>91</v>
      </c>
      <c r="G1519" s="7" t="s">
        <v>985</v>
      </c>
      <c r="H1519" s="7" t="s">
        <v>1573</v>
      </c>
      <c r="I1519" s="8" t="s">
        <v>3205</v>
      </c>
    </row>
    <row r="1520" spans="1:9" hidden="1" x14ac:dyDescent="0.35">
      <c r="A1520" s="6">
        <v>196098</v>
      </c>
      <c r="B1520" s="7" t="str">
        <f>"3216141506720031"</f>
        <v>3216141506720031</v>
      </c>
      <c r="C1520" s="7" t="s">
        <v>3207</v>
      </c>
      <c r="D1520" s="7" t="s">
        <v>10</v>
      </c>
      <c r="E1520" s="7" t="s">
        <v>11</v>
      </c>
      <c r="F1520" s="7" t="s">
        <v>91</v>
      </c>
      <c r="G1520" s="7" t="s">
        <v>92</v>
      </c>
      <c r="H1520" s="7" t="s">
        <v>3208</v>
      </c>
      <c r="I1520" s="8" t="s">
        <v>3209</v>
      </c>
    </row>
    <row r="1521" spans="1:9" hidden="1" x14ac:dyDescent="0.35">
      <c r="A1521" s="6">
        <v>1378248</v>
      </c>
      <c r="B1521" s="7" t="str">
        <f>"3275010710960012"</f>
        <v>3275010710960012</v>
      </c>
      <c r="C1521" s="7" t="s">
        <v>3028</v>
      </c>
      <c r="D1521" s="7" t="s">
        <v>10</v>
      </c>
      <c r="E1521" s="7" t="s">
        <v>11</v>
      </c>
      <c r="F1521" s="7" t="s">
        <v>91</v>
      </c>
      <c r="G1521" s="7" t="s">
        <v>159</v>
      </c>
      <c r="H1521" s="7" t="s">
        <v>685</v>
      </c>
      <c r="I1521" s="8" t="s">
        <v>3105</v>
      </c>
    </row>
    <row r="1522" spans="1:9" hidden="1" x14ac:dyDescent="0.35">
      <c r="A1522" s="6">
        <v>488284</v>
      </c>
      <c r="B1522" s="7" t="str">
        <f>"3275010811670017"</f>
        <v>3275010811670017</v>
      </c>
      <c r="C1522" s="7" t="s">
        <v>3212</v>
      </c>
      <c r="D1522" s="7" t="s">
        <v>10</v>
      </c>
      <c r="E1522" s="7" t="s">
        <v>11</v>
      </c>
      <c r="F1522" s="7" t="s">
        <v>91</v>
      </c>
      <c r="G1522" s="7" t="s">
        <v>159</v>
      </c>
      <c r="H1522" s="7" t="s">
        <v>685</v>
      </c>
      <c r="I1522" s="8" t="s">
        <v>1632</v>
      </c>
    </row>
    <row r="1523" spans="1:9" hidden="1" x14ac:dyDescent="0.35">
      <c r="A1523" s="6">
        <v>157266</v>
      </c>
      <c r="B1523" s="7" t="str">
        <f>"3275011310770017"</f>
        <v>3275011310770017</v>
      </c>
      <c r="C1523" s="7" t="s">
        <v>3213</v>
      </c>
      <c r="D1523" s="7" t="s">
        <v>10</v>
      </c>
      <c r="E1523" s="7" t="s">
        <v>11</v>
      </c>
      <c r="F1523" s="7" t="s">
        <v>91</v>
      </c>
      <c r="G1523" s="7" t="s">
        <v>159</v>
      </c>
      <c r="H1523" s="7" t="s">
        <v>685</v>
      </c>
      <c r="I1523" s="8" t="s">
        <v>686</v>
      </c>
    </row>
    <row r="1524" spans="1:9" hidden="1" x14ac:dyDescent="0.35">
      <c r="A1524" s="6">
        <v>488285</v>
      </c>
      <c r="B1524" s="7" t="str">
        <f>"3275014101710035"</f>
        <v>3275014101710035</v>
      </c>
      <c r="C1524" s="7" t="s">
        <v>3214</v>
      </c>
      <c r="D1524" s="7" t="s">
        <v>10</v>
      </c>
      <c r="E1524" s="7" t="s">
        <v>11</v>
      </c>
      <c r="F1524" s="7" t="s">
        <v>91</v>
      </c>
      <c r="G1524" s="7" t="s">
        <v>159</v>
      </c>
      <c r="H1524" s="7" t="s">
        <v>685</v>
      </c>
      <c r="I1524" s="8" t="s">
        <v>1632</v>
      </c>
    </row>
    <row r="1525" spans="1:9" hidden="1" x14ac:dyDescent="0.35">
      <c r="A1525" s="6">
        <v>581022</v>
      </c>
      <c r="B1525" s="7" t="str">
        <f>"3275026910850018"</f>
        <v>3275026910850018</v>
      </c>
      <c r="C1525" s="7" t="s">
        <v>3215</v>
      </c>
      <c r="D1525" s="7" t="s">
        <v>10</v>
      </c>
      <c r="E1525" s="7" t="s">
        <v>11</v>
      </c>
      <c r="F1525" s="7" t="s">
        <v>50</v>
      </c>
      <c r="G1525" s="7" t="s">
        <v>280</v>
      </c>
      <c r="H1525" s="7" t="s">
        <v>2507</v>
      </c>
      <c r="I1525" s="8" t="s">
        <v>3162</v>
      </c>
    </row>
    <row r="1526" spans="1:9" hidden="1" x14ac:dyDescent="0.35">
      <c r="A1526" s="6">
        <v>95248</v>
      </c>
      <c r="B1526" s="7" t="str">
        <f>"3275090501830025"</f>
        <v>3275090501830025</v>
      </c>
      <c r="C1526" s="7" t="s">
        <v>3216</v>
      </c>
      <c r="D1526" s="7" t="s">
        <v>10</v>
      </c>
      <c r="E1526" s="7" t="s">
        <v>11</v>
      </c>
      <c r="F1526" s="7" t="s">
        <v>91</v>
      </c>
      <c r="G1526" s="7" t="s">
        <v>159</v>
      </c>
      <c r="H1526" s="7" t="s">
        <v>1170</v>
      </c>
      <c r="I1526" s="8" t="s">
        <v>1170</v>
      </c>
    </row>
    <row r="1527" spans="1:9" hidden="1" x14ac:dyDescent="0.35">
      <c r="A1527" s="6">
        <v>95249</v>
      </c>
      <c r="B1527" s="7" t="str">
        <f>"3275094708980020"</f>
        <v>3275094708980020</v>
      </c>
      <c r="C1527" s="7" t="s">
        <v>3218</v>
      </c>
      <c r="D1527" s="7" t="s">
        <v>10</v>
      </c>
      <c r="E1527" s="7" t="s">
        <v>11</v>
      </c>
      <c r="F1527" s="7" t="s">
        <v>91</v>
      </c>
      <c r="G1527" s="7" t="s">
        <v>159</v>
      </c>
      <c r="H1527" s="7" t="s">
        <v>1170</v>
      </c>
      <c r="I1527" s="8" t="s">
        <v>1170</v>
      </c>
    </row>
    <row r="1528" spans="1:9" x14ac:dyDescent="0.35">
      <c r="A1528" s="6">
        <v>82563</v>
      </c>
      <c r="B1528" s="7" t="str">
        <f>"3304026508860001"</f>
        <v>3304026508860001</v>
      </c>
      <c r="C1528" s="7" t="s">
        <v>3219</v>
      </c>
      <c r="D1528" s="7" t="s">
        <v>189</v>
      </c>
      <c r="E1528" s="7" t="s">
        <v>11</v>
      </c>
      <c r="F1528" s="7" t="s">
        <v>18</v>
      </c>
      <c r="G1528" s="7" t="s">
        <v>951</v>
      </c>
      <c r="H1528" s="7" t="s">
        <v>1800</v>
      </c>
      <c r="I1528" s="8" t="s">
        <v>1801</v>
      </c>
    </row>
    <row r="1529" spans="1:9" hidden="1" x14ac:dyDescent="0.35">
      <c r="A1529" s="6">
        <v>538073</v>
      </c>
      <c r="B1529" s="7" t="str">
        <f>"3304121905920002"</f>
        <v>3304121905920002</v>
      </c>
      <c r="C1529" s="7" t="s">
        <v>3221</v>
      </c>
      <c r="D1529" s="7" t="s">
        <v>10</v>
      </c>
      <c r="E1529" s="7" t="s">
        <v>11</v>
      </c>
      <c r="F1529" s="7" t="s">
        <v>18</v>
      </c>
      <c r="G1529" s="7" t="s">
        <v>951</v>
      </c>
      <c r="H1529" s="7" t="s">
        <v>3222</v>
      </c>
      <c r="I1529" s="8" t="s">
        <v>3223</v>
      </c>
    </row>
    <row r="1530" spans="1:9" x14ac:dyDescent="0.35">
      <c r="A1530" s="6">
        <v>761282</v>
      </c>
      <c r="B1530" s="7" t="str">
        <f>"3311017012060003"</f>
        <v>3311017012060003</v>
      </c>
      <c r="C1530" s="7" t="s">
        <v>3225</v>
      </c>
      <c r="D1530" s="7" t="s">
        <v>189</v>
      </c>
      <c r="E1530" s="7" t="s">
        <v>11</v>
      </c>
      <c r="F1530" s="7" t="s">
        <v>18</v>
      </c>
      <c r="G1530" s="7" t="s">
        <v>581</v>
      </c>
      <c r="H1530" s="7" t="s">
        <v>1308</v>
      </c>
      <c r="I1530" s="8" t="s">
        <v>3226</v>
      </c>
    </row>
    <row r="1531" spans="1:9" hidden="1" x14ac:dyDescent="0.35">
      <c r="A1531" s="6">
        <v>994814</v>
      </c>
      <c r="B1531" s="7" t="str">
        <f>"3328090107880037"</f>
        <v>3328090107880037</v>
      </c>
      <c r="C1531" s="7" t="s">
        <v>3227</v>
      </c>
      <c r="D1531" s="7" t="s">
        <v>10</v>
      </c>
      <c r="E1531" s="7" t="s">
        <v>11</v>
      </c>
      <c r="F1531" s="7" t="s">
        <v>91</v>
      </c>
      <c r="G1531" s="7" t="s">
        <v>555</v>
      </c>
      <c r="H1531" s="7" t="s">
        <v>3228</v>
      </c>
      <c r="I1531" s="8" t="s">
        <v>3229</v>
      </c>
    </row>
    <row r="1532" spans="1:9" hidden="1" x14ac:dyDescent="0.35">
      <c r="A1532" s="6">
        <v>793786</v>
      </c>
      <c r="B1532" s="7" t="str">
        <f>"3328090107910071"</f>
        <v>3328090107910071</v>
      </c>
      <c r="C1532" s="7" t="s">
        <v>3230</v>
      </c>
      <c r="D1532" s="7" t="s">
        <v>10</v>
      </c>
      <c r="E1532" s="7" t="s">
        <v>11</v>
      </c>
      <c r="F1532" s="7" t="s">
        <v>18</v>
      </c>
      <c r="G1532" s="7" t="s">
        <v>264</v>
      </c>
      <c r="H1532" s="7" t="s">
        <v>344</v>
      </c>
      <c r="I1532" s="8" t="s">
        <v>939</v>
      </c>
    </row>
    <row r="1533" spans="1:9" hidden="1" x14ac:dyDescent="0.35">
      <c r="A1533" s="6">
        <v>1165924</v>
      </c>
      <c r="B1533" s="7" t="str">
        <f>"3328090110940004"</f>
        <v>3328090110940004</v>
      </c>
      <c r="C1533" s="7" t="s">
        <v>3233</v>
      </c>
      <c r="D1533" s="7" t="s">
        <v>10</v>
      </c>
      <c r="E1533" s="7" t="s">
        <v>11</v>
      </c>
      <c r="F1533" s="7" t="s">
        <v>91</v>
      </c>
      <c r="G1533" s="7" t="s">
        <v>101</v>
      </c>
      <c r="H1533" s="7" t="s">
        <v>102</v>
      </c>
      <c r="I1533" s="8" t="s">
        <v>3234</v>
      </c>
    </row>
    <row r="1534" spans="1:9" hidden="1" x14ac:dyDescent="0.35">
      <c r="A1534" s="6">
        <v>396033</v>
      </c>
      <c r="B1534" s="7" t="str">
        <f>"3328090202010009"</f>
        <v>3328090202010009</v>
      </c>
      <c r="C1534" s="7" t="s">
        <v>3236</v>
      </c>
      <c r="D1534" s="7" t="s">
        <v>10</v>
      </c>
      <c r="E1534" s="7" t="s">
        <v>11</v>
      </c>
      <c r="F1534" s="7" t="s">
        <v>91</v>
      </c>
      <c r="G1534" s="7" t="s">
        <v>320</v>
      </c>
      <c r="H1534" s="7" t="s">
        <v>664</v>
      </c>
      <c r="I1534" s="8" t="s">
        <v>3237</v>
      </c>
    </row>
    <row r="1535" spans="1:9" x14ac:dyDescent="0.35">
      <c r="A1535" s="6">
        <v>224780</v>
      </c>
      <c r="B1535" s="7" t="str">
        <f>"3328090309970001"</f>
        <v>3328090309970001</v>
      </c>
      <c r="C1535" s="7" t="s">
        <v>3239</v>
      </c>
      <c r="D1535" s="7" t="s">
        <v>189</v>
      </c>
      <c r="E1535" s="7" t="s">
        <v>11</v>
      </c>
      <c r="F1535" s="7" t="s">
        <v>379</v>
      </c>
      <c r="G1535" s="7" t="s">
        <v>1202</v>
      </c>
      <c r="H1535" s="7" t="s">
        <v>3240</v>
      </c>
      <c r="I1535" s="8" t="s">
        <v>3241</v>
      </c>
    </row>
    <row r="1536" spans="1:9" hidden="1" x14ac:dyDescent="0.35">
      <c r="A1536" s="6">
        <v>279961</v>
      </c>
      <c r="B1536" s="7" t="str">
        <f>"3328090409870002"</f>
        <v>3328090409870002</v>
      </c>
      <c r="C1536" s="7" t="s">
        <v>3242</v>
      </c>
      <c r="D1536" s="7" t="s">
        <v>10</v>
      </c>
      <c r="E1536" s="7" t="s">
        <v>11</v>
      </c>
      <c r="F1536" s="7" t="s">
        <v>18</v>
      </c>
      <c r="G1536" s="7" t="s">
        <v>268</v>
      </c>
      <c r="H1536" s="7" t="s">
        <v>277</v>
      </c>
      <c r="I1536" s="8" t="s">
        <v>3243</v>
      </c>
    </row>
    <row r="1537" spans="1:12" hidden="1" x14ac:dyDescent="0.35">
      <c r="A1537" s="17">
        <v>1759364</v>
      </c>
      <c r="B1537" s="18" t="str">
        <f>"3328090601060002"</f>
        <v>3328090601060002</v>
      </c>
      <c r="C1537" s="18" t="s">
        <v>3244</v>
      </c>
      <c r="D1537" s="18" t="s">
        <v>10</v>
      </c>
      <c r="E1537" s="18" t="s">
        <v>11</v>
      </c>
      <c r="F1537" s="18" t="s">
        <v>18</v>
      </c>
      <c r="G1537" s="18" t="s">
        <v>19</v>
      </c>
      <c r="H1537" s="18" t="s">
        <v>2575</v>
      </c>
      <c r="I1537" s="19" t="s">
        <v>3174</v>
      </c>
      <c r="J1537" s="20" t="str">
        <f>VLOOKUP(B1537,baru!$B$2:$I$2271,4,FALSE)</f>
        <v>Khusus</v>
      </c>
      <c r="K1537" s="20" t="str">
        <f>VLOOKUP(B1537,baru!$B$2:$I$2271,5,FALSE)</f>
        <v>JAWA BARAT</v>
      </c>
      <c r="L1537" s="20" t="str">
        <f>VLOOKUP(B1537,baru!$B$2:$I$2271,6,FALSE)</f>
        <v>INDRAMAYU</v>
      </c>
    </row>
    <row r="1538" spans="1:12" hidden="1" x14ac:dyDescent="0.35">
      <c r="A1538" s="6">
        <v>1756633</v>
      </c>
      <c r="B1538" s="7" t="str">
        <f>"3328090602000004"</f>
        <v>3328090602000004</v>
      </c>
      <c r="C1538" s="7" t="s">
        <v>3248</v>
      </c>
      <c r="D1538" s="7" t="s">
        <v>10</v>
      </c>
      <c r="E1538" s="7" t="s">
        <v>11</v>
      </c>
      <c r="F1538" s="7" t="s">
        <v>18</v>
      </c>
      <c r="G1538" s="7" t="s">
        <v>19</v>
      </c>
      <c r="H1538" s="7" t="s">
        <v>2575</v>
      </c>
      <c r="I1538" s="8" t="s">
        <v>3174</v>
      </c>
      <c r="J1538" t="e">
        <f>VLOOKUP(B1538,baru!$B$2:$I$2271,4,FALSE)</f>
        <v>#N/A</v>
      </c>
      <c r="K1538" t="e">
        <f>VLOOKUP(B1538,baru!$B$2:$I$2271,5,FALSE)</f>
        <v>#N/A</v>
      </c>
      <c r="L1538" t="e">
        <f>VLOOKUP(B1538,baru!$B$2:$I$2271,6,FALSE)</f>
        <v>#N/A</v>
      </c>
    </row>
    <row r="1539" spans="1:12" hidden="1" x14ac:dyDescent="0.35">
      <c r="A1539" s="6">
        <v>1862135</v>
      </c>
      <c r="B1539" s="7" t="str">
        <f>"3328090602000004"</f>
        <v>3328090602000004</v>
      </c>
      <c r="C1539" s="7" t="s">
        <v>3249</v>
      </c>
      <c r="D1539" s="7" t="s">
        <v>10</v>
      </c>
      <c r="E1539" s="7" t="s">
        <v>57</v>
      </c>
      <c r="F1539" s="7" t="s">
        <v>18</v>
      </c>
      <c r="G1539" s="7" t="s">
        <v>733</v>
      </c>
      <c r="H1539" s="7" t="s">
        <v>733</v>
      </c>
      <c r="I1539" s="8" t="s">
        <v>734</v>
      </c>
    </row>
    <row r="1540" spans="1:12" hidden="1" x14ac:dyDescent="0.35">
      <c r="A1540" s="6">
        <v>117935</v>
      </c>
      <c r="B1540" s="7" t="str">
        <f>"3328090705960006"</f>
        <v>3328090705960006</v>
      </c>
      <c r="C1540" s="7" t="s">
        <v>3250</v>
      </c>
      <c r="D1540" s="7" t="s">
        <v>10</v>
      </c>
      <c r="E1540" s="7" t="s">
        <v>11</v>
      </c>
      <c r="F1540" s="7" t="s">
        <v>2889</v>
      </c>
      <c r="G1540" s="7" t="s">
        <v>3251</v>
      </c>
      <c r="H1540" s="7" t="s">
        <v>3252</v>
      </c>
      <c r="I1540" s="8" t="s">
        <v>3253</v>
      </c>
    </row>
    <row r="1541" spans="1:12" hidden="1" x14ac:dyDescent="0.35">
      <c r="A1541" s="6">
        <v>291535</v>
      </c>
      <c r="B1541" s="7" t="str">
        <f>"3328090806700006"</f>
        <v>3328090806700006</v>
      </c>
      <c r="C1541" s="7" t="s">
        <v>3255</v>
      </c>
      <c r="D1541" s="7" t="s">
        <v>10</v>
      </c>
      <c r="E1541" s="7" t="s">
        <v>11</v>
      </c>
      <c r="F1541" s="7" t="s">
        <v>18</v>
      </c>
      <c r="G1541" s="7" t="s">
        <v>268</v>
      </c>
      <c r="H1541" s="7" t="s">
        <v>277</v>
      </c>
      <c r="I1541" s="8" t="s">
        <v>2665</v>
      </c>
    </row>
    <row r="1542" spans="1:12" hidden="1" x14ac:dyDescent="0.35">
      <c r="A1542" s="13">
        <v>1634532</v>
      </c>
      <c r="B1542" s="14" t="str">
        <f>"3328090809950004"</f>
        <v>3328090809950004</v>
      </c>
      <c r="C1542" s="14" t="s">
        <v>3258</v>
      </c>
      <c r="D1542" s="14" t="s">
        <v>10</v>
      </c>
      <c r="E1542" s="14" t="s">
        <v>11</v>
      </c>
      <c r="F1542" s="14" t="s">
        <v>18</v>
      </c>
      <c r="G1542" s="14" t="s">
        <v>19</v>
      </c>
      <c r="H1542" s="14" t="s">
        <v>2575</v>
      </c>
      <c r="I1542" s="15" t="s">
        <v>2575</v>
      </c>
      <c r="J1542" s="16" t="str">
        <f>VLOOKUP(B1542,baru!$B$2:$I$2271,4,FALSE)</f>
        <v>Reguler</v>
      </c>
      <c r="K1542" s="16" t="str">
        <f>VLOOKUP(B1542,baru!$B$2:$I$2271,5,FALSE)</f>
        <v>DKI JAKARTA</v>
      </c>
      <c r="L1542" s="16" t="str">
        <f>VLOOKUP(B1542,baru!$B$2:$I$2271,6,FALSE)</f>
        <v>KOTA JAKARTA TIMUR</v>
      </c>
    </row>
    <row r="1543" spans="1:12" hidden="1" x14ac:dyDescent="0.35">
      <c r="A1543" s="6">
        <v>880553</v>
      </c>
      <c r="B1543" s="7" t="str">
        <f>"3328090907000006"</f>
        <v>3328090907000006</v>
      </c>
      <c r="C1543" s="7" t="s">
        <v>3259</v>
      </c>
      <c r="D1543" s="7" t="s">
        <v>10</v>
      </c>
      <c r="E1543" s="7" t="s">
        <v>11</v>
      </c>
      <c r="F1543" s="7" t="s">
        <v>91</v>
      </c>
      <c r="G1543" s="7" t="s">
        <v>903</v>
      </c>
      <c r="H1543" s="7" t="s">
        <v>915</v>
      </c>
      <c r="I1543" s="8" t="s">
        <v>916</v>
      </c>
    </row>
    <row r="1544" spans="1:12" hidden="1" x14ac:dyDescent="0.35">
      <c r="A1544" s="6">
        <v>619675</v>
      </c>
      <c r="B1544" s="7" t="str">
        <f>"3328091105940004"</f>
        <v>3328091105940004</v>
      </c>
      <c r="C1544" s="7" t="s">
        <v>3041</v>
      </c>
      <c r="D1544" s="7" t="s">
        <v>10</v>
      </c>
      <c r="E1544" s="7" t="s">
        <v>11</v>
      </c>
      <c r="F1544" s="7" t="s">
        <v>50</v>
      </c>
      <c r="G1544" s="7" t="s">
        <v>86</v>
      </c>
      <c r="H1544" s="7" t="s">
        <v>1463</v>
      </c>
      <c r="I1544" s="8" t="s">
        <v>3261</v>
      </c>
    </row>
    <row r="1545" spans="1:12" hidden="1" x14ac:dyDescent="0.35">
      <c r="A1545" s="6">
        <v>1142104</v>
      </c>
      <c r="B1545" s="7" t="str">
        <f>"3328091107020010"</f>
        <v>3328091107020010</v>
      </c>
      <c r="C1545" s="7" t="s">
        <v>3262</v>
      </c>
      <c r="D1545" s="7" t="s">
        <v>10</v>
      </c>
      <c r="E1545" s="7" t="s">
        <v>11</v>
      </c>
      <c r="F1545" s="7" t="s">
        <v>50</v>
      </c>
      <c r="G1545" s="7" t="s">
        <v>58</v>
      </c>
      <c r="H1545" s="7" t="s">
        <v>417</v>
      </c>
      <c r="I1545" s="8" t="s">
        <v>3263</v>
      </c>
    </row>
    <row r="1546" spans="1:12" hidden="1" x14ac:dyDescent="0.35">
      <c r="A1546" s="6">
        <v>1197898</v>
      </c>
      <c r="B1546" s="7" t="str">
        <f>"3328091109030001"</f>
        <v>3328091109030001</v>
      </c>
      <c r="C1546" s="7" t="s">
        <v>3265</v>
      </c>
      <c r="D1546" s="7" t="s">
        <v>10</v>
      </c>
      <c r="E1546" s="7" t="s">
        <v>11</v>
      </c>
      <c r="F1546" s="7" t="s">
        <v>91</v>
      </c>
      <c r="G1546" s="7" t="s">
        <v>320</v>
      </c>
      <c r="H1546" s="7" t="s">
        <v>368</v>
      </c>
      <c r="I1546" s="8" t="s">
        <v>3266</v>
      </c>
    </row>
    <row r="1547" spans="1:12" hidden="1" x14ac:dyDescent="0.35">
      <c r="A1547" s="6">
        <v>347912</v>
      </c>
      <c r="B1547" s="7" t="str">
        <f>"3328091210870001"</f>
        <v>3328091210870001</v>
      </c>
      <c r="C1547" s="7" t="s">
        <v>3267</v>
      </c>
      <c r="D1547" s="7" t="s">
        <v>10</v>
      </c>
      <c r="E1547" s="7" t="s">
        <v>11</v>
      </c>
      <c r="F1547" s="7" t="s">
        <v>18</v>
      </c>
      <c r="G1547" s="7" t="s">
        <v>268</v>
      </c>
      <c r="H1547" s="7" t="s">
        <v>269</v>
      </c>
      <c r="I1547" s="8" t="s">
        <v>3140</v>
      </c>
    </row>
    <row r="1548" spans="1:12" hidden="1" x14ac:dyDescent="0.35">
      <c r="A1548" s="6">
        <v>592374</v>
      </c>
      <c r="B1548" s="7" t="str">
        <f>"3328091305000007"</f>
        <v>3328091305000007</v>
      </c>
      <c r="C1548" s="7" t="s">
        <v>3268</v>
      </c>
      <c r="D1548" s="7" t="s">
        <v>10</v>
      </c>
      <c r="E1548" s="7" t="s">
        <v>11</v>
      </c>
      <c r="F1548" s="7" t="s">
        <v>91</v>
      </c>
      <c r="G1548" s="7" t="s">
        <v>2364</v>
      </c>
      <c r="H1548" s="7" t="s">
        <v>3269</v>
      </c>
      <c r="I1548" s="8" t="s">
        <v>3270</v>
      </c>
    </row>
    <row r="1549" spans="1:12" hidden="1" x14ac:dyDescent="0.35">
      <c r="A1549" s="6">
        <v>38684</v>
      </c>
      <c r="B1549" s="7" t="str">
        <f>"3328091305020006"</f>
        <v>3328091305020006</v>
      </c>
      <c r="C1549" s="7" t="s">
        <v>3271</v>
      </c>
      <c r="D1549" s="7" t="s">
        <v>10</v>
      </c>
      <c r="E1549" s="7" t="s">
        <v>11</v>
      </c>
      <c r="F1549" s="7" t="s">
        <v>18</v>
      </c>
      <c r="G1549" s="7" t="s">
        <v>385</v>
      </c>
      <c r="H1549" s="7" t="s">
        <v>3272</v>
      </c>
      <c r="I1549" s="8" t="s">
        <v>3273</v>
      </c>
    </row>
    <row r="1550" spans="1:12" hidden="1" x14ac:dyDescent="0.35">
      <c r="A1550" s="6">
        <v>1399099</v>
      </c>
      <c r="B1550" s="7" t="str">
        <f>"3328091310910002"</f>
        <v>3328091310910002</v>
      </c>
      <c r="C1550" s="7" t="s">
        <v>3274</v>
      </c>
      <c r="D1550" s="7" t="s">
        <v>10</v>
      </c>
      <c r="E1550" s="7" t="s">
        <v>11</v>
      </c>
      <c r="F1550" s="7" t="s">
        <v>18</v>
      </c>
      <c r="G1550" s="7" t="s">
        <v>19</v>
      </c>
      <c r="H1550" s="7" t="s">
        <v>2575</v>
      </c>
      <c r="I1550" s="8" t="s">
        <v>1410</v>
      </c>
      <c r="J1550" t="e">
        <f>VLOOKUP(B1550,baru!$B$2:$I$2271,4,FALSE)</f>
        <v>#N/A</v>
      </c>
      <c r="K1550" t="e">
        <f>VLOOKUP(B1550,baru!$B$2:$I$2271,5,FALSE)</f>
        <v>#N/A</v>
      </c>
      <c r="L1550" t="e">
        <f>VLOOKUP(B1550,baru!$B$2:$I$2271,6,FALSE)</f>
        <v>#N/A</v>
      </c>
    </row>
    <row r="1551" spans="1:12" hidden="1" x14ac:dyDescent="0.35">
      <c r="A1551" s="6">
        <v>423776</v>
      </c>
      <c r="B1551" s="7" t="str">
        <f>"3328091310910002"</f>
        <v>3328091310910002</v>
      </c>
      <c r="C1551" s="7" t="s">
        <v>3275</v>
      </c>
      <c r="D1551" s="7" t="s">
        <v>10</v>
      </c>
      <c r="E1551" s="7" t="s">
        <v>57</v>
      </c>
      <c r="F1551" s="7" t="s">
        <v>18</v>
      </c>
      <c r="G1551" s="7" t="s">
        <v>268</v>
      </c>
      <c r="H1551" s="7" t="s">
        <v>277</v>
      </c>
      <c r="I1551" s="8" t="s">
        <v>278</v>
      </c>
    </row>
    <row r="1552" spans="1:12" hidden="1" x14ac:dyDescent="0.35">
      <c r="A1552" s="6">
        <v>531474</v>
      </c>
      <c r="B1552" s="7" t="str">
        <f>"3328091403870001"</f>
        <v>3328091403870001</v>
      </c>
      <c r="C1552" s="7" t="s">
        <v>3276</v>
      </c>
      <c r="D1552" s="7" t="s">
        <v>10</v>
      </c>
      <c r="E1552" s="7" t="s">
        <v>11</v>
      </c>
      <c r="F1552" s="7" t="s">
        <v>67</v>
      </c>
      <c r="G1552" s="7" t="s">
        <v>791</v>
      </c>
      <c r="H1552" s="7" t="s">
        <v>1852</v>
      </c>
      <c r="I1552" s="8" t="s">
        <v>906</v>
      </c>
    </row>
    <row r="1553" spans="1:12" hidden="1" x14ac:dyDescent="0.35">
      <c r="A1553" s="6">
        <v>1273727</v>
      </c>
      <c r="B1553" s="7" t="str">
        <f>"3328091408980001"</f>
        <v>3328091408980001</v>
      </c>
      <c r="C1553" s="7" t="s">
        <v>3277</v>
      </c>
      <c r="D1553" s="7" t="s">
        <v>10</v>
      </c>
      <c r="E1553" s="7" t="s">
        <v>11</v>
      </c>
      <c r="F1553" s="7" t="s">
        <v>91</v>
      </c>
      <c r="G1553" s="7" t="s">
        <v>159</v>
      </c>
      <c r="H1553" s="7" t="s">
        <v>3107</v>
      </c>
      <c r="I1553" s="8" t="s">
        <v>680</v>
      </c>
    </row>
    <row r="1554" spans="1:12" hidden="1" x14ac:dyDescent="0.35">
      <c r="A1554" s="6">
        <v>1717339</v>
      </c>
      <c r="B1554" s="7" t="str">
        <f>"3328091509810009"</f>
        <v>3328091509810009</v>
      </c>
      <c r="C1554" s="7" t="s">
        <v>3279</v>
      </c>
      <c r="D1554" s="7" t="s">
        <v>10</v>
      </c>
      <c r="E1554" s="7" t="s">
        <v>11</v>
      </c>
      <c r="F1554" s="7" t="s">
        <v>91</v>
      </c>
      <c r="G1554" s="7" t="s">
        <v>159</v>
      </c>
      <c r="H1554" s="7" t="s">
        <v>1337</v>
      </c>
      <c r="I1554" s="8" t="s">
        <v>3280</v>
      </c>
    </row>
    <row r="1555" spans="1:12" hidden="1" x14ac:dyDescent="0.35">
      <c r="A1555" s="6">
        <v>324074</v>
      </c>
      <c r="B1555" s="7" t="str">
        <f>"3328091607830003"</f>
        <v>3328091607830003</v>
      </c>
      <c r="C1555" s="7" t="s">
        <v>3281</v>
      </c>
      <c r="D1555" s="7" t="s">
        <v>10</v>
      </c>
      <c r="E1555" s="7" t="s">
        <v>11</v>
      </c>
      <c r="F1555" s="7" t="s">
        <v>232</v>
      </c>
      <c r="G1555" s="7" t="s">
        <v>3282</v>
      </c>
      <c r="H1555" s="7" t="s">
        <v>3283</v>
      </c>
      <c r="I1555" s="8" t="s">
        <v>3284</v>
      </c>
    </row>
    <row r="1556" spans="1:12" hidden="1" x14ac:dyDescent="0.35">
      <c r="A1556" s="6">
        <v>1089685</v>
      </c>
      <c r="B1556" s="7" t="str">
        <f>"3328091703730012"</f>
        <v>3328091703730012</v>
      </c>
      <c r="C1556" s="7" t="s">
        <v>2576</v>
      </c>
      <c r="D1556" s="7" t="s">
        <v>10</v>
      </c>
      <c r="E1556" s="7" t="s">
        <v>11</v>
      </c>
      <c r="F1556" s="7" t="s">
        <v>91</v>
      </c>
      <c r="G1556" s="7" t="s">
        <v>903</v>
      </c>
      <c r="H1556" s="7" t="s">
        <v>2371</v>
      </c>
      <c r="I1556" s="8" t="s">
        <v>3286</v>
      </c>
    </row>
    <row r="1557" spans="1:12" hidden="1" x14ac:dyDescent="0.35">
      <c r="A1557" s="6">
        <v>834288</v>
      </c>
      <c r="B1557" s="7" t="str">
        <f>"3328092004890005"</f>
        <v>3328092004890005</v>
      </c>
      <c r="C1557" s="7" t="s">
        <v>3287</v>
      </c>
      <c r="D1557" s="7" t="s">
        <v>10</v>
      </c>
      <c r="E1557" s="7" t="s">
        <v>11</v>
      </c>
      <c r="F1557" s="7" t="s">
        <v>50</v>
      </c>
      <c r="G1557" s="7" t="s">
        <v>51</v>
      </c>
      <c r="H1557" s="7" t="s">
        <v>284</v>
      </c>
      <c r="I1557" s="8" t="s">
        <v>400</v>
      </c>
    </row>
    <row r="1558" spans="1:12" hidden="1" x14ac:dyDescent="0.35">
      <c r="A1558" s="6">
        <v>1081608</v>
      </c>
      <c r="B1558" s="7" t="str">
        <f>"3328092104000004"</f>
        <v>3328092104000004</v>
      </c>
      <c r="C1558" s="7" t="s">
        <v>3288</v>
      </c>
      <c r="D1558" s="7" t="s">
        <v>10</v>
      </c>
      <c r="E1558" s="7" t="s">
        <v>11</v>
      </c>
      <c r="F1558" s="7" t="s">
        <v>91</v>
      </c>
      <c r="G1558" s="7" t="s">
        <v>159</v>
      </c>
      <c r="H1558" s="7" t="s">
        <v>1828</v>
      </c>
      <c r="I1558" s="8" t="s">
        <v>3289</v>
      </c>
    </row>
    <row r="1559" spans="1:12" hidden="1" x14ac:dyDescent="0.35">
      <c r="A1559" s="6">
        <v>827767</v>
      </c>
      <c r="B1559" s="7" t="str">
        <f>"3328092209030006"</f>
        <v>3328092209030006</v>
      </c>
      <c r="C1559" s="7" t="s">
        <v>3290</v>
      </c>
      <c r="D1559" s="7" t="s">
        <v>10</v>
      </c>
      <c r="E1559" s="7" t="s">
        <v>11</v>
      </c>
      <c r="F1559" s="7" t="s">
        <v>232</v>
      </c>
      <c r="G1559" s="7" t="s">
        <v>1981</v>
      </c>
      <c r="H1559" s="7" t="s">
        <v>1982</v>
      </c>
      <c r="I1559" s="8" t="s">
        <v>3291</v>
      </c>
    </row>
    <row r="1560" spans="1:12" hidden="1" x14ac:dyDescent="0.35">
      <c r="A1560" s="6">
        <v>1861053</v>
      </c>
      <c r="B1560" s="7" t="str">
        <f>"3328092504020002"</f>
        <v>3328092504020002</v>
      </c>
      <c r="C1560" s="7" t="s">
        <v>3292</v>
      </c>
      <c r="D1560" s="7" t="s">
        <v>10</v>
      </c>
      <c r="E1560" s="7" t="s">
        <v>11</v>
      </c>
      <c r="F1560" s="7" t="s">
        <v>50</v>
      </c>
      <c r="G1560" s="7" t="s">
        <v>58</v>
      </c>
      <c r="H1560" s="7" t="s">
        <v>97</v>
      </c>
      <c r="I1560" s="8" t="s">
        <v>342</v>
      </c>
    </row>
    <row r="1561" spans="1:12" hidden="1" x14ac:dyDescent="0.35">
      <c r="A1561" s="13">
        <v>1634530</v>
      </c>
      <c r="B1561" s="14" t="str">
        <f>"3328092505710003"</f>
        <v>3328092505710003</v>
      </c>
      <c r="C1561" s="14" t="s">
        <v>3294</v>
      </c>
      <c r="D1561" s="14" t="s">
        <v>10</v>
      </c>
      <c r="E1561" s="14" t="s">
        <v>11</v>
      </c>
      <c r="F1561" s="14" t="s">
        <v>18</v>
      </c>
      <c r="G1561" s="14" t="s">
        <v>19</v>
      </c>
      <c r="H1561" s="14" t="s">
        <v>2575</v>
      </c>
      <c r="I1561" s="15" t="s">
        <v>2575</v>
      </c>
      <c r="J1561" s="16" t="str">
        <f>VLOOKUP(B1561,baru!$B$2:$I$2271,4,FALSE)</f>
        <v>Reguler</v>
      </c>
      <c r="K1561" s="16" t="str">
        <f>VLOOKUP(B1561,baru!$B$2:$I$2271,5,FALSE)</f>
        <v>DKI JAKARTA</v>
      </c>
      <c r="L1561" s="16" t="str">
        <f>VLOOKUP(B1561,baru!$B$2:$I$2271,6,FALSE)</f>
        <v>KOTA JAKARTA TIMUR</v>
      </c>
    </row>
    <row r="1562" spans="1:12" hidden="1" x14ac:dyDescent="0.35">
      <c r="A1562" s="6">
        <v>1413415</v>
      </c>
      <c r="B1562" s="7" t="str">
        <f>"3328092601980001"</f>
        <v>3328092601980001</v>
      </c>
      <c r="C1562" s="7" t="s">
        <v>3295</v>
      </c>
      <c r="D1562" s="7" t="s">
        <v>10</v>
      </c>
      <c r="E1562" s="7" t="s">
        <v>11</v>
      </c>
      <c r="F1562" s="7" t="s">
        <v>18</v>
      </c>
      <c r="G1562" s="7" t="s">
        <v>19</v>
      </c>
      <c r="H1562" s="7" t="s">
        <v>2575</v>
      </c>
      <c r="I1562" s="8" t="s">
        <v>3211</v>
      </c>
      <c r="J1562" t="e">
        <f>VLOOKUP(B1562,baru!$B$2:$I$2271,4,FALSE)</f>
        <v>#N/A</v>
      </c>
      <c r="K1562" t="e">
        <f>VLOOKUP(B1562,baru!$B$2:$I$2271,5,FALSE)</f>
        <v>#N/A</v>
      </c>
      <c r="L1562" t="e">
        <f>VLOOKUP(B1562,baru!$B$2:$I$2271,6,FALSE)</f>
        <v>#N/A</v>
      </c>
    </row>
    <row r="1563" spans="1:12" hidden="1" x14ac:dyDescent="0.35">
      <c r="A1563" s="6">
        <v>445177</v>
      </c>
      <c r="B1563" s="7" t="str">
        <f>"3328092601980001"</f>
        <v>3328092601980001</v>
      </c>
      <c r="C1563" s="7" t="s">
        <v>3295</v>
      </c>
      <c r="D1563" s="7" t="s">
        <v>10</v>
      </c>
      <c r="E1563" s="7" t="s">
        <v>57</v>
      </c>
      <c r="F1563" s="7" t="s">
        <v>521</v>
      </c>
      <c r="G1563" s="7" t="s">
        <v>3296</v>
      </c>
      <c r="H1563" s="7" t="s">
        <v>3297</v>
      </c>
      <c r="I1563" s="8" t="s">
        <v>3298</v>
      </c>
    </row>
    <row r="1564" spans="1:12" hidden="1" x14ac:dyDescent="0.35">
      <c r="A1564" s="6">
        <v>133085</v>
      </c>
      <c r="B1564" s="7" t="str">
        <f>"3328092710980007"</f>
        <v>3328092710980007</v>
      </c>
      <c r="C1564" s="7" t="s">
        <v>3299</v>
      </c>
      <c r="D1564" s="7" t="s">
        <v>10</v>
      </c>
      <c r="E1564" s="7" t="s">
        <v>11</v>
      </c>
      <c r="F1564" s="7" t="s">
        <v>232</v>
      </c>
      <c r="G1564" s="7" t="s">
        <v>3300</v>
      </c>
      <c r="H1564" s="7" t="s">
        <v>3301</v>
      </c>
      <c r="I1564" s="8" t="s">
        <v>3302</v>
      </c>
    </row>
    <row r="1565" spans="1:12" hidden="1" x14ac:dyDescent="0.35">
      <c r="A1565" s="6">
        <v>1644765</v>
      </c>
      <c r="B1565" s="7" t="str">
        <f>"3328092803970005"</f>
        <v>3328092803970005</v>
      </c>
      <c r="C1565" s="7" t="s">
        <v>3303</v>
      </c>
      <c r="D1565" s="7" t="s">
        <v>10</v>
      </c>
      <c r="E1565" s="7" t="s">
        <v>11</v>
      </c>
      <c r="F1565" s="7" t="s">
        <v>50</v>
      </c>
      <c r="G1565" s="7" t="s">
        <v>72</v>
      </c>
      <c r="H1565" s="7" t="s">
        <v>1172</v>
      </c>
      <c r="I1565" s="8" t="s">
        <v>1173</v>
      </c>
    </row>
    <row r="1566" spans="1:12" hidden="1" x14ac:dyDescent="0.35">
      <c r="A1566" s="6">
        <v>615785</v>
      </c>
      <c r="B1566" s="7" t="str">
        <f>"3328093001060009"</f>
        <v>3328093001060009</v>
      </c>
      <c r="C1566" s="7" t="s">
        <v>3304</v>
      </c>
      <c r="D1566" s="7" t="s">
        <v>10</v>
      </c>
      <c r="E1566" s="7" t="s">
        <v>11</v>
      </c>
      <c r="F1566" s="7" t="s">
        <v>50</v>
      </c>
      <c r="G1566" s="7" t="s">
        <v>86</v>
      </c>
      <c r="H1566" s="7" t="s">
        <v>1463</v>
      </c>
      <c r="I1566" s="8" t="s">
        <v>3261</v>
      </c>
    </row>
    <row r="1567" spans="1:12" hidden="1" x14ac:dyDescent="0.35">
      <c r="A1567" s="6">
        <v>1717340</v>
      </c>
      <c r="B1567" s="7" t="str">
        <f>"3328094401880002"</f>
        <v>3328094401880002</v>
      </c>
      <c r="C1567" s="7" t="s">
        <v>3306</v>
      </c>
      <c r="D1567" s="7" t="s">
        <v>10</v>
      </c>
      <c r="E1567" s="7" t="s">
        <v>11</v>
      </c>
      <c r="F1567" s="7" t="s">
        <v>91</v>
      </c>
      <c r="G1567" s="7" t="s">
        <v>159</v>
      </c>
      <c r="H1567" s="7" t="s">
        <v>1337</v>
      </c>
      <c r="I1567" s="8" t="s">
        <v>3280</v>
      </c>
    </row>
    <row r="1568" spans="1:12" hidden="1" x14ac:dyDescent="0.35">
      <c r="A1568" s="6">
        <v>1632107</v>
      </c>
      <c r="B1568" s="7" t="str">
        <f>"3328094405850007"</f>
        <v>3328094405850007</v>
      </c>
      <c r="C1568" s="7" t="s">
        <v>3307</v>
      </c>
      <c r="D1568" s="7" t="s">
        <v>10</v>
      </c>
      <c r="E1568" s="7" t="s">
        <v>11</v>
      </c>
      <c r="F1568" s="7" t="s">
        <v>18</v>
      </c>
      <c r="G1568" s="7" t="s">
        <v>19</v>
      </c>
      <c r="H1568" s="7" t="s">
        <v>2575</v>
      </c>
      <c r="I1568" s="8" t="s">
        <v>2575</v>
      </c>
      <c r="J1568" t="e">
        <f>VLOOKUP(B1568,baru!$B$2:$I$2271,4,FALSE)</f>
        <v>#N/A</v>
      </c>
      <c r="K1568" t="e">
        <f>VLOOKUP(B1568,baru!$B$2:$I$2271,5,FALSE)</f>
        <v>#N/A</v>
      </c>
      <c r="L1568" t="e">
        <f>VLOOKUP(B1568,baru!$B$2:$I$2271,6,FALSE)</f>
        <v>#N/A</v>
      </c>
    </row>
    <row r="1569" spans="1:12" hidden="1" x14ac:dyDescent="0.35">
      <c r="A1569" s="6">
        <v>423879</v>
      </c>
      <c r="B1569" s="7" t="str">
        <f>"3328094405850007"</f>
        <v>3328094405850007</v>
      </c>
      <c r="C1569" s="7" t="s">
        <v>3308</v>
      </c>
      <c r="D1569" s="7" t="s">
        <v>10</v>
      </c>
      <c r="E1569" s="7" t="s">
        <v>57</v>
      </c>
      <c r="F1569" s="7" t="s">
        <v>18</v>
      </c>
      <c r="G1569" s="7" t="s">
        <v>268</v>
      </c>
      <c r="H1569" s="7" t="s">
        <v>277</v>
      </c>
      <c r="I1569" s="8" t="s">
        <v>278</v>
      </c>
    </row>
    <row r="1570" spans="1:12" hidden="1" x14ac:dyDescent="0.35">
      <c r="A1570" s="6">
        <v>1290093</v>
      </c>
      <c r="B1570" s="7" t="str">
        <f>"3328094502960002"</f>
        <v>3328094502960002</v>
      </c>
      <c r="C1570" s="7" t="s">
        <v>2608</v>
      </c>
      <c r="D1570" s="7" t="s">
        <v>10</v>
      </c>
      <c r="E1570" s="7" t="s">
        <v>11</v>
      </c>
      <c r="F1570" s="7" t="s">
        <v>91</v>
      </c>
      <c r="G1570" s="7" t="s">
        <v>92</v>
      </c>
      <c r="H1570" s="7" t="s">
        <v>571</v>
      </c>
      <c r="I1570" s="8" t="s">
        <v>3309</v>
      </c>
    </row>
    <row r="1571" spans="1:12" hidden="1" x14ac:dyDescent="0.35">
      <c r="A1571" s="6">
        <v>1634989</v>
      </c>
      <c r="B1571" s="7" t="str">
        <f>"3328094505720008"</f>
        <v>3328094505720008</v>
      </c>
      <c r="C1571" s="7" t="s">
        <v>3310</v>
      </c>
      <c r="D1571" s="7" t="s">
        <v>10</v>
      </c>
      <c r="E1571" s="7" t="s">
        <v>11</v>
      </c>
      <c r="F1571" s="7" t="s">
        <v>18</v>
      </c>
      <c r="G1571" s="7" t="s">
        <v>19</v>
      </c>
      <c r="H1571" s="7" t="s">
        <v>2575</v>
      </c>
      <c r="I1571" s="8" t="s">
        <v>2575</v>
      </c>
      <c r="J1571" t="e">
        <f>VLOOKUP(B1571,baru!$B$2:$I$2271,4,FALSE)</f>
        <v>#N/A</v>
      </c>
      <c r="K1571" t="e">
        <f>VLOOKUP(B1571,baru!$B$2:$I$2271,5,FALSE)</f>
        <v>#N/A</v>
      </c>
      <c r="L1571" t="e">
        <f>VLOOKUP(B1571,baru!$B$2:$I$2271,6,FALSE)</f>
        <v>#N/A</v>
      </c>
    </row>
    <row r="1572" spans="1:12" hidden="1" x14ac:dyDescent="0.35">
      <c r="A1572" s="6">
        <v>423800</v>
      </c>
      <c r="B1572" s="7" t="str">
        <f>"3328094505720008"</f>
        <v>3328094505720008</v>
      </c>
      <c r="C1572" s="7" t="s">
        <v>3311</v>
      </c>
      <c r="D1572" s="7" t="s">
        <v>10</v>
      </c>
      <c r="E1572" s="7" t="s">
        <v>57</v>
      </c>
      <c r="F1572" s="7" t="s">
        <v>18</v>
      </c>
      <c r="G1572" s="7" t="s">
        <v>268</v>
      </c>
      <c r="H1572" s="7" t="s">
        <v>277</v>
      </c>
      <c r="I1572" s="8" t="s">
        <v>278</v>
      </c>
    </row>
    <row r="1573" spans="1:12" hidden="1" x14ac:dyDescent="0.35">
      <c r="A1573" s="6">
        <v>1415488</v>
      </c>
      <c r="B1573" s="7" t="str">
        <f>"3328094511950008"</f>
        <v>3328094511950008</v>
      </c>
      <c r="C1573" s="7" t="s">
        <v>3312</v>
      </c>
      <c r="D1573" s="7" t="s">
        <v>10</v>
      </c>
      <c r="E1573" s="7" t="s">
        <v>11</v>
      </c>
      <c r="F1573" s="7" t="s">
        <v>18</v>
      </c>
      <c r="G1573" s="7" t="s">
        <v>195</v>
      </c>
      <c r="H1573" s="7" t="s">
        <v>1381</v>
      </c>
      <c r="I1573" s="8" t="s">
        <v>3313</v>
      </c>
    </row>
    <row r="1574" spans="1:12" hidden="1" x14ac:dyDescent="0.35">
      <c r="A1574" s="13">
        <v>1634533</v>
      </c>
      <c r="B1574" s="14" t="str">
        <f>"3328094810750002"</f>
        <v>3328094810750002</v>
      </c>
      <c r="C1574" s="14" t="s">
        <v>3315</v>
      </c>
      <c r="D1574" s="14" t="s">
        <v>10</v>
      </c>
      <c r="E1574" s="14" t="s">
        <v>11</v>
      </c>
      <c r="F1574" s="14" t="s">
        <v>18</v>
      </c>
      <c r="G1574" s="14" t="s">
        <v>19</v>
      </c>
      <c r="H1574" s="14" t="s">
        <v>2575</v>
      </c>
      <c r="I1574" s="15" t="s">
        <v>2575</v>
      </c>
      <c r="J1574" s="16" t="str">
        <f>VLOOKUP(B1574,baru!$B$2:$I$2271,4,FALSE)</f>
        <v>Reguler</v>
      </c>
      <c r="K1574" s="16" t="str">
        <f>VLOOKUP(B1574,baru!$B$2:$I$2271,5,FALSE)</f>
        <v>DKI JAKARTA</v>
      </c>
      <c r="L1574" s="16" t="str">
        <f>VLOOKUP(B1574,baru!$B$2:$I$2271,6,FALSE)</f>
        <v>KOTA JAKARTA TIMUR</v>
      </c>
    </row>
    <row r="1575" spans="1:12" x14ac:dyDescent="0.35">
      <c r="A1575" s="17">
        <v>1434856</v>
      </c>
      <c r="B1575" s="18" t="str">
        <f>"3328094911050003"</f>
        <v>3328094911050003</v>
      </c>
      <c r="C1575" s="18" t="s">
        <v>3316</v>
      </c>
      <c r="D1575" s="18" t="s">
        <v>189</v>
      </c>
      <c r="E1575" s="18" t="s">
        <v>11</v>
      </c>
      <c r="F1575" s="18" t="s">
        <v>18</v>
      </c>
      <c r="G1575" s="18" t="s">
        <v>19</v>
      </c>
      <c r="H1575" s="18" t="s">
        <v>2575</v>
      </c>
      <c r="I1575" s="19" t="s">
        <v>3180</v>
      </c>
      <c r="J1575" s="20" t="str">
        <f>VLOOKUP(B1575,baru!$B$2:$I$2271,4,FALSE)</f>
        <v>Khusus</v>
      </c>
      <c r="K1575" s="20" t="str">
        <f>VLOOKUP(B1575,baru!$B$2:$I$2271,5,FALSE)</f>
        <v>JAWA TENGAH</v>
      </c>
      <c r="L1575" s="20" t="str">
        <f>VLOOKUP(B1575,baru!$B$2:$I$2271,6,FALSE)</f>
        <v>MAGELANG</v>
      </c>
    </row>
    <row r="1576" spans="1:12" hidden="1" x14ac:dyDescent="0.35">
      <c r="A1576" s="6">
        <v>121754</v>
      </c>
      <c r="B1576" s="7" t="str">
        <f>"3328095005010001"</f>
        <v>3328095005010001</v>
      </c>
      <c r="C1576" s="7" t="s">
        <v>3318</v>
      </c>
      <c r="D1576" s="7" t="s">
        <v>10</v>
      </c>
      <c r="E1576" s="7" t="s">
        <v>11</v>
      </c>
      <c r="F1576" s="7" t="s">
        <v>1374</v>
      </c>
      <c r="G1576" s="7" t="s">
        <v>2551</v>
      </c>
      <c r="H1576" s="7" t="s">
        <v>2552</v>
      </c>
      <c r="I1576" s="8" t="s">
        <v>3319</v>
      </c>
    </row>
    <row r="1577" spans="1:12" hidden="1" x14ac:dyDescent="0.35">
      <c r="A1577" s="6">
        <v>1166033</v>
      </c>
      <c r="B1577" s="7" t="str">
        <f>"3328095102750005"</f>
        <v>3328095102750005</v>
      </c>
      <c r="C1577" s="7" t="s">
        <v>3321</v>
      </c>
      <c r="D1577" s="7" t="s">
        <v>10</v>
      </c>
      <c r="E1577" s="7" t="s">
        <v>11</v>
      </c>
      <c r="F1577" s="7" t="s">
        <v>91</v>
      </c>
      <c r="G1577" s="7" t="s">
        <v>101</v>
      </c>
      <c r="H1577" s="7" t="s">
        <v>102</v>
      </c>
      <c r="I1577" s="8" t="s">
        <v>3234</v>
      </c>
    </row>
    <row r="1578" spans="1:12" hidden="1" x14ac:dyDescent="0.35">
      <c r="A1578" s="6">
        <v>276381</v>
      </c>
      <c r="B1578" s="7" t="str">
        <f>"3328095311030004"</f>
        <v>3328095311030004</v>
      </c>
      <c r="C1578" s="7" t="s">
        <v>3325</v>
      </c>
      <c r="D1578" s="7" t="s">
        <v>10</v>
      </c>
      <c r="E1578" s="7" t="s">
        <v>11</v>
      </c>
      <c r="F1578" s="7" t="s">
        <v>18</v>
      </c>
      <c r="G1578" s="7" t="s">
        <v>268</v>
      </c>
      <c r="H1578" s="7" t="s">
        <v>277</v>
      </c>
      <c r="I1578" s="8" t="s">
        <v>3326</v>
      </c>
    </row>
    <row r="1579" spans="1:12" hidden="1" x14ac:dyDescent="0.35">
      <c r="A1579" s="6">
        <v>1352913</v>
      </c>
      <c r="B1579" s="7" t="str">
        <f>"3328095312010001"</f>
        <v>3328095312010001</v>
      </c>
      <c r="C1579" s="7" t="s">
        <v>3327</v>
      </c>
      <c r="D1579" s="7" t="s">
        <v>10</v>
      </c>
      <c r="E1579" s="7" t="s">
        <v>57</v>
      </c>
      <c r="F1579" s="7" t="s">
        <v>303</v>
      </c>
      <c r="G1579" s="7" t="s">
        <v>608</v>
      </c>
      <c r="H1579" s="7" t="s">
        <v>609</v>
      </c>
      <c r="I1579" s="8" t="s">
        <v>610</v>
      </c>
    </row>
    <row r="1580" spans="1:12" hidden="1" x14ac:dyDescent="0.35">
      <c r="A1580" s="6">
        <v>1089684</v>
      </c>
      <c r="B1580" s="7" t="str">
        <f>"3328095403730005"</f>
        <v>3328095403730005</v>
      </c>
      <c r="C1580" s="7" t="s">
        <v>3328</v>
      </c>
      <c r="D1580" s="7" t="s">
        <v>10</v>
      </c>
      <c r="E1580" s="7" t="s">
        <v>11</v>
      </c>
      <c r="F1580" s="7" t="s">
        <v>91</v>
      </c>
      <c r="G1580" s="7" t="s">
        <v>903</v>
      </c>
      <c r="H1580" s="7" t="s">
        <v>2371</v>
      </c>
      <c r="I1580" s="8" t="s">
        <v>3286</v>
      </c>
    </row>
    <row r="1581" spans="1:12" hidden="1" x14ac:dyDescent="0.35">
      <c r="A1581" s="6">
        <v>973034</v>
      </c>
      <c r="B1581" s="7" t="str">
        <f>"3328095507730016"</f>
        <v>3328095507730016</v>
      </c>
      <c r="C1581" s="7" t="s">
        <v>3329</v>
      </c>
      <c r="D1581" s="7" t="s">
        <v>10</v>
      </c>
      <c r="E1581" s="7" t="s">
        <v>11</v>
      </c>
      <c r="F1581" s="7" t="s">
        <v>91</v>
      </c>
      <c r="G1581" s="7" t="s">
        <v>149</v>
      </c>
      <c r="H1581" s="7" t="s">
        <v>3330</v>
      </c>
      <c r="I1581" s="8" t="s">
        <v>3331</v>
      </c>
    </row>
    <row r="1582" spans="1:12" hidden="1" x14ac:dyDescent="0.35">
      <c r="A1582" s="6">
        <v>1406914</v>
      </c>
      <c r="B1582" s="7" t="str">
        <f>"3328096008940005"</f>
        <v>3328096008940005</v>
      </c>
      <c r="C1582" s="7" t="s">
        <v>3332</v>
      </c>
      <c r="D1582" s="7" t="s">
        <v>10</v>
      </c>
      <c r="E1582" s="7" t="s">
        <v>11</v>
      </c>
      <c r="F1582" s="7" t="s">
        <v>18</v>
      </c>
      <c r="G1582" s="7" t="s">
        <v>19</v>
      </c>
      <c r="H1582" s="7" t="s">
        <v>2575</v>
      </c>
      <c r="I1582" s="8" t="s">
        <v>3176</v>
      </c>
      <c r="J1582" t="e">
        <f>VLOOKUP(B1582,baru!$B$2:$I$2271,4,FALSE)</f>
        <v>#N/A</v>
      </c>
      <c r="K1582" t="e">
        <f>VLOOKUP(B1582,baru!$B$2:$I$2271,5,FALSE)</f>
        <v>#N/A</v>
      </c>
      <c r="L1582" t="e">
        <f>VLOOKUP(B1582,baru!$B$2:$I$2271,6,FALSE)</f>
        <v>#N/A</v>
      </c>
    </row>
    <row r="1583" spans="1:12" hidden="1" x14ac:dyDescent="0.35">
      <c r="A1583" s="6">
        <v>423779</v>
      </c>
      <c r="B1583" s="7" t="str">
        <f>"3328096008940005"</f>
        <v>3328096008940005</v>
      </c>
      <c r="C1583" s="7" t="s">
        <v>3333</v>
      </c>
      <c r="D1583" s="7" t="s">
        <v>10</v>
      </c>
      <c r="E1583" s="7" t="s">
        <v>57</v>
      </c>
      <c r="F1583" s="7" t="s">
        <v>18</v>
      </c>
      <c r="G1583" s="7" t="s">
        <v>268</v>
      </c>
      <c r="H1583" s="7" t="s">
        <v>277</v>
      </c>
      <c r="I1583" s="8" t="s">
        <v>278</v>
      </c>
    </row>
    <row r="1584" spans="1:12" x14ac:dyDescent="0.35">
      <c r="A1584" s="6">
        <v>1286273</v>
      </c>
      <c r="B1584" s="7" t="str">
        <f>"3328096408880003"</f>
        <v>3328096408880003</v>
      </c>
      <c r="C1584" s="7" t="s">
        <v>3334</v>
      </c>
      <c r="D1584" s="7" t="s">
        <v>189</v>
      </c>
      <c r="E1584" s="7" t="s">
        <v>11</v>
      </c>
      <c r="F1584" s="7" t="s">
        <v>50</v>
      </c>
      <c r="G1584" s="7" t="s">
        <v>58</v>
      </c>
      <c r="H1584" s="7" t="s">
        <v>417</v>
      </c>
      <c r="I1584" s="8" t="s">
        <v>1131</v>
      </c>
    </row>
    <row r="1585" spans="1:12" hidden="1" x14ac:dyDescent="0.35">
      <c r="A1585" s="6">
        <v>85086</v>
      </c>
      <c r="B1585" s="7" t="str">
        <f>"3328096708830003"</f>
        <v>3328096708830003</v>
      </c>
      <c r="C1585" s="7" t="s">
        <v>3335</v>
      </c>
      <c r="D1585" s="7" t="s">
        <v>10</v>
      </c>
      <c r="E1585" s="7" t="s">
        <v>11</v>
      </c>
      <c r="F1585" s="7" t="s">
        <v>50</v>
      </c>
      <c r="G1585" s="7" t="s">
        <v>280</v>
      </c>
      <c r="H1585" s="7" t="s">
        <v>455</v>
      </c>
      <c r="I1585" s="8" t="s">
        <v>456</v>
      </c>
    </row>
    <row r="1586" spans="1:12" hidden="1" x14ac:dyDescent="0.35">
      <c r="A1586" s="6">
        <v>531475</v>
      </c>
      <c r="B1586" s="7" t="str">
        <f>"3328096711950004"</f>
        <v>3328096711950004</v>
      </c>
      <c r="C1586" s="7" t="s">
        <v>3337</v>
      </c>
      <c r="D1586" s="7" t="s">
        <v>10</v>
      </c>
      <c r="E1586" s="7" t="s">
        <v>11</v>
      </c>
      <c r="F1586" s="7" t="s">
        <v>67</v>
      </c>
      <c r="G1586" s="7" t="s">
        <v>791</v>
      </c>
      <c r="H1586" s="7" t="s">
        <v>1852</v>
      </c>
      <c r="I1586" s="8" t="s">
        <v>906</v>
      </c>
    </row>
    <row r="1587" spans="1:12" hidden="1" x14ac:dyDescent="0.35">
      <c r="A1587" s="6">
        <v>661263</v>
      </c>
      <c r="B1587" s="7" t="str">
        <f>"3328096909940003"</f>
        <v>3328096909940003</v>
      </c>
      <c r="C1587" s="7" t="s">
        <v>3340</v>
      </c>
      <c r="D1587" s="7" t="s">
        <v>10</v>
      </c>
      <c r="E1587" s="7" t="s">
        <v>11</v>
      </c>
      <c r="F1587" s="7" t="s">
        <v>44</v>
      </c>
      <c r="G1587" s="7" t="s">
        <v>1594</v>
      </c>
      <c r="H1587" s="7" t="s">
        <v>3341</v>
      </c>
      <c r="I1587" s="8" t="s">
        <v>3342</v>
      </c>
    </row>
    <row r="1588" spans="1:12" hidden="1" x14ac:dyDescent="0.35">
      <c r="A1588" s="13">
        <v>2271874</v>
      </c>
      <c r="B1588" s="14" t="str">
        <f>"3328100112450013"</f>
        <v>3328100112450013</v>
      </c>
      <c r="C1588" s="14" t="s">
        <v>3343</v>
      </c>
      <c r="D1588" s="14" t="s">
        <v>10</v>
      </c>
      <c r="E1588" s="14" t="s">
        <v>11</v>
      </c>
      <c r="F1588" s="14" t="s">
        <v>18</v>
      </c>
      <c r="G1588" s="14" t="s">
        <v>19</v>
      </c>
      <c r="H1588" s="14" t="s">
        <v>251</v>
      </c>
      <c r="I1588" s="15" t="s">
        <v>3344</v>
      </c>
      <c r="J1588" s="16" t="str">
        <f>VLOOKUP(B1588,baru!$B$2:$I$2271,4,FALSE)</f>
        <v>Reguler</v>
      </c>
      <c r="K1588" s="16" t="str">
        <f>VLOOKUP(B1588,baru!$B$2:$I$2271,5,FALSE)</f>
        <v>JAWA TENGAH</v>
      </c>
      <c r="L1588" s="16" t="str">
        <f>VLOOKUP(B1588,baru!$B$2:$I$2271,6,FALSE)</f>
        <v>TEGAL</v>
      </c>
    </row>
    <row r="1589" spans="1:12" hidden="1" x14ac:dyDescent="0.35">
      <c r="A1589" s="13">
        <v>2271873</v>
      </c>
      <c r="B1589" s="14" t="str">
        <f>"3328100507790004"</f>
        <v>3328100507790004</v>
      </c>
      <c r="C1589" s="14" t="s">
        <v>3345</v>
      </c>
      <c r="D1589" s="14" t="s">
        <v>10</v>
      </c>
      <c r="E1589" s="14" t="s">
        <v>11</v>
      </c>
      <c r="F1589" s="14" t="s">
        <v>18</v>
      </c>
      <c r="G1589" s="14" t="s">
        <v>19</v>
      </c>
      <c r="H1589" s="14" t="s">
        <v>251</v>
      </c>
      <c r="I1589" s="15" t="s">
        <v>3344</v>
      </c>
      <c r="J1589" s="16" t="str">
        <f>VLOOKUP(B1589,baru!$B$2:$I$2271,4,FALSE)</f>
        <v>Reguler</v>
      </c>
      <c r="K1589" s="16" t="str">
        <f>VLOOKUP(B1589,baru!$B$2:$I$2271,5,FALSE)</f>
        <v>JAWA TENGAH</v>
      </c>
      <c r="L1589" s="16" t="str">
        <f>VLOOKUP(B1589,baru!$B$2:$I$2271,6,FALSE)</f>
        <v>TEGAL</v>
      </c>
    </row>
    <row r="1590" spans="1:12" hidden="1" x14ac:dyDescent="0.35">
      <c r="A1590" s="13">
        <v>2253307</v>
      </c>
      <c r="B1590" s="14" t="str">
        <f>"3328100607950005"</f>
        <v>3328100607950005</v>
      </c>
      <c r="C1590" s="14" t="s">
        <v>3347</v>
      </c>
      <c r="D1590" s="14" t="s">
        <v>10</v>
      </c>
      <c r="E1590" s="14" t="s">
        <v>11</v>
      </c>
      <c r="F1590" s="14" t="s">
        <v>18</v>
      </c>
      <c r="G1590" s="14" t="s">
        <v>19</v>
      </c>
      <c r="H1590" s="14" t="s">
        <v>251</v>
      </c>
      <c r="I1590" s="15" t="s">
        <v>3348</v>
      </c>
      <c r="J1590" s="16" t="str">
        <f>VLOOKUP(B1590,baru!$B$2:$I$2271,4,FALSE)</f>
        <v>Reguler</v>
      </c>
      <c r="K1590" s="16" t="str">
        <f>VLOOKUP(B1590,baru!$B$2:$I$2271,5,FALSE)</f>
        <v>JAWA TENGAH</v>
      </c>
      <c r="L1590" s="16" t="str">
        <f>VLOOKUP(B1590,baru!$B$2:$I$2271,6,FALSE)</f>
        <v>TEGAL</v>
      </c>
    </row>
    <row r="1591" spans="1:12" hidden="1" x14ac:dyDescent="0.35">
      <c r="A1591" s="13">
        <v>2271875</v>
      </c>
      <c r="B1591" s="14" t="str">
        <f>"3328104502570003"</f>
        <v>3328104502570003</v>
      </c>
      <c r="C1591" s="14" t="s">
        <v>3349</v>
      </c>
      <c r="D1591" s="14" t="s">
        <v>10</v>
      </c>
      <c r="E1591" s="14" t="s">
        <v>11</v>
      </c>
      <c r="F1591" s="14" t="s">
        <v>18</v>
      </c>
      <c r="G1591" s="14" t="s">
        <v>19</v>
      </c>
      <c r="H1591" s="14" t="s">
        <v>251</v>
      </c>
      <c r="I1591" s="15" t="s">
        <v>3344</v>
      </c>
      <c r="J1591" s="16" t="str">
        <f>VLOOKUP(B1591,baru!$B$2:$I$2271,4,FALSE)</f>
        <v>Reguler</v>
      </c>
      <c r="K1591" s="16" t="str">
        <f>VLOOKUP(B1591,baru!$B$2:$I$2271,5,FALSE)</f>
        <v>JAWA TENGAH</v>
      </c>
      <c r="L1591" s="16" t="str">
        <f>VLOOKUP(B1591,baru!$B$2:$I$2271,6,FALSE)</f>
        <v>TEGAL</v>
      </c>
    </row>
    <row r="1592" spans="1:12" x14ac:dyDescent="0.35">
      <c r="A1592" s="6">
        <v>1286274</v>
      </c>
      <c r="B1592" s="7" t="str">
        <f>"3328110209870002"</f>
        <v>3328110209870002</v>
      </c>
      <c r="C1592" s="7" t="s">
        <v>3351</v>
      </c>
      <c r="D1592" s="7" t="s">
        <v>189</v>
      </c>
      <c r="E1592" s="7" t="s">
        <v>11</v>
      </c>
      <c r="F1592" s="7" t="s">
        <v>50</v>
      </c>
      <c r="G1592" s="7" t="s">
        <v>58</v>
      </c>
      <c r="H1592" s="7" t="s">
        <v>417</v>
      </c>
      <c r="I1592" s="8" t="s">
        <v>1131</v>
      </c>
    </row>
    <row r="1593" spans="1:12" hidden="1" x14ac:dyDescent="0.35">
      <c r="A1593" s="6">
        <v>1404929</v>
      </c>
      <c r="B1593" s="7" t="str">
        <f>"3328114704780006"</f>
        <v>3328114704780006</v>
      </c>
      <c r="C1593" s="7" t="s">
        <v>3352</v>
      </c>
      <c r="D1593" s="7" t="s">
        <v>10</v>
      </c>
      <c r="E1593" s="7" t="s">
        <v>11</v>
      </c>
      <c r="F1593" s="7" t="s">
        <v>18</v>
      </c>
      <c r="G1593" s="7" t="s">
        <v>264</v>
      </c>
      <c r="H1593" s="7" t="s">
        <v>461</v>
      </c>
      <c r="I1593" s="8" t="s">
        <v>1458</v>
      </c>
    </row>
    <row r="1594" spans="1:12" x14ac:dyDescent="0.35">
      <c r="A1594" s="13">
        <v>2197979</v>
      </c>
      <c r="B1594" s="14" t="str">
        <f>"3328126012000005"</f>
        <v>3328126012000005</v>
      </c>
      <c r="C1594" s="14" t="s">
        <v>3353</v>
      </c>
      <c r="D1594" s="14" t="s">
        <v>189</v>
      </c>
      <c r="E1594" s="14" t="s">
        <v>11</v>
      </c>
      <c r="F1594" s="14" t="s">
        <v>18</v>
      </c>
      <c r="G1594" s="14" t="s">
        <v>19</v>
      </c>
      <c r="H1594" s="14" t="s">
        <v>3354</v>
      </c>
      <c r="I1594" s="15" t="s">
        <v>3355</v>
      </c>
      <c r="J1594" s="16" t="str">
        <f>VLOOKUP(B1594,baru!$B$2:$I$2271,4,FALSE)</f>
        <v>Reguler</v>
      </c>
      <c r="K1594" s="16" t="str">
        <f>VLOOKUP(B1594,baru!$B$2:$I$2271,5,FALSE)</f>
        <v>JAWA TENGAH</v>
      </c>
      <c r="L1594" s="16" t="str">
        <f>VLOOKUP(B1594,baru!$B$2:$I$2271,6,FALSE)</f>
        <v>TEGAL</v>
      </c>
    </row>
    <row r="1595" spans="1:12" hidden="1" x14ac:dyDescent="0.35">
      <c r="A1595" s="6">
        <v>1639578</v>
      </c>
      <c r="B1595" s="7" t="str">
        <f>"3328140202900002"</f>
        <v>3328140202900002</v>
      </c>
      <c r="C1595" s="7" t="s">
        <v>3356</v>
      </c>
      <c r="D1595" s="7" t="s">
        <v>10</v>
      </c>
      <c r="E1595" s="7" t="s">
        <v>11</v>
      </c>
      <c r="F1595" s="7" t="s">
        <v>18</v>
      </c>
      <c r="G1595" s="7" t="s">
        <v>19</v>
      </c>
      <c r="H1595" s="7" t="s">
        <v>2575</v>
      </c>
      <c r="I1595" s="8" t="s">
        <v>3188</v>
      </c>
      <c r="J1595" t="e">
        <f>VLOOKUP(B1595,baru!$B$2:$I$2271,4,FALSE)</f>
        <v>#N/A</v>
      </c>
      <c r="K1595" t="e">
        <f>VLOOKUP(B1595,baru!$B$2:$I$2271,5,FALSE)</f>
        <v>#N/A</v>
      </c>
      <c r="L1595" t="e">
        <f>VLOOKUP(B1595,baru!$B$2:$I$2271,6,FALSE)</f>
        <v>#N/A</v>
      </c>
    </row>
    <row r="1596" spans="1:12" hidden="1" x14ac:dyDescent="0.35">
      <c r="A1596" s="6">
        <v>252398</v>
      </c>
      <c r="B1596" s="7" t="str">
        <f>"3328140202900002"</f>
        <v>3328140202900002</v>
      </c>
      <c r="C1596" s="7" t="s">
        <v>3356</v>
      </c>
      <c r="D1596" s="7" t="s">
        <v>10</v>
      </c>
      <c r="E1596" s="7" t="s">
        <v>57</v>
      </c>
      <c r="F1596" s="7" t="s">
        <v>521</v>
      </c>
      <c r="G1596" s="7" t="s">
        <v>657</v>
      </c>
      <c r="H1596" s="7" t="s">
        <v>658</v>
      </c>
      <c r="I1596" s="8" t="s">
        <v>3357</v>
      </c>
    </row>
    <row r="1597" spans="1:12" x14ac:dyDescent="0.35">
      <c r="A1597" s="6">
        <v>781817</v>
      </c>
      <c r="B1597" s="7" t="str">
        <f>"3329091211810006"</f>
        <v>3329091211810006</v>
      </c>
      <c r="C1597" s="7" t="s">
        <v>3360</v>
      </c>
      <c r="D1597" s="7" t="s">
        <v>189</v>
      </c>
      <c r="E1597" s="7" t="s">
        <v>11</v>
      </c>
      <c r="F1597" s="7" t="s">
        <v>18</v>
      </c>
      <c r="G1597" s="7" t="s">
        <v>264</v>
      </c>
      <c r="H1597" s="7" t="s">
        <v>264</v>
      </c>
      <c r="I1597" s="8" t="s">
        <v>873</v>
      </c>
    </row>
    <row r="1598" spans="1:12" hidden="1" x14ac:dyDescent="0.35">
      <c r="A1598" s="6">
        <v>921222</v>
      </c>
      <c r="B1598" s="7" t="str">
        <f>"3329096101020002"</f>
        <v>3329096101020002</v>
      </c>
      <c r="C1598" s="7" t="s">
        <v>3362</v>
      </c>
      <c r="D1598" s="7" t="s">
        <v>10</v>
      </c>
      <c r="E1598" s="7" t="s">
        <v>11</v>
      </c>
      <c r="F1598" s="7" t="s">
        <v>18</v>
      </c>
      <c r="G1598" s="7" t="s">
        <v>264</v>
      </c>
      <c r="H1598" s="7" t="s">
        <v>264</v>
      </c>
      <c r="I1598" s="8" t="s">
        <v>2921</v>
      </c>
    </row>
    <row r="1599" spans="1:12" hidden="1" x14ac:dyDescent="0.35">
      <c r="A1599" s="6">
        <v>1442860</v>
      </c>
      <c r="B1599" s="7" t="str">
        <f>"3329100602910003"</f>
        <v>3329100602910003</v>
      </c>
      <c r="C1599" s="7" t="s">
        <v>3363</v>
      </c>
      <c r="D1599" s="7" t="s">
        <v>10</v>
      </c>
      <c r="E1599" s="7" t="s">
        <v>11</v>
      </c>
      <c r="F1599" s="7" t="s">
        <v>18</v>
      </c>
      <c r="G1599" s="7" t="s">
        <v>264</v>
      </c>
      <c r="H1599" s="7" t="s">
        <v>273</v>
      </c>
      <c r="I1599" s="8" t="s">
        <v>875</v>
      </c>
    </row>
    <row r="1600" spans="1:12" hidden="1" x14ac:dyDescent="0.35">
      <c r="A1600" s="6">
        <v>512558</v>
      </c>
      <c r="B1600" s="7" t="str">
        <f>"3329124503950006"</f>
        <v>3329124503950006</v>
      </c>
      <c r="C1600" s="7" t="s">
        <v>1167</v>
      </c>
      <c r="D1600" s="7" t="s">
        <v>10</v>
      </c>
      <c r="E1600" s="7" t="s">
        <v>11</v>
      </c>
      <c r="F1600" s="7" t="s">
        <v>18</v>
      </c>
      <c r="G1600" s="7" t="s">
        <v>264</v>
      </c>
      <c r="H1600" s="7" t="s">
        <v>877</v>
      </c>
      <c r="I1600" s="8" t="s">
        <v>3364</v>
      </c>
    </row>
    <row r="1601" spans="1:12" hidden="1" x14ac:dyDescent="0.35">
      <c r="A1601" s="6">
        <v>454670</v>
      </c>
      <c r="B1601" s="7" t="str">
        <f>"3329140506950008"</f>
        <v>3329140506950008</v>
      </c>
      <c r="C1601" s="7" t="s">
        <v>3365</v>
      </c>
      <c r="D1601" s="7" t="s">
        <v>10</v>
      </c>
      <c r="E1601" s="7" t="s">
        <v>11</v>
      </c>
      <c r="F1601" s="7" t="s">
        <v>18</v>
      </c>
      <c r="G1601" s="7" t="s">
        <v>264</v>
      </c>
      <c r="H1601" s="7" t="s">
        <v>477</v>
      </c>
      <c r="I1601" s="8" t="s">
        <v>1845</v>
      </c>
    </row>
    <row r="1602" spans="1:12" hidden="1" x14ac:dyDescent="0.35">
      <c r="A1602" s="6">
        <v>75490</v>
      </c>
      <c r="B1602" s="7" t="str">
        <f>"3329145211960016"</f>
        <v>3329145211960016</v>
      </c>
      <c r="C1602" s="7" t="s">
        <v>3367</v>
      </c>
      <c r="D1602" s="7" t="s">
        <v>10</v>
      </c>
      <c r="E1602" s="7" t="s">
        <v>11</v>
      </c>
      <c r="F1602" s="7" t="s">
        <v>18</v>
      </c>
      <c r="G1602" s="7" t="s">
        <v>264</v>
      </c>
      <c r="H1602" s="7" t="s">
        <v>477</v>
      </c>
      <c r="I1602" s="8" t="s">
        <v>1646</v>
      </c>
    </row>
    <row r="1603" spans="1:12" hidden="1" x14ac:dyDescent="0.35">
      <c r="A1603" s="6">
        <v>717075</v>
      </c>
      <c r="B1603" s="7" t="str">
        <f>"3329150912980004"</f>
        <v>3329150912980004</v>
      </c>
      <c r="C1603" s="7" t="s">
        <v>3368</v>
      </c>
      <c r="D1603" s="7" t="s">
        <v>10</v>
      </c>
      <c r="E1603" s="7" t="s">
        <v>11</v>
      </c>
      <c r="F1603" s="7" t="s">
        <v>18</v>
      </c>
      <c r="G1603" s="7" t="s">
        <v>264</v>
      </c>
      <c r="H1603" s="7" t="s">
        <v>330</v>
      </c>
      <c r="I1603" s="8" t="s">
        <v>2093</v>
      </c>
    </row>
    <row r="1604" spans="1:12" hidden="1" x14ac:dyDescent="0.35">
      <c r="A1604" s="6">
        <v>919253</v>
      </c>
      <c r="B1604" s="7" t="str">
        <f>"3329160401960002"</f>
        <v>3329160401960002</v>
      </c>
      <c r="C1604" s="7" t="s">
        <v>2243</v>
      </c>
      <c r="D1604" s="7" t="s">
        <v>10</v>
      </c>
      <c r="E1604" s="7" t="s">
        <v>11</v>
      </c>
      <c r="F1604" s="7" t="s">
        <v>18</v>
      </c>
      <c r="G1604" s="7" t="s">
        <v>264</v>
      </c>
      <c r="H1604" s="7" t="s">
        <v>344</v>
      </c>
      <c r="I1604" s="8" t="s">
        <v>325</v>
      </c>
    </row>
    <row r="1605" spans="1:12" hidden="1" x14ac:dyDescent="0.35">
      <c r="A1605" s="6">
        <v>299283</v>
      </c>
      <c r="B1605" s="7" t="str">
        <f>"3376010506960002"</f>
        <v>3376010506960002</v>
      </c>
      <c r="C1605" s="7" t="s">
        <v>3369</v>
      </c>
      <c r="D1605" s="7" t="s">
        <v>10</v>
      </c>
      <c r="E1605" s="7" t="s">
        <v>11</v>
      </c>
      <c r="F1605" s="7" t="s">
        <v>18</v>
      </c>
      <c r="G1605" s="7" t="s">
        <v>268</v>
      </c>
      <c r="H1605" s="7" t="s">
        <v>277</v>
      </c>
      <c r="I1605" s="8" t="s">
        <v>2762</v>
      </c>
    </row>
    <row r="1606" spans="1:12" hidden="1" x14ac:dyDescent="0.35">
      <c r="A1606" s="6">
        <v>279962</v>
      </c>
      <c r="B1606" s="7" t="str">
        <f>"3376016804900002"</f>
        <v>3376016804900002</v>
      </c>
      <c r="C1606" s="7" t="s">
        <v>3371</v>
      </c>
      <c r="D1606" s="7" t="s">
        <v>10</v>
      </c>
      <c r="E1606" s="7" t="s">
        <v>11</v>
      </c>
      <c r="F1606" s="7" t="s">
        <v>18</v>
      </c>
      <c r="G1606" s="7" t="s">
        <v>268</v>
      </c>
      <c r="H1606" s="7" t="s">
        <v>277</v>
      </c>
      <c r="I1606" s="8" t="s">
        <v>3243</v>
      </c>
    </row>
    <row r="1607" spans="1:12" x14ac:dyDescent="0.35">
      <c r="A1607" s="6">
        <v>242806</v>
      </c>
      <c r="B1607" s="7" t="str">
        <f>"3376022508840001"</f>
        <v>3376022508840001</v>
      </c>
      <c r="C1607" s="7" t="s">
        <v>3372</v>
      </c>
      <c r="D1607" s="7" t="s">
        <v>189</v>
      </c>
      <c r="E1607" s="7" t="s">
        <v>11</v>
      </c>
      <c r="F1607" s="7" t="s">
        <v>18</v>
      </c>
      <c r="G1607" s="7" t="s">
        <v>268</v>
      </c>
      <c r="H1607" s="7" t="s">
        <v>371</v>
      </c>
      <c r="I1607" s="8" t="s">
        <v>372</v>
      </c>
    </row>
    <row r="1608" spans="1:12" hidden="1" x14ac:dyDescent="0.35">
      <c r="A1608" s="6">
        <v>244792</v>
      </c>
      <c r="B1608" s="7" t="str">
        <f>"3376024211880002"</f>
        <v>3376024211880002</v>
      </c>
      <c r="C1608" s="7" t="s">
        <v>3373</v>
      </c>
      <c r="D1608" s="7" t="s">
        <v>10</v>
      </c>
      <c r="E1608" s="7" t="s">
        <v>11</v>
      </c>
      <c r="F1608" s="7" t="s">
        <v>18</v>
      </c>
      <c r="G1608" s="7" t="s">
        <v>268</v>
      </c>
      <c r="H1608" s="7" t="s">
        <v>371</v>
      </c>
      <c r="I1608" s="8" t="s">
        <v>372</v>
      </c>
    </row>
    <row r="1609" spans="1:12" hidden="1" x14ac:dyDescent="0.35">
      <c r="A1609" s="6">
        <v>246221</v>
      </c>
      <c r="B1609" s="7" t="str">
        <f>"3376025209060004"</f>
        <v>3376025209060004</v>
      </c>
      <c r="C1609" s="7" t="s">
        <v>3374</v>
      </c>
      <c r="D1609" s="7" t="s">
        <v>10</v>
      </c>
      <c r="E1609" s="7" t="s">
        <v>11</v>
      </c>
      <c r="F1609" s="7" t="s">
        <v>18</v>
      </c>
      <c r="G1609" s="7" t="s">
        <v>268</v>
      </c>
      <c r="H1609" s="7" t="s">
        <v>371</v>
      </c>
      <c r="I1609" s="8" t="s">
        <v>497</v>
      </c>
    </row>
    <row r="1610" spans="1:12" hidden="1" x14ac:dyDescent="0.35">
      <c r="A1610" s="6">
        <v>242385</v>
      </c>
      <c r="B1610" s="7" t="str">
        <f>"3376027112620006"</f>
        <v>3376027112620006</v>
      </c>
      <c r="C1610" s="7" t="s">
        <v>3375</v>
      </c>
      <c r="D1610" s="7" t="s">
        <v>10</v>
      </c>
      <c r="E1610" s="7" t="s">
        <v>11</v>
      </c>
      <c r="F1610" s="7" t="s">
        <v>18</v>
      </c>
      <c r="G1610" s="7" t="s">
        <v>268</v>
      </c>
      <c r="H1610" s="7" t="s">
        <v>371</v>
      </c>
      <c r="I1610" s="8" t="s">
        <v>372</v>
      </c>
    </row>
    <row r="1611" spans="1:12" hidden="1" x14ac:dyDescent="0.35">
      <c r="A1611" s="6">
        <v>317519</v>
      </c>
      <c r="B1611" s="7" t="str">
        <f>"3376035403870001"</f>
        <v>3376035403870001</v>
      </c>
      <c r="C1611" s="7" t="s">
        <v>3377</v>
      </c>
      <c r="D1611" s="7" t="s">
        <v>10</v>
      </c>
      <c r="E1611" s="7" t="s">
        <v>11</v>
      </c>
      <c r="F1611" s="7" t="s">
        <v>18</v>
      </c>
      <c r="G1611" s="7" t="s">
        <v>268</v>
      </c>
      <c r="H1611" s="7" t="s">
        <v>269</v>
      </c>
      <c r="I1611" s="8" t="s">
        <v>1662</v>
      </c>
    </row>
    <row r="1612" spans="1:12" hidden="1" x14ac:dyDescent="0.35">
      <c r="A1612" s="6">
        <v>59754</v>
      </c>
      <c r="B1612" s="7" t="str">
        <f>"3520016702890002"</f>
        <v>3520016702890002</v>
      </c>
      <c r="C1612" s="7" t="s">
        <v>3380</v>
      </c>
      <c r="D1612" s="7" t="s">
        <v>10</v>
      </c>
      <c r="E1612" s="7" t="s">
        <v>11</v>
      </c>
      <c r="F1612" s="7" t="s">
        <v>303</v>
      </c>
      <c r="G1612" s="7" t="s">
        <v>3381</v>
      </c>
      <c r="H1612" s="7" t="s">
        <v>1355</v>
      </c>
      <c r="I1612" s="8" t="s">
        <v>3382</v>
      </c>
    </row>
    <row r="1613" spans="1:12" hidden="1" x14ac:dyDescent="0.35">
      <c r="A1613" s="6">
        <v>897825</v>
      </c>
      <c r="B1613" s="7" t="str">
        <f>"3523110403980001"</f>
        <v>3523110403980001</v>
      </c>
      <c r="C1613" s="7" t="s">
        <v>3383</v>
      </c>
      <c r="D1613" s="7" t="s">
        <v>10</v>
      </c>
      <c r="E1613" s="7" t="s">
        <v>11</v>
      </c>
      <c r="F1613" s="7" t="s">
        <v>303</v>
      </c>
      <c r="G1613" s="7" t="s">
        <v>3384</v>
      </c>
      <c r="H1613" s="7" t="s">
        <v>3385</v>
      </c>
      <c r="I1613" s="8" t="s">
        <v>3386</v>
      </c>
    </row>
    <row r="1614" spans="1:12" hidden="1" x14ac:dyDescent="0.35">
      <c r="A1614" s="6">
        <v>1351712</v>
      </c>
      <c r="B1614" s="7" t="str">
        <f>"3674060303810006"</f>
        <v>3674060303810006</v>
      </c>
      <c r="C1614" s="7" t="s">
        <v>3391</v>
      </c>
      <c r="D1614" s="7" t="s">
        <v>10</v>
      </c>
      <c r="E1614" s="7" t="s">
        <v>11</v>
      </c>
      <c r="F1614" s="7" t="s">
        <v>67</v>
      </c>
      <c r="G1614" s="7" t="s">
        <v>68</v>
      </c>
      <c r="H1614" s="7" t="s">
        <v>2817</v>
      </c>
      <c r="I1614" s="8" t="s">
        <v>3392</v>
      </c>
    </row>
    <row r="1615" spans="1:12" hidden="1" x14ac:dyDescent="0.35">
      <c r="A1615" s="6">
        <v>1351713</v>
      </c>
      <c r="B1615" s="7" t="str">
        <f>"3674064404880014"</f>
        <v>3674064404880014</v>
      </c>
      <c r="C1615" s="7" t="s">
        <v>3393</v>
      </c>
      <c r="D1615" s="7" t="s">
        <v>10</v>
      </c>
      <c r="E1615" s="7" t="s">
        <v>11</v>
      </c>
      <c r="F1615" s="7" t="s">
        <v>67</v>
      </c>
      <c r="G1615" s="7" t="s">
        <v>68</v>
      </c>
      <c r="H1615" s="7" t="s">
        <v>2817</v>
      </c>
      <c r="I1615" s="8" t="s">
        <v>3392</v>
      </c>
    </row>
    <row r="1616" spans="1:12" hidden="1" x14ac:dyDescent="0.35">
      <c r="A1616" s="6">
        <v>1629920</v>
      </c>
      <c r="B1616" s="7" t="str">
        <f>"7372025207830008"</f>
        <v>7372025207830008</v>
      </c>
      <c r="C1616" s="7" t="s">
        <v>3395</v>
      </c>
      <c r="D1616" s="7" t="s">
        <v>10</v>
      </c>
      <c r="E1616" s="7" t="s">
        <v>11</v>
      </c>
      <c r="F1616" s="7" t="s">
        <v>18</v>
      </c>
      <c r="G1616" s="7" t="s">
        <v>19</v>
      </c>
      <c r="H1616" s="7" t="s">
        <v>2575</v>
      </c>
      <c r="I1616" s="8" t="s">
        <v>3379</v>
      </c>
      <c r="J1616" t="e">
        <f>VLOOKUP(B1616,baru!$B$2:$I$2271,4,FALSE)</f>
        <v>#N/A</v>
      </c>
      <c r="K1616" t="e">
        <f>VLOOKUP(B1616,baru!$B$2:$I$2271,5,FALSE)</f>
        <v>#N/A</v>
      </c>
      <c r="L1616" t="e">
        <f>VLOOKUP(B1616,baru!$B$2:$I$2271,6,FALSE)</f>
        <v>#N/A</v>
      </c>
    </row>
    <row r="1617" spans="1:12" hidden="1" x14ac:dyDescent="0.35">
      <c r="A1617" s="6">
        <v>1352175</v>
      </c>
      <c r="B1617" s="7" t="str">
        <f>"7372025207830008"</f>
        <v>7372025207830008</v>
      </c>
      <c r="C1617" s="7" t="s">
        <v>3396</v>
      </c>
      <c r="D1617" s="7" t="s">
        <v>10</v>
      </c>
      <c r="E1617" s="7" t="s">
        <v>57</v>
      </c>
      <c r="F1617" s="7" t="s">
        <v>303</v>
      </c>
      <c r="G1617" s="7" t="s">
        <v>608</v>
      </c>
      <c r="H1617" s="7" t="s">
        <v>609</v>
      </c>
      <c r="I1617" s="8" t="s">
        <v>610</v>
      </c>
    </row>
    <row r="1618" spans="1:12" hidden="1" x14ac:dyDescent="0.35">
      <c r="A1618" s="6">
        <v>1166958</v>
      </c>
      <c r="B1618" s="7" t="str">
        <f>"1217051209900001"</f>
        <v>1217051209900001</v>
      </c>
      <c r="C1618" s="7" t="s">
        <v>3397</v>
      </c>
      <c r="D1618" s="7" t="s">
        <v>10</v>
      </c>
      <c r="E1618" s="7" t="s">
        <v>11</v>
      </c>
      <c r="F1618" s="7" t="s">
        <v>91</v>
      </c>
      <c r="G1618" s="7" t="s">
        <v>650</v>
      </c>
      <c r="H1618" s="7" t="s">
        <v>3398</v>
      </c>
      <c r="I1618" s="8" t="s">
        <v>3399</v>
      </c>
    </row>
    <row r="1619" spans="1:12" hidden="1" x14ac:dyDescent="0.35">
      <c r="A1619" s="6">
        <v>178795</v>
      </c>
      <c r="B1619" s="7" t="str">
        <f>"1303040901880004"</f>
        <v>1303040901880004</v>
      </c>
      <c r="C1619" s="7" t="s">
        <v>3401</v>
      </c>
      <c r="D1619" s="7" t="s">
        <v>10</v>
      </c>
      <c r="E1619" s="7" t="s">
        <v>11</v>
      </c>
      <c r="F1619" s="7" t="s">
        <v>12</v>
      </c>
      <c r="G1619" s="7" t="s">
        <v>3402</v>
      </c>
      <c r="H1619" s="7" t="s">
        <v>3402</v>
      </c>
      <c r="I1619" s="8" t="s">
        <v>3402</v>
      </c>
    </row>
    <row r="1620" spans="1:12" hidden="1" x14ac:dyDescent="0.35">
      <c r="A1620" s="13">
        <v>2323289</v>
      </c>
      <c r="B1620" s="14" t="str">
        <f>"1471090106740001"</f>
        <v>1471090106740001</v>
      </c>
      <c r="C1620" s="14" t="s">
        <v>3403</v>
      </c>
      <c r="D1620" s="14" t="s">
        <v>10</v>
      </c>
      <c r="E1620" s="14" t="s">
        <v>11</v>
      </c>
      <c r="F1620" s="14" t="s">
        <v>18</v>
      </c>
      <c r="G1620" s="14" t="s">
        <v>19</v>
      </c>
      <c r="H1620" s="14" t="s">
        <v>251</v>
      </c>
      <c r="I1620" s="15" t="s">
        <v>3400</v>
      </c>
      <c r="J1620" s="16" t="str">
        <f>VLOOKUP(B1620,baru!$B$2:$I$2271,4,FALSE)</f>
        <v>Reguler</v>
      </c>
      <c r="K1620" s="16" t="str">
        <f>VLOOKUP(B1620,baru!$B$2:$I$2271,5,FALSE)</f>
        <v>JAWA TIMUR</v>
      </c>
      <c r="L1620" s="16" t="str">
        <f>VLOOKUP(B1620,baru!$B$2:$I$2271,6,FALSE)</f>
        <v>NGAWI</v>
      </c>
    </row>
    <row r="1621" spans="1:12" hidden="1" x14ac:dyDescent="0.35">
      <c r="A1621" s="6">
        <v>107706</v>
      </c>
      <c r="B1621" s="7" t="str">
        <f>"1901020707920001"</f>
        <v>1901020707920001</v>
      </c>
      <c r="C1621" s="7" t="s">
        <v>3407</v>
      </c>
      <c r="D1621" s="7" t="s">
        <v>10</v>
      </c>
      <c r="E1621" s="7" t="s">
        <v>11</v>
      </c>
      <c r="F1621" s="7" t="s">
        <v>225</v>
      </c>
      <c r="G1621" s="7" t="s">
        <v>226</v>
      </c>
      <c r="H1621" s="7" t="s">
        <v>3408</v>
      </c>
      <c r="I1621" s="8" t="s">
        <v>3409</v>
      </c>
    </row>
    <row r="1622" spans="1:12" hidden="1" x14ac:dyDescent="0.35">
      <c r="A1622" s="6">
        <v>801323</v>
      </c>
      <c r="B1622" s="7" t="str">
        <f>"3171071103830007"</f>
        <v>3171071103830007</v>
      </c>
      <c r="C1622" s="7" t="s">
        <v>3411</v>
      </c>
      <c r="D1622" s="7" t="s">
        <v>10</v>
      </c>
      <c r="E1622" s="7" t="s">
        <v>11</v>
      </c>
      <c r="F1622" s="7" t="s">
        <v>91</v>
      </c>
      <c r="G1622" s="7" t="s">
        <v>985</v>
      </c>
      <c r="H1622" s="7" t="s">
        <v>3412</v>
      </c>
      <c r="I1622" s="8" t="s">
        <v>3413</v>
      </c>
    </row>
    <row r="1623" spans="1:12" hidden="1" x14ac:dyDescent="0.35">
      <c r="A1623" s="6">
        <v>801324</v>
      </c>
      <c r="B1623" s="7" t="str">
        <f>"3171074909850006"</f>
        <v>3171074909850006</v>
      </c>
      <c r="C1623" s="7" t="s">
        <v>3415</v>
      </c>
      <c r="D1623" s="7" t="s">
        <v>10</v>
      </c>
      <c r="E1623" s="7" t="s">
        <v>11</v>
      </c>
      <c r="F1623" s="7" t="s">
        <v>91</v>
      </c>
      <c r="G1623" s="7" t="s">
        <v>985</v>
      </c>
      <c r="H1623" s="7" t="s">
        <v>3412</v>
      </c>
      <c r="I1623" s="8" t="s">
        <v>3413</v>
      </c>
    </row>
    <row r="1624" spans="1:12" hidden="1" x14ac:dyDescent="0.35">
      <c r="A1624" s="6">
        <v>348719</v>
      </c>
      <c r="B1624" s="7" t="str">
        <f>"3171081804740003"</f>
        <v>3171081804740003</v>
      </c>
      <c r="C1624" s="7" t="s">
        <v>3416</v>
      </c>
      <c r="D1624" s="7" t="s">
        <v>10</v>
      </c>
      <c r="E1624" s="7" t="s">
        <v>11</v>
      </c>
      <c r="F1624" s="7" t="s">
        <v>50</v>
      </c>
      <c r="G1624" s="7" t="s">
        <v>280</v>
      </c>
      <c r="H1624" s="7" t="s">
        <v>2507</v>
      </c>
      <c r="I1624" s="8" t="s">
        <v>3417</v>
      </c>
    </row>
    <row r="1625" spans="1:12" hidden="1" x14ac:dyDescent="0.35">
      <c r="A1625" s="6">
        <v>1084355</v>
      </c>
      <c r="B1625" s="7" t="str">
        <f>"3172010410750009"</f>
        <v>3172010410750009</v>
      </c>
      <c r="C1625" s="7" t="s">
        <v>3419</v>
      </c>
      <c r="D1625" s="7" t="s">
        <v>10</v>
      </c>
      <c r="E1625" s="7" t="s">
        <v>11</v>
      </c>
      <c r="F1625" s="7" t="s">
        <v>50</v>
      </c>
      <c r="G1625" s="7" t="s">
        <v>51</v>
      </c>
      <c r="H1625" s="7" t="s">
        <v>52</v>
      </c>
      <c r="I1625" s="8" t="s">
        <v>52</v>
      </c>
    </row>
    <row r="1626" spans="1:12" hidden="1" x14ac:dyDescent="0.35">
      <c r="A1626" s="6">
        <v>1084354</v>
      </c>
      <c r="B1626" s="7" t="str">
        <f>"3172014712810002"</f>
        <v>3172014712810002</v>
      </c>
      <c r="C1626" s="7" t="s">
        <v>3420</v>
      </c>
      <c r="D1626" s="7" t="s">
        <v>10</v>
      </c>
      <c r="E1626" s="7" t="s">
        <v>11</v>
      </c>
      <c r="F1626" s="7" t="s">
        <v>50</v>
      </c>
      <c r="G1626" s="7" t="s">
        <v>51</v>
      </c>
      <c r="H1626" s="7" t="s">
        <v>52</v>
      </c>
      <c r="I1626" s="8" t="s">
        <v>52</v>
      </c>
    </row>
    <row r="1627" spans="1:12" hidden="1" x14ac:dyDescent="0.35">
      <c r="A1627" s="6">
        <v>752915</v>
      </c>
      <c r="B1627" s="7" t="str">
        <f>"3172020310840008"</f>
        <v>3172020310840008</v>
      </c>
      <c r="C1627" s="7" t="s">
        <v>3421</v>
      </c>
      <c r="D1627" s="7" t="s">
        <v>10</v>
      </c>
      <c r="E1627" s="7" t="s">
        <v>11</v>
      </c>
      <c r="F1627" s="7" t="s">
        <v>50</v>
      </c>
      <c r="G1627" s="7" t="s">
        <v>51</v>
      </c>
      <c r="H1627" s="7" t="s">
        <v>62</v>
      </c>
      <c r="I1627" s="8" t="s">
        <v>3422</v>
      </c>
    </row>
    <row r="1628" spans="1:12" hidden="1" x14ac:dyDescent="0.35">
      <c r="A1628" s="6">
        <v>957991</v>
      </c>
      <c r="B1628" s="7" t="str">
        <f>"3172041101760005"</f>
        <v>3172041101760005</v>
      </c>
      <c r="C1628" s="7" t="s">
        <v>3424</v>
      </c>
      <c r="D1628" s="7" t="s">
        <v>10</v>
      </c>
      <c r="E1628" s="7" t="s">
        <v>11</v>
      </c>
      <c r="F1628" s="7" t="s">
        <v>50</v>
      </c>
      <c r="G1628" s="7" t="s">
        <v>51</v>
      </c>
      <c r="H1628" s="7" t="s">
        <v>78</v>
      </c>
      <c r="I1628" s="8" t="s">
        <v>81</v>
      </c>
    </row>
    <row r="1629" spans="1:12" hidden="1" x14ac:dyDescent="0.35">
      <c r="A1629" s="6">
        <v>1165280</v>
      </c>
      <c r="B1629" s="7" t="str">
        <f>"3172044410610002"</f>
        <v>3172044410610002</v>
      </c>
      <c r="C1629" s="7" t="s">
        <v>3426</v>
      </c>
      <c r="D1629" s="7" t="s">
        <v>10</v>
      </c>
      <c r="E1629" s="7" t="s">
        <v>11</v>
      </c>
      <c r="F1629" s="7" t="s">
        <v>50</v>
      </c>
      <c r="G1629" s="7" t="s">
        <v>51</v>
      </c>
      <c r="H1629" s="7" t="s">
        <v>78</v>
      </c>
      <c r="I1629" s="8" t="s">
        <v>680</v>
      </c>
    </row>
    <row r="1630" spans="1:12" hidden="1" x14ac:dyDescent="0.35">
      <c r="A1630" s="6">
        <v>1251838</v>
      </c>
      <c r="B1630" s="7" t="str">
        <f>"3172045705031003"</f>
        <v>3172045705031003</v>
      </c>
      <c r="C1630" s="7" t="s">
        <v>3427</v>
      </c>
      <c r="D1630" s="7" t="s">
        <v>10</v>
      </c>
      <c r="E1630" s="7" t="s">
        <v>11</v>
      </c>
      <c r="F1630" s="7" t="s">
        <v>50</v>
      </c>
      <c r="G1630" s="7" t="s">
        <v>51</v>
      </c>
      <c r="H1630" s="7" t="s">
        <v>78</v>
      </c>
      <c r="I1630" s="8" t="s">
        <v>79</v>
      </c>
    </row>
    <row r="1631" spans="1:12" hidden="1" x14ac:dyDescent="0.35">
      <c r="A1631" s="6">
        <v>957990</v>
      </c>
      <c r="B1631" s="7" t="str">
        <f>"3172046408800012"</f>
        <v>3172046408800012</v>
      </c>
      <c r="C1631" s="7" t="s">
        <v>3428</v>
      </c>
      <c r="D1631" s="7" t="s">
        <v>10</v>
      </c>
      <c r="E1631" s="7" t="s">
        <v>11</v>
      </c>
      <c r="F1631" s="7" t="s">
        <v>50</v>
      </c>
      <c r="G1631" s="7" t="s">
        <v>51</v>
      </c>
      <c r="H1631" s="7" t="s">
        <v>78</v>
      </c>
      <c r="I1631" s="8" t="s">
        <v>81</v>
      </c>
    </row>
    <row r="1632" spans="1:12" hidden="1" x14ac:dyDescent="0.35">
      <c r="A1632" s="6">
        <v>297225</v>
      </c>
      <c r="B1632" s="7" t="str">
        <f>"3173020602860004"</f>
        <v>3173020602860004</v>
      </c>
      <c r="C1632" s="7" t="s">
        <v>3429</v>
      </c>
      <c r="D1632" s="7" t="s">
        <v>10</v>
      </c>
      <c r="E1632" s="7" t="s">
        <v>11</v>
      </c>
      <c r="F1632" s="7" t="s">
        <v>50</v>
      </c>
      <c r="G1632" s="7" t="s">
        <v>86</v>
      </c>
      <c r="H1632" s="7" t="s">
        <v>205</v>
      </c>
      <c r="I1632" s="8" t="s">
        <v>206</v>
      </c>
    </row>
    <row r="1633" spans="1:12" hidden="1" x14ac:dyDescent="0.35">
      <c r="A1633" s="6">
        <v>2044941</v>
      </c>
      <c r="B1633" s="7" t="str">
        <f>"3174035103820001"</f>
        <v>3174035103820001</v>
      </c>
      <c r="C1633" s="7" t="s">
        <v>3430</v>
      </c>
      <c r="D1633" s="7" t="s">
        <v>10</v>
      </c>
      <c r="E1633" s="7" t="s">
        <v>11</v>
      </c>
      <c r="F1633" s="7" t="s">
        <v>50</v>
      </c>
      <c r="G1633" s="7" t="s">
        <v>58</v>
      </c>
      <c r="H1633" s="7" t="s">
        <v>260</v>
      </c>
      <c r="I1633" s="8" t="s">
        <v>2510</v>
      </c>
    </row>
    <row r="1634" spans="1:12" hidden="1" x14ac:dyDescent="0.35">
      <c r="A1634" s="6">
        <v>988496</v>
      </c>
      <c r="B1634" s="7" t="str">
        <f>"3174051207840001"</f>
        <v>3174051207840001</v>
      </c>
      <c r="C1634" s="7" t="s">
        <v>3431</v>
      </c>
      <c r="D1634" s="7" t="s">
        <v>10</v>
      </c>
      <c r="E1634" s="7" t="s">
        <v>11</v>
      </c>
      <c r="F1634" s="7" t="s">
        <v>50</v>
      </c>
      <c r="G1634" s="7" t="s">
        <v>72</v>
      </c>
      <c r="H1634" s="7" t="s">
        <v>803</v>
      </c>
      <c r="I1634" s="8" t="s">
        <v>804</v>
      </c>
    </row>
    <row r="1635" spans="1:12" hidden="1" x14ac:dyDescent="0.35">
      <c r="A1635" s="6">
        <v>969325</v>
      </c>
      <c r="B1635" s="7" t="str">
        <f>"3175012005840002"</f>
        <v>3175012005840002</v>
      </c>
      <c r="C1635" s="7" t="s">
        <v>3433</v>
      </c>
      <c r="D1635" s="7" t="s">
        <v>10</v>
      </c>
      <c r="E1635" s="7" t="s">
        <v>11</v>
      </c>
      <c r="F1635" s="7" t="s">
        <v>50</v>
      </c>
      <c r="G1635" s="7" t="s">
        <v>58</v>
      </c>
      <c r="H1635" s="7" t="s">
        <v>406</v>
      </c>
      <c r="I1635" s="8" t="s">
        <v>3434</v>
      </c>
    </row>
    <row r="1636" spans="1:12" hidden="1" x14ac:dyDescent="0.35">
      <c r="A1636" s="6">
        <v>2044942</v>
      </c>
      <c r="B1636" s="7" t="str">
        <f>"3175050411760009"</f>
        <v>3175050411760009</v>
      </c>
      <c r="C1636" s="7" t="s">
        <v>3436</v>
      </c>
      <c r="D1636" s="7" t="s">
        <v>10</v>
      </c>
      <c r="E1636" s="7" t="s">
        <v>11</v>
      </c>
      <c r="F1636" s="7" t="s">
        <v>50</v>
      </c>
      <c r="G1636" s="7" t="s">
        <v>58</v>
      </c>
      <c r="H1636" s="7" t="s">
        <v>260</v>
      </c>
      <c r="I1636" s="8" t="s">
        <v>2510</v>
      </c>
    </row>
    <row r="1637" spans="1:12" hidden="1" x14ac:dyDescent="0.35">
      <c r="A1637" s="6">
        <v>4461771</v>
      </c>
      <c r="B1637" s="7" t="str">
        <f>"3205154410960003"</f>
        <v>3205154410960003</v>
      </c>
      <c r="C1637" s="7" t="s">
        <v>3438</v>
      </c>
      <c r="D1637" s="7" t="s">
        <v>10</v>
      </c>
      <c r="E1637" s="7" t="s">
        <v>11</v>
      </c>
      <c r="F1637" s="7" t="s">
        <v>91</v>
      </c>
      <c r="G1637" s="7" t="s">
        <v>1295</v>
      </c>
      <c r="H1637" s="7" t="s">
        <v>3439</v>
      </c>
      <c r="I1637" s="8" t="s">
        <v>3439</v>
      </c>
    </row>
    <row r="1638" spans="1:12" hidden="1" x14ac:dyDescent="0.35">
      <c r="A1638" s="6">
        <v>209672</v>
      </c>
      <c r="B1638" s="7" t="str">
        <f>"3207050504990001"</f>
        <v>3207050504990001</v>
      </c>
      <c r="C1638" s="7" t="s">
        <v>3441</v>
      </c>
      <c r="D1638" s="7" t="s">
        <v>10</v>
      </c>
      <c r="E1638" s="7" t="s">
        <v>11</v>
      </c>
      <c r="F1638" s="7" t="s">
        <v>91</v>
      </c>
      <c r="G1638" s="7" t="s">
        <v>3442</v>
      </c>
      <c r="H1638" s="7" t="s">
        <v>3443</v>
      </c>
      <c r="I1638" s="8" t="s">
        <v>3443</v>
      </c>
    </row>
    <row r="1639" spans="1:12" hidden="1" x14ac:dyDescent="0.35">
      <c r="A1639" s="6">
        <v>209627</v>
      </c>
      <c r="B1639" s="7" t="str">
        <f>"3207055201530001"</f>
        <v>3207055201530001</v>
      </c>
      <c r="C1639" s="7" t="s">
        <v>3444</v>
      </c>
      <c r="D1639" s="7" t="s">
        <v>10</v>
      </c>
      <c r="E1639" s="7" t="s">
        <v>11</v>
      </c>
      <c r="F1639" s="7" t="s">
        <v>91</v>
      </c>
      <c r="G1639" s="7" t="s">
        <v>3442</v>
      </c>
      <c r="H1639" s="7" t="s">
        <v>3443</v>
      </c>
      <c r="I1639" s="8" t="s">
        <v>3443</v>
      </c>
    </row>
    <row r="1640" spans="1:12" hidden="1" x14ac:dyDescent="0.35">
      <c r="A1640" s="6">
        <v>300175</v>
      </c>
      <c r="B1640" s="7" t="str">
        <f>"3207235209970001"</f>
        <v>3207235209970001</v>
      </c>
      <c r="C1640" s="7" t="s">
        <v>3445</v>
      </c>
      <c r="D1640" s="7" t="s">
        <v>10</v>
      </c>
      <c r="E1640" s="7" t="s">
        <v>11</v>
      </c>
      <c r="F1640" s="7" t="s">
        <v>91</v>
      </c>
      <c r="G1640" s="7" t="s">
        <v>754</v>
      </c>
      <c r="H1640" s="7" t="s">
        <v>3446</v>
      </c>
      <c r="I1640" s="8" t="s">
        <v>3447</v>
      </c>
    </row>
    <row r="1641" spans="1:12" hidden="1" x14ac:dyDescent="0.35">
      <c r="A1641" s="6">
        <v>86868</v>
      </c>
      <c r="B1641" s="7" t="str">
        <f>"3208212702930001"</f>
        <v>3208212702930001</v>
      </c>
      <c r="C1641" s="7" t="s">
        <v>3448</v>
      </c>
      <c r="D1641" s="7" t="s">
        <v>10</v>
      </c>
      <c r="E1641" s="7" t="s">
        <v>11</v>
      </c>
      <c r="F1641" s="7" t="s">
        <v>91</v>
      </c>
      <c r="G1641" s="7" t="s">
        <v>109</v>
      </c>
      <c r="H1641" s="7" t="s">
        <v>3449</v>
      </c>
      <c r="I1641" s="8" t="s">
        <v>3450</v>
      </c>
    </row>
    <row r="1642" spans="1:12" hidden="1" x14ac:dyDescent="0.35">
      <c r="A1642" s="6">
        <v>63268</v>
      </c>
      <c r="B1642" s="7" t="str">
        <f>"3212066210940002"</f>
        <v>3212066210940002</v>
      </c>
      <c r="C1642" s="7" t="s">
        <v>3452</v>
      </c>
      <c r="D1642" s="7" t="s">
        <v>10</v>
      </c>
      <c r="E1642" s="7" t="s">
        <v>11</v>
      </c>
      <c r="F1642" s="7" t="s">
        <v>91</v>
      </c>
      <c r="G1642" s="7" t="s">
        <v>114</v>
      </c>
      <c r="H1642" s="7" t="s">
        <v>265</v>
      </c>
      <c r="I1642" s="8" t="s">
        <v>3453</v>
      </c>
    </row>
    <row r="1643" spans="1:12" hidden="1" x14ac:dyDescent="0.35">
      <c r="A1643" s="6">
        <v>1463366</v>
      </c>
      <c r="B1643" s="7" t="str">
        <f>"3216190704820015"</f>
        <v>3216190704820015</v>
      </c>
      <c r="C1643" s="7" t="s">
        <v>3454</v>
      </c>
      <c r="D1643" s="7" t="s">
        <v>10</v>
      </c>
      <c r="E1643" s="7" t="s">
        <v>11</v>
      </c>
      <c r="F1643" s="7" t="s">
        <v>91</v>
      </c>
      <c r="G1643" s="7" t="s">
        <v>92</v>
      </c>
      <c r="H1643" s="7" t="s">
        <v>571</v>
      </c>
      <c r="I1643" s="8" t="s">
        <v>572</v>
      </c>
    </row>
    <row r="1644" spans="1:12" hidden="1" x14ac:dyDescent="0.35">
      <c r="A1644" s="6">
        <v>1463367</v>
      </c>
      <c r="B1644" s="7" t="str">
        <f>"3216196412830006"</f>
        <v>3216196412830006</v>
      </c>
      <c r="C1644" s="7" t="s">
        <v>1124</v>
      </c>
      <c r="D1644" s="7" t="s">
        <v>10</v>
      </c>
      <c r="E1644" s="7" t="s">
        <v>11</v>
      </c>
      <c r="F1644" s="7" t="s">
        <v>91</v>
      </c>
      <c r="G1644" s="7" t="s">
        <v>92</v>
      </c>
      <c r="H1644" s="7" t="s">
        <v>571</v>
      </c>
      <c r="I1644" s="8" t="s">
        <v>572</v>
      </c>
    </row>
    <row r="1645" spans="1:12" hidden="1" x14ac:dyDescent="0.35">
      <c r="A1645" s="13">
        <v>2270151</v>
      </c>
      <c r="B1645" s="14" t="str">
        <f>"3301056507990010"</f>
        <v>3301056507990010</v>
      </c>
      <c r="C1645" s="14" t="s">
        <v>3455</v>
      </c>
      <c r="D1645" s="14" t="s">
        <v>10</v>
      </c>
      <c r="E1645" s="14" t="s">
        <v>11</v>
      </c>
      <c r="F1645" s="14" t="s">
        <v>18</v>
      </c>
      <c r="G1645" s="14" t="s">
        <v>19</v>
      </c>
      <c r="H1645" s="14" t="s">
        <v>251</v>
      </c>
      <c r="I1645" s="15" t="s">
        <v>3344</v>
      </c>
      <c r="J1645" s="16" t="str">
        <f>VLOOKUP(B1645,baru!$B$2:$I$2271,4,FALSE)</f>
        <v>Reguler</v>
      </c>
      <c r="K1645" s="16" t="str">
        <f>VLOOKUP(B1645,baru!$B$2:$I$2271,5,FALSE)</f>
        <v>JAWA TENGAH</v>
      </c>
      <c r="L1645" s="16" t="str">
        <f>VLOOKUP(B1645,baru!$B$2:$I$2271,6,FALSE)</f>
        <v>CILACAP</v>
      </c>
    </row>
    <row r="1646" spans="1:12" hidden="1" x14ac:dyDescent="0.35">
      <c r="A1646" s="13">
        <v>2323464</v>
      </c>
      <c r="B1646" s="14" t="str">
        <f>"3305011005830008"</f>
        <v>3305011005830008</v>
      </c>
      <c r="C1646" s="14" t="s">
        <v>3457</v>
      </c>
      <c r="D1646" s="14" t="s">
        <v>10</v>
      </c>
      <c r="E1646" s="14" t="s">
        <v>11</v>
      </c>
      <c r="F1646" s="14" t="s">
        <v>18</v>
      </c>
      <c r="G1646" s="14" t="s">
        <v>19</v>
      </c>
      <c r="H1646" s="14" t="s">
        <v>251</v>
      </c>
      <c r="I1646" s="15" t="s">
        <v>3400</v>
      </c>
      <c r="J1646" s="16" t="str">
        <f>VLOOKUP(B1646,baru!$B$2:$I$2271,4,FALSE)</f>
        <v>Reguler</v>
      </c>
      <c r="K1646" s="16" t="str">
        <f>VLOOKUP(B1646,baru!$B$2:$I$2271,5,FALSE)</f>
        <v>JAWA TENGAH</v>
      </c>
      <c r="L1646" s="16" t="str">
        <f>VLOOKUP(B1646,baru!$B$2:$I$2271,6,FALSE)</f>
        <v>KEBUMEN</v>
      </c>
    </row>
    <row r="1647" spans="1:12" hidden="1" x14ac:dyDescent="0.35">
      <c r="A1647" s="13">
        <v>2306245</v>
      </c>
      <c r="B1647" s="14" t="str">
        <f>"3307032612740006"</f>
        <v>3307032612740006</v>
      </c>
      <c r="C1647" s="14" t="s">
        <v>3460</v>
      </c>
      <c r="D1647" s="14" t="s">
        <v>10</v>
      </c>
      <c r="E1647" s="14" t="s">
        <v>11</v>
      </c>
      <c r="F1647" s="14" t="s">
        <v>18</v>
      </c>
      <c r="G1647" s="14" t="s">
        <v>19</v>
      </c>
      <c r="H1647" s="14" t="s">
        <v>251</v>
      </c>
      <c r="I1647" s="15" t="s">
        <v>3410</v>
      </c>
      <c r="J1647" s="16" t="str">
        <f>VLOOKUP(B1647,baru!$B$2:$I$2271,4,FALSE)</f>
        <v>Reguler</v>
      </c>
      <c r="K1647" s="16" t="str">
        <f>VLOOKUP(B1647,baru!$B$2:$I$2271,5,FALSE)</f>
        <v>JAWA TENGAH</v>
      </c>
      <c r="L1647" s="16" t="str">
        <f>VLOOKUP(B1647,baru!$B$2:$I$2271,6,FALSE)</f>
        <v>WONOSOBO</v>
      </c>
    </row>
    <row r="1648" spans="1:12" hidden="1" x14ac:dyDescent="0.35">
      <c r="A1648" s="6">
        <v>1053732</v>
      </c>
      <c r="B1648" s="7" t="str">
        <f>"3308186508890005"</f>
        <v>3308186508890005</v>
      </c>
      <c r="C1648" s="7" t="s">
        <v>3463</v>
      </c>
      <c r="D1648" s="7" t="s">
        <v>10</v>
      </c>
      <c r="E1648" s="7" t="s">
        <v>11</v>
      </c>
      <c r="F1648" s="7" t="s">
        <v>50</v>
      </c>
      <c r="G1648" s="7" t="s">
        <v>86</v>
      </c>
      <c r="H1648" s="7" t="s">
        <v>1268</v>
      </c>
      <c r="I1648" s="8" t="s">
        <v>3464</v>
      </c>
    </row>
    <row r="1649" spans="1:12" hidden="1" x14ac:dyDescent="0.35">
      <c r="A1649" s="13">
        <v>2298990</v>
      </c>
      <c r="B1649" s="14" t="str">
        <f>"3309041001759008"</f>
        <v>3309041001759008</v>
      </c>
      <c r="C1649" s="14" t="s">
        <v>3465</v>
      </c>
      <c r="D1649" s="14" t="s">
        <v>10</v>
      </c>
      <c r="E1649" s="14" t="s">
        <v>11</v>
      </c>
      <c r="F1649" s="14" t="s">
        <v>18</v>
      </c>
      <c r="G1649" s="14" t="s">
        <v>19</v>
      </c>
      <c r="H1649" s="14" t="s">
        <v>251</v>
      </c>
      <c r="I1649" s="15" t="s">
        <v>3410</v>
      </c>
      <c r="J1649" s="16" t="str">
        <f>VLOOKUP(B1649,baru!$B$2:$I$2271,4,FALSE)</f>
        <v>Reguler</v>
      </c>
      <c r="K1649" s="16" t="str">
        <f>VLOOKUP(B1649,baru!$B$2:$I$2271,5,FALSE)</f>
        <v>JAWA TENGAH</v>
      </c>
      <c r="L1649" s="16" t="str">
        <f>VLOOKUP(B1649,baru!$B$2:$I$2271,6,FALSE)</f>
        <v>BOYOLALI</v>
      </c>
    </row>
    <row r="1650" spans="1:12" hidden="1" x14ac:dyDescent="0.35">
      <c r="A1650" s="6">
        <v>550266</v>
      </c>
      <c r="B1650" s="7" t="str">
        <f>"3310141302890002"</f>
        <v>3310141302890002</v>
      </c>
      <c r="C1650" s="7" t="s">
        <v>3467</v>
      </c>
      <c r="D1650" s="7" t="s">
        <v>10</v>
      </c>
      <c r="E1650" s="7" t="s">
        <v>11</v>
      </c>
      <c r="F1650" s="7" t="s">
        <v>18</v>
      </c>
      <c r="G1650" s="7" t="s">
        <v>385</v>
      </c>
      <c r="H1650" s="7" t="s">
        <v>694</v>
      </c>
      <c r="I1650" s="8" t="s">
        <v>3468</v>
      </c>
    </row>
    <row r="1651" spans="1:12" hidden="1" x14ac:dyDescent="0.35">
      <c r="A1651" s="6">
        <v>135674</v>
      </c>
      <c r="B1651" s="7" t="str">
        <f>"3313045502990001"</f>
        <v>3313045502990001</v>
      </c>
      <c r="C1651" s="7" t="s">
        <v>3469</v>
      </c>
      <c r="D1651" s="7" t="s">
        <v>10</v>
      </c>
      <c r="E1651" s="7" t="s">
        <v>11</v>
      </c>
      <c r="F1651" s="7" t="s">
        <v>18</v>
      </c>
      <c r="G1651" s="7" t="s">
        <v>1381</v>
      </c>
      <c r="H1651" s="7" t="s">
        <v>3470</v>
      </c>
      <c r="I1651" s="8" t="s">
        <v>1666</v>
      </c>
    </row>
    <row r="1652" spans="1:12" hidden="1" x14ac:dyDescent="0.35">
      <c r="A1652" s="6">
        <v>1114829</v>
      </c>
      <c r="B1652" s="7" t="str">
        <f>"3315134107900023"</f>
        <v>3315134107900023</v>
      </c>
      <c r="C1652" s="7" t="s">
        <v>3471</v>
      </c>
      <c r="D1652" s="7" t="s">
        <v>10</v>
      </c>
      <c r="E1652" s="7" t="s">
        <v>11</v>
      </c>
      <c r="F1652" s="7" t="s">
        <v>303</v>
      </c>
      <c r="G1652" s="7" t="s">
        <v>3472</v>
      </c>
      <c r="H1652" s="7" t="s">
        <v>278</v>
      </c>
      <c r="I1652" s="8" t="s">
        <v>1046</v>
      </c>
    </row>
    <row r="1653" spans="1:12" x14ac:dyDescent="0.35">
      <c r="A1653" s="6">
        <v>222330</v>
      </c>
      <c r="B1653" s="7" t="str">
        <f>"3325110212950005"</f>
        <v>3325110212950005</v>
      </c>
      <c r="C1653" s="7" t="s">
        <v>3477</v>
      </c>
      <c r="D1653" s="7" t="s">
        <v>189</v>
      </c>
      <c r="E1653" s="7" t="s">
        <v>11</v>
      </c>
      <c r="F1653" s="7" t="s">
        <v>18</v>
      </c>
      <c r="G1653" s="7" t="s">
        <v>190</v>
      </c>
      <c r="H1653" s="7" t="s">
        <v>190</v>
      </c>
      <c r="I1653" s="8" t="s">
        <v>2460</v>
      </c>
    </row>
    <row r="1654" spans="1:12" hidden="1" x14ac:dyDescent="0.35">
      <c r="A1654" s="13">
        <v>2270842</v>
      </c>
      <c r="B1654" s="14" t="str">
        <f>"3326016505790003"</f>
        <v>3326016505790003</v>
      </c>
      <c r="C1654" s="14" t="s">
        <v>3478</v>
      </c>
      <c r="D1654" s="14" t="s">
        <v>10</v>
      </c>
      <c r="E1654" s="14" t="s">
        <v>11</v>
      </c>
      <c r="F1654" s="14" t="s">
        <v>18</v>
      </c>
      <c r="G1654" s="14" t="s">
        <v>19</v>
      </c>
      <c r="H1654" s="14" t="s">
        <v>251</v>
      </c>
      <c r="I1654" s="15" t="s">
        <v>3344</v>
      </c>
      <c r="J1654" s="16" t="str">
        <f>VLOOKUP(B1654,baru!$B$2:$I$2271,4,FALSE)</f>
        <v>Reguler</v>
      </c>
      <c r="K1654" s="16" t="str">
        <f>VLOOKUP(B1654,baru!$B$2:$I$2271,5,FALSE)</f>
        <v>JAWA TENGAH</v>
      </c>
      <c r="L1654" s="16" t="str">
        <f>VLOOKUP(B1654,baru!$B$2:$I$2271,6,FALSE)</f>
        <v>PEKALONGAN</v>
      </c>
    </row>
    <row r="1655" spans="1:12" hidden="1" x14ac:dyDescent="0.35">
      <c r="A1655" s="13">
        <v>2276749</v>
      </c>
      <c r="B1655" s="14" t="str">
        <f>"3327043003920003"</f>
        <v>3327043003920003</v>
      </c>
      <c r="C1655" s="14" t="s">
        <v>3481</v>
      </c>
      <c r="D1655" s="14" t="s">
        <v>10</v>
      </c>
      <c r="E1655" s="14" t="s">
        <v>11</v>
      </c>
      <c r="F1655" s="14" t="s">
        <v>18</v>
      </c>
      <c r="G1655" s="14" t="s">
        <v>19</v>
      </c>
      <c r="H1655" s="14" t="s">
        <v>251</v>
      </c>
      <c r="I1655" s="15" t="s">
        <v>252</v>
      </c>
      <c r="J1655" s="16" t="str">
        <f>VLOOKUP(B1655,baru!$B$2:$I$2271,4,FALSE)</f>
        <v>Reguler</v>
      </c>
      <c r="K1655" s="16" t="str">
        <f>VLOOKUP(B1655,baru!$B$2:$I$2271,5,FALSE)</f>
        <v>JAWA TENGAH</v>
      </c>
      <c r="L1655" s="16" t="str">
        <f>VLOOKUP(B1655,baru!$B$2:$I$2271,6,FALSE)</f>
        <v>PEMALANG</v>
      </c>
    </row>
    <row r="1656" spans="1:12" hidden="1" x14ac:dyDescent="0.35">
      <c r="A1656" s="6">
        <v>387014</v>
      </c>
      <c r="B1656" s="7" t="str">
        <f>"3328090104770003"</f>
        <v>3328090104770003</v>
      </c>
      <c r="C1656" s="7" t="s">
        <v>3484</v>
      </c>
      <c r="D1656" s="7" t="s">
        <v>10</v>
      </c>
      <c r="E1656" s="7" t="s">
        <v>11</v>
      </c>
      <c r="F1656" s="7" t="s">
        <v>18</v>
      </c>
      <c r="G1656" s="7" t="s">
        <v>268</v>
      </c>
      <c r="H1656" s="7" t="s">
        <v>448</v>
      </c>
      <c r="I1656" s="8" t="s">
        <v>2777</v>
      </c>
    </row>
    <row r="1657" spans="1:12" hidden="1" x14ac:dyDescent="0.35">
      <c r="A1657" s="6">
        <v>228229</v>
      </c>
      <c r="B1657" s="7" t="str">
        <f>"3328090602960001"</f>
        <v>3328090602960001</v>
      </c>
      <c r="C1657" s="7" t="s">
        <v>3485</v>
      </c>
      <c r="D1657" s="7" t="s">
        <v>10</v>
      </c>
      <c r="E1657" s="7" t="s">
        <v>11</v>
      </c>
      <c r="F1657" s="7" t="s">
        <v>18</v>
      </c>
      <c r="G1657" s="7" t="s">
        <v>268</v>
      </c>
      <c r="H1657" s="7" t="s">
        <v>371</v>
      </c>
      <c r="I1657" s="8" t="s">
        <v>2346</v>
      </c>
    </row>
    <row r="1658" spans="1:12" hidden="1" x14ac:dyDescent="0.35">
      <c r="A1658" s="6">
        <v>1166978</v>
      </c>
      <c r="B1658" s="7" t="str">
        <f>"3328095306920003"</f>
        <v>3328095306920003</v>
      </c>
      <c r="C1658" s="7" t="s">
        <v>3486</v>
      </c>
      <c r="D1658" s="7" t="s">
        <v>10</v>
      </c>
      <c r="E1658" s="7" t="s">
        <v>11</v>
      </c>
      <c r="F1658" s="7" t="s">
        <v>91</v>
      </c>
      <c r="G1658" s="7" t="s">
        <v>650</v>
      </c>
      <c r="H1658" s="7" t="s">
        <v>3398</v>
      </c>
      <c r="I1658" s="8" t="s">
        <v>3399</v>
      </c>
    </row>
    <row r="1659" spans="1:12" hidden="1" x14ac:dyDescent="0.35">
      <c r="A1659" s="6">
        <v>1350690</v>
      </c>
      <c r="B1659" s="7" t="str">
        <f>"3328100102920004"</f>
        <v>3328100102920004</v>
      </c>
      <c r="C1659" s="7" t="s">
        <v>3487</v>
      </c>
      <c r="D1659" s="7" t="s">
        <v>10</v>
      </c>
      <c r="E1659" s="7" t="s">
        <v>11</v>
      </c>
      <c r="F1659" s="7" t="s">
        <v>91</v>
      </c>
      <c r="G1659" s="7" t="s">
        <v>92</v>
      </c>
      <c r="H1659" s="7" t="s">
        <v>673</v>
      </c>
      <c r="I1659" s="8" t="s">
        <v>674</v>
      </c>
    </row>
    <row r="1660" spans="1:12" hidden="1" x14ac:dyDescent="0.35">
      <c r="A1660" s="13">
        <v>2239118</v>
      </c>
      <c r="B1660" s="14" t="str">
        <f>"3328100110580002"</f>
        <v>3328100110580002</v>
      </c>
      <c r="C1660" s="14" t="s">
        <v>3489</v>
      </c>
      <c r="D1660" s="14" t="s">
        <v>10</v>
      </c>
      <c r="E1660" s="14" t="s">
        <v>11</v>
      </c>
      <c r="F1660" s="14" t="s">
        <v>18</v>
      </c>
      <c r="G1660" s="14" t="s">
        <v>19</v>
      </c>
      <c r="H1660" s="14" t="s">
        <v>251</v>
      </c>
      <c r="I1660" s="15" t="s">
        <v>3432</v>
      </c>
      <c r="J1660" s="16" t="str">
        <f>VLOOKUP(B1660,baru!$B$2:$I$2271,4,FALSE)</f>
        <v>Reguler</v>
      </c>
      <c r="K1660" s="16" t="str">
        <f>VLOOKUP(B1660,baru!$B$2:$I$2271,5,FALSE)</f>
        <v>JAWA TENGAH</v>
      </c>
      <c r="L1660" s="16" t="str">
        <f>VLOOKUP(B1660,baru!$B$2:$I$2271,6,FALSE)</f>
        <v>KOTA TEGAL</v>
      </c>
    </row>
    <row r="1661" spans="1:12" hidden="1" x14ac:dyDescent="0.35">
      <c r="A1661" s="6">
        <v>742747</v>
      </c>
      <c r="B1661" s="7" t="str">
        <f>"3328100307930002"</f>
        <v>3328100307930002</v>
      </c>
      <c r="C1661" s="7" t="s">
        <v>3490</v>
      </c>
      <c r="D1661" s="7" t="s">
        <v>10</v>
      </c>
      <c r="E1661" s="7" t="s">
        <v>11</v>
      </c>
      <c r="F1661" s="7" t="s">
        <v>91</v>
      </c>
      <c r="G1661" s="7" t="s">
        <v>159</v>
      </c>
      <c r="H1661" s="7" t="s">
        <v>3107</v>
      </c>
      <c r="I1661" s="8" t="s">
        <v>3491</v>
      </c>
    </row>
    <row r="1662" spans="1:12" hidden="1" x14ac:dyDescent="0.35">
      <c r="A1662" s="6">
        <v>2248196</v>
      </c>
      <c r="B1662" s="7" t="str">
        <f>"3328100607010002"</f>
        <v>3328100607010002</v>
      </c>
      <c r="C1662" s="7" t="s">
        <v>3492</v>
      </c>
      <c r="D1662" s="7" t="s">
        <v>10</v>
      </c>
      <c r="E1662" s="7" t="s">
        <v>11</v>
      </c>
      <c r="F1662" s="7" t="s">
        <v>18</v>
      </c>
      <c r="G1662" s="7" t="s">
        <v>19</v>
      </c>
      <c r="H1662" s="7" t="s">
        <v>251</v>
      </c>
      <c r="I1662" s="8" t="s">
        <v>3493</v>
      </c>
      <c r="J1662" t="e">
        <f>VLOOKUP(B1662,baru!$B$2:$I$2271,4,FALSE)</f>
        <v>#N/A</v>
      </c>
      <c r="K1662" t="e">
        <f>VLOOKUP(B1662,baru!$B$2:$I$2271,5,FALSE)</f>
        <v>#N/A</v>
      </c>
      <c r="L1662" t="e">
        <f>VLOOKUP(B1662,baru!$B$2:$I$2271,6,FALSE)</f>
        <v>#N/A</v>
      </c>
    </row>
    <row r="1663" spans="1:12" hidden="1" x14ac:dyDescent="0.35">
      <c r="A1663" s="6">
        <v>1350415</v>
      </c>
      <c r="B1663" s="7" t="str">
        <f>"3328100607010002"</f>
        <v>3328100607010002</v>
      </c>
      <c r="C1663" s="7" t="s">
        <v>3492</v>
      </c>
      <c r="D1663" s="7" t="s">
        <v>10</v>
      </c>
      <c r="E1663" s="7" t="s">
        <v>57</v>
      </c>
      <c r="F1663" s="7" t="s">
        <v>303</v>
      </c>
      <c r="G1663" s="7" t="s">
        <v>608</v>
      </c>
      <c r="H1663" s="7" t="s">
        <v>609</v>
      </c>
      <c r="I1663" s="8" t="s">
        <v>610</v>
      </c>
    </row>
    <row r="1664" spans="1:12" hidden="1" x14ac:dyDescent="0.35">
      <c r="A1664" s="13">
        <v>2266130</v>
      </c>
      <c r="B1664" s="14" t="str">
        <f>"3328100705850004"</f>
        <v>3328100705850004</v>
      </c>
      <c r="C1664" s="14" t="s">
        <v>3494</v>
      </c>
      <c r="D1664" s="14" t="s">
        <v>10</v>
      </c>
      <c r="E1664" s="14" t="s">
        <v>11</v>
      </c>
      <c r="F1664" s="14" t="s">
        <v>18</v>
      </c>
      <c r="G1664" s="14" t="s">
        <v>19</v>
      </c>
      <c r="H1664" s="14" t="s">
        <v>251</v>
      </c>
      <c r="I1664" s="15" t="s">
        <v>3344</v>
      </c>
      <c r="J1664" s="16" t="str">
        <f>VLOOKUP(B1664,baru!$B$2:$I$2271,4,FALSE)</f>
        <v>Reguler</v>
      </c>
      <c r="K1664" s="16" t="str">
        <f>VLOOKUP(B1664,baru!$B$2:$I$2271,5,FALSE)</f>
        <v>JAWA TENGAH</v>
      </c>
      <c r="L1664" s="16" t="str">
        <f>VLOOKUP(B1664,baru!$B$2:$I$2271,6,FALSE)</f>
        <v>SRAGEN</v>
      </c>
    </row>
    <row r="1665" spans="1:12" hidden="1" x14ac:dyDescent="0.35">
      <c r="A1665" s="17">
        <v>2309929</v>
      </c>
      <c r="B1665" s="18" t="str">
        <f>"3328100804900002"</f>
        <v>3328100804900002</v>
      </c>
      <c r="C1665" s="18" t="s">
        <v>3498</v>
      </c>
      <c r="D1665" s="18" t="s">
        <v>10</v>
      </c>
      <c r="E1665" s="18" t="s">
        <v>11</v>
      </c>
      <c r="F1665" s="18" t="s">
        <v>18</v>
      </c>
      <c r="G1665" s="18" t="s">
        <v>19</v>
      </c>
      <c r="H1665" s="18" t="s">
        <v>251</v>
      </c>
      <c r="I1665" s="19" t="s">
        <v>3414</v>
      </c>
      <c r="J1665" s="20" t="str">
        <f>VLOOKUP(B1665,baru!$B$2:$I$2271,4,FALSE)</f>
        <v>Khusus</v>
      </c>
      <c r="K1665" s="20" t="str">
        <f>VLOOKUP(B1665,baru!$B$2:$I$2271,5,FALSE)</f>
        <v>JAWA TENGAH</v>
      </c>
      <c r="L1665" s="20" t="str">
        <f>VLOOKUP(B1665,baru!$B$2:$I$2271,6,FALSE)</f>
        <v>CILACAP</v>
      </c>
    </row>
    <row r="1666" spans="1:12" hidden="1" x14ac:dyDescent="0.35">
      <c r="A1666" s="13">
        <v>2299215</v>
      </c>
      <c r="B1666" s="14" t="str">
        <f>"3328101002880001"</f>
        <v>3328101002880001</v>
      </c>
      <c r="C1666" s="14" t="s">
        <v>3500</v>
      </c>
      <c r="D1666" s="14" t="s">
        <v>10</v>
      </c>
      <c r="E1666" s="14" t="s">
        <v>11</v>
      </c>
      <c r="F1666" s="14" t="s">
        <v>18</v>
      </c>
      <c r="G1666" s="14" t="s">
        <v>19</v>
      </c>
      <c r="H1666" s="14" t="s">
        <v>251</v>
      </c>
      <c r="I1666" s="15" t="s">
        <v>3410</v>
      </c>
      <c r="J1666" s="16" t="str">
        <f>VLOOKUP(B1666,baru!$B$2:$I$2271,4,FALSE)</f>
        <v>Reguler</v>
      </c>
      <c r="K1666" s="16" t="str">
        <f>VLOOKUP(B1666,baru!$B$2:$I$2271,5,FALSE)</f>
        <v>JAWA TENGAH</v>
      </c>
      <c r="L1666" s="16" t="str">
        <f>VLOOKUP(B1666,baru!$B$2:$I$2271,6,FALSE)</f>
        <v>KOTA TEGAL</v>
      </c>
    </row>
    <row r="1667" spans="1:12" hidden="1" x14ac:dyDescent="0.35">
      <c r="A1667" s="6">
        <v>70424</v>
      </c>
      <c r="B1667" s="7" t="str">
        <f>"3328101002920006"</f>
        <v>3328101002920006</v>
      </c>
      <c r="C1667" s="7" t="s">
        <v>3502</v>
      </c>
      <c r="D1667" s="7" t="s">
        <v>10</v>
      </c>
      <c r="E1667" s="7" t="s">
        <v>11</v>
      </c>
      <c r="F1667" s="7" t="s">
        <v>1959</v>
      </c>
      <c r="G1667" s="7" t="s">
        <v>3503</v>
      </c>
      <c r="H1667" s="7" t="s">
        <v>3504</v>
      </c>
      <c r="I1667" s="8" t="s">
        <v>3504</v>
      </c>
    </row>
    <row r="1668" spans="1:12" hidden="1" x14ac:dyDescent="0.35">
      <c r="A1668" s="13">
        <v>2314503</v>
      </c>
      <c r="B1668" s="14" t="str">
        <f>"3328101003600002"</f>
        <v>3328101003600002</v>
      </c>
      <c r="C1668" s="14" t="s">
        <v>3505</v>
      </c>
      <c r="D1668" s="14" t="s">
        <v>10</v>
      </c>
      <c r="E1668" s="14" t="s">
        <v>11</v>
      </c>
      <c r="F1668" s="14" t="s">
        <v>18</v>
      </c>
      <c r="G1668" s="14" t="s">
        <v>19</v>
      </c>
      <c r="H1668" s="14" t="s">
        <v>251</v>
      </c>
      <c r="I1668" s="15" t="s">
        <v>3451</v>
      </c>
      <c r="J1668" s="16" t="str">
        <f>VLOOKUP(B1668,baru!$B$2:$I$2271,4,FALSE)</f>
        <v>Reguler</v>
      </c>
      <c r="K1668" s="16" t="str">
        <f>VLOOKUP(B1668,baru!$B$2:$I$2271,5,FALSE)</f>
        <v>JAWA TENGAH</v>
      </c>
      <c r="L1668" s="16" t="str">
        <f>VLOOKUP(B1668,baru!$B$2:$I$2271,6,FALSE)</f>
        <v>BREBES</v>
      </c>
    </row>
    <row r="1669" spans="1:12" hidden="1" x14ac:dyDescent="0.35">
      <c r="A1669" s="13">
        <v>2313475</v>
      </c>
      <c r="B1669" s="14" t="str">
        <f>"3328101007960004"</f>
        <v>3328101007960004</v>
      </c>
      <c r="C1669" s="14" t="s">
        <v>3506</v>
      </c>
      <c r="D1669" s="14" t="s">
        <v>10</v>
      </c>
      <c r="E1669" s="14" t="s">
        <v>11</v>
      </c>
      <c r="F1669" s="14" t="s">
        <v>18</v>
      </c>
      <c r="G1669" s="14" t="s">
        <v>19</v>
      </c>
      <c r="H1669" s="14" t="s">
        <v>251</v>
      </c>
      <c r="I1669" s="15" t="s">
        <v>3414</v>
      </c>
      <c r="J1669" s="16" t="str">
        <f>VLOOKUP(B1669,baru!$B$2:$I$2271,4,FALSE)</f>
        <v>Reguler</v>
      </c>
      <c r="K1669" s="16" t="str">
        <f>VLOOKUP(B1669,baru!$B$2:$I$2271,5,FALSE)</f>
        <v>JAWA TENGAH</v>
      </c>
      <c r="L1669" s="16" t="str">
        <f>VLOOKUP(B1669,baru!$B$2:$I$2271,6,FALSE)</f>
        <v>GROBOGAN</v>
      </c>
    </row>
    <row r="1670" spans="1:12" hidden="1" x14ac:dyDescent="0.35">
      <c r="A1670" s="6">
        <v>2326235</v>
      </c>
      <c r="B1670" s="7" t="str">
        <f>"3328101204890007"</f>
        <v>3328101204890007</v>
      </c>
      <c r="C1670" s="7" t="s">
        <v>3509</v>
      </c>
      <c r="D1670" s="7" t="s">
        <v>10</v>
      </c>
      <c r="E1670" s="7" t="s">
        <v>11</v>
      </c>
      <c r="F1670" s="7" t="s">
        <v>18</v>
      </c>
      <c r="G1670" s="7" t="s">
        <v>19</v>
      </c>
      <c r="H1670" s="7" t="s">
        <v>251</v>
      </c>
      <c r="I1670" s="8" t="s">
        <v>3418</v>
      </c>
      <c r="J1670" t="e">
        <f>VLOOKUP(B1670,baru!$B$2:$I$2271,4,FALSE)</f>
        <v>#N/A</v>
      </c>
      <c r="K1670" t="e">
        <f>VLOOKUP(B1670,baru!$B$2:$I$2271,5,FALSE)</f>
        <v>#N/A</v>
      </c>
      <c r="L1670" t="e">
        <f>VLOOKUP(B1670,baru!$B$2:$I$2271,6,FALSE)</f>
        <v>#N/A</v>
      </c>
    </row>
    <row r="1671" spans="1:12" hidden="1" x14ac:dyDescent="0.35">
      <c r="A1671" s="6">
        <v>2613996</v>
      </c>
      <c r="B1671" s="7" t="str">
        <f>"3328101204890007"</f>
        <v>3328101204890007</v>
      </c>
      <c r="C1671" s="7" t="s">
        <v>3510</v>
      </c>
      <c r="D1671" s="7" t="s">
        <v>10</v>
      </c>
      <c r="E1671" s="7" t="s">
        <v>57</v>
      </c>
      <c r="F1671" s="7" t="s">
        <v>18</v>
      </c>
      <c r="G1671" s="7" t="s">
        <v>1438</v>
      </c>
      <c r="H1671" s="7" t="s">
        <v>3511</v>
      </c>
      <c r="I1671" s="8" t="s">
        <v>3086</v>
      </c>
    </row>
    <row r="1672" spans="1:12" x14ac:dyDescent="0.35">
      <c r="A1672" s="6">
        <v>2296606</v>
      </c>
      <c r="B1672" s="7" t="str">
        <f>"3328101210120008"</f>
        <v>3328101210120008</v>
      </c>
      <c r="C1672" s="7" t="s">
        <v>3512</v>
      </c>
      <c r="D1672" s="7" t="s">
        <v>189</v>
      </c>
      <c r="E1672" s="7" t="s">
        <v>11</v>
      </c>
      <c r="F1672" s="7" t="s">
        <v>18</v>
      </c>
      <c r="G1672" s="7" t="s">
        <v>19</v>
      </c>
      <c r="H1672" s="7" t="s">
        <v>251</v>
      </c>
      <c r="I1672" s="8" t="s">
        <v>252</v>
      </c>
      <c r="J1672" t="e">
        <f>VLOOKUP(B1672,baru!$B$2:$I$2271,4,FALSE)</f>
        <v>#N/A</v>
      </c>
      <c r="K1672" t="e">
        <f>VLOOKUP(B1672,baru!$B$2:$I$2271,5,FALSE)</f>
        <v>#N/A</v>
      </c>
      <c r="L1672" t="e">
        <f>VLOOKUP(B1672,baru!$B$2:$I$2271,6,FALSE)</f>
        <v>#N/A</v>
      </c>
    </row>
    <row r="1673" spans="1:12" x14ac:dyDescent="0.35">
      <c r="A1673" s="6">
        <v>2296607</v>
      </c>
      <c r="B1673" s="7" t="str">
        <f>"3328101210120008"</f>
        <v>3328101210120008</v>
      </c>
      <c r="C1673" s="7" t="s">
        <v>3513</v>
      </c>
      <c r="D1673" s="7" t="s">
        <v>189</v>
      </c>
      <c r="E1673" s="7" t="s">
        <v>11</v>
      </c>
      <c r="F1673" s="7" t="s">
        <v>18</v>
      </c>
      <c r="G1673" s="7" t="s">
        <v>19</v>
      </c>
      <c r="H1673" s="7" t="s">
        <v>251</v>
      </c>
      <c r="I1673" s="8" t="s">
        <v>252</v>
      </c>
      <c r="J1673" t="e">
        <f>VLOOKUP(B1673,baru!$B$2:$I$2271,4,FALSE)</f>
        <v>#N/A</v>
      </c>
      <c r="K1673" t="e">
        <f>VLOOKUP(B1673,baru!$B$2:$I$2271,5,FALSE)</f>
        <v>#N/A</v>
      </c>
      <c r="L1673" t="e">
        <f>VLOOKUP(B1673,baru!$B$2:$I$2271,6,FALSE)</f>
        <v>#N/A</v>
      </c>
    </row>
    <row r="1674" spans="1:12" hidden="1" x14ac:dyDescent="0.35">
      <c r="A1674" s="13">
        <v>2244469</v>
      </c>
      <c r="B1674" s="14" t="str">
        <f>"3328101308540001"</f>
        <v>3328101308540001</v>
      </c>
      <c r="C1674" s="14" t="s">
        <v>3514</v>
      </c>
      <c r="D1674" s="14" t="s">
        <v>10</v>
      </c>
      <c r="E1674" s="14" t="s">
        <v>11</v>
      </c>
      <c r="F1674" s="14" t="s">
        <v>18</v>
      </c>
      <c r="G1674" s="14" t="s">
        <v>19</v>
      </c>
      <c r="H1674" s="14" t="s">
        <v>251</v>
      </c>
      <c r="I1674" s="15" t="s">
        <v>3432</v>
      </c>
      <c r="J1674" s="16" t="str">
        <f>VLOOKUP(B1674,baru!$B$2:$I$2271,4,FALSE)</f>
        <v>Reguler</v>
      </c>
      <c r="K1674" s="16" t="str">
        <f>VLOOKUP(B1674,baru!$B$2:$I$2271,5,FALSE)</f>
        <v>JAWA TENGAH</v>
      </c>
      <c r="L1674" s="16" t="str">
        <f>VLOOKUP(B1674,baru!$B$2:$I$2271,6,FALSE)</f>
        <v>PEMALANG</v>
      </c>
    </row>
    <row r="1675" spans="1:12" hidden="1" x14ac:dyDescent="0.35">
      <c r="A1675" s="17">
        <v>2265528</v>
      </c>
      <c r="B1675" s="18" t="str">
        <f>"3328101611960002"</f>
        <v>3328101611960002</v>
      </c>
      <c r="C1675" s="18" t="s">
        <v>3517</v>
      </c>
      <c r="D1675" s="18" t="s">
        <v>10</v>
      </c>
      <c r="E1675" s="18" t="s">
        <v>11</v>
      </c>
      <c r="F1675" s="18" t="s">
        <v>18</v>
      </c>
      <c r="G1675" s="18" t="s">
        <v>19</v>
      </c>
      <c r="H1675" s="18" t="s">
        <v>251</v>
      </c>
      <c r="I1675" s="19" t="s">
        <v>3344</v>
      </c>
      <c r="J1675" s="20" t="str">
        <f>VLOOKUP(B1675,baru!$B$2:$I$2271,4,FALSE)</f>
        <v>Khusus</v>
      </c>
      <c r="K1675" s="20" t="str">
        <f>VLOOKUP(B1675,baru!$B$2:$I$2271,5,FALSE)</f>
        <v>JAWA TENGAH</v>
      </c>
      <c r="L1675" s="20" t="str">
        <f>VLOOKUP(B1675,baru!$B$2:$I$2271,6,FALSE)</f>
        <v>CILACAP</v>
      </c>
    </row>
    <row r="1676" spans="1:12" hidden="1" x14ac:dyDescent="0.35">
      <c r="A1676" s="13">
        <v>2317458</v>
      </c>
      <c r="B1676" s="14" t="str">
        <f>"3328101704910002"</f>
        <v>3328101704910002</v>
      </c>
      <c r="C1676" s="14" t="s">
        <v>3519</v>
      </c>
      <c r="D1676" s="14" t="s">
        <v>10</v>
      </c>
      <c r="E1676" s="14" t="s">
        <v>11</v>
      </c>
      <c r="F1676" s="14" t="s">
        <v>18</v>
      </c>
      <c r="G1676" s="14" t="s">
        <v>19</v>
      </c>
      <c r="H1676" s="14" t="s">
        <v>251</v>
      </c>
      <c r="I1676" s="15" t="s">
        <v>3451</v>
      </c>
      <c r="J1676" s="16" t="str">
        <f>VLOOKUP(B1676,baru!$B$2:$I$2271,4,FALSE)</f>
        <v>Reguler</v>
      </c>
      <c r="K1676" s="16" t="str">
        <f>VLOOKUP(B1676,baru!$B$2:$I$2271,5,FALSE)</f>
        <v>SULAWESI UTARA</v>
      </c>
      <c r="L1676" s="16" t="str">
        <f>VLOOKUP(B1676,baru!$B$2:$I$2271,6,FALSE)</f>
        <v>MINAHASA</v>
      </c>
    </row>
    <row r="1677" spans="1:12" x14ac:dyDescent="0.35">
      <c r="A1677" s="13">
        <v>2311478</v>
      </c>
      <c r="B1677" s="14" t="str">
        <f>"3328101712970005"</f>
        <v>3328101712970005</v>
      </c>
      <c r="C1677" s="14" t="s">
        <v>3523</v>
      </c>
      <c r="D1677" s="14" t="s">
        <v>189</v>
      </c>
      <c r="E1677" s="14" t="s">
        <v>11</v>
      </c>
      <c r="F1677" s="14" t="s">
        <v>18</v>
      </c>
      <c r="G1677" s="14" t="s">
        <v>19</v>
      </c>
      <c r="H1677" s="14" t="s">
        <v>251</v>
      </c>
      <c r="I1677" s="15" t="s">
        <v>3414</v>
      </c>
      <c r="J1677" s="16" t="str">
        <f>VLOOKUP(B1677,baru!$B$2:$I$2271,4,FALSE)</f>
        <v>Reguler</v>
      </c>
      <c r="K1677" s="16" t="str">
        <f>VLOOKUP(B1677,baru!$B$2:$I$2271,5,FALSE)</f>
        <v>JAWA TENGAH</v>
      </c>
      <c r="L1677" s="16" t="str">
        <f>VLOOKUP(B1677,baru!$B$2:$I$2271,6,FALSE)</f>
        <v>KARANGANYAR</v>
      </c>
    </row>
    <row r="1678" spans="1:12" hidden="1" x14ac:dyDescent="0.35">
      <c r="A1678" s="13">
        <v>2321105</v>
      </c>
      <c r="B1678" s="14" t="str">
        <f>"3328101803810004"</f>
        <v>3328101803810004</v>
      </c>
      <c r="C1678" s="14" t="s">
        <v>3526</v>
      </c>
      <c r="D1678" s="14" t="s">
        <v>10</v>
      </c>
      <c r="E1678" s="14" t="s">
        <v>11</v>
      </c>
      <c r="F1678" s="14" t="s">
        <v>18</v>
      </c>
      <c r="G1678" s="14" t="s">
        <v>19</v>
      </c>
      <c r="H1678" s="14" t="s">
        <v>251</v>
      </c>
      <c r="I1678" s="15" t="s">
        <v>3400</v>
      </c>
      <c r="J1678" s="16" t="str">
        <f>VLOOKUP(B1678,baru!$B$2:$I$2271,4,FALSE)</f>
        <v>Reguler</v>
      </c>
      <c r="K1678" s="16" t="str">
        <f>VLOOKUP(B1678,baru!$B$2:$I$2271,5,FALSE)</f>
        <v>JAWA TENGAH</v>
      </c>
      <c r="L1678" s="16" t="str">
        <f>VLOOKUP(B1678,baru!$B$2:$I$2271,6,FALSE)</f>
        <v>TEGAL</v>
      </c>
    </row>
    <row r="1679" spans="1:12" hidden="1" x14ac:dyDescent="0.35">
      <c r="A1679" s="17">
        <v>2321891</v>
      </c>
      <c r="B1679" s="18" t="str">
        <f>"3328101911640005"</f>
        <v>3328101911640005</v>
      </c>
      <c r="C1679" s="18" t="s">
        <v>2850</v>
      </c>
      <c r="D1679" s="18" t="s">
        <v>10</v>
      </c>
      <c r="E1679" s="18" t="s">
        <v>11</v>
      </c>
      <c r="F1679" s="18" t="s">
        <v>18</v>
      </c>
      <c r="G1679" s="18" t="s">
        <v>19</v>
      </c>
      <c r="H1679" s="18" t="s">
        <v>251</v>
      </c>
      <c r="I1679" s="19" t="s">
        <v>3400</v>
      </c>
      <c r="J1679" s="20" t="str">
        <f>VLOOKUP(B1679,baru!$B$2:$I$2271,4,FALSE)</f>
        <v>Khusus</v>
      </c>
      <c r="K1679" s="20" t="str">
        <f>VLOOKUP(B1679,baru!$B$2:$I$2271,5,FALSE)</f>
        <v>JAWA TENGAH</v>
      </c>
      <c r="L1679" s="20" t="str">
        <f>VLOOKUP(B1679,baru!$B$2:$I$2271,6,FALSE)</f>
        <v>CILACAP</v>
      </c>
    </row>
    <row r="1680" spans="1:12" hidden="1" x14ac:dyDescent="0.35">
      <c r="A1680" s="6">
        <v>190824</v>
      </c>
      <c r="B1680" s="7" t="str">
        <f>"3328102003000003"</f>
        <v>3328102003000003</v>
      </c>
      <c r="C1680" s="7" t="s">
        <v>3529</v>
      </c>
      <c r="D1680" s="7" t="s">
        <v>10</v>
      </c>
      <c r="E1680" s="7" t="s">
        <v>11</v>
      </c>
      <c r="F1680" s="7" t="s">
        <v>44</v>
      </c>
      <c r="G1680" s="7" t="s">
        <v>1040</v>
      </c>
      <c r="H1680" s="7" t="s">
        <v>3530</v>
      </c>
      <c r="I1680" s="8" t="s">
        <v>3531</v>
      </c>
    </row>
    <row r="1681" spans="1:12" x14ac:dyDescent="0.35">
      <c r="A1681" s="6">
        <v>1544886</v>
      </c>
      <c r="B1681" s="7" t="str">
        <f>"3328102104720005"</f>
        <v>3328102104720005</v>
      </c>
      <c r="C1681" s="7" t="s">
        <v>3532</v>
      </c>
      <c r="D1681" s="7" t="s">
        <v>189</v>
      </c>
      <c r="E1681" s="7" t="s">
        <v>11</v>
      </c>
      <c r="F1681" s="7" t="s">
        <v>67</v>
      </c>
      <c r="G1681" s="7" t="s">
        <v>375</v>
      </c>
      <c r="H1681" s="7" t="s">
        <v>2617</v>
      </c>
      <c r="I1681" s="8" t="s">
        <v>3533</v>
      </c>
    </row>
    <row r="1682" spans="1:12" hidden="1" x14ac:dyDescent="0.35">
      <c r="A1682" s="6">
        <v>2247354</v>
      </c>
      <c r="B1682" s="7" t="str">
        <f>"3328102311030002"</f>
        <v>3328102311030002</v>
      </c>
      <c r="C1682" s="7" t="s">
        <v>3534</v>
      </c>
      <c r="D1682" s="7" t="s">
        <v>10</v>
      </c>
      <c r="E1682" s="7" t="s">
        <v>11</v>
      </c>
      <c r="F1682" s="7" t="s">
        <v>18</v>
      </c>
      <c r="G1682" s="7" t="s">
        <v>19</v>
      </c>
      <c r="H1682" s="7" t="s">
        <v>251</v>
      </c>
      <c r="I1682" s="8" t="s">
        <v>3493</v>
      </c>
      <c r="J1682" t="e">
        <f>VLOOKUP(B1682,baru!$B$2:$I$2271,4,FALSE)</f>
        <v>#N/A</v>
      </c>
      <c r="K1682" t="e">
        <f>VLOOKUP(B1682,baru!$B$2:$I$2271,5,FALSE)</f>
        <v>#N/A</v>
      </c>
      <c r="L1682" t="e">
        <f>VLOOKUP(B1682,baru!$B$2:$I$2271,6,FALSE)</f>
        <v>#N/A</v>
      </c>
    </row>
    <row r="1683" spans="1:12" hidden="1" x14ac:dyDescent="0.35">
      <c r="A1683" s="6">
        <v>1350416</v>
      </c>
      <c r="B1683" s="7" t="str">
        <f>"3328102311030002"</f>
        <v>3328102311030002</v>
      </c>
      <c r="C1683" s="7" t="s">
        <v>3534</v>
      </c>
      <c r="D1683" s="7" t="s">
        <v>10</v>
      </c>
      <c r="E1683" s="7" t="s">
        <v>57</v>
      </c>
      <c r="F1683" s="7" t="s">
        <v>303</v>
      </c>
      <c r="G1683" s="7" t="s">
        <v>608</v>
      </c>
      <c r="H1683" s="7" t="s">
        <v>609</v>
      </c>
      <c r="I1683" s="8" t="s">
        <v>610</v>
      </c>
    </row>
    <row r="1684" spans="1:12" hidden="1" x14ac:dyDescent="0.35">
      <c r="A1684" s="6">
        <v>2276536</v>
      </c>
      <c r="B1684" s="7" t="str">
        <f>"3328102403790005"</f>
        <v>3328102403790005</v>
      </c>
      <c r="C1684" s="7" t="s">
        <v>3535</v>
      </c>
      <c r="D1684" s="7" t="s">
        <v>10</v>
      </c>
      <c r="E1684" s="7" t="s">
        <v>11</v>
      </c>
      <c r="F1684" s="7" t="s">
        <v>18</v>
      </c>
      <c r="G1684" s="7" t="s">
        <v>19</v>
      </c>
      <c r="H1684" s="7" t="s">
        <v>251</v>
      </c>
      <c r="I1684" s="8" t="s">
        <v>252</v>
      </c>
      <c r="J1684" t="e">
        <f>VLOOKUP(B1684,baru!$B$2:$I$2271,4,FALSE)</f>
        <v>#N/A</v>
      </c>
      <c r="K1684" t="e">
        <f>VLOOKUP(B1684,baru!$B$2:$I$2271,5,FALSE)</f>
        <v>#N/A</v>
      </c>
      <c r="L1684" t="e">
        <f>VLOOKUP(B1684,baru!$B$2:$I$2271,6,FALSE)</f>
        <v>#N/A</v>
      </c>
    </row>
    <row r="1685" spans="1:12" hidden="1" x14ac:dyDescent="0.35">
      <c r="A1685" s="6">
        <v>423728</v>
      </c>
      <c r="B1685" s="7" t="str">
        <f>"3328102403790005"</f>
        <v>3328102403790005</v>
      </c>
      <c r="C1685" s="7" t="s">
        <v>3536</v>
      </c>
      <c r="D1685" s="7" t="s">
        <v>10</v>
      </c>
      <c r="E1685" s="7" t="s">
        <v>57</v>
      </c>
      <c r="F1685" s="7" t="s">
        <v>18</v>
      </c>
      <c r="G1685" s="7" t="s">
        <v>268</v>
      </c>
      <c r="H1685" s="7" t="s">
        <v>277</v>
      </c>
      <c r="I1685" s="8" t="s">
        <v>278</v>
      </c>
    </row>
    <row r="1686" spans="1:12" hidden="1" x14ac:dyDescent="0.35">
      <c r="A1686" s="6">
        <v>38644</v>
      </c>
      <c r="B1686" s="7" t="str">
        <f>"3328102505930003"</f>
        <v>3328102505930003</v>
      </c>
      <c r="C1686" s="7" t="s">
        <v>3537</v>
      </c>
      <c r="D1686" s="7" t="s">
        <v>10</v>
      </c>
      <c r="E1686" s="7" t="s">
        <v>11</v>
      </c>
      <c r="F1686" s="7" t="s">
        <v>783</v>
      </c>
      <c r="G1686" s="7" t="s">
        <v>784</v>
      </c>
      <c r="H1686" s="7" t="s">
        <v>3538</v>
      </c>
      <c r="I1686" s="8" t="s">
        <v>3539</v>
      </c>
    </row>
    <row r="1687" spans="1:12" hidden="1" x14ac:dyDescent="0.35">
      <c r="A1687" s="6">
        <v>423967</v>
      </c>
      <c r="B1687" s="7" t="str">
        <f>"3328102710750002"</f>
        <v>3328102710750002</v>
      </c>
      <c r="C1687" s="7" t="s">
        <v>3540</v>
      </c>
      <c r="D1687" s="7" t="s">
        <v>10</v>
      </c>
      <c r="E1687" s="7" t="s">
        <v>11</v>
      </c>
      <c r="F1687" s="7" t="s">
        <v>50</v>
      </c>
      <c r="G1687" s="7" t="s">
        <v>86</v>
      </c>
      <c r="H1687" s="7" t="s">
        <v>925</v>
      </c>
      <c r="I1687" s="8" t="s">
        <v>1929</v>
      </c>
    </row>
    <row r="1688" spans="1:12" hidden="1" x14ac:dyDescent="0.35">
      <c r="A1688" s="6">
        <v>128742</v>
      </c>
      <c r="B1688" s="7" t="str">
        <f>"3328102901930004"</f>
        <v>3328102901930004</v>
      </c>
      <c r="C1688" s="7" t="s">
        <v>3541</v>
      </c>
      <c r="D1688" s="7" t="s">
        <v>10</v>
      </c>
      <c r="E1688" s="7" t="s">
        <v>11</v>
      </c>
      <c r="F1688" s="7" t="s">
        <v>18</v>
      </c>
      <c r="G1688" s="7" t="s">
        <v>298</v>
      </c>
      <c r="H1688" s="7" t="s">
        <v>299</v>
      </c>
      <c r="I1688" s="8" t="s">
        <v>300</v>
      </c>
    </row>
    <row r="1689" spans="1:12" hidden="1" x14ac:dyDescent="0.35">
      <c r="A1689" s="6">
        <v>1617161</v>
      </c>
      <c r="B1689" s="7" t="str">
        <f>"3328103011700001"</f>
        <v>3328103011700001</v>
      </c>
      <c r="C1689" s="7" t="s">
        <v>3542</v>
      </c>
      <c r="D1689" s="7" t="s">
        <v>10</v>
      </c>
      <c r="E1689" s="7" t="s">
        <v>11</v>
      </c>
      <c r="F1689" s="7" t="s">
        <v>50</v>
      </c>
      <c r="G1689" s="7" t="s">
        <v>86</v>
      </c>
      <c r="H1689" s="7" t="s">
        <v>445</v>
      </c>
      <c r="I1689" s="8" t="s">
        <v>1947</v>
      </c>
    </row>
    <row r="1690" spans="1:12" hidden="1" x14ac:dyDescent="0.35">
      <c r="A1690" s="6">
        <v>2240001</v>
      </c>
      <c r="B1690" s="7" t="str">
        <f>"3328104503750006"</f>
        <v>3328104503750006</v>
      </c>
      <c r="C1690" s="7" t="s">
        <v>383</v>
      </c>
      <c r="D1690" s="7" t="s">
        <v>10</v>
      </c>
      <c r="E1690" s="7" t="s">
        <v>11</v>
      </c>
      <c r="F1690" s="7" t="s">
        <v>18</v>
      </c>
      <c r="G1690" s="7" t="s">
        <v>19</v>
      </c>
      <c r="H1690" s="7" t="s">
        <v>251</v>
      </c>
      <c r="I1690" s="8" t="s">
        <v>3432</v>
      </c>
      <c r="J1690" t="e">
        <f>VLOOKUP(B1690,baru!$B$2:$I$2271,4,FALSE)</f>
        <v>#N/A</v>
      </c>
      <c r="K1690" t="e">
        <f>VLOOKUP(B1690,baru!$B$2:$I$2271,5,FALSE)</f>
        <v>#N/A</v>
      </c>
      <c r="L1690" t="e">
        <f>VLOOKUP(B1690,baru!$B$2:$I$2271,6,FALSE)</f>
        <v>#N/A</v>
      </c>
    </row>
    <row r="1691" spans="1:12" hidden="1" x14ac:dyDescent="0.35">
      <c r="A1691" s="6">
        <v>1349041</v>
      </c>
      <c r="B1691" s="7" t="str">
        <f>"3328104503750006"</f>
        <v>3328104503750006</v>
      </c>
      <c r="C1691" s="7" t="s">
        <v>3545</v>
      </c>
      <c r="D1691" s="7" t="s">
        <v>10</v>
      </c>
      <c r="E1691" s="7" t="s">
        <v>57</v>
      </c>
      <c r="F1691" s="7" t="s">
        <v>303</v>
      </c>
      <c r="G1691" s="7" t="s">
        <v>608</v>
      </c>
      <c r="H1691" s="7" t="s">
        <v>609</v>
      </c>
      <c r="I1691" s="8" t="s">
        <v>610</v>
      </c>
    </row>
    <row r="1692" spans="1:12" hidden="1" x14ac:dyDescent="0.35">
      <c r="A1692" s="6">
        <v>761582</v>
      </c>
      <c r="B1692" s="7" t="str">
        <f>"3328104509050002"</f>
        <v>3328104509050002</v>
      </c>
      <c r="C1692" s="7" t="s">
        <v>3547</v>
      </c>
      <c r="D1692" s="7" t="s">
        <v>10</v>
      </c>
      <c r="E1692" s="7" t="s">
        <v>57</v>
      </c>
      <c r="F1692" s="7" t="s">
        <v>379</v>
      </c>
      <c r="G1692" s="7" t="s">
        <v>711</v>
      </c>
      <c r="H1692" s="7" t="s">
        <v>1875</v>
      </c>
      <c r="I1692" s="8" t="s">
        <v>1876</v>
      </c>
    </row>
    <row r="1693" spans="1:12" hidden="1" x14ac:dyDescent="0.35">
      <c r="A1693" s="13">
        <v>2324324</v>
      </c>
      <c r="B1693" s="14" t="str">
        <f>"3328104601950006"</f>
        <v>3328104601950006</v>
      </c>
      <c r="C1693" s="14" t="s">
        <v>3548</v>
      </c>
      <c r="D1693" s="14" t="s">
        <v>10</v>
      </c>
      <c r="E1693" s="14" t="s">
        <v>11</v>
      </c>
      <c r="F1693" s="14" t="s">
        <v>18</v>
      </c>
      <c r="G1693" s="14" t="s">
        <v>19</v>
      </c>
      <c r="H1693" s="14" t="s">
        <v>251</v>
      </c>
      <c r="I1693" s="15" t="s">
        <v>3400</v>
      </c>
      <c r="J1693" s="16" t="str">
        <f>VLOOKUP(B1693,baru!$B$2:$I$2271,4,FALSE)</f>
        <v>Reguler</v>
      </c>
      <c r="K1693" s="16" t="str">
        <f>VLOOKUP(B1693,baru!$B$2:$I$2271,5,FALSE)</f>
        <v>JAWA TENGAH</v>
      </c>
      <c r="L1693" s="16" t="str">
        <f>VLOOKUP(B1693,baru!$B$2:$I$2271,6,FALSE)</f>
        <v>KARANGANYAR</v>
      </c>
    </row>
    <row r="1694" spans="1:12" hidden="1" x14ac:dyDescent="0.35">
      <c r="A1694" s="13">
        <v>2323512</v>
      </c>
      <c r="B1694" s="14" t="str">
        <f>"3328104609550001"</f>
        <v>3328104609550001</v>
      </c>
      <c r="C1694" s="14" t="s">
        <v>3552</v>
      </c>
      <c r="D1694" s="14" t="s">
        <v>10</v>
      </c>
      <c r="E1694" s="14" t="s">
        <v>11</v>
      </c>
      <c r="F1694" s="14" t="s">
        <v>18</v>
      </c>
      <c r="G1694" s="14" t="s">
        <v>19</v>
      </c>
      <c r="H1694" s="14" t="s">
        <v>251</v>
      </c>
      <c r="I1694" s="15" t="s">
        <v>3400</v>
      </c>
      <c r="J1694" s="16" t="str">
        <f>VLOOKUP(B1694,baru!$B$2:$I$2271,4,FALSE)</f>
        <v>Reguler</v>
      </c>
      <c r="K1694" s="16" t="str">
        <f>VLOOKUP(B1694,baru!$B$2:$I$2271,5,FALSE)</f>
        <v>JAWA TENGAH</v>
      </c>
      <c r="L1694" s="16" t="str">
        <f>VLOOKUP(B1694,baru!$B$2:$I$2271,6,FALSE)</f>
        <v>TEGAL</v>
      </c>
    </row>
    <row r="1695" spans="1:12" hidden="1" x14ac:dyDescent="0.35">
      <c r="A1695" s="13">
        <v>2317632</v>
      </c>
      <c r="B1695" s="14" t="str">
        <f>"3328104711830002"</f>
        <v>3328104711830002</v>
      </c>
      <c r="C1695" s="14" t="s">
        <v>3553</v>
      </c>
      <c r="D1695" s="14" t="s">
        <v>10</v>
      </c>
      <c r="E1695" s="14" t="s">
        <v>11</v>
      </c>
      <c r="F1695" s="14" t="s">
        <v>18</v>
      </c>
      <c r="G1695" s="14" t="s">
        <v>19</v>
      </c>
      <c r="H1695" s="14" t="s">
        <v>251</v>
      </c>
      <c r="I1695" s="15" t="s">
        <v>3451</v>
      </c>
      <c r="J1695" s="16" t="str">
        <f>VLOOKUP(B1695,baru!$B$2:$I$2271,4,FALSE)</f>
        <v>Reguler</v>
      </c>
      <c r="K1695" s="16" t="str">
        <f>VLOOKUP(B1695,baru!$B$2:$I$2271,5,FALSE)</f>
        <v>JAWA BARAT</v>
      </c>
      <c r="L1695" s="16" t="str">
        <f>VLOOKUP(B1695,baru!$B$2:$I$2271,6,FALSE)</f>
        <v>MAJALENGKA</v>
      </c>
    </row>
    <row r="1696" spans="1:12" hidden="1" x14ac:dyDescent="0.35">
      <c r="A1696" s="13">
        <v>2277991</v>
      </c>
      <c r="B1696" s="14" t="str">
        <f>"3328104812920001"</f>
        <v>3328104812920001</v>
      </c>
      <c r="C1696" s="14" t="s">
        <v>3556</v>
      </c>
      <c r="D1696" s="14" t="s">
        <v>10</v>
      </c>
      <c r="E1696" s="14" t="s">
        <v>11</v>
      </c>
      <c r="F1696" s="14" t="s">
        <v>18</v>
      </c>
      <c r="G1696" s="14" t="s">
        <v>19</v>
      </c>
      <c r="H1696" s="14" t="s">
        <v>251</v>
      </c>
      <c r="I1696" s="15" t="s">
        <v>252</v>
      </c>
      <c r="J1696" s="16" t="str">
        <f>VLOOKUP(B1696,baru!$B$2:$I$2271,4,FALSE)</f>
        <v>Reguler</v>
      </c>
      <c r="K1696" s="16" t="str">
        <f>VLOOKUP(B1696,baru!$B$2:$I$2271,5,FALSE)</f>
        <v>JAWA TENGAH</v>
      </c>
      <c r="L1696" s="16" t="str">
        <f>VLOOKUP(B1696,baru!$B$2:$I$2271,6,FALSE)</f>
        <v>SEMARANG</v>
      </c>
    </row>
    <row r="1697" spans="1:12" hidden="1" x14ac:dyDescent="0.35">
      <c r="A1697" s="6">
        <v>988495</v>
      </c>
      <c r="B1697" s="7" t="str">
        <f>"3328105004860008"</f>
        <v>3328105004860008</v>
      </c>
      <c r="C1697" s="7" t="s">
        <v>3559</v>
      </c>
      <c r="D1697" s="7" t="s">
        <v>10</v>
      </c>
      <c r="E1697" s="7" t="s">
        <v>11</v>
      </c>
      <c r="F1697" s="7" t="s">
        <v>50</v>
      </c>
      <c r="G1697" s="7" t="s">
        <v>72</v>
      </c>
      <c r="H1697" s="7" t="s">
        <v>803</v>
      </c>
      <c r="I1697" s="8" t="s">
        <v>804</v>
      </c>
    </row>
    <row r="1698" spans="1:12" hidden="1" x14ac:dyDescent="0.35">
      <c r="A1698" s="13">
        <v>2323902</v>
      </c>
      <c r="B1698" s="14" t="str">
        <f>"3328105109840004"</f>
        <v>3328105109840004</v>
      </c>
      <c r="C1698" s="14" t="s">
        <v>3560</v>
      </c>
      <c r="D1698" s="14" t="s">
        <v>10</v>
      </c>
      <c r="E1698" s="14" t="s">
        <v>11</v>
      </c>
      <c r="F1698" s="14" t="s">
        <v>18</v>
      </c>
      <c r="G1698" s="14" t="s">
        <v>19</v>
      </c>
      <c r="H1698" s="14" t="s">
        <v>251</v>
      </c>
      <c r="I1698" s="15" t="s">
        <v>3400</v>
      </c>
      <c r="J1698" s="16" t="str">
        <f>VLOOKUP(B1698,baru!$B$2:$I$2271,4,FALSE)</f>
        <v>Reguler</v>
      </c>
      <c r="K1698" s="16" t="str">
        <f>VLOOKUP(B1698,baru!$B$2:$I$2271,5,FALSE)</f>
        <v>JAWA TENGAH</v>
      </c>
      <c r="L1698" s="16" t="str">
        <f>VLOOKUP(B1698,baru!$B$2:$I$2271,6,FALSE)</f>
        <v>KARANGANYAR</v>
      </c>
    </row>
    <row r="1699" spans="1:12" hidden="1" x14ac:dyDescent="0.35">
      <c r="A1699" s="13">
        <v>2266102</v>
      </c>
      <c r="B1699" s="14" t="str">
        <f>"3328105407850002"</f>
        <v>3328105407850002</v>
      </c>
      <c r="C1699" s="14" t="s">
        <v>3566</v>
      </c>
      <c r="D1699" s="14" t="s">
        <v>10</v>
      </c>
      <c r="E1699" s="14" t="s">
        <v>11</v>
      </c>
      <c r="F1699" s="14" t="s">
        <v>18</v>
      </c>
      <c r="G1699" s="14" t="s">
        <v>19</v>
      </c>
      <c r="H1699" s="14" t="s">
        <v>251</v>
      </c>
      <c r="I1699" s="15" t="s">
        <v>3344</v>
      </c>
      <c r="J1699" s="16" t="str">
        <f>VLOOKUP(B1699,baru!$B$2:$I$2271,4,FALSE)</f>
        <v>Reguler</v>
      </c>
      <c r="K1699" s="16" t="str">
        <f>VLOOKUP(B1699,baru!$B$2:$I$2271,5,FALSE)</f>
        <v>JAWA TENGAH</v>
      </c>
      <c r="L1699" s="16" t="str">
        <f>VLOOKUP(B1699,baru!$B$2:$I$2271,6,FALSE)</f>
        <v>SRAGEN</v>
      </c>
    </row>
    <row r="1700" spans="1:12" hidden="1" x14ac:dyDescent="0.35">
      <c r="A1700" s="13">
        <v>2301202</v>
      </c>
      <c r="B1700" s="14" t="str">
        <f>"3328105506990002"</f>
        <v>3328105506990002</v>
      </c>
      <c r="C1700" s="14" t="s">
        <v>3571</v>
      </c>
      <c r="D1700" s="14" t="s">
        <v>10</v>
      </c>
      <c r="E1700" s="14" t="s">
        <v>11</v>
      </c>
      <c r="F1700" s="14" t="s">
        <v>18</v>
      </c>
      <c r="G1700" s="14" t="s">
        <v>19</v>
      </c>
      <c r="H1700" s="14" t="s">
        <v>251</v>
      </c>
      <c r="I1700" s="15" t="s">
        <v>3410</v>
      </c>
      <c r="J1700" s="16" t="str">
        <f>VLOOKUP(B1700,baru!$B$2:$I$2271,4,FALSE)</f>
        <v>Reguler</v>
      </c>
      <c r="K1700" s="16" t="str">
        <f>VLOOKUP(B1700,baru!$B$2:$I$2271,5,FALSE)</f>
        <v>LAMPUNG</v>
      </c>
      <c r="L1700" s="16" t="str">
        <f>VLOOKUP(B1700,baru!$B$2:$I$2271,6,FALSE)</f>
        <v>KOTA METRO</v>
      </c>
    </row>
    <row r="1701" spans="1:12" hidden="1" x14ac:dyDescent="0.35">
      <c r="A1701" s="6">
        <v>2305331</v>
      </c>
      <c r="B1701" s="7" t="str">
        <f>"3328105512030008"</f>
        <v>3328105512030008</v>
      </c>
      <c r="C1701" s="7" t="s">
        <v>3576</v>
      </c>
      <c r="D1701" s="7" t="s">
        <v>10</v>
      </c>
      <c r="E1701" s="7" t="s">
        <v>11</v>
      </c>
      <c r="F1701" s="7" t="s">
        <v>18</v>
      </c>
      <c r="G1701" s="7" t="s">
        <v>19</v>
      </c>
      <c r="H1701" s="7" t="s">
        <v>251</v>
      </c>
      <c r="I1701" s="8" t="s">
        <v>3410</v>
      </c>
      <c r="J1701" t="e">
        <f>VLOOKUP(B1701,baru!$B$2:$I$2271,4,FALSE)</f>
        <v>#N/A</v>
      </c>
      <c r="K1701" t="e">
        <f>VLOOKUP(B1701,baru!$B$2:$I$2271,5,FALSE)</f>
        <v>#N/A</v>
      </c>
      <c r="L1701" t="e">
        <f>VLOOKUP(B1701,baru!$B$2:$I$2271,6,FALSE)</f>
        <v>#N/A</v>
      </c>
    </row>
    <row r="1702" spans="1:12" hidden="1" x14ac:dyDescent="0.35">
      <c r="A1702" s="6">
        <v>761638</v>
      </c>
      <c r="B1702" s="7" t="str">
        <f>"3328105512030008"</f>
        <v>3328105512030008</v>
      </c>
      <c r="C1702" s="7" t="s">
        <v>3577</v>
      </c>
      <c r="D1702" s="7" t="s">
        <v>10</v>
      </c>
      <c r="E1702" s="7" t="s">
        <v>57</v>
      </c>
      <c r="F1702" s="7" t="s">
        <v>379</v>
      </c>
      <c r="G1702" s="7" t="s">
        <v>711</v>
      </c>
      <c r="H1702" s="7" t="s">
        <v>1875</v>
      </c>
      <c r="I1702" s="8" t="s">
        <v>1876</v>
      </c>
    </row>
    <row r="1703" spans="1:12" hidden="1" x14ac:dyDescent="0.35">
      <c r="A1703" s="6">
        <v>969326</v>
      </c>
      <c r="B1703" s="7" t="str">
        <f>"3328105702940001"</f>
        <v>3328105702940001</v>
      </c>
      <c r="C1703" s="7" t="s">
        <v>2608</v>
      </c>
      <c r="D1703" s="7" t="s">
        <v>10</v>
      </c>
      <c r="E1703" s="7" t="s">
        <v>11</v>
      </c>
      <c r="F1703" s="7" t="s">
        <v>50</v>
      </c>
      <c r="G1703" s="7" t="s">
        <v>58</v>
      </c>
      <c r="H1703" s="7" t="s">
        <v>406</v>
      </c>
      <c r="I1703" s="8" t="s">
        <v>3434</v>
      </c>
    </row>
    <row r="1704" spans="1:12" hidden="1" x14ac:dyDescent="0.35">
      <c r="A1704" s="13">
        <v>2323920</v>
      </c>
      <c r="B1704" s="14" t="str">
        <f>"3328105703880004"</f>
        <v>3328105703880004</v>
      </c>
      <c r="C1704" s="14" t="s">
        <v>3579</v>
      </c>
      <c r="D1704" s="14" t="s">
        <v>10</v>
      </c>
      <c r="E1704" s="14" t="s">
        <v>11</v>
      </c>
      <c r="F1704" s="14" t="s">
        <v>18</v>
      </c>
      <c r="G1704" s="14" t="s">
        <v>19</v>
      </c>
      <c r="H1704" s="14" t="s">
        <v>251</v>
      </c>
      <c r="I1704" s="15" t="s">
        <v>3400</v>
      </c>
      <c r="J1704" s="16" t="str">
        <f>VLOOKUP(B1704,baru!$B$2:$I$2271,4,FALSE)</f>
        <v>Reguler</v>
      </c>
      <c r="K1704" s="16" t="str">
        <f>VLOOKUP(B1704,baru!$B$2:$I$2271,5,FALSE)</f>
        <v>DAERAH ISTIMEWA YOGYAKARTA</v>
      </c>
      <c r="L1704" s="16" t="str">
        <f>VLOOKUP(B1704,baru!$B$2:$I$2271,6,FALSE)</f>
        <v>BANTUL</v>
      </c>
    </row>
    <row r="1705" spans="1:12" hidden="1" x14ac:dyDescent="0.35">
      <c r="A1705" s="13">
        <v>2297427</v>
      </c>
      <c r="B1705" s="14" t="str">
        <f>"3328105706000001"</f>
        <v>3328105706000001</v>
      </c>
      <c r="C1705" s="14" t="s">
        <v>3580</v>
      </c>
      <c r="D1705" s="14" t="s">
        <v>10</v>
      </c>
      <c r="E1705" s="14" t="s">
        <v>11</v>
      </c>
      <c r="F1705" s="14" t="s">
        <v>18</v>
      </c>
      <c r="G1705" s="14" t="s">
        <v>19</v>
      </c>
      <c r="H1705" s="14" t="s">
        <v>251</v>
      </c>
      <c r="I1705" s="15" t="s">
        <v>3410</v>
      </c>
      <c r="J1705" s="16" t="str">
        <f>VLOOKUP(B1705,baru!$B$2:$I$2271,4,FALSE)</f>
        <v>Reguler</v>
      </c>
      <c r="K1705" s="16" t="str">
        <f>VLOOKUP(B1705,baru!$B$2:$I$2271,5,FALSE)</f>
        <v>DKI JAKARTA</v>
      </c>
      <c r="L1705" s="16" t="str">
        <f>VLOOKUP(B1705,baru!$B$2:$I$2271,6,FALSE)</f>
        <v>KOTA JAKARTA TIMUR</v>
      </c>
    </row>
    <row r="1706" spans="1:12" hidden="1" x14ac:dyDescent="0.35">
      <c r="A1706" s="6">
        <v>563476</v>
      </c>
      <c r="B1706" s="7" t="str">
        <f>"3328105812020006"</f>
        <v>3328105812020006</v>
      </c>
      <c r="C1706" s="7" t="s">
        <v>3583</v>
      </c>
      <c r="D1706" s="7" t="s">
        <v>10</v>
      </c>
      <c r="E1706" s="7" t="s">
        <v>11</v>
      </c>
      <c r="F1706" s="7" t="s">
        <v>50</v>
      </c>
      <c r="G1706" s="7" t="s">
        <v>86</v>
      </c>
      <c r="H1706" s="7" t="s">
        <v>1463</v>
      </c>
      <c r="I1706" s="8" t="s">
        <v>3584</v>
      </c>
    </row>
    <row r="1707" spans="1:12" hidden="1" x14ac:dyDescent="0.35">
      <c r="A1707" s="6">
        <v>2279130</v>
      </c>
      <c r="B1707" s="7" t="str">
        <f>"3328105909930002"</f>
        <v>3328105909930002</v>
      </c>
      <c r="C1707" s="7" t="s">
        <v>3585</v>
      </c>
      <c r="D1707" s="7" t="s">
        <v>10</v>
      </c>
      <c r="E1707" s="7" t="s">
        <v>11</v>
      </c>
      <c r="F1707" s="7" t="s">
        <v>18</v>
      </c>
      <c r="G1707" s="7" t="s">
        <v>19</v>
      </c>
      <c r="H1707" s="7" t="s">
        <v>251</v>
      </c>
      <c r="I1707" s="8" t="s">
        <v>252</v>
      </c>
      <c r="J1707" t="e">
        <f>VLOOKUP(B1707,baru!$B$2:$I$2271,4,FALSE)</f>
        <v>#N/A</v>
      </c>
      <c r="K1707" t="e">
        <f>VLOOKUP(B1707,baru!$B$2:$I$2271,5,FALSE)</f>
        <v>#N/A</v>
      </c>
      <c r="L1707" t="e">
        <f>VLOOKUP(B1707,baru!$B$2:$I$2271,6,FALSE)</f>
        <v>#N/A</v>
      </c>
    </row>
    <row r="1708" spans="1:12" hidden="1" x14ac:dyDescent="0.35">
      <c r="A1708" s="6">
        <v>423841</v>
      </c>
      <c r="B1708" s="7" t="str">
        <f>"3328105909930002"</f>
        <v>3328105909930002</v>
      </c>
      <c r="C1708" s="7" t="s">
        <v>3586</v>
      </c>
      <c r="D1708" s="7" t="s">
        <v>10</v>
      </c>
      <c r="E1708" s="7" t="s">
        <v>57</v>
      </c>
      <c r="F1708" s="7" t="s">
        <v>18</v>
      </c>
      <c r="G1708" s="7" t="s">
        <v>268</v>
      </c>
      <c r="H1708" s="7" t="s">
        <v>277</v>
      </c>
      <c r="I1708" s="8" t="s">
        <v>278</v>
      </c>
    </row>
    <row r="1709" spans="1:12" hidden="1" x14ac:dyDescent="0.35">
      <c r="A1709" s="13">
        <v>2315298</v>
      </c>
      <c r="B1709" s="14" t="str">
        <f>"3328106111960001"</f>
        <v>3328106111960001</v>
      </c>
      <c r="C1709" s="14" t="s">
        <v>388</v>
      </c>
      <c r="D1709" s="14" t="s">
        <v>10</v>
      </c>
      <c r="E1709" s="14" t="s">
        <v>11</v>
      </c>
      <c r="F1709" s="14" t="s">
        <v>18</v>
      </c>
      <c r="G1709" s="14" t="s">
        <v>19</v>
      </c>
      <c r="H1709" s="14" t="s">
        <v>251</v>
      </c>
      <c r="I1709" s="15" t="s">
        <v>3451</v>
      </c>
      <c r="J1709" s="16" t="str">
        <f>VLOOKUP(B1709,baru!$B$2:$I$2271,4,FALSE)</f>
        <v>Reguler</v>
      </c>
      <c r="K1709" s="16" t="str">
        <f>VLOOKUP(B1709,baru!$B$2:$I$2271,5,FALSE)</f>
        <v>JAWA TIMUR</v>
      </c>
      <c r="L1709" s="16" t="str">
        <f>VLOOKUP(B1709,baru!$B$2:$I$2271,6,FALSE)</f>
        <v>MAGETAN</v>
      </c>
    </row>
    <row r="1710" spans="1:12" hidden="1" x14ac:dyDescent="0.35">
      <c r="A1710" s="6">
        <v>2303803</v>
      </c>
      <c r="B1710" s="7" t="str">
        <f>"3328106206920001"</f>
        <v>3328106206920001</v>
      </c>
      <c r="C1710" s="7" t="s">
        <v>3589</v>
      </c>
      <c r="D1710" s="7" t="s">
        <v>10</v>
      </c>
      <c r="E1710" s="7" t="s">
        <v>11</v>
      </c>
      <c r="F1710" s="7" t="s">
        <v>18</v>
      </c>
      <c r="G1710" s="7" t="s">
        <v>19</v>
      </c>
      <c r="H1710" s="7" t="s">
        <v>251</v>
      </c>
      <c r="I1710" s="8" t="s">
        <v>3410</v>
      </c>
      <c r="J1710" t="e">
        <f>VLOOKUP(B1710,baru!$B$2:$I$2271,4,FALSE)</f>
        <v>#N/A</v>
      </c>
      <c r="K1710" t="e">
        <f>VLOOKUP(B1710,baru!$B$2:$I$2271,5,FALSE)</f>
        <v>#N/A</v>
      </c>
      <c r="L1710" t="e">
        <f>VLOOKUP(B1710,baru!$B$2:$I$2271,6,FALSE)</f>
        <v>#N/A</v>
      </c>
    </row>
    <row r="1711" spans="1:12" hidden="1" x14ac:dyDescent="0.35">
      <c r="A1711" s="6">
        <v>762807</v>
      </c>
      <c r="B1711" s="7" t="str">
        <f>"3328106206920001"</f>
        <v>3328106206920001</v>
      </c>
      <c r="C1711" s="7" t="s">
        <v>3590</v>
      </c>
      <c r="D1711" s="7" t="s">
        <v>10</v>
      </c>
      <c r="E1711" s="7" t="s">
        <v>57</v>
      </c>
      <c r="F1711" s="7" t="s">
        <v>379</v>
      </c>
      <c r="G1711" s="7" t="s">
        <v>711</v>
      </c>
      <c r="H1711" s="7" t="s">
        <v>718</v>
      </c>
      <c r="I1711" s="8" t="s">
        <v>719</v>
      </c>
    </row>
    <row r="1712" spans="1:12" hidden="1" x14ac:dyDescent="0.35">
      <c r="A1712" s="13">
        <v>2266291</v>
      </c>
      <c r="B1712" s="14" t="str">
        <f>"3328106206960005"</f>
        <v>3328106206960005</v>
      </c>
      <c r="C1712" s="14" t="s">
        <v>3591</v>
      </c>
      <c r="D1712" s="14" t="s">
        <v>10</v>
      </c>
      <c r="E1712" s="14" t="s">
        <v>11</v>
      </c>
      <c r="F1712" s="14" t="s">
        <v>18</v>
      </c>
      <c r="G1712" s="14" t="s">
        <v>19</v>
      </c>
      <c r="H1712" s="14" t="s">
        <v>251</v>
      </c>
      <c r="I1712" s="15" t="s">
        <v>3344</v>
      </c>
      <c r="J1712" s="16" t="str">
        <f>VLOOKUP(B1712,baru!$B$2:$I$2271,4,FALSE)</f>
        <v>Reguler</v>
      </c>
      <c r="K1712" s="16" t="str">
        <f>VLOOKUP(B1712,baru!$B$2:$I$2271,5,FALSE)</f>
        <v>JAWA TENGAH</v>
      </c>
      <c r="L1712" s="16" t="str">
        <f>VLOOKUP(B1712,baru!$B$2:$I$2271,6,FALSE)</f>
        <v>KOTA TEGAL</v>
      </c>
    </row>
    <row r="1713" spans="1:12" hidden="1" x14ac:dyDescent="0.35">
      <c r="A1713" s="6">
        <v>1527676</v>
      </c>
      <c r="B1713" s="7" t="str">
        <f>"3328106407930002"</f>
        <v>3328106407930002</v>
      </c>
      <c r="C1713" s="7" t="s">
        <v>3592</v>
      </c>
      <c r="D1713" s="7" t="s">
        <v>10</v>
      </c>
      <c r="E1713" s="7" t="s">
        <v>11</v>
      </c>
      <c r="F1713" s="7" t="s">
        <v>18</v>
      </c>
      <c r="G1713" s="7" t="s">
        <v>264</v>
      </c>
      <c r="H1713" s="7" t="s">
        <v>330</v>
      </c>
      <c r="I1713" s="8" t="s">
        <v>1942</v>
      </c>
    </row>
    <row r="1714" spans="1:12" hidden="1" x14ac:dyDescent="0.35">
      <c r="A1714" s="13">
        <v>2270886</v>
      </c>
      <c r="B1714" s="14" t="str">
        <f>"3328106612930001"</f>
        <v>3328106612930001</v>
      </c>
      <c r="C1714" s="14" t="s">
        <v>3594</v>
      </c>
      <c r="D1714" s="14" t="s">
        <v>10</v>
      </c>
      <c r="E1714" s="14" t="s">
        <v>11</v>
      </c>
      <c r="F1714" s="14" t="s">
        <v>18</v>
      </c>
      <c r="G1714" s="14" t="s">
        <v>19</v>
      </c>
      <c r="H1714" s="14" t="s">
        <v>251</v>
      </c>
      <c r="I1714" s="15" t="s">
        <v>3344</v>
      </c>
      <c r="J1714" s="16" t="str">
        <f>VLOOKUP(B1714,baru!$B$2:$I$2271,4,FALSE)</f>
        <v>Reguler</v>
      </c>
      <c r="K1714" s="16" t="str">
        <f>VLOOKUP(B1714,baru!$B$2:$I$2271,5,FALSE)</f>
        <v>JAWA TENGAH</v>
      </c>
      <c r="L1714" s="16" t="str">
        <f>VLOOKUP(B1714,baru!$B$2:$I$2271,6,FALSE)</f>
        <v>KOTA TEGAL</v>
      </c>
    </row>
    <row r="1715" spans="1:12" x14ac:dyDescent="0.35">
      <c r="A1715" s="6">
        <v>397453</v>
      </c>
      <c r="B1715" s="7" t="str">
        <f>"3329035303850011"</f>
        <v>3329035303850011</v>
      </c>
      <c r="C1715" s="7" t="s">
        <v>3598</v>
      </c>
      <c r="D1715" s="7" t="s">
        <v>189</v>
      </c>
      <c r="E1715" s="7" t="s">
        <v>11</v>
      </c>
      <c r="F1715" s="7" t="s">
        <v>18</v>
      </c>
      <c r="G1715" s="7" t="s">
        <v>264</v>
      </c>
      <c r="H1715" s="7" t="s">
        <v>396</v>
      </c>
      <c r="I1715" s="8" t="s">
        <v>396</v>
      </c>
    </row>
    <row r="1716" spans="1:12" hidden="1" x14ac:dyDescent="0.35">
      <c r="A1716" s="6">
        <v>495846</v>
      </c>
      <c r="B1716" s="7" t="str">
        <f>"3329062212950004"</f>
        <v>3329062212950004</v>
      </c>
      <c r="C1716" s="7" t="s">
        <v>3600</v>
      </c>
      <c r="D1716" s="7" t="s">
        <v>10</v>
      </c>
      <c r="E1716" s="7" t="s">
        <v>11</v>
      </c>
      <c r="F1716" s="7" t="s">
        <v>50</v>
      </c>
      <c r="G1716" s="7" t="s">
        <v>280</v>
      </c>
      <c r="H1716" s="7" t="s">
        <v>455</v>
      </c>
      <c r="I1716" s="8" t="s">
        <v>3601</v>
      </c>
    </row>
    <row r="1717" spans="1:12" x14ac:dyDescent="0.35">
      <c r="A1717" s="6">
        <v>239736</v>
      </c>
      <c r="B1717" s="7" t="str">
        <f>"3329064807050004"</f>
        <v>3329064807050004</v>
      </c>
      <c r="C1717" s="7" t="s">
        <v>3603</v>
      </c>
      <c r="D1717" s="7" t="s">
        <v>189</v>
      </c>
      <c r="E1717" s="7" t="s">
        <v>11</v>
      </c>
      <c r="F1717" s="7" t="s">
        <v>18</v>
      </c>
      <c r="G1717" s="7" t="s">
        <v>264</v>
      </c>
      <c r="H1717" s="7" t="s">
        <v>468</v>
      </c>
      <c r="I1717" s="8" t="s">
        <v>2671</v>
      </c>
    </row>
    <row r="1718" spans="1:12" x14ac:dyDescent="0.35">
      <c r="A1718" s="6">
        <v>2242494</v>
      </c>
      <c r="B1718" s="7" t="str">
        <f>"3329064807050004"</f>
        <v>3329064807050004</v>
      </c>
      <c r="C1718" s="7" t="s">
        <v>3604</v>
      </c>
      <c r="D1718" s="7" t="s">
        <v>189</v>
      </c>
      <c r="E1718" s="7" t="s">
        <v>11</v>
      </c>
      <c r="F1718" s="7" t="s">
        <v>18</v>
      </c>
      <c r="G1718" s="7" t="s">
        <v>19</v>
      </c>
      <c r="H1718" s="7" t="s">
        <v>251</v>
      </c>
      <c r="I1718" s="8" t="s">
        <v>3432</v>
      </c>
      <c r="J1718" t="e">
        <f>VLOOKUP(B1718,baru!$B$2:$I$2271,4,FALSE)</f>
        <v>#N/A</v>
      </c>
      <c r="K1718" t="e">
        <f>VLOOKUP(B1718,baru!$B$2:$I$2271,5,FALSE)</f>
        <v>#N/A</v>
      </c>
      <c r="L1718" t="e">
        <f>VLOOKUP(B1718,baru!$B$2:$I$2271,6,FALSE)</f>
        <v>#N/A</v>
      </c>
    </row>
    <row r="1719" spans="1:12" hidden="1" x14ac:dyDescent="0.35">
      <c r="A1719" s="6">
        <v>1325545</v>
      </c>
      <c r="B1719" s="7" t="str">
        <f>"3329070909830005"</f>
        <v>3329070909830005</v>
      </c>
      <c r="C1719" s="7" t="s">
        <v>3605</v>
      </c>
      <c r="D1719" s="7" t="s">
        <v>10</v>
      </c>
      <c r="E1719" s="7" t="s">
        <v>11</v>
      </c>
      <c r="F1719" s="7" t="s">
        <v>18</v>
      </c>
      <c r="G1719" s="7" t="s">
        <v>264</v>
      </c>
      <c r="H1719" s="7" t="s">
        <v>265</v>
      </c>
      <c r="I1719" s="8" t="s">
        <v>1878</v>
      </c>
    </row>
    <row r="1720" spans="1:12" hidden="1" x14ac:dyDescent="0.35">
      <c r="A1720" s="6">
        <v>1383115</v>
      </c>
      <c r="B1720" s="7" t="str">
        <f>"3329071010920003"</f>
        <v>3329071010920003</v>
      </c>
      <c r="C1720" s="7" t="s">
        <v>3606</v>
      </c>
      <c r="D1720" s="7" t="s">
        <v>10</v>
      </c>
      <c r="E1720" s="7" t="s">
        <v>11</v>
      </c>
      <c r="F1720" s="7" t="s">
        <v>18</v>
      </c>
      <c r="G1720" s="7" t="s">
        <v>264</v>
      </c>
      <c r="H1720" s="7" t="s">
        <v>265</v>
      </c>
      <c r="I1720" s="8" t="s">
        <v>1628</v>
      </c>
    </row>
    <row r="1721" spans="1:12" x14ac:dyDescent="0.35">
      <c r="A1721" s="13">
        <v>2241882</v>
      </c>
      <c r="B1721" s="14" t="str">
        <f>"3329072206950001"</f>
        <v>3329072206950001</v>
      </c>
      <c r="C1721" s="14" t="s">
        <v>3607</v>
      </c>
      <c r="D1721" s="14" t="s">
        <v>189</v>
      </c>
      <c r="E1721" s="14" t="s">
        <v>11</v>
      </c>
      <c r="F1721" s="14" t="s">
        <v>18</v>
      </c>
      <c r="G1721" s="14" t="s">
        <v>19</v>
      </c>
      <c r="H1721" s="14" t="s">
        <v>251</v>
      </c>
      <c r="I1721" s="15" t="s">
        <v>3432</v>
      </c>
      <c r="J1721" s="16" t="str">
        <f>VLOOKUP(B1721,baru!$B$2:$I$2271,4,FALSE)</f>
        <v>Reguler</v>
      </c>
      <c r="K1721" s="16" t="str">
        <f>VLOOKUP(B1721,baru!$B$2:$I$2271,5,FALSE)</f>
        <v>JAWA TENGAH</v>
      </c>
      <c r="L1721" s="16" t="str">
        <f>VLOOKUP(B1721,baru!$B$2:$I$2271,6,FALSE)</f>
        <v>BREBES</v>
      </c>
    </row>
    <row r="1722" spans="1:12" hidden="1" x14ac:dyDescent="0.35">
      <c r="A1722" s="6">
        <v>1345259</v>
      </c>
      <c r="B1722" s="7" t="str">
        <f>"3329076904900002"</f>
        <v>3329076904900002</v>
      </c>
      <c r="C1722" s="7" t="s">
        <v>3608</v>
      </c>
      <c r="D1722" s="7" t="s">
        <v>10</v>
      </c>
      <c r="E1722" s="7" t="s">
        <v>11</v>
      </c>
      <c r="F1722" s="7" t="s">
        <v>18</v>
      </c>
      <c r="G1722" s="7" t="s">
        <v>264</v>
      </c>
      <c r="H1722" s="7" t="s">
        <v>265</v>
      </c>
      <c r="I1722" s="8" t="s">
        <v>2007</v>
      </c>
    </row>
    <row r="1723" spans="1:12" hidden="1" x14ac:dyDescent="0.35">
      <c r="A1723" s="6">
        <v>632506</v>
      </c>
      <c r="B1723" s="7" t="str">
        <f>"3329091804810009"</f>
        <v>3329091804810009</v>
      </c>
      <c r="C1723" s="7" t="s">
        <v>3610</v>
      </c>
      <c r="D1723" s="7" t="s">
        <v>10</v>
      </c>
      <c r="E1723" s="7" t="s">
        <v>11</v>
      </c>
      <c r="F1723" s="7" t="s">
        <v>18</v>
      </c>
      <c r="G1723" s="7" t="s">
        <v>264</v>
      </c>
      <c r="H1723" s="7" t="s">
        <v>264</v>
      </c>
      <c r="I1723" s="8" t="s">
        <v>595</v>
      </c>
    </row>
    <row r="1724" spans="1:12" hidden="1" x14ac:dyDescent="0.35">
      <c r="A1724" s="6">
        <v>460125</v>
      </c>
      <c r="B1724" s="7" t="str">
        <f>"3329092005870006"</f>
        <v>3329092005870006</v>
      </c>
      <c r="C1724" s="7" t="s">
        <v>3611</v>
      </c>
      <c r="D1724" s="7" t="s">
        <v>10</v>
      </c>
      <c r="E1724" s="7" t="s">
        <v>11</v>
      </c>
      <c r="F1724" s="7" t="s">
        <v>33</v>
      </c>
      <c r="G1724" s="7" t="s">
        <v>2157</v>
      </c>
      <c r="H1724" s="7" t="s">
        <v>3612</v>
      </c>
      <c r="I1724" s="8" t="s">
        <v>3613</v>
      </c>
    </row>
    <row r="1725" spans="1:12" hidden="1" x14ac:dyDescent="0.35">
      <c r="A1725" s="6">
        <v>1448003</v>
      </c>
      <c r="B1725" s="7" t="str">
        <f>"3329100804920003"</f>
        <v>3329100804920003</v>
      </c>
      <c r="C1725" s="7" t="s">
        <v>3614</v>
      </c>
      <c r="D1725" s="7" t="s">
        <v>10</v>
      </c>
      <c r="E1725" s="7" t="s">
        <v>11</v>
      </c>
      <c r="F1725" s="7" t="s">
        <v>18</v>
      </c>
      <c r="G1725" s="7" t="s">
        <v>264</v>
      </c>
      <c r="H1725" s="7" t="s">
        <v>273</v>
      </c>
      <c r="I1725" s="8" t="s">
        <v>875</v>
      </c>
    </row>
    <row r="1726" spans="1:12" hidden="1" x14ac:dyDescent="0.35">
      <c r="A1726" s="13">
        <v>2327289</v>
      </c>
      <c r="B1726" s="14" t="str">
        <f>"3329105201970004"</f>
        <v>3329105201970004</v>
      </c>
      <c r="C1726" s="14" t="s">
        <v>3616</v>
      </c>
      <c r="D1726" s="14" t="s">
        <v>10</v>
      </c>
      <c r="E1726" s="14" t="s">
        <v>11</v>
      </c>
      <c r="F1726" s="14" t="s">
        <v>18</v>
      </c>
      <c r="G1726" s="14" t="s">
        <v>19</v>
      </c>
      <c r="H1726" s="14" t="s">
        <v>251</v>
      </c>
      <c r="I1726" s="15" t="s">
        <v>3418</v>
      </c>
      <c r="J1726" s="16" t="str">
        <f>VLOOKUP(B1726,baru!$B$2:$I$2271,4,FALSE)</f>
        <v>Reguler</v>
      </c>
      <c r="K1726" s="16" t="str">
        <f>VLOOKUP(B1726,baru!$B$2:$I$2271,5,FALSE)</f>
        <v>JAWA TENGAH</v>
      </c>
      <c r="L1726" s="16" t="str">
        <f>VLOOKUP(B1726,baru!$B$2:$I$2271,6,FALSE)</f>
        <v>BREBES</v>
      </c>
    </row>
    <row r="1727" spans="1:12" hidden="1" x14ac:dyDescent="0.35">
      <c r="A1727" s="6">
        <v>521118</v>
      </c>
      <c r="B1727" s="7" t="str">
        <f>"3329121010720006"</f>
        <v>3329121010720006</v>
      </c>
      <c r="C1727" s="7" t="s">
        <v>3617</v>
      </c>
      <c r="D1727" s="7" t="s">
        <v>10</v>
      </c>
      <c r="E1727" s="7" t="s">
        <v>11</v>
      </c>
      <c r="F1727" s="7" t="s">
        <v>18</v>
      </c>
      <c r="G1727" s="7" t="s">
        <v>264</v>
      </c>
      <c r="H1727" s="7" t="s">
        <v>877</v>
      </c>
      <c r="I1727" s="8" t="s">
        <v>3618</v>
      </c>
    </row>
    <row r="1728" spans="1:12" hidden="1" x14ac:dyDescent="0.35">
      <c r="A1728" s="6">
        <v>513812</v>
      </c>
      <c r="B1728" s="7" t="str">
        <f>"3329126909970005"</f>
        <v>3329126909970005</v>
      </c>
      <c r="C1728" s="7" t="s">
        <v>3619</v>
      </c>
      <c r="D1728" s="7" t="s">
        <v>10</v>
      </c>
      <c r="E1728" s="7" t="s">
        <v>11</v>
      </c>
      <c r="F1728" s="7" t="s">
        <v>18</v>
      </c>
      <c r="G1728" s="7" t="s">
        <v>264</v>
      </c>
      <c r="H1728" s="7" t="s">
        <v>877</v>
      </c>
      <c r="I1728" s="8" t="s">
        <v>1992</v>
      </c>
    </row>
    <row r="1729" spans="1:12" hidden="1" x14ac:dyDescent="0.35">
      <c r="A1729" s="6">
        <v>22002</v>
      </c>
      <c r="B1729" s="7" t="str">
        <f>"3329156912920002"</f>
        <v>3329156912920002</v>
      </c>
      <c r="C1729" s="7" t="s">
        <v>3620</v>
      </c>
      <c r="D1729" s="7" t="s">
        <v>10</v>
      </c>
      <c r="E1729" s="7" t="s">
        <v>11</v>
      </c>
      <c r="F1729" s="7" t="s">
        <v>18</v>
      </c>
      <c r="G1729" s="7" t="s">
        <v>264</v>
      </c>
      <c r="H1729" s="7" t="s">
        <v>330</v>
      </c>
      <c r="I1729" s="8" t="s">
        <v>3621</v>
      </c>
    </row>
    <row r="1730" spans="1:12" hidden="1" x14ac:dyDescent="0.35">
      <c r="A1730" s="6">
        <v>1999202</v>
      </c>
      <c r="B1730" s="7" t="str">
        <f>"3374015410900001"</f>
        <v>3374015410900001</v>
      </c>
      <c r="C1730" s="7" t="s">
        <v>3622</v>
      </c>
      <c r="D1730" s="7" t="s">
        <v>10</v>
      </c>
      <c r="E1730" s="7" t="s">
        <v>11</v>
      </c>
      <c r="F1730" s="7" t="s">
        <v>18</v>
      </c>
      <c r="G1730" s="7" t="s">
        <v>1438</v>
      </c>
      <c r="H1730" s="7" t="s">
        <v>3623</v>
      </c>
      <c r="I1730" s="8" t="s">
        <v>3623</v>
      </c>
    </row>
    <row r="1731" spans="1:12" hidden="1" x14ac:dyDescent="0.35">
      <c r="A1731" s="6">
        <v>2515735</v>
      </c>
      <c r="B1731" s="7" t="str">
        <f>"3374061504910002"</f>
        <v>3374061504910002</v>
      </c>
      <c r="C1731" s="7" t="s">
        <v>3624</v>
      </c>
      <c r="D1731" s="7" t="s">
        <v>10</v>
      </c>
      <c r="E1731" s="7" t="s">
        <v>11</v>
      </c>
      <c r="F1731" s="7" t="s">
        <v>18</v>
      </c>
      <c r="G1731" s="7" t="s">
        <v>1438</v>
      </c>
      <c r="H1731" s="7" t="s">
        <v>2738</v>
      </c>
      <c r="I1731" s="8" t="s">
        <v>2745</v>
      </c>
    </row>
    <row r="1732" spans="1:12" hidden="1" x14ac:dyDescent="0.35">
      <c r="A1732" s="6">
        <v>2515734</v>
      </c>
      <c r="B1732" s="7" t="str">
        <f>"3374066801920007"</f>
        <v>3374066801920007</v>
      </c>
      <c r="C1732" s="7" t="s">
        <v>3626</v>
      </c>
      <c r="D1732" s="7" t="s">
        <v>10</v>
      </c>
      <c r="E1732" s="7" t="s">
        <v>11</v>
      </c>
      <c r="F1732" s="7" t="s">
        <v>18</v>
      </c>
      <c r="G1732" s="7" t="s">
        <v>1438</v>
      </c>
      <c r="H1732" s="7" t="s">
        <v>2738</v>
      </c>
      <c r="I1732" s="8" t="s">
        <v>2745</v>
      </c>
    </row>
    <row r="1733" spans="1:12" hidden="1" x14ac:dyDescent="0.35">
      <c r="A1733" s="6">
        <v>335377</v>
      </c>
      <c r="B1733" s="7" t="str">
        <f>"3376010204850003"</f>
        <v>3376010204850003</v>
      </c>
      <c r="C1733" s="7" t="s">
        <v>3628</v>
      </c>
      <c r="D1733" s="7" t="s">
        <v>10</v>
      </c>
      <c r="E1733" s="7" t="s">
        <v>11</v>
      </c>
      <c r="F1733" s="7" t="s">
        <v>18</v>
      </c>
      <c r="G1733" s="7" t="s">
        <v>268</v>
      </c>
      <c r="H1733" s="7" t="s">
        <v>277</v>
      </c>
      <c r="I1733" s="8" t="s">
        <v>278</v>
      </c>
    </row>
    <row r="1734" spans="1:12" hidden="1" x14ac:dyDescent="0.35">
      <c r="A1734" s="6">
        <v>282820</v>
      </c>
      <c r="B1734" s="7" t="str">
        <f>"3376014605960002"</f>
        <v>3376014605960002</v>
      </c>
      <c r="C1734" s="7" t="s">
        <v>3629</v>
      </c>
      <c r="D1734" s="7" t="s">
        <v>10</v>
      </c>
      <c r="E1734" s="7" t="s">
        <v>11</v>
      </c>
      <c r="F1734" s="7" t="s">
        <v>18</v>
      </c>
      <c r="G1734" s="7" t="s">
        <v>268</v>
      </c>
      <c r="H1734" s="7" t="s">
        <v>277</v>
      </c>
      <c r="I1734" s="8" t="s">
        <v>884</v>
      </c>
    </row>
    <row r="1735" spans="1:12" hidden="1" x14ac:dyDescent="0.35">
      <c r="A1735" s="6">
        <v>282822</v>
      </c>
      <c r="B1735" s="7" t="str">
        <f>"3376016101750002"</f>
        <v>3376016101750002</v>
      </c>
      <c r="C1735" s="7" t="s">
        <v>3630</v>
      </c>
      <c r="D1735" s="7" t="s">
        <v>10</v>
      </c>
      <c r="E1735" s="7" t="s">
        <v>11</v>
      </c>
      <c r="F1735" s="7" t="s">
        <v>18</v>
      </c>
      <c r="G1735" s="7" t="s">
        <v>268</v>
      </c>
      <c r="H1735" s="7" t="s">
        <v>277</v>
      </c>
      <c r="I1735" s="8" t="s">
        <v>884</v>
      </c>
    </row>
    <row r="1736" spans="1:12" hidden="1" x14ac:dyDescent="0.35">
      <c r="A1736" s="6">
        <v>320689</v>
      </c>
      <c r="B1736" s="7" t="str">
        <f>"3376016202990001"</f>
        <v>3376016202990001</v>
      </c>
      <c r="C1736" s="7" t="s">
        <v>3631</v>
      </c>
      <c r="D1736" s="7" t="s">
        <v>10</v>
      </c>
      <c r="E1736" s="7" t="s">
        <v>11</v>
      </c>
      <c r="F1736" s="7" t="s">
        <v>18</v>
      </c>
      <c r="G1736" s="7" t="s">
        <v>268</v>
      </c>
      <c r="H1736" s="7" t="s">
        <v>277</v>
      </c>
      <c r="I1736" s="8" t="s">
        <v>278</v>
      </c>
    </row>
    <row r="1737" spans="1:12" hidden="1" x14ac:dyDescent="0.35">
      <c r="A1737" s="13">
        <v>2299214</v>
      </c>
      <c r="B1737" s="14" t="str">
        <f>"3376024808940002"</f>
        <v>3376024808940002</v>
      </c>
      <c r="C1737" s="14" t="s">
        <v>3632</v>
      </c>
      <c r="D1737" s="14" t="s">
        <v>10</v>
      </c>
      <c r="E1737" s="14" t="s">
        <v>11</v>
      </c>
      <c r="F1737" s="14" t="s">
        <v>18</v>
      </c>
      <c r="G1737" s="14" t="s">
        <v>19</v>
      </c>
      <c r="H1737" s="14" t="s">
        <v>251</v>
      </c>
      <c r="I1737" s="15" t="s">
        <v>3410</v>
      </c>
      <c r="J1737" s="16" t="str">
        <f>VLOOKUP(B1737,baru!$B$2:$I$2271,4,FALSE)</f>
        <v>Reguler</v>
      </c>
      <c r="K1737" s="16" t="str">
        <f>VLOOKUP(B1737,baru!$B$2:$I$2271,5,FALSE)</f>
        <v>JAWA TENGAH</v>
      </c>
      <c r="L1737" s="16" t="str">
        <f>VLOOKUP(B1737,baru!$B$2:$I$2271,6,FALSE)</f>
        <v>KOTA TEGAL</v>
      </c>
    </row>
    <row r="1738" spans="1:12" hidden="1" x14ac:dyDescent="0.35">
      <c r="A1738" s="6">
        <v>1119191</v>
      </c>
      <c r="B1738" s="7" t="str">
        <f>"3506171809730003"</f>
        <v>3506171809730003</v>
      </c>
      <c r="C1738" s="7" t="s">
        <v>3634</v>
      </c>
      <c r="D1738" s="7" t="s">
        <v>10</v>
      </c>
      <c r="E1738" s="7" t="s">
        <v>11</v>
      </c>
      <c r="F1738" s="7" t="s">
        <v>303</v>
      </c>
      <c r="G1738" s="7" t="s">
        <v>608</v>
      </c>
      <c r="H1738" s="7" t="s">
        <v>3635</v>
      </c>
      <c r="I1738" s="8" t="s">
        <v>3636</v>
      </c>
    </row>
    <row r="1739" spans="1:12" hidden="1" x14ac:dyDescent="0.35">
      <c r="A1739" s="6">
        <v>1122997</v>
      </c>
      <c r="B1739" s="7" t="str">
        <f>"3513191911730001"</f>
        <v>3513191911730001</v>
      </c>
      <c r="C1739" s="7" t="s">
        <v>3637</v>
      </c>
      <c r="D1739" s="7" t="s">
        <v>10</v>
      </c>
      <c r="E1739" s="7" t="s">
        <v>11</v>
      </c>
      <c r="F1739" s="7" t="s">
        <v>303</v>
      </c>
      <c r="G1739" s="7" t="s">
        <v>3638</v>
      </c>
      <c r="H1739" s="7" t="s">
        <v>3639</v>
      </c>
      <c r="I1739" s="8" t="s">
        <v>3640</v>
      </c>
    </row>
    <row r="1740" spans="1:12" hidden="1" x14ac:dyDescent="0.35">
      <c r="A1740" s="6">
        <v>1122998</v>
      </c>
      <c r="B1740" s="7" t="str">
        <f>"3513196803890004"</f>
        <v>3513196803890004</v>
      </c>
      <c r="C1740" s="7" t="s">
        <v>3641</v>
      </c>
      <c r="D1740" s="7" t="s">
        <v>10</v>
      </c>
      <c r="E1740" s="7" t="s">
        <v>11</v>
      </c>
      <c r="F1740" s="7" t="s">
        <v>303</v>
      </c>
      <c r="G1740" s="7" t="s">
        <v>3638</v>
      </c>
      <c r="H1740" s="7" t="s">
        <v>3639</v>
      </c>
      <c r="I1740" s="8" t="s">
        <v>3640</v>
      </c>
    </row>
    <row r="1741" spans="1:12" hidden="1" x14ac:dyDescent="0.35">
      <c r="A1741" s="6">
        <v>2625264</v>
      </c>
      <c r="B1741" s="7" t="str">
        <f>"3671114512980001"</f>
        <v>3671114512980001</v>
      </c>
      <c r="C1741" s="7" t="s">
        <v>3642</v>
      </c>
      <c r="D1741" s="7" t="s">
        <v>10</v>
      </c>
      <c r="E1741" s="7" t="s">
        <v>11</v>
      </c>
      <c r="F1741" s="7" t="s">
        <v>67</v>
      </c>
      <c r="G1741" s="7" t="s">
        <v>512</v>
      </c>
      <c r="H1741" s="7" t="s">
        <v>3643</v>
      </c>
      <c r="I1741" s="8" t="s">
        <v>3644</v>
      </c>
    </row>
    <row r="1742" spans="1:12" hidden="1" x14ac:dyDescent="0.35">
      <c r="A1742" s="6">
        <v>97661</v>
      </c>
      <c r="B1742" s="7" t="str">
        <f>"5271014102910002"</f>
        <v>5271014102910002</v>
      </c>
      <c r="C1742" s="7" t="s">
        <v>3645</v>
      </c>
      <c r="D1742" s="7" t="s">
        <v>10</v>
      </c>
      <c r="E1742" s="7" t="s">
        <v>11</v>
      </c>
      <c r="F1742" s="7" t="s">
        <v>2820</v>
      </c>
      <c r="G1742" s="7" t="s">
        <v>3646</v>
      </c>
      <c r="H1742" s="7" t="s">
        <v>3647</v>
      </c>
      <c r="I1742" s="8" t="s">
        <v>3648</v>
      </c>
    </row>
    <row r="1743" spans="1:12" hidden="1" x14ac:dyDescent="0.35">
      <c r="A1743" s="6">
        <v>408309</v>
      </c>
      <c r="B1743" s="7" t="str">
        <f>"9171025003880004"</f>
        <v>9171025003880004</v>
      </c>
      <c r="C1743" s="7" t="s">
        <v>3650</v>
      </c>
      <c r="D1743" s="7" t="s">
        <v>10</v>
      </c>
      <c r="E1743" s="7" t="s">
        <v>11</v>
      </c>
      <c r="F1743" s="7" t="s">
        <v>783</v>
      </c>
      <c r="G1743" s="7" t="s">
        <v>1112</v>
      </c>
      <c r="H1743" s="7" t="s">
        <v>3651</v>
      </c>
      <c r="I1743" s="8" t="s">
        <v>3652</v>
      </c>
    </row>
    <row r="1744" spans="1:12" hidden="1" x14ac:dyDescent="0.35">
      <c r="A1744" s="6">
        <v>53067</v>
      </c>
      <c r="B1744" s="7" t="str">
        <f>"1203042307031001"</f>
        <v>1203042307031001</v>
      </c>
      <c r="C1744" s="7" t="s">
        <v>3653</v>
      </c>
      <c r="D1744" s="7" t="s">
        <v>10</v>
      </c>
      <c r="E1744" s="7" t="s">
        <v>11</v>
      </c>
      <c r="F1744" s="7" t="s">
        <v>667</v>
      </c>
      <c r="G1744" s="7" t="s">
        <v>3654</v>
      </c>
      <c r="H1744" s="7" t="s">
        <v>3655</v>
      </c>
      <c r="I1744" s="8" t="s">
        <v>3656</v>
      </c>
    </row>
    <row r="1745" spans="1:12" hidden="1" x14ac:dyDescent="0.35">
      <c r="A1745" s="6">
        <v>2091986</v>
      </c>
      <c r="B1745" s="7" t="str">
        <f>"1301032412970003"</f>
        <v>1301032412970003</v>
      </c>
      <c r="C1745" s="7" t="s">
        <v>3659</v>
      </c>
      <c r="D1745" s="7" t="s">
        <v>10</v>
      </c>
      <c r="E1745" s="7" t="s">
        <v>11</v>
      </c>
      <c r="F1745" s="7" t="s">
        <v>18</v>
      </c>
      <c r="G1745" s="7" t="s">
        <v>19</v>
      </c>
      <c r="H1745" s="7" t="s">
        <v>348</v>
      </c>
      <c r="I1745" s="8" t="s">
        <v>3660</v>
      </c>
      <c r="J1745" t="e">
        <f>VLOOKUP(B1745,baru!$B$2:$I$2271,4,FALSE)</f>
        <v>#N/A</v>
      </c>
      <c r="K1745" t="e">
        <f>VLOOKUP(B1745,baru!$B$2:$I$2271,5,FALSE)</f>
        <v>#N/A</v>
      </c>
      <c r="L1745" t="e">
        <f>VLOOKUP(B1745,baru!$B$2:$I$2271,6,FALSE)</f>
        <v>#N/A</v>
      </c>
    </row>
    <row r="1746" spans="1:12" hidden="1" x14ac:dyDescent="0.35">
      <c r="A1746" s="6">
        <v>423792</v>
      </c>
      <c r="B1746" s="7" t="str">
        <f>"1301032412970003"</f>
        <v>1301032412970003</v>
      </c>
      <c r="C1746" s="7" t="s">
        <v>3661</v>
      </c>
      <c r="D1746" s="7" t="s">
        <v>10</v>
      </c>
      <c r="E1746" s="7" t="s">
        <v>57</v>
      </c>
      <c r="F1746" s="7" t="s">
        <v>18</v>
      </c>
      <c r="G1746" s="7" t="s">
        <v>268</v>
      </c>
      <c r="H1746" s="7" t="s">
        <v>277</v>
      </c>
      <c r="I1746" s="8" t="s">
        <v>278</v>
      </c>
    </row>
    <row r="1747" spans="1:12" hidden="1" x14ac:dyDescent="0.35">
      <c r="A1747" s="6">
        <v>475667</v>
      </c>
      <c r="B1747" s="7" t="str">
        <f>"3171071012961003"</f>
        <v>3171071012961003</v>
      </c>
      <c r="C1747" s="7" t="s">
        <v>3662</v>
      </c>
      <c r="D1747" s="7" t="s">
        <v>10</v>
      </c>
      <c r="E1747" s="7" t="s">
        <v>11</v>
      </c>
      <c r="F1747" s="7" t="s">
        <v>50</v>
      </c>
      <c r="G1747" s="7" t="s">
        <v>280</v>
      </c>
      <c r="H1747" s="7" t="s">
        <v>281</v>
      </c>
      <c r="I1747" s="8" t="s">
        <v>3663</v>
      </c>
    </row>
    <row r="1748" spans="1:12" hidden="1" x14ac:dyDescent="0.35">
      <c r="A1748" s="6">
        <v>1296697</v>
      </c>
      <c r="B1748" s="7" t="str">
        <f>"3172035401710006"</f>
        <v>3172035401710006</v>
      </c>
      <c r="C1748" s="7" t="s">
        <v>3665</v>
      </c>
      <c r="D1748" s="7" t="s">
        <v>10</v>
      </c>
      <c r="E1748" s="7" t="s">
        <v>11</v>
      </c>
      <c r="F1748" s="7" t="s">
        <v>50</v>
      </c>
      <c r="G1748" s="7" t="s">
        <v>51</v>
      </c>
      <c r="H1748" s="7" t="s">
        <v>284</v>
      </c>
      <c r="I1748" s="8" t="s">
        <v>2196</v>
      </c>
    </row>
    <row r="1749" spans="1:12" hidden="1" x14ac:dyDescent="0.35">
      <c r="A1749" s="6">
        <v>1310604</v>
      </c>
      <c r="B1749" s="7" t="str">
        <f>"3172036405920009"</f>
        <v>3172036405920009</v>
      </c>
      <c r="C1749" s="7" t="s">
        <v>3667</v>
      </c>
      <c r="D1749" s="7" t="s">
        <v>10</v>
      </c>
      <c r="E1749" s="7" t="s">
        <v>11</v>
      </c>
      <c r="F1749" s="7" t="s">
        <v>50</v>
      </c>
      <c r="G1749" s="7" t="s">
        <v>51</v>
      </c>
      <c r="H1749" s="7" t="s">
        <v>284</v>
      </c>
      <c r="I1749" s="8" t="s">
        <v>285</v>
      </c>
    </row>
    <row r="1750" spans="1:12" hidden="1" x14ac:dyDescent="0.35">
      <c r="A1750" s="6">
        <v>222709</v>
      </c>
      <c r="B1750" s="7" t="str">
        <f>"3174030212860001"</f>
        <v>3174030212860001</v>
      </c>
      <c r="C1750" s="7" t="s">
        <v>3669</v>
      </c>
      <c r="D1750" s="7" t="s">
        <v>10</v>
      </c>
      <c r="E1750" s="7" t="s">
        <v>11</v>
      </c>
      <c r="F1750" s="7" t="s">
        <v>50</v>
      </c>
      <c r="G1750" s="7" t="s">
        <v>58</v>
      </c>
      <c r="H1750" s="7" t="s">
        <v>2527</v>
      </c>
      <c r="I1750" s="8" t="s">
        <v>3671</v>
      </c>
    </row>
    <row r="1751" spans="1:12" hidden="1" x14ac:dyDescent="0.35">
      <c r="A1751" s="6">
        <v>188728</v>
      </c>
      <c r="B1751" s="7" t="str">
        <f>"3174102002860001"</f>
        <v>3174102002860001</v>
      </c>
      <c r="C1751" s="7" t="s">
        <v>3672</v>
      </c>
      <c r="D1751" s="7" t="s">
        <v>10</v>
      </c>
      <c r="E1751" s="7" t="s">
        <v>11</v>
      </c>
      <c r="F1751" s="7" t="s">
        <v>12</v>
      </c>
      <c r="G1751" s="7" t="s">
        <v>3673</v>
      </c>
      <c r="H1751" s="7" t="s">
        <v>3674</v>
      </c>
      <c r="I1751" s="8" t="s">
        <v>3675</v>
      </c>
    </row>
    <row r="1752" spans="1:12" x14ac:dyDescent="0.35">
      <c r="A1752" s="6">
        <v>2402927</v>
      </c>
      <c r="B1752" s="7" t="str">
        <f>"3175011103580004"</f>
        <v>3175011103580004</v>
      </c>
      <c r="C1752" s="7" t="s">
        <v>3680</v>
      </c>
      <c r="D1752" s="7" t="s">
        <v>189</v>
      </c>
      <c r="E1752" s="7" t="s">
        <v>11</v>
      </c>
      <c r="F1752" s="7" t="s">
        <v>50</v>
      </c>
      <c r="G1752" s="7" t="s">
        <v>58</v>
      </c>
      <c r="H1752" s="7" t="s">
        <v>406</v>
      </c>
      <c r="I1752" s="8" t="s">
        <v>3116</v>
      </c>
    </row>
    <row r="1753" spans="1:12" hidden="1" x14ac:dyDescent="0.35">
      <c r="A1753" s="6">
        <v>678355</v>
      </c>
      <c r="B1753" s="7" t="str">
        <f>"3209224810900005"</f>
        <v>3209224810900005</v>
      </c>
      <c r="C1753" s="7" t="s">
        <v>3681</v>
      </c>
      <c r="D1753" s="7" t="s">
        <v>10</v>
      </c>
      <c r="E1753" s="7" t="s">
        <v>11</v>
      </c>
      <c r="F1753" s="7" t="s">
        <v>91</v>
      </c>
      <c r="G1753" s="7" t="s">
        <v>985</v>
      </c>
      <c r="H1753" s="7" t="s">
        <v>3682</v>
      </c>
      <c r="I1753" s="8" t="s">
        <v>3682</v>
      </c>
    </row>
    <row r="1754" spans="1:12" hidden="1" x14ac:dyDescent="0.35">
      <c r="A1754" s="6">
        <v>28971</v>
      </c>
      <c r="B1754" s="7" t="str">
        <f>"3210081411870081"</f>
        <v>3210081411870081</v>
      </c>
      <c r="C1754" s="7" t="s">
        <v>3684</v>
      </c>
      <c r="D1754" s="7" t="s">
        <v>10</v>
      </c>
      <c r="E1754" s="7" t="s">
        <v>11</v>
      </c>
      <c r="F1754" s="7" t="s">
        <v>91</v>
      </c>
      <c r="G1754" s="7" t="s">
        <v>631</v>
      </c>
      <c r="H1754" s="7" t="s">
        <v>3685</v>
      </c>
      <c r="I1754" s="8" t="s">
        <v>3686</v>
      </c>
    </row>
    <row r="1755" spans="1:12" hidden="1" x14ac:dyDescent="0.35">
      <c r="A1755" s="6">
        <v>1283349</v>
      </c>
      <c r="B1755" s="7" t="str">
        <f>"3215043011970001"</f>
        <v>3215043011970001</v>
      </c>
      <c r="C1755" s="7" t="s">
        <v>3689</v>
      </c>
      <c r="D1755" s="7" t="s">
        <v>10</v>
      </c>
      <c r="E1755" s="7" t="s">
        <v>11</v>
      </c>
      <c r="F1755" s="7" t="s">
        <v>91</v>
      </c>
      <c r="G1755" s="7" t="s">
        <v>320</v>
      </c>
      <c r="H1755" s="7" t="s">
        <v>3690</v>
      </c>
      <c r="I1755" s="8" t="s">
        <v>3691</v>
      </c>
    </row>
    <row r="1756" spans="1:12" hidden="1" x14ac:dyDescent="0.35">
      <c r="A1756" s="6">
        <v>2181159</v>
      </c>
      <c r="B1756" s="7" t="str">
        <f>"3216071109830007"</f>
        <v>3216071109830007</v>
      </c>
      <c r="C1756" s="7" t="s">
        <v>3692</v>
      </c>
      <c r="D1756" s="7" t="s">
        <v>10</v>
      </c>
      <c r="E1756" s="7" t="s">
        <v>11</v>
      </c>
      <c r="F1756" s="7" t="s">
        <v>91</v>
      </c>
      <c r="G1756" s="7" t="s">
        <v>92</v>
      </c>
      <c r="H1756" s="7" t="s">
        <v>287</v>
      </c>
      <c r="I1756" s="8" t="s">
        <v>3234</v>
      </c>
    </row>
    <row r="1757" spans="1:12" hidden="1" x14ac:dyDescent="0.35">
      <c r="A1757" s="6">
        <v>1725642</v>
      </c>
      <c r="B1757" s="7" t="str">
        <f>"3216082609790001"</f>
        <v>3216082609790001</v>
      </c>
      <c r="C1757" s="7" t="s">
        <v>3693</v>
      </c>
      <c r="D1757" s="7" t="s">
        <v>10</v>
      </c>
      <c r="E1757" s="7" t="s">
        <v>11</v>
      </c>
      <c r="F1757" s="7" t="s">
        <v>91</v>
      </c>
      <c r="G1757" s="7" t="s">
        <v>92</v>
      </c>
      <c r="H1757" s="7" t="s">
        <v>105</v>
      </c>
      <c r="I1757" s="8" t="s">
        <v>3694</v>
      </c>
    </row>
    <row r="1758" spans="1:12" hidden="1" x14ac:dyDescent="0.35">
      <c r="A1758" s="6">
        <v>1725643</v>
      </c>
      <c r="B1758" s="7" t="str">
        <f>"3216086210810003"</f>
        <v>3216086210810003</v>
      </c>
      <c r="C1758" s="7" t="s">
        <v>3697</v>
      </c>
      <c r="D1758" s="7" t="s">
        <v>10</v>
      </c>
      <c r="E1758" s="7" t="s">
        <v>11</v>
      </c>
      <c r="F1758" s="7" t="s">
        <v>91</v>
      </c>
      <c r="G1758" s="7" t="s">
        <v>92</v>
      </c>
      <c r="H1758" s="7" t="s">
        <v>105</v>
      </c>
      <c r="I1758" s="8" t="s">
        <v>3694</v>
      </c>
    </row>
    <row r="1759" spans="1:12" hidden="1" x14ac:dyDescent="0.35">
      <c r="A1759" s="6">
        <v>454062</v>
      </c>
      <c r="B1759" s="7" t="str">
        <f>"3216160203950004"</f>
        <v>3216160203950004</v>
      </c>
      <c r="C1759" s="7" t="s">
        <v>3699</v>
      </c>
      <c r="D1759" s="7" t="s">
        <v>10</v>
      </c>
      <c r="E1759" s="7" t="s">
        <v>11</v>
      </c>
      <c r="F1759" s="7" t="s">
        <v>91</v>
      </c>
      <c r="G1759" s="7" t="s">
        <v>92</v>
      </c>
      <c r="H1759" s="7" t="s">
        <v>3700</v>
      </c>
      <c r="I1759" s="8" t="s">
        <v>3701</v>
      </c>
    </row>
    <row r="1760" spans="1:12" hidden="1" x14ac:dyDescent="0.35">
      <c r="A1760" s="6">
        <v>1206986</v>
      </c>
      <c r="B1760" s="7" t="str">
        <f>"3216175207840005"</f>
        <v>3216175207840005</v>
      </c>
      <c r="C1760" s="7" t="s">
        <v>3702</v>
      </c>
      <c r="D1760" s="7" t="s">
        <v>10</v>
      </c>
      <c r="E1760" s="7" t="s">
        <v>11</v>
      </c>
      <c r="F1760" s="7" t="s">
        <v>91</v>
      </c>
      <c r="G1760" s="7" t="s">
        <v>92</v>
      </c>
      <c r="H1760" s="7" t="s">
        <v>3703</v>
      </c>
      <c r="I1760" s="8" t="s">
        <v>3704</v>
      </c>
    </row>
    <row r="1761" spans="1:12" hidden="1" x14ac:dyDescent="0.35">
      <c r="A1761" s="6">
        <v>61912</v>
      </c>
      <c r="B1761" s="7" t="str">
        <f>"3275031207820053"</f>
        <v>3275031207820053</v>
      </c>
      <c r="C1761" s="7" t="s">
        <v>3706</v>
      </c>
      <c r="D1761" s="7" t="s">
        <v>10</v>
      </c>
      <c r="E1761" s="7" t="s">
        <v>11</v>
      </c>
      <c r="F1761" s="7" t="s">
        <v>91</v>
      </c>
      <c r="G1761" s="7" t="s">
        <v>159</v>
      </c>
      <c r="H1761" s="7" t="s">
        <v>1828</v>
      </c>
      <c r="I1761" s="8" t="s">
        <v>3707</v>
      </c>
    </row>
    <row r="1762" spans="1:12" hidden="1" x14ac:dyDescent="0.35">
      <c r="A1762" s="13">
        <v>2134796</v>
      </c>
      <c r="B1762" s="14" t="str">
        <f>"3275055909990014"</f>
        <v>3275055909990014</v>
      </c>
      <c r="C1762" s="14" t="s">
        <v>3708</v>
      </c>
      <c r="D1762" s="14" t="s">
        <v>10</v>
      </c>
      <c r="E1762" s="14" t="s">
        <v>11</v>
      </c>
      <c r="F1762" s="14" t="s">
        <v>18</v>
      </c>
      <c r="G1762" s="14" t="s">
        <v>19</v>
      </c>
      <c r="H1762" s="14" t="s">
        <v>348</v>
      </c>
      <c r="I1762" s="15" t="s">
        <v>3677</v>
      </c>
      <c r="J1762" s="16" t="str">
        <f>VLOOKUP(B1762,baru!$B$2:$I$2271,4,FALSE)</f>
        <v>Reguler</v>
      </c>
      <c r="K1762" s="16" t="str">
        <f>VLOOKUP(B1762,baru!$B$2:$I$2271,5,FALSE)</f>
        <v>JAWA TENGAH</v>
      </c>
      <c r="L1762" s="16" t="str">
        <f>VLOOKUP(B1762,baru!$B$2:$I$2271,6,FALSE)</f>
        <v>KLATEN</v>
      </c>
    </row>
    <row r="1763" spans="1:12" hidden="1" x14ac:dyDescent="0.35">
      <c r="A1763" s="6">
        <v>198447</v>
      </c>
      <c r="B1763" s="7" t="str">
        <f>"3276020306810021"</f>
        <v>3276020306810021</v>
      </c>
      <c r="C1763" s="7" t="s">
        <v>3710</v>
      </c>
      <c r="D1763" s="7" t="s">
        <v>10</v>
      </c>
      <c r="E1763" s="7" t="s">
        <v>11</v>
      </c>
      <c r="F1763" s="7" t="s">
        <v>91</v>
      </c>
      <c r="G1763" s="7" t="s">
        <v>903</v>
      </c>
      <c r="H1763" s="7" t="s">
        <v>915</v>
      </c>
      <c r="I1763" s="8" t="s">
        <v>1410</v>
      </c>
    </row>
    <row r="1764" spans="1:12" hidden="1" x14ac:dyDescent="0.35">
      <c r="A1764" s="13">
        <v>2160243</v>
      </c>
      <c r="B1764" s="14" t="str">
        <f>"3301102901880003"</f>
        <v>3301102901880003</v>
      </c>
      <c r="C1764" s="14" t="s">
        <v>3712</v>
      </c>
      <c r="D1764" s="14" t="s">
        <v>10</v>
      </c>
      <c r="E1764" s="14" t="s">
        <v>11</v>
      </c>
      <c r="F1764" s="14" t="s">
        <v>18</v>
      </c>
      <c r="G1764" s="14" t="s">
        <v>19</v>
      </c>
      <c r="H1764" s="14" t="s">
        <v>348</v>
      </c>
      <c r="I1764" s="15" t="s">
        <v>3696</v>
      </c>
      <c r="J1764" s="16" t="str">
        <f>VLOOKUP(B1764,baru!$B$2:$I$2271,4,FALSE)</f>
        <v>Reguler</v>
      </c>
      <c r="K1764" s="16" t="str">
        <f>VLOOKUP(B1764,baru!$B$2:$I$2271,5,FALSE)</f>
        <v>JAWA TENGAH</v>
      </c>
      <c r="L1764" s="16" t="str">
        <f>VLOOKUP(B1764,baru!$B$2:$I$2271,6,FALSE)</f>
        <v>CILACAP</v>
      </c>
    </row>
    <row r="1765" spans="1:12" hidden="1" x14ac:dyDescent="0.35">
      <c r="A1765" s="6">
        <v>276897</v>
      </c>
      <c r="B1765" s="7" t="str">
        <f>"3305202312920001"</f>
        <v>3305202312920001</v>
      </c>
      <c r="C1765" s="7" t="s">
        <v>3715</v>
      </c>
      <c r="D1765" s="7" t="s">
        <v>10</v>
      </c>
      <c r="E1765" s="7" t="s">
        <v>11</v>
      </c>
      <c r="F1765" s="7" t="s">
        <v>18</v>
      </c>
      <c r="G1765" s="7" t="s">
        <v>268</v>
      </c>
      <c r="H1765" s="7" t="s">
        <v>277</v>
      </c>
      <c r="I1765" s="8" t="s">
        <v>3326</v>
      </c>
    </row>
    <row r="1766" spans="1:12" hidden="1" x14ac:dyDescent="0.35">
      <c r="A1766" s="13">
        <v>2377104</v>
      </c>
      <c r="B1766" s="14" t="str">
        <f>"3325056604900001"</f>
        <v>3325056604900001</v>
      </c>
      <c r="C1766" s="14" t="s">
        <v>3117</v>
      </c>
      <c r="D1766" s="14" t="s">
        <v>10</v>
      </c>
      <c r="E1766" s="14" t="s">
        <v>11</v>
      </c>
      <c r="F1766" s="14" t="s">
        <v>18</v>
      </c>
      <c r="G1766" s="14" t="s">
        <v>19</v>
      </c>
      <c r="H1766" s="14" t="s">
        <v>348</v>
      </c>
      <c r="I1766" s="15" t="s">
        <v>348</v>
      </c>
      <c r="J1766" s="16" t="str">
        <f>VLOOKUP(B1766,baru!$B$2:$I$2271,4,FALSE)</f>
        <v>Reguler</v>
      </c>
      <c r="K1766" s="16" t="str">
        <f>VLOOKUP(B1766,baru!$B$2:$I$2271,5,FALSE)</f>
        <v>JAWA TENGAH</v>
      </c>
      <c r="L1766" s="16" t="str">
        <f>VLOOKUP(B1766,baru!$B$2:$I$2271,6,FALSE)</f>
        <v>BATANG</v>
      </c>
    </row>
    <row r="1767" spans="1:12" hidden="1" x14ac:dyDescent="0.35">
      <c r="A1767" s="6">
        <v>1191471</v>
      </c>
      <c r="B1767" s="7" t="str">
        <f>"3326115307990001"</f>
        <v>3326115307990001</v>
      </c>
      <c r="C1767" s="7" t="s">
        <v>3716</v>
      </c>
      <c r="D1767" s="7" t="s">
        <v>10</v>
      </c>
      <c r="E1767" s="7" t="s">
        <v>11</v>
      </c>
      <c r="F1767" s="7" t="s">
        <v>18</v>
      </c>
      <c r="G1767" s="7" t="s">
        <v>195</v>
      </c>
      <c r="H1767" s="7" t="s">
        <v>906</v>
      </c>
      <c r="I1767" s="8" t="s">
        <v>3717</v>
      </c>
    </row>
    <row r="1768" spans="1:12" hidden="1" x14ac:dyDescent="0.35">
      <c r="A1768" s="6">
        <v>293062</v>
      </c>
      <c r="B1768" s="7" t="str">
        <f>"3327125505790009"</f>
        <v>3327125505790009</v>
      </c>
      <c r="C1768" s="7" t="s">
        <v>3719</v>
      </c>
      <c r="D1768" s="7" t="s">
        <v>10</v>
      </c>
      <c r="E1768" s="7" t="s">
        <v>11</v>
      </c>
      <c r="F1768" s="7" t="s">
        <v>18</v>
      </c>
      <c r="G1768" s="7" t="s">
        <v>268</v>
      </c>
      <c r="H1768" s="7" t="s">
        <v>277</v>
      </c>
      <c r="I1768" s="8" t="s">
        <v>2762</v>
      </c>
    </row>
    <row r="1769" spans="1:12" hidden="1" x14ac:dyDescent="0.35">
      <c r="A1769" s="6">
        <v>253428</v>
      </c>
      <c r="B1769" s="7" t="str">
        <f>"3328040504880003"</f>
        <v>3328040504880003</v>
      </c>
      <c r="C1769" s="7" t="s">
        <v>3720</v>
      </c>
      <c r="D1769" s="7" t="s">
        <v>10</v>
      </c>
      <c r="E1769" s="7" t="s">
        <v>11</v>
      </c>
      <c r="F1769" s="7" t="s">
        <v>18</v>
      </c>
      <c r="G1769" s="7" t="s">
        <v>268</v>
      </c>
      <c r="H1769" s="7" t="s">
        <v>371</v>
      </c>
      <c r="I1769" s="8" t="s">
        <v>497</v>
      </c>
    </row>
    <row r="1770" spans="1:12" hidden="1" x14ac:dyDescent="0.35">
      <c r="A1770" s="6">
        <v>1351109</v>
      </c>
      <c r="B1770" s="7" t="str">
        <f>"3328102802050002"</f>
        <v>3328102802050002</v>
      </c>
      <c r="C1770" s="7" t="s">
        <v>3724</v>
      </c>
      <c r="D1770" s="7" t="s">
        <v>10</v>
      </c>
      <c r="E1770" s="7" t="s">
        <v>57</v>
      </c>
      <c r="F1770" s="7" t="s">
        <v>303</v>
      </c>
      <c r="G1770" s="7" t="s">
        <v>608</v>
      </c>
      <c r="H1770" s="7" t="s">
        <v>609</v>
      </c>
      <c r="I1770" s="8" t="s">
        <v>610</v>
      </c>
    </row>
    <row r="1771" spans="1:12" hidden="1" x14ac:dyDescent="0.35">
      <c r="A1771" s="6">
        <v>709166</v>
      </c>
      <c r="B1771" s="7" t="str">
        <f>"3328110101660013"</f>
        <v>3328110101660013</v>
      </c>
      <c r="C1771" s="7" t="s">
        <v>3725</v>
      </c>
      <c r="D1771" s="7" t="s">
        <v>10</v>
      </c>
      <c r="E1771" s="7" t="s">
        <v>11</v>
      </c>
      <c r="F1771" s="7" t="s">
        <v>18</v>
      </c>
      <c r="G1771" s="7" t="s">
        <v>264</v>
      </c>
      <c r="H1771" s="7" t="s">
        <v>248</v>
      </c>
      <c r="I1771" s="8" t="s">
        <v>1630</v>
      </c>
    </row>
    <row r="1772" spans="1:12" hidden="1" x14ac:dyDescent="0.35">
      <c r="A1772" s="6">
        <v>2112682</v>
      </c>
      <c r="B1772" s="7" t="str">
        <f>"3328110107040076"</f>
        <v>3328110107040076</v>
      </c>
      <c r="C1772" s="7" t="s">
        <v>3728</v>
      </c>
      <c r="D1772" s="7" t="s">
        <v>10</v>
      </c>
      <c r="E1772" s="7" t="s">
        <v>11</v>
      </c>
      <c r="F1772" s="7" t="s">
        <v>18</v>
      </c>
      <c r="G1772" s="7" t="s">
        <v>19</v>
      </c>
      <c r="H1772" s="7" t="s">
        <v>348</v>
      </c>
      <c r="I1772" s="8" t="s">
        <v>1777</v>
      </c>
      <c r="J1772" t="e">
        <f>VLOOKUP(B1772,baru!$B$2:$I$2271,4,FALSE)</f>
        <v>#N/A</v>
      </c>
      <c r="K1772" t="e">
        <f>VLOOKUP(B1772,baru!$B$2:$I$2271,5,FALSE)</f>
        <v>#N/A</v>
      </c>
      <c r="L1772" t="e">
        <f>VLOOKUP(B1772,baru!$B$2:$I$2271,6,FALSE)</f>
        <v>#N/A</v>
      </c>
    </row>
    <row r="1773" spans="1:12" hidden="1" x14ac:dyDescent="0.35">
      <c r="A1773" s="6">
        <v>1351105</v>
      </c>
      <c r="B1773" s="7" t="str">
        <f>"3328110107040076"</f>
        <v>3328110107040076</v>
      </c>
      <c r="C1773" s="7" t="s">
        <v>3728</v>
      </c>
      <c r="D1773" s="7" t="s">
        <v>10</v>
      </c>
      <c r="E1773" s="7" t="s">
        <v>57</v>
      </c>
      <c r="F1773" s="7" t="s">
        <v>303</v>
      </c>
      <c r="G1773" s="7" t="s">
        <v>608</v>
      </c>
      <c r="H1773" s="7" t="s">
        <v>609</v>
      </c>
      <c r="I1773" s="8" t="s">
        <v>610</v>
      </c>
    </row>
    <row r="1774" spans="1:12" hidden="1" x14ac:dyDescent="0.35">
      <c r="A1774" s="6">
        <v>2146663</v>
      </c>
      <c r="B1774" s="7" t="str">
        <f>"3328110109040008"</f>
        <v>3328110109040008</v>
      </c>
      <c r="C1774" s="7" t="s">
        <v>3729</v>
      </c>
      <c r="D1774" s="7" t="s">
        <v>10</v>
      </c>
      <c r="E1774" s="7" t="s">
        <v>11</v>
      </c>
      <c r="F1774" s="7" t="s">
        <v>18</v>
      </c>
      <c r="G1774" s="7" t="s">
        <v>19</v>
      </c>
      <c r="H1774" s="7" t="s">
        <v>348</v>
      </c>
      <c r="I1774" s="8" t="s">
        <v>3730</v>
      </c>
      <c r="J1774" t="e">
        <f>VLOOKUP(B1774,baru!$B$2:$I$2271,4,FALSE)</f>
        <v>#N/A</v>
      </c>
      <c r="K1774" t="e">
        <f>VLOOKUP(B1774,baru!$B$2:$I$2271,5,FALSE)</f>
        <v>#N/A</v>
      </c>
      <c r="L1774" t="e">
        <f>VLOOKUP(B1774,baru!$B$2:$I$2271,6,FALSE)</f>
        <v>#N/A</v>
      </c>
    </row>
    <row r="1775" spans="1:12" hidden="1" x14ac:dyDescent="0.35">
      <c r="A1775" s="6">
        <v>1351100</v>
      </c>
      <c r="B1775" s="7" t="str">
        <f>"3328110109040008"</f>
        <v>3328110109040008</v>
      </c>
      <c r="C1775" s="7" t="s">
        <v>3729</v>
      </c>
      <c r="D1775" s="7" t="s">
        <v>10</v>
      </c>
      <c r="E1775" s="7" t="s">
        <v>57</v>
      </c>
      <c r="F1775" s="7" t="s">
        <v>303</v>
      </c>
      <c r="G1775" s="7" t="s">
        <v>608</v>
      </c>
      <c r="H1775" s="7" t="s">
        <v>609</v>
      </c>
      <c r="I1775" s="8" t="s">
        <v>610</v>
      </c>
    </row>
    <row r="1776" spans="1:12" x14ac:dyDescent="0.35">
      <c r="A1776" s="6">
        <v>2016355</v>
      </c>
      <c r="B1776" s="7" t="str">
        <f>"3328110211060002"</f>
        <v>3328110211060002</v>
      </c>
      <c r="C1776" s="7" t="s">
        <v>3731</v>
      </c>
      <c r="D1776" s="7" t="s">
        <v>189</v>
      </c>
      <c r="E1776" s="7" t="s">
        <v>11</v>
      </c>
      <c r="F1776" s="7" t="s">
        <v>18</v>
      </c>
      <c r="G1776" s="7" t="s">
        <v>19</v>
      </c>
      <c r="H1776" s="7" t="s">
        <v>348</v>
      </c>
      <c r="I1776" s="8" t="s">
        <v>349</v>
      </c>
      <c r="J1776" t="e">
        <f>VLOOKUP(B1776,baru!$B$2:$I$2271,4,FALSE)</f>
        <v>#N/A</v>
      </c>
      <c r="K1776" t="e">
        <f>VLOOKUP(B1776,baru!$B$2:$I$2271,5,FALSE)</f>
        <v>#N/A</v>
      </c>
      <c r="L1776" t="e">
        <f>VLOOKUP(B1776,baru!$B$2:$I$2271,6,FALSE)</f>
        <v>#N/A</v>
      </c>
    </row>
    <row r="1777" spans="1:12" hidden="1" x14ac:dyDescent="0.35">
      <c r="A1777" s="6">
        <v>1349027</v>
      </c>
      <c r="B1777" s="7" t="str">
        <f>"3328110211060002"</f>
        <v>3328110211060002</v>
      </c>
      <c r="C1777" s="7" t="s">
        <v>3731</v>
      </c>
      <c r="D1777" s="7" t="s">
        <v>10</v>
      </c>
      <c r="E1777" s="7" t="s">
        <v>57</v>
      </c>
      <c r="F1777" s="7" t="s">
        <v>303</v>
      </c>
      <c r="G1777" s="7" t="s">
        <v>608</v>
      </c>
      <c r="H1777" s="7" t="s">
        <v>609</v>
      </c>
      <c r="I1777" s="8" t="s">
        <v>610</v>
      </c>
    </row>
    <row r="1778" spans="1:12" hidden="1" x14ac:dyDescent="0.35">
      <c r="A1778" s="6">
        <v>2380965</v>
      </c>
      <c r="B1778" s="7" t="str">
        <f>"3328110501870013"</f>
        <v>3328110501870013</v>
      </c>
      <c r="C1778" s="7" t="s">
        <v>3732</v>
      </c>
      <c r="D1778" s="7" t="s">
        <v>10</v>
      </c>
      <c r="E1778" s="7" t="s">
        <v>11</v>
      </c>
      <c r="F1778" s="7" t="s">
        <v>18</v>
      </c>
      <c r="G1778" s="7" t="s">
        <v>19</v>
      </c>
      <c r="H1778" s="7" t="s">
        <v>348</v>
      </c>
      <c r="I1778" s="8" t="s">
        <v>348</v>
      </c>
      <c r="J1778" t="e">
        <f>VLOOKUP(B1778,baru!$B$2:$I$2271,4,FALSE)</f>
        <v>#N/A</v>
      </c>
      <c r="K1778" t="e">
        <f>VLOOKUP(B1778,baru!$B$2:$I$2271,5,FALSE)</f>
        <v>#N/A</v>
      </c>
      <c r="L1778" t="e">
        <f>VLOOKUP(B1778,baru!$B$2:$I$2271,6,FALSE)</f>
        <v>#N/A</v>
      </c>
    </row>
    <row r="1779" spans="1:12" hidden="1" x14ac:dyDescent="0.35">
      <c r="A1779" s="6">
        <v>2613999</v>
      </c>
      <c r="B1779" s="7" t="str">
        <f>"3328110501870013"</f>
        <v>3328110501870013</v>
      </c>
      <c r="C1779" s="7" t="s">
        <v>3733</v>
      </c>
      <c r="D1779" s="7" t="s">
        <v>10</v>
      </c>
      <c r="E1779" s="7" t="s">
        <v>57</v>
      </c>
      <c r="F1779" s="7" t="s">
        <v>18</v>
      </c>
      <c r="G1779" s="7" t="s">
        <v>1438</v>
      </c>
      <c r="H1779" s="7" t="s">
        <v>3511</v>
      </c>
      <c r="I1779" s="8" t="s">
        <v>3086</v>
      </c>
    </row>
    <row r="1780" spans="1:12" hidden="1" x14ac:dyDescent="0.35">
      <c r="A1780" s="6">
        <v>989582</v>
      </c>
      <c r="B1780" s="7" t="str">
        <f>"3328110502920003"</f>
        <v>3328110502920003</v>
      </c>
      <c r="C1780" s="7" t="s">
        <v>3734</v>
      </c>
      <c r="D1780" s="7" t="s">
        <v>10</v>
      </c>
      <c r="E1780" s="7" t="s">
        <v>11</v>
      </c>
      <c r="F1780" s="7" t="s">
        <v>50</v>
      </c>
      <c r="G1780" s="7" t="s">
        <v>58</v>
      </c>
      <c r="H1780" s="7" t="s">
        <v>406</v>
      </c>
      <c r="I1780" s="8" t="s">
        <v>545</v>
      </c>
    </row>
    <row r="1781" spans="1:12" hidden="1" x14ac:dyDescent="0.35">
      <c r="A1781" s="13">
        <v>2048187</v>
      </c>
      <c r="B1781" s="14" t="str">
        <f>"3328110503910007"</f>
        <v>3328110503910007</v>
      </c>
      <c r="C1781" s="14" t="s">
        <v>3735</v>
      </c>
      <c r="D1781" s="14" t="s">
        <v>10</v>
      </c>
      <c r="E1781" s="14" t="s">
        <v>11</v>
      </c>
      <c r="F1781" s="14" t="s">
        <v>18</v>
      </c>
      <c r="G1781" s="14" t="s">
        <v>19</v>
      </c>
      <c r="H1781" s="14" t="s">
        <v>348</v>
      </c>
      <c r="I1781" s="15" t="s">
        <v>3670</v>
      </c>
      <c r="J1781" s="16" t="str">
        <f>VLOOKUP(B1781,baru!$B$2:$I$2271,4,FALSE)</f>
        <v>Reguler</v>
      </c>
      <c r="K1781" s="16" t="str">
        <f>VLOOKUP(B1781,baru!$B$2:$I$2271,5,FALSE)</f>
        <v>JAWA TENGAH</v>
      </c>
      <c r="L1781" s="16" t="str">
        <f>VLOOKUP(B1781,baru!$B$2:$I$2271,6,FALSE)</f>
        <v>BREBES</v>
      </c>
    </row>
    <row r="1782" spans="1:12" hidden="1" x14ac:dyDescent="0.35">
      <c r="A1782" s="13">
        <v>2161778</v>
      </c>
      <c r="B1782" s="14" t="str">
        <f>"3328110504860001"</f>
        <v>3328110504860001</v>
      </c>
      <c r="C1782" s="14" t="s">
        <v>3737</v>
      </c>
      <c r="D1782" s="14" t="s">
        <v>10</v>
      </c>
      <c r="E1782" s="14" t="s">
        <v>11</v>
      </c>
      <c r="F1782" s="14" t="s">
        <v>18</v>
      </c>
      <c r="G1782" s="14" t="s">
        <v>19</v>
      </c>
      <c r="H1782" s="14" t="s">
        <v>348</v>
      </c>
      <c r="I1782" s="15" t="s">
        <v>3696</v>
      </c>
      <c r="J1782" s="16" t="str">
        <f>VLOOKUP(B1782,baru!$B$2:$I$2271,4,FALSE)</f>
        <v>Reguler</v>
      </c>
      <c r="K1782" s="16" t="str">
        <f>VLOOKUP(B1782,baru!$B$2:$I$2271,5,FALSE)</f>
        <v>JAWA BARAT</v>
      </c>
      <c r="L1782" s="16" t="str">
        <f>VLOOKUP(B1782,baru!$B$2:$I$2271,6,FALSE)</f>
        <v>KARAWANG</v>
      </c>
    </row>
    <row r="1783" spans="1:12" hidden="1" x14ac:dyDescent="0.35">
      <c r="A1783" s="13">
        <v>2137588</v>
      </c>
      <c r="B1783" s="14" t="str">
        <f>"3328110506950009"</f>
        <v>3328110506950009</v>
      </c>
      <c r="C1783" s="14" t="s">
        <v>3738</v>
      </c>
      <c r="D1783" s="14" t="s">
        <v>10</v>
      </c>
      <c r="E1783" s="14" t="s">
        <v>11</v>
      </c>
      <c r="F1783" s="14" t="s">
        <v>18</v>
      </c>
      <c r="G1783" s="14" t="s">
        <v>19</v>
      </c>
      <c r="H1783" s="14" t="s">
        <v>348</v>
      </c>
      <c r="I1783" s="15" t="s">
        <v>3677</v>
      </c>
      <c r="J1783" s="16" t="str">
        <f>VLOOKUP(B1783,baru!$B$2:$I$2271,4,FALSE)</f>
        <v>Reguler</v>
      </c>
      <c r="K1783" s="16" t="str">
        <f>VLOOKUP(B1783,baru!$B$2:$I$2271,5,FALSE)</f>
        <v>JAWA TENGAH</v>
      </c>
      <c r="L1783" s="16" t="str">
        <f>VLOOKUP(B1783,baru!$B$2:$I$2271,6,FALSE)</f>
        <v>BREBES</v>
      </c>
    </row>
    <row r="1784" spans="1:12" x14ac:dyDescent="0.35">
      <c r="A1784" s="13">
        <v>2090941</v>
      </c>
      <c r="B1784" s="14" t="str">
        <f>"3328110508760006"</f>
        <v>3328110508760006</v>
      </c>
      <c r="C1784" s="14" t="s">
        <v>3740</v>
      </c>
      <c r="D1784" s="14" t="s">
        <v>189</v>
      </c>
      <c r="E1784" s="14" t="s">
        <v>11</v>
      </c>
      <c r="F1784" s="14" t="s">
        <v>18</v>
      </c>
      <c r="G1784" s="14" t="s">
        <v>19</v>
      </c>
      <c r="H1784" s="14" t="s">
        <v>348</v>
      </c>
      <c r="I1784" s="15" t="s">
        <v>3660</v>
      </c>
      <c r="J1784" s="16" t="str">
        <f>VLOOKUP(B1784,baru!$B$2:$I$2271,4,FALSE)</f>
        <v>Reguler</v>
      </c>
      <c r="K1784" s="16" t="str">
        <f>VLOOKUP(B1784,baru!$B$2:$I$2271,5,FALSE)</f>
        <v>DKI JAKARTA</v>
      </c>
      <c r="L1784" s="16" t="str">
        <f>VLOOKUP(B1784,baru!$B$2:$I$2271,6,FALSE)</f>
        <v>KOTA JAKARTA SELATAN</v>
      </c>
    </row>
    <row r="1785" spans="1:12" x14ac:dyDescent="0.35">
      <c r="A1785" s="6">
        <v>2103021</v>
      </c>
      <c r="B1785" s="7" t="str">
        <f>"3328110510050009"</f>
        <v>3328110510050009</v>
      </c>
      <c r="C1785" s="7" t="s">
        <v>3742</v>
      </c>
      <c r="D1785" s="7" t="s">
        <v>189</v>
      </c>
      <c r="E1785" s="7" t="s">
        <v>11</v>
      </c>
      <c r="F1785" s="7" t="s">
        <v>18</v>
      </c>
      <c r="G1785" s="7" t="s">
        <v>19</v>
      </c>
      <c r="H1785" s="7" t="s">
        <v>348</v>
      </c>
      <c r="I1785" s="8" t="s">
        <v>3727</v>
      </c>
      <c r="J1785" t="e">
        <f>VLOOKUP(B1785,baru!$B$2:$I$2271,4,FALSE)</f>
        <v>#N/A</v>
      </c>
      <c r="K1785" t="e">
        <f>VLOOKUP(B1785,baru!$B$2:$I$2271,5,FALSE)</f>
        <v>#N/A</v>
      </c>
      <c r="L1785" t="e">
        <f>VLOOKUP(B1785,baru!$B$2:$I$2271,6,FALSE)</f>
        <v>#N/A</v>
      </c>
    </row>
    <row r="1786" spans="1:12" hidden="1" x14ac:dyDescent="0.35">
      <c r="A1786" s="6">
        <v>1351090</v>
      </c>
      <c r="B1786" s="7" t="str">
        <f>"3328110510050009"</f>
        <v>3328110510050009</v>
      </c>
      <c r="C1786" s="7" t="s">
        <v>3743</v>
      </c>
      <c r="D1786" s="7" t="s">
        <v>10</v>
      </c>
      <c r="E1786" s="7" t="s">
        <v>57</v>
      </c>
      <c r="F1786" s="7" t="s">
        <v>303</v>
      </c>
      <c r="G1786" s="7" t="s">
        <v>608</v>
      </c>
      <c r="H1786" s="7" t="s">
        <v>609</v>
      </c>
      <c r="I1786" s="8" t="s">
        <v>610</v>
      </c>
    </row>
    <row r="1787" spans="1:12" hidden="1" x14ac:dyDescent="0.35">
      <c r="A1787" s="6">
        <v>18145</v>
      </c>
      <c r="B1787" s="7" t="str">
        <f>"3328110712970006"</f>
        <v>3328110712970006</v>
      </c>
      <c r="C1787" s="7" t="s">
        <v>3744</v>
      </c>
      <c r="D1787" s="7" t="s">
        <v>10</v>
      </c>
      <c r="E1787" s="7" t="s">
        <v>11</v>
      </c>
      <c r="F1787" s="7" t="s">
        <v>2545</v>
      </c>
      <c r="G1787" s="7" t="s">
        <v>3745</v>
      </c>
      <c r="H1787" s="7" t="s">
        <v>3746</v>
      </c>
      <c r="I1787" s="8" t="s">
        <v>3747</v>
      </c>
    </row>
    <row r="1788" spans="1:12" hidden="1" x14ac:dyDescent="0.35">
      <c r="A1788" s="6">
        <v>359283</v>
      </c>
      <c r="B1788" s="7" t="str">
        <f>"3328110805860007"</f>
        <v>3328110805860007</v>
      </c>
      <c r="C1788" s="7" t="s">
        <v>3748</v>
      </c>
      <c r="D1788" s="7" t="s">
        <v>10</v>
      </c>
      <c r="E1788" s="7" t="s">
        <v>11</v>
      </c>
      <c r="F1788" s="7" t="s">
        <v>91</v>
      </c>
      <c r="G1788" s="7" t="s">
        <v>92</v>
      </c>
      <c r="H1788" s="7" t="s">
        <v>105</v>
      </c>
      <c r="I1788" s="8" t="s">
        <v>106</v>
      </c>
    </row>
    <row r="1789" spans="1:12" hidden="1" x14ac:dyDescent="0.35">
      <c r="A1789" s="6">
        <v>215622</v>
      </c>
      <c r="B1789" s="7" t="str">
        <f>"3328110806800017"</f>
        <v>3328110806800017</v>
      </c>
      <c r="C1789" s="7" t="s">
        <v>3750</v>
      </c>
      <c r="D1789" s="7" t="s">
        <v>10</v>
      </c>
      <c r="E1789" s="7" t="s">
        <v>11</v>
      </c>
      <c r="F1789" s="7" t="s">
        <v>18</v>
      </c>
      <c r="G1789" s="7" t="s">
        <v>268</v>
      </c>
      <c r="H1789" s="7" t="s">
        <v>371</v>
      </c>
      <c r="I1789" s="8" t="s">
        <v>2772</v>
      </c>
    </row>
    <row r="1790" spans="1:12" hidden="1" x14ac:dyDescent="0.35">
      <c r="A1790" s="13">
        <v>2234046</v>
      </c>
      <c r="B1790" s="14" t="str">
        <f>"3328110806890012"</f>
        <v>3328110806890012</v>
      </c>
      <c r="C1790" s="14" t="s">
        <v>3751</v>
      </c>
      <c r="D1790" s="14" t="s">
        <v>10</v>
      </c>
      <c r="E1790" s="14" t="s">
        <v>11</v>
      </c>
      <c r="F1790" s="14" t="s">
        <v>18</v>
      </c>
      <c r="G1790" s="14" t="s">
        <v>19</v>
      </c>
      <c r="H1790" s="14" t="s">
        <v>348</v>
      </c>
      <c r="I1790" s="15" t="s">
        <v>459</v>
      </c>
      <c r="J1790" s="16" t="str">
        <f>VLOOKUP(B1790,baru!$B$2:$I$2271,4,FALSE)</f>
        <v>Reguler</v>
      </c>
      <c r="K1790" s="16" t="str">
        <f>VLOOKUP(B1790,baru!$B$2:$I$2271,5,FALSE)</f>
        <v>JAWA TENGAH</v>
      </c>
      <c r="L1790" s="16" t="str">
        <f>VLOOKUP(B1790,baru!$B$2:$I$2271,6,FALSE)</f>
        <v>BREBES</v>
      </c>
    </row>
    <row r="1791" spans="1:12" hidden="1" x14ac:dyDescent="0.35">
      <c r="A1791" s="6">
        <v>678356</v>
      </c>
      <c r="B1791" s="7" t="str">
        <f>"3328110906870005"</f>
        <v>3328110906870005</v>
      </c>
      <c r="C1791" s="7" t="s">
        <v>3752</v>
      </c>
      <c r="D1791" s="7" t="s">
        <v>10</v>
      </c>
      <c r="E1791" s="7" t="s">
        <v>11</v>
      </c>
      <c r="F1791" s="7" t="s">
        <v>91</v>
      </c>
      <c r="G1791" s="7" t="s">
        <v>985</v>
      </c>
      <c r="H1791" s="7" t="s">
        <v>3682</v>
      </c>
      <c r="I1791" s="8" t="s">
        <v>3682</v>
      </c>
    </row>
    <row r="1792" spans="1:12" hidden="1" x14ac:dyDescent="0.35">
      <c r="A1792" s="6">
        <v>1351089</v>
      </c>
      <c r="B1792" s="7" t="str">
        <f>"3328111002040004"</f>
        <v>3328111002040004</v>
      </c>
      <c r="C1792" s="7" t="s">
        <v>3754</v>
      </c>
      <c r="D1792" s="7" t="s">
        <v>10</v>
      </c>
      <c r="E1792" s="7" t="s">
        <v>57</v>
      </c>
      <c r="F1792" s="7" t="s">
        <v>303</v>
      </c>
      <c r="G1792" s="7" t="s">
        <v>608</v>
      </c>
      <c r="H1792" s="7" t="s">
        <v>609</v>
      </c>
      <c r="I1792" s="8" t="s">
        <v>610</v>
      </c>
    </row>
    <row r="1793" spans="1:12" hidden="1" x14ac:dyDescent="0.35">
      <c r="A1793" s="13">
        <v>2179952</v>
      </c>
      <c r="B1793" s="14" t="str">
        <f>"3328111005880003"</f>
        <v>3328111005880003</v>
      </c>
      <c r="C1793" s="14" t="s">
        <v>3755</v>
      </c>
      <c r="D1793" s="14" t="s">
        <v>10</v>
      </c>
      <c r="E1793" s="14" t="s">
        <v>11</v>
      </c>
      <c r="F1793" s="14" t="s">
        <v>18</v>
      </c>
      <c r="G1793" s="14" t="s">
        <v>19</v>
      </c>
      <c r="H1793" s="14" t="s">
        <v>348</v>
      </c>
      <c r="I1793" s="15" t="s">
        <v>3666</v>
      </c>
      <c r="J1793" s="16" t="str">
        <f>VLOOKUP(B1793,baru!$B$2:$I$2271,4,FALSE)</f>
        <v>Reguler</v>
      </c>
      <c r="K1793" s="16" t="str">
        <f>VLOOKUP(B1793,baru!$B$2:$I$2271,5,FALSE)</f>
        <v>DKI JAKARTA</v>
      </c>
      <c r="L1793" s="16" t="str">
        <f>VLOOKUP(B1793,baru!$B$2:$I$2271,6,FALSE)</f>
        <v>KOTA JAKARTA BARAT</v>
      </c>
    </row>
    <row r="1794" spans="1:12" hidden="1" x14ac:dyDescent="0.35">
      <c r="A1794" s="17">
        <v>2115605</v>
      </c>
      <c r="B1794" s="18" t="str">
        <f>"3328111006040002"</f>
        <v>3328111006040002</v>
      </c>
      <c r="C1794" s="18" t="s">
        <v>3756</v>
      </c>
      <c r="D1794" s="18" t="s">
        <v>10</v>
      </c>
      <c r="E1794" s="18" t="s">
        <v>11</v>
      </c>
      <c r="F1794" s="18" t="s">
        <v>18</v>
      </c>
      <c r="G1794" s="18" t="s">
        <v>19</v>
      </c>
      <c r="H1794" s="18" t="s">
        <v>348</v>
      </c>
      <c r="I1794" s="19" t="s">
        <v>1777</v>
      </c>
      <c r="J1794" s="20" t="str">
        <f>VLOOKUP(B1794,baru!$B$2:$I$2271,4,FALSE)</f>
        <v>Khusus</v>
      </c>
      <c r="K1794" s="20" t="str">
        <f>VLOOKUP(B1794,baru!$B$2:$I$2271,5,FALSE)</f>
        <v>JAWA TENGAH</v>
      </c>
      <c r="L1794" s="20" t="str">
        <f>VLOOKUP(B1794,baru!$B$2:$I$2271,6,FALSE)</f>
        <v>MAGELANG</v>
      </c>
    </row>
    <row r="1795" spans="1:12" hidden="1" x14ac:dyDescent="0.35">
      <c r="A1795" s="6">
        <v>282219</v>
      </c>
      <c r="B1795" s="7" t="str">
        <f>"3328111006960008"</f>
        <v>3328111006960008</v>
      </c>
      <c r="C1795" s="7" t="s">
        <v>3758</v>
      </c>
      <c r="D1795" s="7" t="s">
        <v>10</v>
      </c>
      <c r="E1795" s="7" t="s">
        <v>11</v>
      </c>
      <c r="F1795" s="7" t="s">
        <v>18</v>
      </c>
      <c r="G1795" s="7" t="s">
        <v>268</v>
      </c>
      <c r="H1795" s="7" t="s">
        <v>277</v>
      </c>
      <c r="I1795" s="8" t="s">
        <v>884</v>
      </c>
    </row>
    <row r="1796" spans="1:12" hidden="1" x14ac:dyDescent="0.35">
      <c r="A1796" s="6">
        <v>2662103</v>
      </c>
      <c r="B1796" s="7" t="str">
        <f>"3328111008870010"</f>
        <v>3328111008870010</v>
      </c>
      <c r="C1796" s="7" t="s">
        <v>3759</v>
      </c>
      <c r="D1796" s="7" t="s">
        <v>10</v>
      </c>
      <c r="E1796" s="7" t="s">
        <v>57</v>
      </c>
      <c r="F1796" s="7" t="s">
        <v>18</v>
      </c>
      <c r="G1796" s="7" t="s">
        <v>199</v>
      </c>
      <c r="H1796" s="7" t="s">
        <v>208</v>
      </c>
      <c r="I1796" s="8" t="s">
        <v>209</v>
      </c>
    </row>
    <row r="1797" spans="1:12" x14ac:dyDescent="0.35">
      <c r="A1797" s="6">
        <v>2099956</v>
      </c>
      <c r="B1797" s="7" t="str">
        <f>"3328111008870010"</f>
        <v>3328111008870010</v>
      </c>
      <c r="C1797" s="7" t="s">
        <v>3759</v>
      </c>
      <c r="D1797" s="7" t="s">
        <v>189</v>
      </c>
      <c r="E1797" s="7" t="s">
        <v>11</v>
      </c>
      <c r="F1797" s="7" t="s">
        <v>18</v>
      </c>
      <c r="G1797" s="7" t="s">
        <v>19</v>
      </c>
      <c r="H1797" s="7" t="s">
        <v>348</v>
      </c>
      <c r="I1797" s="8" t="s">
        <v>3727</v>
      </c>
      <c r="J1797" t="e">
        <f>VLOOKUP(B1797,baru!$B$2:$I$2271,4,FALSE)</f>
        <v>#N/A</v>
      </c>
      <c r="K1797" t="e">
        <f>VLOOKUP(B1797,baru!$B$2:$I$2271,5,FALSE)</f>
        <v>#N/A</v>
      </c>
      <c r="L1797" t="e">
        <f>VLOOKUP(B1797,baru!$B$2:$I$2271,6,FALSE)</f>
        <v>#N/A</v>
      </c>
    </row>
    <row r="1798" spans="1:12" x14ac:dyDescent="0.35">
      <c r="A1798" s="6">
        <v>2021143</v>
      </c>
      <c r="B1798" s="7" t="str">
        <f>"3328111105060002"</f>
        <v>3328111105060002</v>
      </c>
      <c r="C1798" s="7" t="s">
        <v>3760</v>
      </c>
      <c r="D1798" s="7" t="s">
        <v>189</v>
      </c>
      <c r="E1798" s="7" t="s">
        <v>11</v>
      </c>
      <c r="F1798" s="7" t="s">
        <v>18</v>
      </c>
      <c r="G1798" s="7" t="s">
        <v>19</v>
      </c>
      <c r="H1798" s="7" t="s">
        <v>348</v>
      </c>
      <c r="I1798" s="8" t="s">
        <v>349</v>
      </c>
      <c r="J1798" t="e">
        <f>VLOOKUP(B1798,baru!$B$2:$I$2271,4,FALSE)</f>
        <v>#N/A</v>
      </c>
      <c r="K1798" t="e">
        <f>VLOOKUP(B1798,baru!$B$2:$I$2271,5,FALSE)</f>
        <v>#N/A</v>
      </c>
      <c r="L1798" t="e">
        <f>VLOOKUP(B1798,baru!$B$2:$I$2271,6,FALSE)</f>
        <v>#N/A</v>
      </c>
    </row>
    <row r="1799" spans="1:12" hidden="1" x14ac:dyDescent="0.35">
      <c r="A1799" s="6">
        <v>1351111</v>
      </c>
      <c r="B1799" s="7" t="str">
        <f>"3328111105060002"</f>
        <v>3328111105060002</v>
      </c>
      <c r="C1799" s="7" t="s">
        <v>3760</v>
      </c>
      <c r="D1799" s="7" t="s">
        <v>10</v>
      </c>
      <c r="E1799" s="7" t="s">
        <v>57</v>
      </c>
      <c r="F1799" s="7" t="s">
        <v>303</v>
      </c>
      <c r="G1799" s="7" t="s">
        <v>608</v>
      </c>
      <c r="H1799" s="7" t="s">
        <v>609</v>
      </c>
      <c r="I1799" s="8" t="s">
        <v>610</v>
      </c>
    </row>
    <row r="1800" spans="1:12" hidden="1" x14ac:dyDescent="0.35">
      <c r="A1800" s="6">
        <v>323569</v>
      </c>
      <c r="B1800" s="7" t="str">
        <f>"3328111105940004"</f>
        <v>3328111105940004</v>
      </c>
      <c r="C1800" s="7" t="s">
        <v>3761</v>
      </c>
      <c r="D1800" s="7" t="s">
        <v>10</v>
      </c>
      <c r="E1800" s="7" t="s">
        <v>11</v>
      </c>
      <c r="F1800" s="7" t="s">
        <v>18</v>
      </c>
      <c r="G1800" s="7" t="s">
        <v>268</v>
      </c>
      <c r="H1800" s="7" t="s">
        <v>277</v>
      </c>
      <c r="I1800" s="8" t="s">
        <v>278</v>
      </c>
    </row>
    <row r="1801" spans="1:12" x14ac:dyDescent="0.35">
      <c r="A1801" s="13">
        <v>2021140</v>
      </c>
      <c r="B1801" s="14" t="str">
        <f>"3328111109810006"</f>
        <v>3328111109810006</v>
      </c>
      <c r="C1801" s="14" t="s">
        <v>3763</v>
      </c>
      <c r="D1801" s="14" t="s">
        <v>189</v>
      </c>
      <c r="E1801" s="14" t="s">
        <v>11</v>
      </c>
      <c r="F1801" s="14" t="s">
        <v>18</v>
      </c>
      <c r="G1801" s="14" t="s">
        <v>19</v>
      </c>
      <c r="H1801" s="14" t="s">
        <v>348</v>
      </c>
      <c r="I1801" s="15" t="s">
        <v>349</v>
      </c>
      <c r="J1801" s="16" t="str">
        <f>VLOOKUP(B1801,baru!$B$2:$I$2271,4,FALSE)</f>
        <v>Reguler</v>
      </c>
      <c r="K1801" s="16" t="str">
        <f>VLOOKUP(B1801,baru!$B$2:$I$2271,5,FALSE)</f>
        <v>JAWA TIMUR</v>
      </c>
      <c r="L1801" s="16" t="str">
        <f>VLOOKUP(B1801,baru!$B$2:$I$2271,6,FALSE)</f>
        <v>MAGETAN</v>
      </c>
    </row>
    <row r="1802" spans="1:12" hidden="1" x14ac:dyDescent="0.35">
      <c r="A1802" s="6">
        <v>2021806</v>
      </c>
      <c r="B1802" s="7" t="str">
        <f>"3328111110910015"</f>
        <v>3328111110910015</v>
      </c>
      <c r="C1802" s="7" t="s">
        <v>3766</v>
      </c>
      <c r="D1802" s="7" t="s">
        <v>10</v>
      </c>
      <c r="E1802" s="7" t="s">
        <v>11</v>
      </c>
      <c r="F1802" s="7" t="s">
        <v>18</v>
      </c>
      <c r="G1802" s="7" t="s">
        <v>19</v>
      </c>
      <c r="H1802" s="7" t="s">
        <v>348</v>
      </c>
      <c r="I1802" s="8" t="s">
        <v>349</v>
      </c>
      <c r="J1802" t="e">
        <f>VLOOKUP(B1802,baru!$B$2:$I$2271,4,FALSE)</f>
        <v>#N/A</v>
      </c>
      <c r="K1802" t="e">
        <f>VLOOKUP(B1802,baru!$B$2:$I$2271,5,FALSE)</f>
        <v>#N/A</v>
      </c>
      <c r="L1802" t="e">
        <f>VLOOKUP(B1802,baru!$B$2:$I$2271,6,FALSE)</f>
        <v>#N/A</v>
      </c>
    </row>
    <row r="1803" spans="1:12" hidden="1" x14ac:dyDescent="0.35">
      <c r="A1803" s="6">
        <v>2613991</v>
      </c>
      <c r="B1803" s="7" t="str">
        <f>"3328111110910015"</f>
        <v>3328111110910015</v>
      </c>
      <c r="C1803" s="7" t="s">
        <v>3767</v>
      </c>
      <c r="D1803" s="7" t="s">
        <v>10</v>
      </c>
      <c r="E1803" s="7" t="s">
        <v>57</v>
      </c>
      <c r="F1803" s="7" t="s">
        <v>18</v>
      </c>
      <c r="G1803" s="7" t="s">
        <v>1438</v>
      </c>
      <c r="H1803" s="7" t="s">
        <v>3511</v>
      </c>
      <c r="I1803" s="8" t="s">
        <v>3086</v>
      </c>
    </row>
    <row r="1804" spans="1:12" hidden="1" x14ac:dyDescent="0.35">
      <c r="A1804" s="6">
        <v>2095130</v>
      </c>
      <c r="B1804" s="7" t="str">
        <f>"3328111205030006"</f>
        <v>3328111205030006</v>
      </c>
      <c r="C1804" s="7" t="s">
        <v>3768</v>
      </c>
      <c r="D1804" s="7" t="s">
        <v>10</v>
      </c>
      <c r="E1804" s="7" t="s">
        <v>11</v>
      </c>
      <c r="F1804" s="7" t="s">
        <v>18</v>
      </c>
      <c r="G1804" s="7" t="s">
        <v>19</v>
      </c>
      <c r="H1804" s="7" t="s">
        <v>348</v>
      </c>
      <c r="I1804" s="8" t="s">
        <v>3660</v>
      </c>
      <c r="J1804" t="e">
        <f>VLOOKUP(B1804,baru!$B$2:$I$2271,4,FALSE)</f>
        <v>#N/A</v>
      </c>
      <c r="K1804" t="e">
        <f>VLOOKUP(B1804,baru!$B$2:$I$2271,5,FALSE)</f>
        <v>#N/A</v>
      </c>
      <c r="L1804" t="e">
        <f>VLOOKUP(B1804,baru!$B$2:$I$2271,6,FALSE)</f>
        <v>#N/A</v>
      </c>
    </row>
    <row r="1805" spans="1:12" hidden="1" x14ac:dyDescent="0.35">
      <c r="A1805" s="6">
        <v>1351116</v>
      </c>
      <c r="B1805" s="7" t="str">
        <f>"3328111205030006"</f>
        <v>3328111205030006</v>
      </c>
      <c r="C1805" s="7" t="s">
        <v>3768</v>
      </c>
      <c r="D1805" s="7" t="s">
        <v>10</v>
      </c>
      <c r="E1805" s="7" t="s">
        <v>57</v>
      </c>
      <c r="F1805" s="7" t="s">
        <v>303</v>
      </c>
      <c r="G1805" s="7" t="s">
        <v>608</v>
      </c>
      <c r="H1805" s="7" t="s">
        <v>609</v>
      </c>
      <c r="I1805" s="8" t="s">
        <v>610</v>
      </c>
    </row>
    <row r="1806" spans="1:12" hidden="1" x14ac:dyDescent="0.35">
      <c r="A1806" s="13">
        <v>2135017</v>
      </c>
      <c r="B1806" s="14" t="str">
        <f>"3328111208760008"</f>
        <v>3328111208760008</v>
      </c>
      <c r="C1806" s="14" t="s">
        <v>3769</v>
      </c>
      <c r="D1806" s="14" t="s">
        <v>10</v>
      </c>
      <c r="E1806" s="14" t="s">
        <v>11</v>
      </c>
      <c r="F1806" s="14" t="s">
        <v>18</v>
      </c>
      <c r="G1806" s="14" t="s">
        <v>19</v>
      </c>
      <c r="H1806" s="14" t="s">
        <v>348</v>
      </c>
      <c r="I1806" s="15" t="s">
        <v>3677</v>
      </c>
      <c r="J1806" s="16" t="str">
        <f>VLOOKUP(B1806,baru!$B$2:$I$2271,4,FALSE)</f>
        <v>Reguler</v>
      </c>
      <c r="K1806" s="16" t="str">
        <f>VLOOKUP(B1806,baru!$B$2:$I$2271,5,FALSE)</f>
        <v>JAWA TENGAH</v>
      </c>
      <c r="L1806" s="16" t="str">
        <f>VLOOKUP(B1806,baru!$B$2:$I$2271,6,FALSE)</f>
        <v>KARANGANYAR</v>
      </c>
    </row>
    <row r="1807" spans="1:12" x14ac:dyDescent="0.35">
      <c r="A1807" s="13">
        <v>2083014</v>
      </c>
      <c r="B1807" s="14" t="str">
        <f>"3328111303920003"</f>
        <v>3328111303920003</v>
      </c>
      <c r="C1807" s="14" t="s">
        <v>71</v>
      </c>
      <c r="D1807" s="14" t="s">
        <v>189</v>
      </c>
      <c r="E1807" s="14" t="s">
        <v>11</v>
      </c>
      <c r="F1807" s="14" t="s">
        <v>18</v>
      </c>
      <c r="G1807" s="14" t="s">
        <v>19</v>
      </c>
      <c r="H1807" s="14" t="s">
        <v>348</v>
      </c>
      <c r="I1807" s="15" t="s">
        <v>3679</v>
      </c>
      <c r="J1807" s="16" t="str">
        <f>VLOOKUP(B1807,baru!$B$2:$I$2271,4,FALSE)</f>
        <v>Reguler</v>
      </c>
      <c r="K1807" s="16" t="str">
        <f>VLOOKUP(B1807,baru!$B$2:$I$2271,5,FALSE)</f>
        <v>JAWA TENGAH</v>
      </c>
      <c r="L1807" s="16" t="str">
        <f>VLOOKUP(B1807,baru!$B$2:$I$2271,6,FALSE)</f>
        <v>KOTA TEGAL</v>
      </c>
    </row>
    <row r="1808" spans="1:12" hidden="1" x14ac:dyDescent="0.35">
      <c r="A1808" s="6">
        <v>1375923</v>
      </c>
      <c r="B1808" s="7" t="str">
        <f>"3328111310910002"</f>
        <v>3328111310910002</v>
      </c>
      <c r="C1808" s="7" t="s">
        <v>3771</v>
      </c>
      <c r="D1808" s="7" t="s">
        <v>10</v>
      </c>
      <c r="E1808" s="7" t="s">
        <v>11</v>
      </c>
      <c r="F1808" s="7" t="s">
        <v>67</v>
      </c>
      <c r="G1808" s="7" t="s">
        <v>890</v>
      </c>
      <c r="H1808" s="7" t="s">
        <v>3772</v>
      </c>
      <c r="I1808" s="8" t="s">
        <v>3773</v>
      </c>
    </row>
    <row r="1809" spans="1:12" hidden="1" x14ac:dyDescent="0.35">
      <c r="A1809" s="6">
        <v>2114824</v>
      </c>
      <c r="B1809" s="7" t="str">
        <f>"3328111311040003"</f>
        <v>3328111311040003</v>
      </c>
      <c r="C1809" s="7" t="s">
        <v>3774</v>
      </c>
      <c r="D1809" s="7" t="s">
        <v>10</v>
      </c>
      <c r="E1809" s="7" t="s">
        <v>11</v>
      </c>
      <c r="F1809" s="7" t="s">
        <v>18</v>
      </c>
      <c r="G1809" s="7" t="s">
        <v>19</v>
      </c>
      <c r="H1809" s="7" t="s">
        <v>348</v>
      </c>
      <c r="I1809" s="8" t="s">
        <v>1777</v>
      </c>
      <c r="J1809" t="e">
        <f>VLOOKUP(B1809,baru!$B$2:$I$2271,4,FALSE)</f>
        <v>#N/A</v>
      </c>
      <c r="K1809" t="e">
        <f>VLOOKUP(B1809,baru!$B$2:$I$2271,5,FALSE)</f>
        <v>#N/A</v>
      </c>
      <c r="L1809" t="e">
        <f>VLOOKUP(B1809,baru!$B$2:$I$2271,6,FALSE)</f>
        <v>#N/A</v>
      </c>
    </row>
    <row r="1810" spans="1:12" hidden="1" x14ac:dyDescent="0.35">
      <c r="A1810" s="6">
        <v>763972</v>
      </c>
      <c r="B1810" s="7" t="str">
        <f>"3328111311040003"</f>
        <v>3328111311040003</v>
      </c>
      <c r="C1810" s="7" t="s">
        <v>3775</v>
      </c>
      <c r="D1810" s="7" t="s">
        <v>10</v>
      </c>
      <c r="E1810" s="7" t="s">
        <v>57</v>
      </c>
      <c r="F1810" s="7" t="s">
        <v>379</v>
      </c>
      <c r="G1810" s="7" t="s">
        <v>711</v>
      </c>
      <c r="H1810" s="7" t="s">
        <v>718</v>
      </c>
      <c r="I1810" s="8" t="s">
        <v>3776</v>
      </c>
    </row>
    <row r="1811" spans="1:12" hidden="1" x14ac:dyDescent="0.35">
      <c r="A1811" s="6">
        <v>2110848</v>
      </c>
      <c r="B1811" s="7" t="str">
        <f>"3328111401010007"</f>
        <v>3328111401010007</v>
      </c>
      <c r="C1811" s="7" t="s">
        <v>3777</v>
      </c>
      <c r="D1811" s="7" t="s">
        <v>10</v>
      </c>
      <c r="E1811" s="7" t="s">
        <v>11</v>
      </c>
      <c r="F1811" s="7" t="s">
        <v>18</v>
      </c>
      <c r="G1811" s="7" t="s">
        <v>19</v>
      </c>
      <c r="H1811" s="7" t="s">
        <v>348</v>
      </c>
      <c r="I1811" s="8" t="s">
        <v>1777</v>
      </c>
      <c r="J1811" t="e">
        <f>VLOOKUP(B1811,baru!$B$2:$I$2271,4,FALSE)</f>
        <v>#N/A</v>
      </c>
      <c r="K1811" t="e">
        <f>VLOOKUP(B1811,baru!$B$2:$I$2271,5,FALSE)</f>
        <v>#N/A</v>
      </c>
      <c r="L1811" t="e">
        <f>VLOOKUP(B1811,baru!$B$2:$I$2271,6,FALSE)</f>
        <v>#N/A</v>
      </c>
    </row>
    <row r="1812" spans="1:12" hidden="1" x14ac:dyDescent="0.35">
      <c r="A1812" s="6">
        <v>1351103</v>
      </c>
      <c r="B1812" s="7" t="str">
        <f>"3328111401010007"</f>
        <v>3328111401010007</v>
      </c>
      <c r="C1812" s="7" t="s">
        <v>3777</v>
      </c>
      <c r="D1812" s="7" t="s">
        <v>10</v>
      </c>
      <c r="E1812" s="7" t="s">
        <v>57</v>
      </c>
      <c r="F1812" s="7" t="s">
        <v>303</v>
      </c>
      <c r="G1812" s="7" t="s">
        <v>608</v>
      </c>
      <c r="H1812" s="7" t="s">
        <v>609</v>
      </c>
      <c r="I1812" s="8" t="s">
        <v>610</v>
      </c>
    </row>
    <row r="1813" spans="1:12" hidden="1" x14ac:dyDescent="0.35">
      <c r="A1813" s="6">
        <v>2111365</v>
      </c>
      <c r="B1813" s="7" t="str">
        <f>"3328111405040005"</f>
        <v>3328111405040005</v>
      </c>
      <c r="C1813" s="7" t="s">
        <v>3778</v>
      </c>
      <c r="D1813" s="7" t="s">
        <v>10</v>
      </c>
      <c r="E1813" s="7" t="s">
        <v>11</v>
      </c>
      <c r="F1813" s="7" t="s">
        <v>18</v>
      </c>
      <c r="G1813" s="7" t="s">
        <v>19</v>
      </c>
      <c r="H1813" s="7" t="s">
        <v>348</v>
      </c>
      <c r="I1813" s="8" t="s">
        <v>1777</v>
      </c>
      <c r="J1813" t="e">
        <f>VLOOKUP(B1813,baru!$B$2:$I$2271,4,FALSE)</f>
        <v>#N/A</v>
      </c>
      <c r="K1813" t="e">
        <f>VLOOKUP(B1813,baru!$B$2:$I$2271,5,FALSE)</f>
        <v>#N/A</v>
      </c>
      <c r="L1813" t="e">
        <f>VLOOKUP(B1813,baru!$B$2:$I$2271,6,FALSE)</f>
        <v>#N/A</v>
      </c>
    </row>
    <row r="1814" spans="1:12" hidden="1" x14ac:dyDescent="0.35">
      <c r="A1814" s="6">
        <v>1351104</v>
      </c>
      <c r="B1814" s="7" t="str">
        <f>"3328111405040005"</f>
        <v>3328111405040005</v>
      </c>
      <c r="C1814" s="7" t="s">
        <v>3778</v>
      </c>
      <c r="D1814" s="7" t="s">
        <v>10</v>
      </c>
      <c r="E1814" s="7" t="s">
        <v>57</v>
      </c>
      <c r="F1814" s="7" t="s">
        <v>303</v>
      </c>
      <c r="G1814" s="7" t="s">
        <v>608</v>
      </c>
      <c r="H1814" s="7" t="s">
        <v>609</v>
      </c>
      <c r="I1814" s="8" t="s">
        <v>610</v>
      </c>
    </row>
    <row r="1815" spans="1:12" hidden="1" x14ac:dyDescent="0.35">
      <c r="A1815" s="6">
        <v>1351112</v>
      </c>
      <c r="B1815" s="7" t="str">
        <f>"3328111405990006"</f>
        <v>3328111405990006</v>
      </c>
      <c r="C1815" s="7" t="s">
        <v>3780</v>
      </c>
      <c r="D1815" s="7" t="s">
        <v>10</v>
      </c>
      <c r="E1815" s="7" t="s">
        <v>57</v>
      </c>
      <c r="F1815" s="7" t="s">
        <v>303</v>
      </c>
      <c r="G1815" s="7" t="s">
        <v>608</v>
      </c>
      <c r="H1815" s="7" t="s">
        <v>609</v>
      </c>
      <c r="I1815" s="8" t="s">
        <v>610</v>
      </c>
    </row>
    <row r="1816" spans="1:12" hidden="1" x14ac:dyDescent="0.35">
      <c r="A1816" s="6">
        <v>1289844</v>
      </c>
      <c r="B1816" s="7" t="str">
        <f>"3328111410920003"</f>
        <v>3328111410920003</v>
      </c>
      <c r="C1816" s="7" t="s">
        <v>3781</v>
      </c>
      <c r="D1816" s="7" t="s">
        <v>10</v>
      </c>
      <c r="E1816" s="7" t="s">
        <v>11</v>
      </c>
      <c r="F1816" s="7" t="s">
        <v>91</v>
      </c>
      <c r="G1816" s="7" t="s">
        <v>159</v>
      </c>
      <c r="H1816" s="7" t="s">
        <v>3107</v>
      </c>
      <c r="I1816" s="8" t="s">
        <v>3107</v>
      </c>
    </row>
    <row r="1817" spans="1:12" x14ac:dyDescent="0.35">
      <c r="A1817" s="13">
        <v>2036854</v>
      </c>
      <c r="B1817" s="14" t="str">
        <f>"3328111410970003"</f>
        <v>3328111410970003</v>
      </c>
      <c r="C1817" s="14" t="s">
        <v>3783</v>
      </c>
      <c r="D1817" s="14" t="s">
        <v>189</v>
      </c>
      <c r="E1817" s="14" t="s">
        <v>11</v>
      </c>
      <c r="F1817" s="14" t="s">
        <v>18</v>
      </c>
      <c r="G1817" s="14" t="s">
        <v>19</v>
      </c>
      <c r="H1817" s="14" t="s">
        <v>348</v>
      </c>
      <c r="I1817" s="15" t="s">
        <v>3721</v>
      </c>
      <c r="J1817" s="16" t="str">
        <f>VLOOKUP(B1817,baru!$B$2:$I$2271,4,FALSE)</f>
        <v>Reguler</v>
      </c>
      <c r="K1817" s="16" t="str">
        <f>VLOOKUP(B1817,baru!$B$2:$I$2271,5,FALSE)</f>
        <v>DAERAH ISTIMEWA YOGYAKARTA</v>
      </c>
      <c r="L1817" s="16" t="str">
        <f>VLOOKUP(B1817,baru!$B$2:$I$2271,6,FALSE)</f>
        <v>BANTUL</v>
      </c>
    </row>
    <row r="1818" spans="1:12" hidden="1" x14ac:dyDescent="0.35">
      <c r="A1818" s="13">
        <v>2124895</v>
      </c>
      <c r="B1818" s="14" t="str">
        <f>"3328111412850001"</f>
        <v>3328111412850001</v>
      </c>
      <c r="C1818" s="14" t="s">
        <v>744</v>
      </c>
      <c r="D1818" s="14" t="s">
        <v>10</v>
      </c>
      <c r="E1818" s="14" t="s">
        <v>11</v>
      </c>
      <c r="F1818" s="14" t="s">
        <v>18</v>
      </c>
      <c r="G1818" s="14" t="s">
        <v>19</v>
      </c>
      <c r="H1818" s="14" t="s">
        <v>348</v>
      </c>
      <c r="I1818" s="15" t="s">
        <v>1644</v>
      </c>
      <c r="J1818" s="16" t="str">
        <f>VLOOKUP(B1818,baru!$B$2:$I$2271,4,FALSE)</f>
        <v>Reguler</v>
      </c>
      <c r="K1818" s="16" t="str">
        <f>VLOOKUP(B1818,baru!$B$2:$I$2271,5,FALSE)</f>
        <v>DKI JAKARTA</v>
      </c>
      <c r="L1818" s="16" t="str">
        <f>VLOOKUP(B1818,baru!$B$2:$I$2271,6,FALSE)</f>
        <v>KOTA JAKARTA SELATAN</v>
      </c>
    </row>
    <row r="1819" spans="1:12" hidden="1" x14ac:dyDescent="0.35">
      <c r="A1819" s="6">
        <v>2379169</v>
      </c>
      <c r="B1819" s="7" t="str">
        <f>"3328111501980007"</f>
        <v>3328111501980007</v>
      </c>
      <c r="C1819" s="7" t="s">
        <v>3788</v>
      </c>
      <c r="D1819" s="7" t="s">
        <v>10</v>
      </c>
      <c r="E1819" s="7" t="s">
        <v>11</v>
      </c>
      <c r="F1819" s="7" t="s">
        <v>18</v>
      </c>
      <c r="G1819" s="7" t="s">
        <v>19</v>
      </c>
      <c r="H1819" s="7" t="s">
        <v>348</v>
      </c>
      <c r="I1819" s="8" t="s">
        <v>348</v>
      </c>
      <c r="J1819" t="e">
        <f>VLOOKUP(B1819,baru!$B$2:$I$2271,4,FALSE)</f>
        <v>#N/A</v>
      </c>
      <c r="K1819" t="e">
        <f>VLOOKUP(B1819,baru!$B$2:$I$2271,5,FALSE)</f>
        <v>#N/A</v>
      </c>
      <c r="L1819" t="e">
        <f>VLOOKUP(B1819,baru!$B$2:$I$2271,6,FALSE)</f>
        <v>#N/A</v>
      </c>
    </row>
    <row r="1820" spans="1:12" hidden="1" x14ac:dyDescent="0.35">
      <c r="A1820" s="6">
        <v>423840</v>
      </c>
      <c r="B1820" s="7" t="str">
        <f>"3328111501980007"</f>
        <v>3328111501980007</v>
      </c>
      <c r="C1820" s="7" t="s">
        <v>3789</v>
      </c>
      <c r="D1820" s="7" t="s">
        <v>10</v>
      </c>
      <c r="E1820" s="7" t="s">
        <v>57</v>
      </c>
      <c r="F1820" s="7" t="s">
        <v>18</v>
      </c>
      <c r="G1820" s="7" t="s">
        <v>268</v>
      </c>
      <c r="H1820" s="7" t="s">
        <v>277</v>
      </c>
      <c r="I1820" s="8" t="s">
        <v>278</v>
      </c>
    </row>
    <row r="1821" spans="1:12" hidden="1" x14ac:dyDescent="0.35">
      <c r="A1821" s="17">
        <v>2154770</v>
      </c>
      <c r="B1821" s="18" t="str">
        <f>"3328111504710011"</f>
        <v>3328111504710011</v>
      </c>
      <c r="C1821" s="18" t="s">
        <v>1190</v>
      </c>
      <c r="D1821" s="18" t="s">
        <v>10</v>
      </c>
      <c r="E1821" s="18" t="s">
        <v>11</v>
      </c>
      <c r="F1821" s="18" t="s">
        <v>18</v>
      </c>
      <c r="G1821" s="18" t="s">
        <v>19</v>
      </c>
      <c r="H1821" s="18" t="s">
        <v>348</v>
      </c>
      <c r="I1821" s="19" t="s">
        <v>3688</v>
      </c>
      <c r="J1821" s="20" t="str">
        <f>VLOOKUP(B1821,baru!$B$2:$I$2271,4,FALSE)</f>
        <v>Khusus</v>
      </c>
      <c r="K1821" s="20" t="str">
        <f>VLOOKUP(B1821,baru!$B$2:$I$2271,5,FALSE)</f>
        <v>JAWA BARAT</v>
      </c>
      <c r="L1821" s="20" t="str">
        <f>VLOOKUP(B1821,baru!$B$2:$I$2271,6,FALSE)</f>
        <v>KOTA BEKASI</v>
      </c>
    </row>
    <row r="1822" spans="1:12" hidden="1" x14ac:dyDescent="0.35">
      <c r="A1822" s="6">
        <v>2119123</v>
      </c>
      <c r="B1822" s="7" t="str">
        <f>"3328111507870018"</f>
        <v>3328111507870018</v>
      </c>
      <c r="C1822" s="7" t="s">
        <v>3791</v>
      </c>
      <c r="D1822" s="7" t="s">
        <v>10</v>
      </c>
      <c r="E1822" s="7" t="s">
        <v>11</v>
      </c>
      <c r="F1822" s="7" t="s">
        <v>18</v>
      </c>
      <c r="G1822" s="7" t="s">
        <v>19</v>
      </c>
      <c r="H1822" s="7" t="s">
        <v>348</v>
      </c>
      <c r="I1822" s="8" t="s">
        <v>1777</v>
      </c>
      <c r="J1822" t="e">
        <f>VLOOKUP(B1822,baru!$B$2:$I$2271,4,FALSE)</f>
        <v>#N/A</v>
      </c>
      <c r="K1822" t="e">
        <f>VLOOKUP(B1822,baru!$B$2:$I$2271,5,FALSE)</f>
        <v>#N/A</v>
      </c>
      <c r="L1822" t="e">
        <f>VLOOKUP(B1822,baru!$B$2:$I$2271,6,FALSE)</f>
        <v>#N/A</v>
      </c>
    </row>
    <row r="1823" spans="1:12" hidden="1" x14ac:dyDescent="0.35">
      <c r="A1823" s="6">
        <v>423863</v>
      </c>
      <c r="B1823" s="7" t="str">
        <f>"3328111507870018"</f>
        <v>3328111507870018</v>
      </c>
      <c r="C1823" s="7" t="s">
        <v>3792</v>
      </c>
      <c r="D1823" s="7" t="s">
        <v>10</v>
      </c>
      <c r="E1823" s="7" t="s">
        <v>57</v>
      </c>
      <c r="F1823" s="7" t="s">
        <v>18</v>
      </c>
      <c r="G1823" s="7" t="s">
        <v>268</v>
      </c>
      <c r="H1823" s="7" t="s">
        <v>277</v>
      </c>
      <c r="I1823" s="8" t="s">
        <v>278</v>
      </c>
    </row>
    <row r="1824" spans="1:12" hidden="1" x14ac:dyDescent="0.35">
      <c r="A1824" s="6">
        <v>1291111</v>
      </c>
      <c r="B1824" s="7" t="str">
        <f>"3328111601780009"</f>
        <v>3328111601780009</v>
      </c>
      <c r="C1824" s="7" t="s">
        <v>2314</v>
      </c>
      <c r="D1824" s="7" t="s">
        <v>10</v>
      </c>
      <c r="E1824" s="7" t="s">
        <v>11</v>
      </c>
      <c r="F1824" s="7" t="s">
        <v>91</v>
      </c>
      <c r="G1824" s="7" t="s">
        <v>92</v>
      </c>
      <c r="H1824" s="7" t="s">
        <v>571</v>
      </c>
      <c r="I1824" s="8" t="s">
        <v>3309</v>
      </c>
    </row>
    <row r="1825" spans="1:12" hidden="1" x14ac:dyDescent="0.35">
      <c r="A1825" s="13">
        <v>2136037</v>
      </c>
      <c r="B1825" s="14" t="str">
        <f>"3328111603870008"</f>
        <v>3328111603870008</v>
      </c>
      <c r="C1825" s="14" t="s">
        <v>3793</v>
      </c>
      <c r="D1825" s="14" t="s">
        <v>10</v>
      </c>
      <c r="E1825" s="14" t="s">
        <v>11</v>
      </c>
      <c r="F1825" s="14" t="s">
        <v>18</v>
      </c>
      <c r="G1825" s="14" t="s">
        <v>19</v>
      </c>
      <c r="H1825" s="14" t="s">
        <v>348</v>
      </c>
      <c r="I1825" s="15" t="s">
        <v>3677</v>
      </c>
      <c r="J1825" s="16" t="str">
        <f>VLOOKUP(B1825,baru!$B$2:$I$2271,4,FALSE)</f>
        <v>Reguler</v>
      </c>
      <c r="K1825" s="16" t="str">
        <f>VLOOKUP(B1825,baru!$B$2:$I$2271,5,FALSE)</f>
        <v>DKI JAKARTA</v>
      </c>
      <c r="L1825" s="16" t="str">
        <f>VLOOKUP(B1825,baru!$B$2:$I$2271,6,FALSE)</f>
        <v>KOTA JAKARTA TIMUR</v>
      </c>
    </row>
    <row r="1826" spans="1:12" hidden="1" x14ac:dyDescent="0.35">
      <c r="A1826" s="6">
        <v>209303</v>
      </c>
      <c r="B1826" s="7" t="str">
        <f>"3328111605820010"</f>
        <v>3328111605820010</v>
      </c>
      <c r="C1826" s="7" t="s">
        <v>3794</v>
      </c>
      <c r="D1826" s="7" t="s">
        <v>10</v>
      </c>
      <c r="E1826" s="7" t="s">
        <v>11</v>
      </c>
      <c r="F1826" s="7" t="s">
        <v>18</v>
      </c>
      <c r="G1826" s="7" t="s">
        <v>268</v>
      </c>
      <c r="H1826" s="7" t="s">
        <v>371</v>
      </c>
      <c r="I1826" s="8" t="s">
        <v>2772</v>
      </c>
    </row>
    <row r="1827" spans="1:12" hidden="1" x14ac:dyDescent="0.35">
      <c r="A1827" s="6">
        <v>2125200</v>
      </c>
      <c r="B1827" s="7" t="str">
        <f>"3328111612040007"</f>
        <v>3328111612040007</v>
      </c>
      <c r="C1827" s="7" t="s">
        <v>3796</v>
      </c>
      <c r="D1827" s="7" t="s">
        <v>10</v>
      </c>
      <c r="E1827" s="7" t="s">
        <v>11</v>
      </c>
      <c r="F1827" s="7" t="s">
        <v>18</v>
      </c>
      <c r="G1827" s="7" t="s">
        <v>19</v>
      </c>
      <c r="H1827" s="7" t="s">
        <v>348</v>
      </c>
      <c r="I1827" s="8" t="s">
        <v>1644</v>
      </c>
      <c r="J1827" t="e">
        <f>VLOOKUP(B1827,baru!$B$2:$I$2271,4,FALSE)</f>
        <v>#N/A</v>
      </c>
      <c r="K1827" t="e">
        <f>VLOOKUP(B1827,baru!$B$2:$I$2271,5,FALSE)</f>
        <v>#N/A</v>
      </c>
      <c r="L1827" t="e">
        <f>VLOOKUP(B1827,baru!$B$2:$I$2271,6,FALSE)</f>
        <v>#N/A</v>
      </c>
    </row>
    <row r="1828" spans="1:12" hidden="1" x14ac:dyDescent="0.35">
      <c r="A1828" s="6">
        <v>1351095</v>
      </c>
      <c r="B1828" s="7" t="str">
        <f>"3328111612040007"</f>
        <v>3328111612040007</v>
      </c>
      <c r="C1828" s="7" t="s">
        <v>3796</v>
      </c>
      <c r="D1828" s="7" t="s">
        <v>10</v>
      </c>
      <c r="E1828" s="7" t="s">
        <v>57</v>
      </c>
      <c r="F1828" s="7" t="s">
        <v>303</v>
      </c>
      <c r="G1828" s="7" t="s">
        <v>608</v>
      </c>
      <c r="H1828" s="7" t="s">
        <v>609</v>
      </c>
      <c r="I1828" s="8" t="s">
        <v>610</v>
      </c>
    </row>
    <row r="1829" spans="1:12" x14ac:dyDescent="0.35">
      <c r="A1829" s="13">
        <v>2020897</v>
      </c>
      <c r="B1829" s="14" t="str">
        <f>"3328111703760006"</f>
        <v>3328111703760006</v>
      </c>
      <c r="C1829" s="14" t="s">
        <v>3797</v>
      </c>
      <c r="D1829" s="14" t="s">
        <v>189</v>
      </c>
      <c r="E1829" s="14" t="s">
        <v>11</v>
      </c>
      <c r="F1829" s="14" t="s">
        <v>18</v>
      </c>
      <c r="G1829" s="14" t="s">
        <v>19</v>
      </c>
      <c r="H1829" s="14" t="s">
        <v>348</v>
      </c>
      <c r="I1829" s="15" t="s">
        <v>349</v>
      </c>
      <c r="J1829" s="16" t="str">
        <f>VLOOKUP(B1829,baru!$B$2:$I$2271,4,FALSE)</f>
        <v>Reguler</v>
      </c>
      <c r="K1829" s="16" t="str">
        <f>VLOOKUP(B1829,baru!$B$2:$I$2271,5,FALSE)</f>
        <v>DAERAH ISTIMEWA YOGYAKARTA</v>
      </c>
      <c r="L1829" s="16" t="str">
        <f>VLOOKUP(B1829,baru!$B$2:$I$2271,6,FALSE)</f>
        <v>KOTA YOGYAKARTA</v>
      </c>
    </row>
    <row r="1830" spans="1:12" x14ac:dyDescent="0.35">
      <c r="A1830" s="13">
        <v>2162159</v>
      </c>
      <c r="B1830" s="14" t="str">
        <f>"3328111710930004"</f>
        <v>3328111710930004</v>
      </c>
      <c r="C1830" s="14" t="s">
        <v>3799</v>
      </c>
      <c r="D1830" s="14" t="s">
        <v>189</v>
      </c>
      <c r="E1830" s="14" t="s">
        <v>11</v>
      </c>
      <c r="F1830" s="14" t="s">
        <v>18</v>
      </c>
      <c r="G1830" s="14" t="s">
        <v>19</v>
      </c>
      <c r="H1830" s="14" t="s">
        <v>348</v>
      </c>
      <c r="I1830" s="15" t="s">
        <v>3696</v>
      </c>
      <c r="J1830" s="16" t="str">
        <f>VLOOKUP(B1830,baru!$B$2:$I$2271,4,FALSE)</f>
        <v>Reguler</v>
      </c>
      <c r="K1830" s="16" t="str">
        <f>VLOOKUP(B1830,baru!$B$2:$I$2271,5,FALSE)</f>
        <v>JAWA TENGAH</v>
      </c>
      <c r="L1830" s="16" t="str">
        <f>VLOOKUP(B1830,baru!$B$2:$I$2271,6,FALSE)</f>
        <v>BATANG</v>
      </c>
    </row>
    <row r="1831" spans="1:12" hidden="1" x14ac:dyDescent="0.35">
      <c r="A1831" s="6">
        <v>967158</v>
      </c>
      <c r="B1831" s="7" t="str">
        <f>"3328112002900004"</f>
        <v>3328112002900004</v>
      </c>
      <c r="C1831" s="7" t="s">
        <v>3803</v>
      </c>
      <c r="D1831" s="7" t="s">
        <v>10</v>
      </c>
      <c r="E1831" s="7" t="s">
        <v>11</v>
      </c>
      <c r="F1831" s="7" t="s">
        <v>303</v>
      </c>
      <c r="G1831" s="7" t="s">
        <v>1584</v>
      </c>
      <c r="H1831" s="7" t="s">
        <v>3587</v>
      </c>
      <c r="I1831" s="8" t="s">
        <v>3588</v>
      </c>
    </row>
    <row r="1832" spans="1:12" hidden="1" x14ac:dyDescent="0.35">
      <c r="A1832" s="6">
        <v>1351113</v>
      </c>
      <c r="B1832" s="7" t="str">
        <f>"3328112006040008"</f>
        <v>3328112006040008</v>
      </c>
      <c r="C1832" s="7" t="s">
        <v>3805</v>
      </c>
      <c r="D1832" s="7" t="s">
        <v>10</v>
      </c>
      <c r="E1832" s="7" t="s">
        <v>57</v>
      </c>
      <c r="F1832" s="7" t="s">
        <v>303</v>
      </c>
      <c r="G1832" s="7" t="s">
        <v>608</v>
      </c>
      <c r="H1832" s="7" t="s">
        <v>609</v>
      </c>
      <c r="I1832" s="8" t="s">
        <v>610</v>
      </c>
    </row>
    <row r="1833" spans="1:12" hidden="1" x14ac:dyDescent="0.35">
      <c r="A1833" s="6">
        <v>416497</v>
      </c>
      <c r="B1833" s="7" t="str">
        <f>"3328112201060005"</f>
        <v>3328112201060005</v>
      </c>
      <c r="C1833" s="7" t="s">
        <v>3806</v>
      </c>
      <c r="D1833" s="7" t="s">
        <v>10</v>
      </c>
      <c r="E1833" s="7" t="s">
        <v>11</v>
      </c>
      <c r="F1833" s="7" t="s">
        <v>18</v>
      </c>
      <c r="G1833" s="7" t="s">
        <v>268</v>
      </c>
      <c r="H1833" s="7" t="s">
        <v>448</v>
      </c>
      <c r="I1833" s="8" t="s">
        <v>888</v>
      </c>
    </row>
    <row r="1834" spans="1:12" x14ac:dyDescent="0.35">
      <c r="A1834" s="13">
        <v>2090942</v>
      </c>
      <c r="B1834" s="14" t="str">
        <f>"3328112201070002"</f>
        <v>3328112201070002</v>
      </c>
      <c r="C1834" s="14" t="s">
        <v>3807</v>
      </c>
      <c r="D1834" s="14" t="s">
        <v>189</v>
      </c>
      <c r="E1834" s="14" t="s">
        <v>11</v>
      </c>
      <c r="F1834" s="14" t="s">
        <v>18</v>
      </c>
      <c r="G1834" s="14" t="s">
        <v>19</v>
      </c>
      <c r="H1834" s="14" t="s">
        <v>348</v>
      </c>
      <c r="I1834" s="15" t="s">
        <v>3660</v>
      </c>
      <c r="J1834" s="16" t="str">
        <f>VLOOKUP(B1834,baru!$B$2:$I$2271,4,FALSE)</f>
        <v>Reguler</v>
      </c>
      <c r="K1834" s="16" t="str">
        <f>VLOOKUP(B1834,baru!$B$2:$I$2271,5,FALSE)</f>
        <v>DKI JAKARTA</v>
      </c>
      <c r="L1834" s="16" t="str">
        <f>VLOOKUP(B1834,baru!$B$2:$I$2271,6,FALSE)</f>
        <v>KOTA JAKARTA SELATAN</v>
      </c>
    </row>
    <row r="1835" spans="1:12" hidden="1" x14ac:dyDescent="0.35">
      <c r="A1835" s="6">
        <v>2092276</v>
      </c>
      <c r="B1835" s="7" t="str">
        <f>"3328112204030004"</f>
        <v>3328112204030004</v>
      </c>
      <c r="C1835" s="7" t="s">
        <v>3809</v>
      </c>
      <c r="D1835" s="7" t="s">
        <v>10</v>
      </c>
      <c r="E1835" s="7" t="s">
        <v>11</v>
      </c>
      <c r="F1835" s="7" t="s">
        <v>18</v>
      </c>
      <c r="G1835" s="7" t="s">
        <v>19</v>
      </c>
      <c r="H1835" s="7" t="s">
        <v>348</v>
      </c>
      <c r="I1835" s="8" t="s">
        <v>3660</v>
      </c>
      <c r="J1835" t="e">
        <f>VLOOKUP(B1835,baru!$B$2:$I$2271,4,FALSE)</f>
        <v>#N/A</v>
      </c>
      <c r="K1835" t="e">
        <f>VLOOKUP(B1835,baru!$B$2:$I$2271,5,FALSE)</f>
        <v>#N/A</v>
      </c>
      <c r="L1835" t="e">
        <f>VLOOKUP(B1835,baru!$B$2:$I$2271,6,FALSE)</f>
        <v>#N/A</v>
      </c>
    </row>
    <row r="1836" spans="1:12" hidden="1" x14ac:dyDescent="0.35">
      <c r="A1836" s="6">
        <v>1351087</v>
      </c>
      <c r="B1836" s="7" t="str">
        <f>"3328112204030004"</f>
        <v>3328112204030004</v>
      </c>
      <c r="C1836" s="7" t="s">
        <v>3809</v>
      </c>
      <c r="D1836" s="7" t="s">
        <v>10</v>
      </c>
      <c r="E1836" s="7" t="s">
        <v>57</v>
      </c>
      <c r="F1836" s="7" t="s">
        <v>303</v>
      </c>
      <c r="G1836" s="7" t="s">
        <v>608</v>
      </c>
      <c r="H1836" s="7" t="s">
        <v>609</v>
      </c>
      <c r="I1836" s="8" t="s">
        <v>610</v>
      </c>
    </row>
    <row r="1837" spans="1:12" hidden="1" x14ac:dyDescent="0.35">
      <c r="A1837" s="6">
        <v>1351101</v>
      </c>
      <c r="B1837" s="7" t="str">
        <f>"3328112302040003"</f>
        <v>3328112302040003</v>
      </c>
      <c r="C1837" s="7" t="s">
        <v>3810</v>
      </c>
      <c r="D1837" s="7" t="s">
        <v>10</v>
      </c>
      <c r="E1837" s="7" t="s">
        <v>57</v>
      </c>
      <c r="F1837" s="7" t="s">
        <v>303</v>
      </c>
      <c r="G1837" s="7" t="s">
        <v>608</v>
      </c>
      <c r="H1837" s="7" t="s">
        <v>609</v>
      </c>
      <c r="I1837" s="8" t="s">
        <v>610</v>
      </c>
    </row>
    <row r="1838" spans="1:12" hidden="1" x14ac:dyDescent="0.35">
      <c r="A1838" s="13">
        <v>2113385</v>
      </c>
      <c r="B1838" s="14" t="str">
        <f>"3328112308860006"</f>
        <v>3328112308860006</v>
      </c>
      <c r="C1838" s="14" t="s">
        <v>3811</v>
      </c>
      <c r="D1838" s="14" t="s">
        <v>10</v>
      </c>
      <c r="E1838" s="14" t="s">
        <v>11</v>
      </c>
      <c r="F1838" s="14" t="s">
        <v>18</v>
      </c>
      <c r="G1838" s="14" t="s">
        <v>19</v>
      </c>
      <c r="H1838" s="14" t="s">
        <v>348</v>
      </c>
      <c r="I1838" s="15" t="s">
        <v>1777</v>
      </c>
      <c r="J1838" s="16" t="str">
        <f>VLOOKUP(B1838,baru!$B$2:$I$2271,4,FALSE)</f>
        <v>Reguler</v>
      </c>
      <c r="K1838" s="16" t="str">
        <f>VLOOKUP(B1838,baru!$B$2:$I$2271,5,FALSE)</f>
        <v>JAWA TENGAH</v>
      </c>
      <c r="L1838" s="16" t="str">
        <f>VLOOKUP(B1838,baru!$B$2:$I$2271,6,FALSE)</f>
        <v>KEBUMEN</v>
      </c>
    </row>
    <row r="1839" spans="1:12" x14ac:dyDescent="0.35">
      <c r="A1839" s="17">
        <v>2158962</v>
      </c>
      <c r="B1839" s="18" t="str">
        <f>"3328112311060006"</f>
        <v>3328112311060006</v>
      </c>
      <c r="C1839" s="18" t="s">
        <v>3813</v>
      </c>
      <c r="D1839" s="18" t="s">
        <v>189</v>
      </c>
      <c r="E1839" s="18" t="s">
        <v>11</v>
      </c>
      <c r="F1839" s="18" t="s">
        <v>18</v>
      </c>
      <c r="G1839" s="18" t="s">
        <v>19</v>
      </c>
      <c r="H1839" s="18" t="s">
        <v>348</v>
      </c>
      <c r="I1839" s="19" t="s">
        <v>3688</v>
      </c>
      <c r="J1839" s="20" t="str">
        <f>VLOOKUP(B1839,baru!$B$2:$I$2271,4,FALSE)</f>
        <v>Khusus</v>
      </c>
      <c r="K1839" s="20" t="str">
        <f>VLOOKUP(B1839,baru!$B$2:$I$2271,5,FALSE)</f>
        <v>JAWA TENGAH</v>
      </c>
      <c r="L1839" s="20" t="str">
        <f>VLOOKUP(B1839,baru!$B$2:$I$2271,6,FALSE)</f>
        <v>BATANG</v>
      </c>
    </row>
    <row r="1840" spans="1:12" hidden="1" x14ac:dyDescent="0.35">
      <c r="A1840" s="13">
        <v>2373994</v>
      </c>
      <c r="B1840" s="14" t="str">
        <f>"3328112311900007"</f>
        <v>3328112311900007</v>
      </c>
      <c r="C1840" s="14" t="s">
        <v>3814</v>
      </c>
      <c r="D1840" s="14" t="s">
        <v>10</v>
      </c>
      <c r="E1840" s="14" t="s">
        <v>11</v>
      </c>
      <c r="F1840" s="14" t="s">
        <v>18</v>
      </c>
      <c r="G1840" s="14" t="s">
        <v>19</v>
      </c>
      <c r="H1840" s="14" t="s">
        <v>348</v>
      </c>
      <c r="I1840" s="15" t="s">
        <v>348</v>
      </c>
      <c r="J1840" s="16" t="str">
        <f>VLOOKUP(B1840,baru!$B$2:$I$2271,4,FALSE)</f>
        <v>Reguler</v>
      </c>
      <c r="K1840" s="16" t="str">
        <f>VLOOKUP(B1840,baru!$B$2:$I$2271,5,FALSE)</f>
        <v>JAWA TENGAH</v>
      </c>
      <c r="L1840" s="16" t="str">
        <f>VLOOKUP(B1840,baru!$B$2:$I$2271,6,FALSE)</f>
        <v>PEKALONGAN</v>
      </c>
    </row>
    <row r="1841" spans="1:12" hidden="1" x14ac:dyDescent="0.35">
      <c r="A1841" s="6">
        <v>2168540</v>
      </c>
      <c r="B1841" s="7" t="str">
        <f>"3328112405020005"</f>
        <v>3328112405020005</v>
      </c>
      <c r="C1841" s="7" t="s">
        <v>3817</v>
      </c>
      <c r="D1841" s="7" t="s">
        <v>10</v>
      </c>
      <c r="E1841" s="7" t="s">
        <v>11</v>
      </c>
      <c r="F1841" s="7" t="s">
        <v>18</v>
      </c>
      <c r="G1841" s="7" t="s">
        <v>19</v>
      </c>
      <c r="H1841" s="7" t="s">
        <v>348</v>
      </c>
      <c r="I1841" s="8" t="s">
        <v>3723</v>
      </c>
      <c r="J1841" t="e">
        <f>VLOOKUP(B1841,baru!$B$2:$I$2271,4,FALSE)</f>
        <v>#N/A</v>
      </c>
      <c r="K1841" t="e">
        <f>VLOOKUP(B1841,baru!$B$2:$I$2271,5,FALSE)</f>
        <v>#N/A</v>
      </c>
      <c r="L1841" t="e">
        <f>VLOOKUP(B1841,baru!$B$2:$I$2271,6,FALSE)</f>
        <v>#N/A</v>
      </c>
    </row>
    <row r="1842" spans="1:12" hidden="1" x14ac:dyDescent="0.35">
      <c r="A1842" s="6">
        <v>1351107</v>
      </c>
      <c r="B1842" s="7" t="str">
        <f>"3328112405020005"</f>
        <v>3328112405020005</v>
      </c>
      <c r="C1842" s="7" t="s">
        <v>3818</v>
      </c>
      <c r="D1842" s="7" t="s">
        <v>10</v>
      </c>
      <c r="E1842" s="7" t="s">
        <v>57</v>
      </c>
      <c r="F1842" s="7" t="s">
        <v>303</v>
      </c>
      <c r="G1842" s="7" t="s">
        <v>608</v>
      </c>
      <c r="H1842" s="7" t="s">
        <v>609</v>
      </c>
      <c r="I1842" s="8" t="s">
        <v>610</v>
      </c>
    </row>
    <row r="1843" spans="1:12" hidden="1" x14ac:dyDescent="0.35">
      <c r="A1843" s="6">
        <v>460232</v>
      </c>
      <c r="B1843" s="7" t="str">
        <f>"3328112405990005"</f>
        <v>3328112405990005</v>
      </c>
      <c r="C1843" s="7" t="s">
        <v>3819</v>
      </c>
      <c r="D1843" s="7" t="s">
        <v>10</v>
      </c>
      <c r="E1843" s="7" t="s">
        <v>11</v>
      </c>
      <c r="F1843" s="7" t="s">
        <v>91</v>
      </c>
      <c r="G1843" s="7" t="s">
        <v>438</v>
      </c>
      <c r="H1843" s="7" t="s">
        <v>760</v>
      </c>
      <c r="I1843" s="8" t="s">
        <v>3820</v>
      </c>
    </row>
    <row r="1844" spans="1:12" x14ac:dyDescent="0.35">
      <c r="A1844" s="6">
        <v>2104819</v>
      </c>
      <c r="B1844" s="7" t="str">
        <f>"3328112508050002"</f>
        <v>3328112508050002</v>
      </c>
      <c r="C1844" s="7" t="s">
        <v>3821</v>
      </c>
      <c r="D1844" s="7" t="s">
        <v>189</v>
      </c>
      <c r="E1844" s="7" t="s">
        <v>11</v>
      </c>
      <c r="F1844" s="7" t="s">
        <v>18</v>
      </c>
      <c r="G1844" s="7" t="s">
        <v>19</v>
      </c>
      <c r="H1844" s="7" t="s">
        <v>348</v>
      </c>
      <c r="I1844" s="8" t="s">
        <v>3668</v>
      </c>
      <c r="J1844" t="e">
        <f>VLOOKUP(B1844,baru!$B$2:$I$2271,4,FALSE)</f>
        <v>#N/A</v>
      </c>
      <c r="K1844" t="e">
        <f>VLOOKUP(B1844,baru!$B$2:$I$2271,5,FALSE)</f>
        <v>#N/A</v>
      </c>
      <c r="L1844" t="e">
        <f>VLOOKUP(B1844,baru!$B$2:$I$2271,6,FALSE)</f>
        <v>#N/A</v>
      </c>
    </row>
    <row r="1845" spans="1:12" hidden="1" x14ac:dyDescent="0.35">
      <c r="A1845" s="6">
        <v>1351098</v>
      </c>
      <c r="B1845" s="7" t="str">
        <f>"3328112508050002"</f>
        <v>3328112508050002</v>
      </c>
      <c r="C1845" s="7" t="s">
        <v>3821</v>
      </c>
      <c r="D1845" s="7" t="s">
        <v>10</v>
      </c>
      <c r="E1845" s="7" t="s">
        <v>57</v>
      </c>
      <c r="F1845" s="7" t="s">
        <v>303</v>
      </c>
      <c r="G1845" s="7" t="s">
        <v>608</v>
      </c>
      <c r="H1845" s="7" t="s">
        <v>609</v>
      </c>
      <c r="I1845" s="8" t="s">
        <v>610</v>
      </c>
    </row>
    <row r="1846" spans="1:12" hidden="1" x14ac:dyDescent="0.35">
      <c r="A1846" s="6">
        <v>219387</v>
      </c>
      <c r="B1846" s="7" t="str">
        <f>"3328112511830005"</f>
        <v>3328112511830005</v>
      </c>
      <c r="C1846" s="7" t="s">
        <v>3822</v>
      </c>
      <c r="D1846" s="7" t="s">
        <v>10</v>
      </c>
      <c r="E1846" s="7" t="s">
        <v>11</v>
      </c>
      <c r="F1846" s="7" t="s">
        <v>50</v>
      </c>
      <c r="G1846" s="7" t="s">
        <v>51</v>
      </c>
      <c r="H1846" s="7" t="s">
        <v>52</v>
      </c>
      <c r="I1846" s="8" t="s">
        <v>3823</v>
      </c>
    </row>
    <row r="1847" spans="1:12" x14ac:dyDescent="0.35">
      <c r="A1847" s="6">
        <v>2152782</v>
      </c>
      <c r="B1847" s="7" t="str">
        <f>"3328112602060002"</f>
        <v>3328112602060002</v>
      </c>
      <c r="C1847" s="7" t="s">
        <v>3825</v>
      </c>
      <c r="D1847" s="7" t="s">
        <v>189</v>
      </c>
      <c r="E1847" s="7" t="s">
        <v>11</v>
      </c>
      <c r="F1847" s="7" t="s">
        <v>18</v>
      </c>
      <c r="G1847" s="7" t="s">
        <v>19</v>
      </c>
      <c r="H1847" s="7" t="s">
        <v>348</v>
      </c>
      <c r="I1847" s="8" t="s">
        <v>3688</v>
      </c>
      <c r="J1847" t="e">
        <f>VLOOKUP(B1847,baru!$B$2:$I$2271,4,FALSE)</f>
        <v>#N/A</v>
      </c>
      <c r="K1847" t="e">
        <f>VLOOKUP(B1847,baru!$B$2:$I$2271,5,FALSE)</f>
        <v>#N/A</v>
      </c>
      <c r="L1847" t="e">
        <f>VLOOKUP(B1847,baru!$B$2:$I$2271,6,FALSE)</f>
        <v>#N/A</v>
      </c>
    </row>
    <row r="1848" spans="1:12" hidden="1" x14ac:dyDescent="0.35">
      <c r="A1848" s="6">
        <v>1351088</v>
      </c>
      <c r="B1848" s="7" t="str">
        <f>"3328112602060002"</f>
        <v>3328112602060002</v>
      </c>
      <c r="C1848" s="7" t="s">
        <v>3825</v>
      </c>
      <c r="D1848" s="7" t="s">
        <v>10</v>
      </c>
      <c r="E1848" s="7" t="s">
        <v>57</v>
      </c>
      <c r="F1848" s="7" t="s">
        <v>303</v>
      </c>
      <c r="G1848" s="7" t="s">
        <v>608</v>
      </c>
      <c r="H1848" s="7" t="s">
        <v>609</v>
      </c>
      <c r="I1848" s="8" t="s">
        <v>610</v>
      </c>
    </row>
    <row r="1849" spans="1:12" hidden="1" x14ac:dyDescent="0.35">
      <c r="A1849" s="6">
        <v>246867</v>
      </c>
      <c r="B1849" s="7" t="str">
        <f>"3328112606820007"</f>
        <v>3328112606820007</v>
      </c>
      <c r="C1849" s="7" t="s">
        <v>3826</v>
      </c>
      <c r="D1849" s="7" t="s">
        <v>10</v>
      </c>
      <c r="E1849" s="7" t="s">
        <v>11</v>
      </c>
      <c r="F1849" s="7" t="s">
        <v>18</v>
      </c>
      <c r="G1849" s="7" t="s">
        <v>268</v>
      </c>
      <c r="H1849" s="7" t="s">
        <v>371</v>
      </c>
      <c r="I1849" s="8" t="s">
        <v>497</v>
      </c>
    </row>
    <row r="1850" spans="1:12" hidden="1" x14ac:dyDescent="0.35">
      <c r="A1850" s="13">
        <v>2233854</v>
      </c>
      <c r="B1850" s="14" t="str">
        <f>"3328112703990015"</f>
        <v>3328112703990015</v>
      </c>
      <c r="C1850" s="14" t="s">
        <v>3827</v>
      </c>
      <c r="D1850" s="14" t="s">
        <v>10</v>
      </c>
      <c r="E1850" s="14" t="s">
        <v>11</v>
      </c>
      <c r="F1850" s="14" t="s">
        <v>18</v>
      </c>
      <c r="G1850" s="14" t="s">
        <v>19</v>
      </c>
      <c r="H1850" s="14" t="s">
        <v>348</v>
      </c>
      <c r="I1850" s="15" t="s">
        <v>459</v>
      </c>
      <c r="J1850" s="16" t="str">
        <f>VLOOKUP(B1850,baru!$B$2:$I$2271,4,FALSE)</f>
        <v>Reguler</v>
      </c>
      <c r="K1850" s="16" t="str">
        <f>VLOOKUP(B1850,baru!$B$2:$I$2271,5,FALSE)</f>
        <v>JAWA TENGAH</v>
      </c>
      <c r="L1850" s="16" t="str">
        <f>VLOOKUP(B1850,baru!$B$2:$I$2271,6,FALSE)</f>
        <v>BREBES</v>
      </c>
    </row>
    <row r="1851" spans="1:12" x14ac:dyDescent="0.35">
      <c r="A1851" s="6">
        <v>2082985</v>
      </c>
      <c r="B1851" s="7" t="str">
        <f>"3328112707960001"</f>
        <v>3328112707960001</v>
      </c>
      <c r="C1851" s="7" t="s">
        <v>3828</v>
      </c>
      <c r="D1851" s="7" t="s">
        <v>189</v>
      </c>
      <c r="E1851" s="7" t="s">
        <v>11</v>
      </c>
      <c r="F1851" s="7" t="s">
        <v>18</v>
      </c>
      <c r="G1851" s="7" t="s">
        <v>19</v>
      </c>
      <c r="H1851" s="7" t="s">
        <v>348</v>
      </c>
      <c r="I1851" s="8" t="s">
        <v>3679</v>
      </c>
      <c r="J1851" t="e">
        <f>VLOOKUP(B1851,baru!$B$2:$I$2271,4,FALSE)</f>
        <v>#N/A</v>
      </c>
      <c r="K1851" t="e">
        <f>VLOOKUP(B1851,baru!$B$2:$I$2271,5,FALSE)</f>
        <v>#N/A</v>
      </c>
      <c r="L1851" t="e">
        <f>VLOOKUP(B1851,baru!$B$2:$I$2271,6,FALSE)</f>
        <v>#N/A</v>
      </c>
    </row>
    <row r="1852" spans="1:12" hidden="1" x14ac:dyDescent="0.35">
      <c r="A1852" s="6">
        <v>308934</v>
      </c>
      <c r="B1852" s="7" t="str">
        <f>"3328112707960001"</f>
        <v>3328112707960001</v>
      </c>
      <c r="C1852" s="7" t="s">
        <v>1030</v>
      </c>
      <c r="D1852" s="7" t="s">
        <v>10</v>
      </c>
      <c r="E1852" s="7" t="s">
        <v>11</v>
      </c>
      <c r="F1852" s="7" t="s">
        <v>50</v>
      </c>
      <c r="G1852" s="7" t="s">
        <v>58</v>
      </c>
      <c r="H1852" s="7" t="s">
        <v>2527</v>
      </c>
      <c r="I1852" s="8" t="s">
        <v>2528</v>
      </c>
    </row>
    <row r="1853" spans="1:12" hidden="1" x14ac:dyDescent="0.35">
      <c r="A1853" s="6">
        <v>2170113</v>
      </c>
      <c r="B1853" s="7" t="str">
        <f>"3328112712030004"</f>
        <v>3328112712030004</v>
      </c>
      <c r="C1853" s="7" t="s">
        <v>3829</v>
      </c>
      <c r="D1853" s="7" t="s">
        <v>10</v>
      </c>
      <c r="E1853" s="7" t="s">
        <v>11</v>
      </c>
      <c r="F1853" s="7" t="s">
        <v>18</v>
      </c>
      <c r="G1853" s="7" t="s">
        <v>19</v>
      </c>
      <c r="H1853" s="7" t="s">
        <v>348</v>
      </c>
      <c r="I1853" s="8" t="s">
        <v>3723</v>
      </c>
      <c r="J1853" t="e">
        <f>VLOOKUP(B1853,baru!$B$2:$I$2271,4,FALSE)</f>
        <v>#N/A</v>
      </c>
      <c r="K1853" t="e">
        <f>VLOOKUP(B1853,baru!$B$2:$I$2271,5,FALSE)</f>
        <v>#N/A</v>
      </c>
      <c r="L1853" t="e">
        <f>VLOOKUP(B1853,baru!$B$2:$I$2271,6,FALSE)</f>
        <v>#N/A</v>
      </c>
    </row>
    <row r="1854" spans="1:12" hidden="1" x14ac:dyDescent="0.35">
      <c r="A1854" s="6">
        <v>1351108</v>
      </c>
      <c r="B1854" s="7" t="str">
        <f>"3328112712030004"</f>
        <v>3328112712030004</v>
      </c>
      <c r="C1854" s="7" t="s">
        <v>3829</v>
      </c>
      <c r="D1854" s="7" t="s">
        <v>10</v>
      </c>
      <c r="E1854" s="7" t="s">
        <v>57</v>
      </c>
      <c r="F1854" s="7" t="s">
        <v>303</v>
      </c>
      <c r="G1854" s="7" t="s">
        <v>608</v>
      </c>
      <c r="H1854" s="7" t="s">
        <v>609</v>
      </c>
      <c r="I1854" s="8" t="s">
        <v>610</v>
      </c>
    </row>
    <row r="1855" spans="1:12" x14ac:dyDescent="0.35">
      <c r="A1855" s="6">
        <v>2021274</v>
      </c>
      <c r="B1855" s="7" t="str">
        <f>"3328112809060009"</f>
        <v>3328112809060009</v>
      </c>
      <c r="C1855" s="7" t="s">
        <v>3830</v>
      </c>
      <c r="D1855" s="7" t="s">
        <v>189</v>
      </c>
      <c r="E1855" s="7" t="s">
        <v>11</v>
      </c>
      <c r="F1855" s="7" t="s">
        <v>18</v>
      </c>
      <c r="G1855" s="7" t="s">
        <v>19</v>
      </c>
      <c r="H1855" s="7" t="s">
        <v>348</v>
      </c>
      <c r="I1855" s="8" t="s">
        <v>349</v>
      </c>
      <c r="J1855" t="e">
        <f>VLOOKUP(B1855,baru!$B$2:$I$2271,4,FALSE)</f>
        <v>#N/A</v>
      </c>
      <c r="K1855" t="e">
        <f>VLOOKUP(B1855,baru!$B$2:$I$2271,5,FALSE)</f>
        <v>#N/A</v>
      </c>
      <c r="L1855" t="e">
        <f>VLOOKUP(B1855,baru!$B$2:$I$2271,6,FALSE)</f>
        <v>#N/A</v>
      </c>
    </row>
    <row r="1856" spans="1:12" hidden="1" x14ac:dyDescent="0.35">
      <c r="A1856" s="6">
        <v>1351114</v>
      </c>
      <c r="B1856" s="7" t="str">
        <f>"3328112809060009"</f>
        <v>3328112809060009</v>
      </c>
      <c r="C1856" s="7" t="s">
        <v>3831</v>
      </c>
      <c r="D1856" s="7" t="s">
        <v>10</v>
      </c>
      <c r="E1856" s="7" t="s">
        <v>57</v>
      </c>
      <c r="F1856" s="7" t="s">
        <v>303</v>
      </c>
      <c r="G1856" s="7" t="s">
        <v>608</v>
      </c>
      <c r="H1856" s="7" t="s">
        <v>609</v>
      </c>
      <c r="I1856" s="8" t="s">
        <v>610</v>
      </c>
    </row>
    <row r="1857" spans="1:12" hidden="1" x14ac:dyDescent="0.35">
      <c r="A1857" s="6">
        <v>2086753</v>
      </c>
      <c r="B1857" s="7" t="str">
        <f>"3328112905050010"</f>
        <v>3328112905050010</v>
      </c>
      <c r="C1857" s="7" t="s">
        <v>3832</v>
      </c>
      <c r="D1857" s="7" t="s">
        <v>10</v>
      </c>
      <c r="E1857" s="7" t="s">
        <v>11</v>
      </c>
      <c r="F1857" s="7" t="s">
        <v>18</v>
      </c>
      <c r="G1857" s="7" t="s">
        <v>19</v>
      </c>
      <c r="H1857" s="7" t="s">
        <v>348</v>
      </c>
      <c r="I1857" s="8" t="s">
        <v>3679</v>
      </c>
      <c r="J1857" t="e">
        <f>VLOOKUP(B1857,baru!$B$2:$I$2271,4,FALSE)</f>
        <v>#N/A</v>
      </c>
      <c r="K1857" t="e">
        <f>VLOOKUP(B1857,baru!$B$2:$I$2271,5,FALSE)</f>
        <v>#N/A</v>
      </c>
      <c r="L1857" t="e">
        <f>VLOOKUP(B1857,baru!$B$2:$I$2271,6,FALSE)</f>
        <v>#N/A</v>
      </c>
    </row>
    <row r="1858" spans="1:12" hidden="1" x14ac:dyDescent="0.35">
      <c r="A1858" s="6">
        <v>1351102</v>
      </c>
      <c r="B1858" s="7" t="str">
        <f>"3328112905050010"</f>
        <v>3328112905050010</v>
      </c>
      <c r="C1858" s="7" t="s">
        <v>3832</v>
      </c>
      <c r="D1858" s="7" t="s">
        <v>10</v>
      </c>
      <c r="E1858" s="7" t="s">
        <v>57</v>
      </c>
      <c r="F1858" s="7" t="s">
        <v>303</v>
      </c>
      <c r="G1858" s="7" t="s">
        <v>608</v>
      </c>
      <c r="H1858" s="7" t="s">
        <v>609</v>
      </c>
      <c r="I1858" s="8" t="s">
        <v>610</v>
      </c>
    </row>
    <row r="1859" spans="1:12" hidden="1" x14ac:dyDescent="0.35">
      <c r="A1859" s="6">
        <v>2124857</v>
      </c>
      <c r="B1859" s="7" t="str">
        <f>"3328112909040010"</f>
        <v>3328112909040010</v>
      </c>
      <c r="C1859" s="7" t="s">
        <v>3833</v>
      </c>
      <c r="D1859" s="7" t="s">
        <v>10</v>
      </c>
      <c r="E1859" s="7" t="s">
        <v>11</v>
      </c>
      <c r="F1859" s="7" t="s">
        <v>18</v>
      </c>
      <c r="G1859" s="7" t="s">
        <v>19</v>
      </c>
      <c r="H1859" s="7" t="s">
        <v>348</v>
      </c>
      <c r="I1859" s="8" t="s">
        <v>1644</v>
      </c>
      <c r="J1859" t="e">
        <f>VLOOKUP(B1859,baru!$B$2:$I$2271,4,FALSE)</f>
        <v>#N/A</v>
      </c>
      <c r="K1859" t="e">
        <f>VLOOKUP(B1859,baru!$B$2:$I$2271,5,FALSE)</f>
        <v>#N/A</v>
      </c>
      <c r="L1859" t="e">
        <f>VLOOKUP(B1859,baru!$B$2:$I$2271,6,FALSE)</f>
        <v>#N/A</v>
      </c>
    </row>
    <row r="1860" spans="1:12" hidden="1" x14ac:dyDescent="0.35">
      <c r="A1860" s="6">
        <v>1351096</v>
      </c>
      <c r="B1860" s="7" t="str">
        <f>"3328112909040010"</f>
        <v>3328112909040010</v>
      </c>
      <c r="C1860" s="7" t="s">
        <v>3833</v>
      </c>
      <c r="D1860" s="7" t="s">
        <v>10</v>
      </c>
      <c r="E1860" s="7" t="s">
        <v>57</v>
      </c>
      <c r="F1860" s="7" t="s">
        <v>303</v>
      </c>
      <c r="G1860" s="7" t="s">
        <v>608</v>
      </c>
      <c r="H1860" s="7" t="s">
        <v>609</v>
      </c>
      <c r="I1860" s="8" t="s">
        <v>610</v>
      </c>
    </row>
    <row r="1861" spans="1:12" hidden="1" x14ac:dyDescent="0.35">
      <c r="A1861" s="6">
        <v>282218</v>
      </c>
      <c r="B1861" s="7" t="str">
        <f>"3328113008860002"</f>
        <v>3328113008860002</v>
      </c>
      <c r="C1861" s="7" t="s">
        <v>3834</v>
      </c>
      <c r="D1861" s="7" t="s">
        <v>10</v>
      </c>
      <c r="E1861" s="7" t="s">
        <v>11</v>
      </c>
      <c r="F1861" s="7" t="s">
        <v>18</v>
      </c>
      <c r="G1861" s="7" t="s">
        <v>268</v>
      </c>
      <c r="H1861" s="7" t="s">
        <v>277</v>
      </c>
      <c r="I1861" s="8" t="s">
        <v>884</v>
      </c>
    </row>
    <row r="1862" spans="1:12" hidden="1" x14ac:dyDescent="0.35">
      <c r="A1862" s="6">
        <v>2169862</v>
      </c>
      <c r="B1862" s="7" t="str">
        <f>"3328113108050010"</f>
        <v>3328113108050010</v>
      </c>
      <c r="C1862" s="7" t="s">
        <v>3836</v>
      </c>
      <c r="D1862" s="7" t="s">
        <v>10</v>
      </c>
      <c r="E1862" s="7" t="s">
        <v>11</v>
      </c>
      <c r="F1862" s="7" t="s">
        <v>18</v>
      </c>
      <c r="G1862" s="7" t="s">
        <v>19</v>
      </c>
      <c r="H1862" s="7" t="s">
        <v>348</v>
      </c>
      <c r="I1862" s="8" t="s">
        <v>3723</v>
      </c>
      <c r="J1862" t="e">
        <f>VLOOKUP(B1862,baru!$B$2:$I$2271,4,FALSE)</f>
        <v>#N/A</v>
      </c>
      <c r="K1862" t="e">
        <f>VLOOKUP(B1862,baru!$B$2:$I$2271,5,FALSE)</f>
        <v>#N/A</v>
      </c>
      <c r="L1862" t="e">
        <f>VLOOKUP(B1862,baru!$B$2:$I$2271,6,FALSE)</f>
        <v>#N/A</v>
      </c>
    </row>
    <row r="1863" spans="1:12" hidden="1" x14ac:dyDescent="0.35">
      <c r="A1863" s="6">
        <v>1351110</v>
      </c>
      <c r="B1863" s="7" t="str">
        <f>"3328113108050010"</f>
        <v>3328113108050010</v>
      </c>
      <c r="C1863" s="7" t="s">
        <v>3836</v>
      </c>
      <c r="D1863" s="7" t="s">
        <v>10</v>
      </c>
      <c r="E1863" s="7" t="s">
        <v>57</v>
      </c>
      <c r="F1863" s="7" t="s">
        <v>303</v>
      </c>
      <c r="G1863" s="7" t="s">
        <v>608</v>
      </c>
      <c r="H1863" s="7" t="s">
        <v>609</v>
      </c>
      <c r="I1863" s="8" t="s">
        <v>610</v>
      </c>
    </row>
    <row r="1864" spans="1:12" hidden="1" x14ac:dyDescent="0.35">
      <c r="A1864" s="6">
        <v>982554</v>
      </c>
      <c r="B1864" s="7" t="str">
        <f>"3328113112760053"</f>
        <v>3328113112760053</v>
      </c>
      <c r="C1864" s="7" t="s">
        <v>3837</v>
      </c>
      <c r="D1864" s="7" t="s">
        <v>10</v>
      </c>
      <c r="E1864" s="7" t="s">
        <v>11</v>
      </c>
      <c r="F1864" s="7" t="s">
        <v>50</v>
      </c>
      <c r="G1864" s="7" t="s">
        <v>51</v>
      </c>
      <c r="H1864" s="7" t="s">
        <v>78</v>
      </c>
      <c r="I1864" s="8" t="s">
        <v>81</v>
      </c>
    </row>
    <row r="1865" spans="1:12" hidden="1" x14ac:dyDescent="0.35">
      <c r="A1865" s="6">
        <v>2083054</v>
      </c>
      <c r="B1865" s="7" t="str">
        <f>"3328114101020008"</f>
        <v>3328114101020008</v>
      </c>
      <c r="C1865" s="7" t="s">
        <v>3838</v>
      </c>
      <c r="D1865" s="7" t="s">
        <v>10</v>
      </c>
      <c r="E1865" s="7" t="s">
        <v>11</v>
      </c>
      <c r="F1865" s="7" t="s">
        <v>18</v>
      </c>
      <c r="G1865" s="7" t="s">
        <v>19</v>
      </c>
      <c r="H1865" s="7" t="s">
        <v>348</v>
      </c>
      <c r="I1865" s="8" t="s">
        <v>3679</v>
      </c>
      <c r="J1865" t="e">
        <f>VLOOKUP(B1865,baru!$B$2:$I$2271,4,FALSE)</f>
        <v>#N/A</v>
      </c>
      <c r="K1865" t="e">
        <f>VLOOKUP(B1865,baru!$B$2:$I$2271,5,FALSE)</f>
        <v>#N/A</v>
      </c>
      <c r="L1865" t="e">
        <f>VLOOKUP(B1865,baru!$B$2:$I$2271,6,FALSE)</f>
        <v>#N/A</v>
      </c>
    </row>
    <row r="1866" spans="1:12" hidden="1" x14ac:dyDescent="0.35">
      <c r="A1866" s="6">
        <v>423845</v>
      </c>
      <c r="B1866" s="7" t="str">
        <f>"3328114101020008"</f>
        <v>3328114101020008</v>
      </c>
      <c r="C1866" s="7" t="s">
        <v>3839</v>
      </c>
      <c r="D1866" s="7" t="s">
        <v>10</v>
      </c>
      <c r="E1866" s="7" t="s">
        <v>57</v>
      </c>
      <c r="F1866" s="7" t="s">
        <v>18</v>
      </c>
      <c r="G1866" s="7" t="s">
        <v>268</v>
      </c>
      <c r="H1866" s="7" t="s">
        <v>277</v>
      </c>
      <c r="I1866" s="8" t="s">
        <v>278</v>
      </c>
    </row>
    <row r="1867" spans="1:12" x14ac:dyDescent="0.35">
      <c r="A1867" s="6">
        <v>2021891</v>
      </c>
      <c r="B1867" s="7" t="str">
        <f>"3328114102070003"</f>
        <v>3328114102070003</v>
      </c>
      <c r="C1867" s="7" t="s">
        <v>3840</v>
      </c>
      <c r="D1867" s="7" t="s">
        <v>189</v>
      </c>
      <c r="E1867" s="7" t="s">
        <v>11</v>
      </c>
      <c r="F1867" s="7" t="s">
        <v>18</v>
      </c>
      <c r="G1867" s="7" t="s">
        <v>19</v>
      </c>
      <c r="H1867" s="7" t="s">
        <v>348</v>
      </c>
      <c r="I1867" s="8" t="s">
        <v>349</v>
      </c>
      <c r="J1867" t="e">
        <f>VLOOKUP(B1867,baru!$B$2:$I$2271,4,FALSE)</f>
        <v>#N/A</v>
      </c>
      <c r="K1867" t="e">
        <f>VLOOKUP(B1867,baru!$B$2:$I$2271,5,FALSE)</f>
        <v>#N/A</v>
      </c>
      <c r="L1867" t="e">
        <f>VLOOKUP(B1867,baru!$B$2:$I$2271,6,FALSE)</f>
        <v>#N/A</v>
      </c>
    </row>
    <row r="1868" spans="1:12" hidden="1" x14ac:dyDescent="0.35">
      <c r="A1868" s="6">
        <v>1352167</v>
      </c>
      <c r="B1868" s="7" t="str">
        <f>"3328114102070003"</f>
        <v>3328114102070003</v>
      </c>
      <c r="C1868" s="7" t="s">
        <v>3841</v>
      </c>
      <c r="D1868" s="7" t="s">
        <v>10</v>
      </c>
      <c r="E1868" s="7" t="s">
        <v>57</v>
      </c>
      <c r="F1868" s="7" t="s">
        <v>303</v>
      </c>
      <c r="G1868" s="7" t="s">
        <v>608</v>
      </c>
      <c r="H1868" s="7" t="s">
        <v>609</v>
      </c>
      <c r="I1868" s="8" t="s">
        <v>610</v>
      </c>
    </row>
    <row r="1869" spans="1:12" hidden="1" x14ac:dyDescent="0.35">
      <c r="A1869" s="13">
        <v>2154664</v>
      </c>
      <c r="B1869" s="14" t="str">
        <f>"3328114207820004"</f>
        <v>3328114207820004</v>
      </c>
      <c r="C1869" s="14" t="s">
        <v>3842</v>
      </c>
      <c r="D1869" s="14" t="s">
        <v>10</v>
      </c>
      <c r="E1869" s="14" t="s">
        <v>11</v>
      </c>
      <c r="F1869" s="14" t="s">
        <v>18</v>
      </c>
      <c r="G1869" s="14" t="s">
        <v>19</v>
      </c>
      <c r="H1869" s="14" t="s">
        <v>348</v>
      </c>
      <c r="I1869" s="15" t="s">
        <v>3688</v>
      </c>
      <c r="J1869" s="16" t="str">
        <f>VLOOKUP(B1869,baru!$B$2:$I$2271,4,FALSE)</f>
        <v>Reguler</v>
      </c>
      <c r="K1869" s="16" t="str">
        <f>VLOOKUP(B1869,baru!$B$2:$I$2271,5,FALSE)</f>
        <v>DKI JAKARTA</v>
      </c>
      <c r="L1869" s="16" t="str">
        <f>VLOOKUP(B1869,baru!$B$2:$I$2271,6,FALSE)</f>
        <v>KOTA JAKARTA TIMUR</v>
      </c>
    </row>
    <row r="1870" spans="1:12" hidden="1" x14ac:dyDescent="0.35">
      <c r="A1870" s="6">
        <v>1880676</v>
      </c>
      <c r="B1870" s="7" t="str">
        <f>"3328114305880004"</f>
        <v>3328114305880004</v>
      </c>
      <c r="C1870" s="7" t="s">
        <v>3844</v>
      </c>
      <c r="D1870" s="7" t="s">
        <v>10</v>
      </c>
      <c r="E1870" s="7" t="s">
        <v>11</v>
      </c>
      <c r="F1870" s="7" t="s">
        <v>67</v>
      </c>
      <c r="G1870" s="7" t="s">
        <v>68</v>
      </c>
      <c r="H1870" s="7" t="s">
        <v>2924</v>
      </c>
      <c r="I1870" s="8" t="s">
        <v>3845</v>
      </c>
    </row>
    <row r="1871" spans="1:12" hidden="1" x14ac:dyDescent="0.35">
      <c r="A1871" s="6">
        <v>342350</v>
      </c>
      <c r="B1871" s="7" t="str">
        <f>"3328114401030003"</f>
        <v>3328114401030003</v>
      </c>
      <c r="C1871" s="7" t="s">
        <v>3847</v>
      </c>
      <c r="D1871" s="7" t="s">
        <v>10</v>
      </c>
      <c r="E1871" s="7" t="s">
        <v>11</v>
      </c>
      <c r="F1871" s="7" t="s">
        <v>379</v>
      </c>
      <c r="G1871" s="7" t="s">
        <v>380</v>
      </c>
      <c r="H1871" s="7" t="s">
        <v>3848</v>
      </c>
      <c r="I1871" s="8" t="s">
        <v>3849</v>
      </c>
    </row>
    <row r="1872" spans="1:12" hidden="1" x14ac:dyDescent="0.35">
      <c r="A1872" s="13">
        <v>2136036</v>
      </c>
      <c r="B1872" s="14" t="str">
        <f>"3328114511880007"</f>
        <v>3328114511880007</v>
      </c>
      <c r="C1872" s="14" t="s">
        <v>3851</v>
      </c>
      <c r="D1872" s="14" t="s">
        <v>10</v>
      </c>
      <c r="E1872" s="14" t="s">
        <v>11</v>
      </c>
      <c r="F1872" s="14" t="s">
        <v>18</v>
      </c>
      <c r="G1872" s="14" t="s">
        <v>19</v>
      </c>
      <c r="H1872" s="14" t="s">
        <v>348</v>
      </c>
      <c r="I1872" s="15" t="s">
        <v>3677</v>
      </c>
      <c r="J1872" s="16" t="str">
        <f>VLOOKUP(B1872,baru!$B$2:$I$2271,4,FALSE)</f>
        <v>Reguler</v>
      </c>
      <c r="K1872" s="16" t="str">
        <f>VLOOKUP(B1872,baru!$B$2:$I$2271,5,FALSE)</f>
        <v>DKI JAKARTA</v>
      </c>
      <c r="L1872" s="16" t="str">
        <f>VLOOKUP(B1872,baru!$B$2:$I$2271,6,FALSE)</f>
        <v>KOTA JAKARTA TIMUR</v>
      </c>
    </row>
    <row r="1873" spans="1:12" hidden="1" x14ac:dyDescent="0.35">
      <c r="A1873" s="6">
        <v>188872</v>
      </c>
      <c r="B1873" s="7" t="str">
        <f>"3328114608950006"</f>
        <v>3328114608950006</v>
      </c>
      <c r="C1873" s="7" t="s">
        <v>3852</v>
      </c>
      <c r="D1873" s="7" t="s">
        <v>10</v>
      </c>
      <c r="E1873" s="7" t="s">
        <v>11</v>
      </c>
      <c r="F1873" s="7" t="s">
        <v>12</v>
      </c>
      <c r="G1873" s="7" t="s">
        <v>3673</v>
      </c>
      <c r="H1873" s="7" t="s">
        <v>3674</v>
      </c>
      <c r="I1873" s="8" t="s">
        <v>3675</v>
      </c>
    </row>
    <row r="1874" spans="1:12" hidden="1" x14ac:dyDescent="0.35">
      <c r="A1874" s="13">
        <v>2378836</v>
      </c>
      <c r="B1874" s="14" t="str">
        <f>"3328114612990003"</f>
        <v>3328114612990003</v>
      </c>
      <c r="C1874" s="14" t="s">
        <v>3854</v>
      </c>
      <c r="D1874" s="14" t="s">
        <v>10</v>
      </c>
      <c r="E1874" s="14" t="s">
        <v>11</v>
      </c>
      <c r="F1874" s="14" t="s">
        <v>18</v>
      </c>
      <c r="G1874" s="14" t="s">
        <v>19</v>
      </c>
      <c r="H1874" s="14" t="s">
        <v>348</v>
      </c>
      <c r="I1874" s="15" t="s">
        <v>348</v>
      </c>
      <c r="J1874" s="16" t="str">
        <f>VLOOKUP(B1874,baru!$B$2:$I$2271,4,FALSE)</f>
        <v>Reguler</v>
      </c>
      <c r="K1874" s="16" t="str">
        <f>VLOOKUP(B1874,baru!$B$2:$I$2271,5,FALSE)</f>
        <v>JAWA TENGAH</v>
      </c>
      <c r="L1874" s="16" t="str">
        <f>VLOOKUP(B1874,baru!$B$2:$I$2271,6,FALSE)</f>
        <v>BREBES</v>
      </c>
    </row>
    <row r="1875" spans="1:12" hidden="1" x14ac:dyDescent="0.35">
      <c r="A1875" s="13">
        <v>2154083</v>
      </c>
      <c r="B1875" s="14" t="str">
        <f>"3328114612990007"</f>
        <v>3328114612990007</v>
      </c>
      <c r="C1875" s="14" t="s">
        <v>3856</v>
      </c>
      <c r="D1875" s="14" t="s">
        <v>10</v>
      </c>
      <c r="E1875" s="14" t="s">
        <v>11</v>
      </c>
      <c r="F1875" s="14" t="s">
        <v>18</v>
      </c>
      <c r="G1875" s="14" t="s">
        <v>19</v>
      </c>
      <c r="H1875" s="14" t="s">
        <v>348</v>
      </c>
      <c r="I1875" s="15" t="s">
        <v>3688</v>
      </c>
      <c r="J1875" s="16" t="str">
        <f>VLOOKUP(B1875,baru!$B$2:$I$2271,4,FALSE)</f>
        <v>Reguler</v>
      </c>
      <c r="K1875" s="16" t="str">
        <f>VLOOKUP(B1875,baru!$B$2:$I$2271,5,FALSE)</f>
        <v>JAWA TENGAH</v>
      </c>
      <c r="L1875" s="16" t="str">
        <f>VLOOKUP(B1875,baru!$B$2:$I$2271,6,FALSE)</f>
        <v>BANJARNEGARA</v>
      </c>
    </row>
    <row r="1876" spans="1:12" hidden="1" x14ac:dyDescent="0.35">
      <c r="A1876" s="13">
        <v>2219957</v>
      </c>
      <c r="B1876" s="14" t="str">
        <f>"3328114701000003"</f>
        <v>3328114701000003</v>
      </c>
      <c r="C1876" s="14" t="s">
        <v>3860</v>
      </c>
      <c r="D1876" s="14" t="s">
        <v>10</v>
      </c>
      <c r="E1876" s="14" t="s">
        <v>11</v>
      </c>
      <c r="F1876" s="14" t="s">
        <v>18</v>
      </c>
      <c r="G1876" s="14" t="s">
        <v>19</v>
      </c>
      <c r="H1876" s="14" t="s">
        <v>348</v>
      </c>
      <c r="I1876" s="15" t="s">
        <v>3861</v>
      </c>
      <c r="J1876" s="16" t="str">
        <f>VLOOKUP(B1876,baru!$B$2:$I$2271,4,FALSE)</f>
        <v>Reguler</v>
      </c>
      <c r="K1876" s="16" t="str">
        <f>VLOOKUP(B1876,baru!$B$2:$I$2271,5,FALSE)</f>
        <v>JAWA TENGAH</v>
      </c>
      <c r="L1876" s="16" t="str">
        <f>VLOOKUP(B1876,baru!$B$2:$I$2271,6,FALSE)</f>
        <v>KLATEN</v>
      </c>
    </row>
    <row r="1877" spans="1:12" hidden="1" x14ac:dyDescent="0.35">
      <c r="A1877" s="13">
        <v>2167894</v>
      </c>
      <c r="B1877" s="14" t="str">
        <f>"3328114702940003"</f>
        <v>3328114702940003</v>
      </c>
      <c r="C1877" s="14" t="s">
        <v>3863</v>
      </c>
      <c r="D1877" s="14" t="s">
        <v>10</v>
      </c>
      <c r="E1877" s="14" t="s">
        <v>11</v>
      </c>
      <c r="F1877" s="14" t="s">
        <v>18</v>
      </c>
      <c r="G1877" s="14" t="s">
        <v>19</v>
      </c>
      <c r="H1877" s="14" t="s">
        <v>348</v>
      </c>
      <c r="I1877" s="15" t="s">
        <v>3683</v>
      </c>
      <c r="J1877" s="16" t="str">
        <f>VLOOKUP(B1877,baru!$B$2:$I$2271,4,FALSE)</f>
        <v>Reguler</v>
      </c>
      <c r="K1877" s="16" t="str">
        <f>VLOOKUP(B1877,baru!$B$2:$I$2271,5,FALSE)</f>
        <v>DAERAH ISTIMEWA YOGYAKARTA</v>
      </c>
      <c r="L1877" s="16" t="str">
        <f>VLOOKUP(B1877,baru!$B$2:$I$2271,6,FALSE)</f>
        <v>SLEMAN</v>
      </c>
    </row>
    <row r="1878" spans="1:12" hidden="1" x14ac:dyDescent="0.35">
      <c r="A1878" s="13">
        <v>2234754</v>
      </c>
      <c r="B1878" s="14" t="str">
        <f>"3328114911910005"</f>
        <v>3328114911910005</v>
      </c>
      <c r="C1878" s="14" t="s">
        <v>3866</v>
      </c>
      <c r="D1878" s="14" t="s">
        <v>10</v>
      </c>
      <c r="E1878" s="14" t="s">
        <v>11</v>
      </c>
      <c r="F1878" s="14" t="s">
        <v>18</v>
      </c>
      <c r="G1878" s="14" t="s">
        <v>19</v>
      </c>
      <c r="H1878" s="14" t="s">
        <v>348</v>
      </c>
      <c r="I1878" s="15" t="s">
        <v>459</v>
      </c>
      <c r="J1878" s="16" t="str">
        <f>VLOOKUP(B1878,baru!$B$2:$I$2271,4,FALSE)</f>
        <v>Reguler</v>
      </c>
      <c r="K1878" s="16" t="str">
        <f>VLOOKUP(B1878,baru!$B$2:$I$2271,5,FALSE)</f>
        <v>JAWA TENGAH</v>
      </c>
      <c r="L1878" s="16" t="str">
        <f>VLOOKUP(B1878,baru!$B$2:$I$2271,6,FALSE)</f>
        <v>BREBES</v>
      </c>
    </row>
    <row r="1879" spans="1:12" hidden="1" x14ac:dyDescent="0.35">
      <c r="A1879" s="13">
        <v>2160242</v>
      </c>
      <c r="B1879" s="14" t="str">
        <f>"3328115103870004"</f>
        <v>3328115103870004</v>
      </c>
      <c r="C1879" s="14" t="s">
        <v>3867</v>
      </c>
      <c r="D1879" s="14" t="s">
        <v>10</v>
      </c>
      <c r="E1879" s="14" t="s">
        <v>11</v>
      </c>
      <c r="F1879" s="14" t="s">
        <v>18</v>
      </c>
      <c r="G1879" s="14" t="s">
        <v>19</v>
      </c>
      <c r="H1879" s="14" t="s">
        <v>348</v>
      </c>
      <c r="I1879" s="15" t="s">
        <v>3696</v>
      </c>
      <c r="J1879" s="16" t="str">
        <f>VLOOKUP(B1879,baru!$B$2:$I$2271,4,FALSE)</f>
        <v>Reguler</v>
      </c>
      <c r="K1879" s="16" t="str">
        <f>VLOOKUP(B1879,baru!$B$2:$I$2271,5,FALSE)</f>
        <v>JAWA TENGAH</v>
      </c>
      <c r="L1879" s="16" t="str">
        <f>VLOOKUP(B1879,baru!$B$2:$I$2271,6,FALSE)</f>
        <v>CILACAP</v>
      </c>
    </row>
    <row r="1880" spans="1:12" x14ac:dyDescent="0.35">
      <c r="A1880" s="13">
        <v>2233965</v>
      </c>
      <c r="B1880" s="14" t="str">
        <f>"3328115204940004"</f>
        <v>3328115204940004</v>
      </c>
      <c r="C1880" s="14" t="s">
        <v>3869</v>
      </c>
      <c r="D1880" s="14" t="s">
        <v>189</v>
      </c>
      <c r="E1880" s="14" t="s">
        <v>11</v>
      </c>
      <c r="F1880" s="14" t="s">
        <v>18</v>
      </c>
      <c r="G1880" s="14" t="s">
        <v>19</v>
      </c>
      <c r="H1880" s="14" t="s">
        <v>348</v>
      </c>
      <c r="I1880" s="15" t="s">
        <v>459</v>
      </c>
      <c r="J1880" s="16" t="str">
        <f>VLOOKUP(B1880,baru!$B$2:$I$2271,4,FALSE)</f>
        <v>Reguler</v>
      </c>
      <c r="K1880" s="16" t="str">
        <f>VLOOKUP(B1880,baru!$B$2:$I$2271,5,FALSE)</f>
        <v>JAWA TENGAH</v>
      </c>
      <c r="L1880" s="16" t="str">
        <f>VLOOKUP(B1880,baru!$B$2:$I$2271,6,FALSE)</f>
        <v>KOTA TEGAL</v>
      </c>
    </row>
    <row r="1881" spans="1:12" hidden="1" x14ac:dyDescent="0.35">
      <c r="A1881" s="13">
        <v>2161777</v>
      </c>
      <c r="B1881" s="14" t="str">
        <f>"3328115210870007"</f>
        <v>3328115210870007</v>
      </c>
      <c r="C1881" s="14" t="s">
        <v>3870</v>
      </c>
      <c r="D1881" s="14" t="s">
        <v>10</v>
      </c>
      <c r="E1881" s="14" t="s">
        <v>11</v>
      </c>
      <c r="F1881" s="14" t="s">
        <v>18</v>
      </c>
      <c r="G1881" s="14" t="s">
        <v>19</v>
      </c>
      <c r="H1881" s="14" t="s">
        <v>348</v>
      </c>
      <c r="I1881" s="15" t="s">
        <v>3696</v>
      </c>
      <c r="J1881" s="16" t="str">
        <f>VLOOKUP(B1881,baru!$B$2:$I$2271,4,FALSE)</f>
        <v>Reguler</v>
      </c>
      <c r="K1881" s="16" t="str">
        <f>VLOOKUP(B1881,baru!$B$2:$I$2271,5,FALSE)</f>
        <v>JAWA BARAT</v>
      </c>
      <c r="L1881" s="16" t="str">
        <f>VLOOKUP(B1881,baru!$B$2:$I$2271,6,FALSE)</f>
        <v>KARAWANG</v>
      </c>
    </row>
    <row r="1882" spans="1:12" hidden="1" x14ac:dyDescent="0.35">
      <c r="A1882" s="13">
        <v>2174326</v>
      </c>
      <c r="B1882" s="14" t="str">
        <f>"3328115304780001"</f>
        <v>3328115304780001</v>
      </c>
      <c r="C1882" s="14" t="s">
        <v>3871</v>
      </c>
      <c r="D1882" s="14" t="s">
        <v>10</v>
      </c>
      <c r="E1882" s="14" t="s">
        <v>11</v>
      </c>
      <c r="F1882" s="14" t="s">
        <v>18</v>
      </c>
      <c r="G1882" s="14" t="s">
        <v>19</v>
      </c>
      <c r="H1882" s="14" t="s">
        <v>348</v>
      </c>
      <c r="I1882" s="15" t="s">
        <v>3872</v>
      </c>
      <c r="J1882" s="16" t="str">
        <f>VLOOKUP(B1882,baru!$B$2:$I$2271,4,FALSE)</f>
        <v>Reguler</v>
      </c>
      <c r="K1882" s="16" t="str">
        <f>VLOOKUP(B1882,baru!$B$2:$I$2271,5,FALSE)</f>
        <v>JAWA TENGAH</v>
      </c>
      <c r="L1882" s="16" t="str">
        <f>VLOOKUP(B1882,baru!$B$2:$I$2271,6,FALSE)</f>
        <v>BREBES</v>
      </c>
    </row>
    <row r="1883" spans="1:12" hidden="1" x14ac:dyDescent="0.35">
      <c r="A1883" s="6">
        <v>2099575</v>
      </c>
      <c r="B1883" s="7" t="str">
        <f>"3328115305040008"</f>
        <v>3328115305040008</v>
      </c>
      <c r="C1883" s="7" t="s">
        <v>3874</v>
      </c>
      <c r="D1883" s="7" t="s">
        <v>10</v>
      </c>
      <c r="E1883" s="7" t="s">
        <v>11</v>
      </c>
      <c r="F1883" s="7" t="s">
        <v>18</v>
      </c>
      <c r="G1883" s="7" t="s">
        <v>19</v>
      </c>
      <c r="H1883" s="7" t="s">
        <v>348</v>
      </c>
      <c r="I1883" s="8" t="s">
        <v>3727</v>
      </c>
      <c r="J1883" t="e">
        <f>VLOOKUP(B1883,baru!$B$2:$I$2271,4,FALSE)</f>
        <v>#N/A</v>
      </c>
      <c r="K1883" t="e">
        <f>VLOOKUP(B1883,baru!$B$2:$I$2271,5,FALSE)</f>
        <v>#N/A</v>
      </c>
      <c r="L1883" t="e">
        <f>VLOOKUP(B1883,baru!$B$2:$I$2271,6,FALSE)</f>
        <v>#N/A</v>
      </c>
    </row>
    <row r="1884" spans="1:12" hidden="1" x14ac:dyDescent="0.35">
      <c r="A1884" s="6">
        <v>762542</v>
      </c>
      <c r="B1884" s="7" t="str">
        <f>"3328115305040008"</f>
        <v>3328115305040008</v>
      </c>
      <c r="C1884" s="7" t="s">
        <v>3875</v>
      </c>
      <c r="D1884" s="7" t="s">
        <v>10</v>
      </c>
      <c r="E1884" s="7" t="s">
        <v>57</v>
      </c>
      <c r="F1884" s="7" t="s">
        <v>379</v>
      </c>
      <c r="G1884" s="7" t="s">
        <v>711</v>
      </c>
      <c r="H1884" s="7" t="s">
        <v>718</v>
      </c>
      <c r="I1884" s="8" t="s">
        <v>719</v>
      </c>
    </row>
    <row r="1885" spans="1:12" hidden="1" x14ac:dyDescent="0.35">
      <c r="A1885" s="13">
        <v>2381283</v>
      </c>
      <c r="B1885" s="14" t="str">
        <f>"3328115405980004"</f>
        <v>3328115405980004</v>
      </c>
      <c r="C1885" s="14" t="s">
        <v>3876</v>
      </c>
      <c r="D1885" s="14" t="s">
        <v>10</v>
      </c>
      <c r="E1885" s="14" t="s">
        <v>11</v>
      </c>
      <c r="F1885" s="14" t="s">
        <v>18</v>
      </c>
      <c r="G1885" s="14" t="s">
        <v>19</v>
      </c>
      <c r="H1885" s="14" t="s">
        <v>348</v>
      </c>
      <c r="I1885" s="15" t="s">
        <v>348</v>
      </c>
      <c r="J1885" s="16" t="str">
        <f>VLOOKUP(B1885,baru!$B$2:$I$2271,4,FALSE)</f>
        <v>Reguler</v>
      </c>
      <c r="K1885" s="16" t="str">
        <f>VLOOKUP(B1885,baru!$B$2:$I$2271,5,FALSE)</f>
        <v>JAWA TENGAH</v>
      </c>
      <c r="L1885" s="16" t="str">
        <f>VLOOKUP(B1885,baru!$B$2:$I$2271,6,FALSE)</f>
        <v>KOTA TEGAL</v>
      </c>
    </row>
    <row r="1886" spans="1:12" hidden="1" x14ac:dyDescent="0.35">
      <c r="A1886" s="13">
        <v>2115887</v>
      </c>
      <c r="B1886" s="14" t="str">
        <f>"3328115512960004"</f>
        <v>3328115512960004</v>
      </c>
      <c r="C1886" s="14" t="s">
        <v>3878</v>
      </c>
      <c r="D1886" s="14" t="s">
        <v>10</v>
      </c>
      <c r="E1886" s="14" t="s">
        <v>11</v>
      </c>
      <c r="F1886" s="14" t="s">
        <v>18</v>
      </c>
      <c r="G1886" s="14" t="s">
        <v>19</v>
      </c>
      <c r="H1886" s="14" t="s">
        <v>348</v>
      </c>
      <c r="I1886" s="15" t="s">
        <v>1777</v>
      </c>
      <c r="J1886" s="16" t="str">
        <f>VLOOKUP(B1886,baru!$B$2:$I$2271,4,FALSE)</f>
        <v>Reguler</v>
      </c>
      <c r="K1886" s="16" t="str">
        <f>VLOOKUP(B1886,baru!$B$2:$I$2271,5,FALSE)</f>
        <v>JAWA BARAT</v>
      </c>
      <c r="L1886" s="16" t="str">
        <f>VLOOKUP(B1886,baru!$B$2:$I$2271,6,FALSE)</f>
        <v>SUBANG</v>
      </c>
    </row>
    <row r="1887" spans="1:12" hidden="1" x14ac:dyDescent="0.35">
      <c r="A1887" s="6">
        <v>198446</v>
      </c>
      <c r="B1887" s="7" t="str">
        <f>"3328115609870004"</f>
        <v>3328115609870004</v>
      </c>
      <c r="C1887" s="7" t="s">
        <v>3881</v>
      </c>
      <c r="D1887" s="7" t="s">
        <v>10</v>
      </c>
      <c r="E1887" s="7" t="s">
        <v>11</v>
      </c>
      <c r="F1887" s="7" t="s">
        <v>91</v>
      </c>
      <c r="G1887" s="7" t="s">
        <v>903</v>
      </c>
      <c r="H1887" s="7" t="s">
        <v>915</v>
      </c>
      <c r="I1887" s="8" t="s">
        <v>1410</v>
      </c>
    </row>
    <row r="1888" spans="1:12" hidden="1" x14ac:dyDescent="0.35">
      <c r="A1888" s="6">
        <v>213156</v>
      </c>
      <c r="B1888" s="7" t="str">
        <f>"3328115703060002"</f>
        <v>3328115703060002</v>
      </c>
      <c r="C1888" s="7" t="s">
        <v>3882</v>
      </c>
      <c r="D1888" s="7" t="s">
        <v>10</v>
      </c>
      <c r="E1888" s="7" t="s">
        <v>11</v>
      </c>
      <c r="F1888" s="7" t="s">
        <v>18</v>
      </c>
      <c r="G1888" s="7" t="s">
        <v>268</v>
      </c>
      <c r="H1888" s="7" t="s">
        <v>371</v>
      </c>
      <c r="I1888" s="8" t="s">
        <v>2772</v>
      </c>
    </row>
    <row r="1889" spans="1:12" hidden="1" x14ac:dyDescent="0.35">
      <c r="A1889" s="6">
        <v>2104732</v>
      </c>
      <c r="B1889" s="7" t="str">
        <f>"3328115704010004"</f>
        <v>3328115704010004</v>
      </c>
      <c r="C1889" s="7" t="s">
        <v>3883</v>
      </c>
      <c r="D1889" s="7" t="s">
        <v>10</v>
      </c>
      <c r="E1889" s="7" t="s">
        <v>11</v>
      </c>
      <c r="F1889" s="7" t="s">
        <v>18</v>
      </c>
      <c r="G1889" s="7" t="s">
        <v>19</v>
      </c>
      <c r="H1889" s="7" t="s">
        <v>348</v>
      </c>
      <c r="I1889" s="8" t="s">
        <v>3668</v>
      </c>
      <c r="J1889" t="e">
        <f>VLOOKUP(B1889,baru!$B$2:$I$2271,4,FALSE)</f>
        <v>#N/A</v>
      </c>
      <c r="K1889" t="e">
        <f>VLOOKUP(B1889,baru!$B$2:$I$2271,5,FALSE)</f>
        <v>#N/A</v>
      </c>
      <c r="L1889" t="e">
        <f>VLOOKUP(B1889,baru!$B$2:$I$2271,6,FALSE)</f>
        <v>#N/A</v>
      </c>
    </row>
    <row r="1890" spans="1:12" hidden="1" x14ac:dyDescent="0.35">
      <c r="A1890" s="6">
        <v>762385</v>
      </c>
      <c r="B1890" s="7" t="str">
        <f>"3328115704010004"</f>
        <v>3328115704010004</v>
      </c>
      <c r="C1890" s="7" t="s">
        <v>3884</v>
      </c>
      <c r="D1890" s="7" t="s">
        <v>10</v>
      </c>
      <c r="E1890" s="7" t="s">
        <v>57</v>
      </c>
      <c r="F1890" s="7" t="s">
        <v>379</v>
      </c>
      <c r="G1890" s="7" t="s">
        <v>711</v>
      </c>
      <c r="H1890" s="7" t="s">
        <v>718</v>
      </c>
      <c r="I1890" s="8" t="s">
        <v>719</v>
      </c>
    </row>
    <row r="1891" spans="1:12" hidden="1" x14ac:dyDescent="0.35">
      <c r="A1891" s="6">
        <v>1684993</v>
      </c>
      <c r="B1891" s="7" t="str">
        <f>"3328115901060005"</f>
        <v>3328115901060005</v>
      </c>
      <c r="C1891" s="7" t="s">
        <v>3885</v>
      </c>
      <c r="D1891" s="7" t="s">
        <v>10</v>
      </c>
      <c r="E1891" s="7" t="s">
        <v>57</v>
      </c>
      <c r="F1891" s="7" t="s">
        <v>18</v>
      </c>
      <c r="G1891" s="7" t="s">
        <v>184</v>
      </c>
      <c r="H1891" s="7" t="s">
        <v>1085</v>
      </c>
      <c r="I1891" s="8" t="s">
        <v>1086</v>
      </c>
    </row>
    <row r="1892" spans="1:12" x14ac:dyDescent="0.35">
      <c r="A1892" s="6">
        <v>2168515</v>
      </c>
      <c r="B1892" s="7" t="str">
        <f>"3328115901060005"</f>
        <v>3328115901060005</v>
      </c>
      <c r="C1892" s="7" t="s">
        <v>3885</v>
      </c>
      <c r="D1892" s="7" t="s">
        <v>189</v>
      </c>
      <c r="E1892" s="7" t="s">
        <v>11</v>
      </c>
      <c r="F1892" s="7" t="s">
        <v>18</v>
      </c>
      <c r="G1892" s="7" t="s">
        <v>19</v>
      </c>
      <c r="H1892" s="7" t="s">
        <v>348</v>
      </c>
      <c r="I1892" s="8" t="s">
        <v>3723</v>
      </c>
      <c r="J1892" t="e">
        <f>VLOOKUP(B1892,baru!$B$2:$I$2271,4,FALSE)</f>
        <v>#N/A</v>
      </c>
      <c r="K1892" t="e">
        <f>VLOOKUP(B1892,baru!$B$2:$I$2271,5,FALSE)</f>
        <v>#N/A</v>
      </c>
      <c r="L1892" t="e">
        <f>VLOOKUP(B1892,baru!$B$2:$I$2271,6,FALSE)</f>
        <v>#N/A</v>
      </c>
    </row>
    <row r="1893" spans="1:12" hidden="1" x14ac:dyDescent="0.35">
      <c r="A1893" s="6">
        <v>2112333</v>
      </c>
      <c r="B1893" s="7" t="str">
        <f>"3328115905020006"</f>
        <v>3328115905020006</v>
      </c>
      <c r="C1893" s="7" t="s">
        <v>3886</v>
      </c>
      <c r="D1893" s="7" t="s">
        <v>10</v>
      </c>
      <c r="E1893" s="7" t="s">
        <v>11</v>
      </c>
      <c r="F1893" s="7" t="s">
        <v>18</v>
      </c>
      <c r="G1893" s="7" t="s">
        <v>19</v>
      </c>
      <c r="H1893" s="7" t="s">
        <v>348</v>
      </c>
      <c r="I1893" s="8" t="s">
        <v>1777</v>
      </c>
      <c r="J1893" t="e">
        <f>VLOOKUP(B1893,baru!$B$2:$I$2271,4,FALSE)</f>
        <v>#N/A</v>
      </c>
      <c r="K1893" t="e">
        <f>VLOOKUP(B1893,baru!$B$2:$I$2271,5,FALSE)</f>
        <v>#N/A</v>
      </c>
      <c r="L1893" t="e">
        <f>VLOOKUP(B1893,baru!$B$2:$I$2271,6,FALSE)</f>
        <v>#N/A</v>
      </c>
    </row>
    <row r="1894" spans="1:12" hidden="1" x14ac:dyDescent="0.35">
      <c r="A1894" s="6">
        <v>1352872</v>
      </c>
      <c r="B1894" s="7" t="str">
        <f>"3328115905020006"</f>
        <v>3328115905020006</v>
      </c>
      <c r="C1894" s="7" t="s">
        <v>3886</v>
      </c>
      <c r="D1894" s="7" t="s">
        <v>10</v>
      </c>
      <c r="E1894" s="7" t="s">
        <v>57</v>
      </c>
      <c r="F1894" s="7" t="s">
        <v>303</v>
      </c>
      <c r="G1894" s="7" t="s">
        <v>608</v>
      </c>
      <c r="H1894" s="7" t="s">
        <v>609</v>
      </c>
      <c r="I1894" s="8" t="s">
        <v>610</v>
      </c>
    </row>
    <row r="1895" spans="1:12" x14ac:dyDescent="0.35">
      <c r="A1895" s="13">
        <v>2157387</v>
      </c>
      <c r="B1895" s="14" t="str">
        <f>"3328116001000013"</f>
        <v>3328116001000013</v>
      </c>
      <c r="C1895" s="14" t="s">
        <v>3887</v>
      </c>
      <c r="D1895" s="14" t="s">
        <v>189</v>
      </c>
      <c r="E1895" s="14" t="s">
        <v>11</v>
      </c>
      <c r="F1895" s="14" t="s">
        <v>18</v>
      </c>
      <c r="G1895" s="14" t="s">
        <v>19</v>
      </c>
      <c r="H1895" s="14" t="s">
        <v>348</v>
      </c>
      <c r="I1895" s="15" t="s">
        <v>3688</v>
      </c>
      <c r="J1895" s="16" t="str">
        <f>VLOOKUP(B1895,baru!$B$2:$I$2271,4,FALSE)</f>
        <v>Reguler</v>
      </c>
      <c r="K1895" s="16" t="str">
        <f>VLOOKUP(B1895,baru!$B$2:$I$2271,5,FALSE)</f>
        <v>DKI JAKARTA</v>
      </c>
      <c r="L1895" s="16" t="str">
        <f>VLOOKUP(B1895,baru!$B$2:$I$2271,6,FALSE)</f>
        <v>KOTA JAKARTA SELATAN</v>
      </c>
    </row>
    <row r="1896" spans="1:12" x14ac:dyDescent="0.35">
      <c r="A1896" s="13">
        <v>2036139</v>
      </c>
      <c r="B1896" s="14" t="str">
        <f>"3328116009020006"</f>
        <v>3328116009020006</v>
      </c>
      <c r="C1896" s="14" t="s">
        <v>3888</v>
      </c>
      <c r="D1896" s="14" t="s">
        <v>189</v>
      </c>
      <c r="E1896" s="14" t="s">
        <v>11</v>
      </c>
      <c r="F1896" s="14" t="s">
        <v>18</v>
      </c>
      <c r="G1896" s="14" t="s">
        <v>19</v>
      </c>
      <c r="H1896" s="14" t="s">
        <v>348</v>
      </c>
      <c r="I1896" s="15" t="s">
        <v>3721</v>
      </c>
      <c r="J1896" s="16" t="str">
        <f>VLOOKUP(B1896,baru!$B$2:$I$2271,4,FALSE)</f>
        <v>Reguler</v>
      </c>
      <c r="K1896" s="16" t="str">
        <f>VLOOKUP(B1896,baru!$B$2:$I$2271,5,FALSE)</f>
        <v>BANTEN</v>
      </c>
      <c r="L1896" s="16" t="str">
        <f>VLOOKUP(B1896,baru!$B$2:$I$2271,6,FALSE)</f>
        <v>LEBAK</v>
      </c>
    </row>
    <row r="1897" spans="1:12" x14ac:dyDescent="0.35">
      <c r="A1897" s="13">
        <v>2090940</v>
      </c>
      <c r="B1897" s="14" t="str">
        <f>"3328116010780009"</f>
        <v>3328116010780009</v>
      </c>
      <c r="C1897" s="14" t="s">
        <v>3891</v>
      </c>
      <c r="D1897" s="14" t="s">
        <v>189</v>
      </c>
      <c r="E1897" s="14" t="s">
        <v>11</v>
      </c>
      <c r="F1897" s="14" t="s">
        <v>18</v>
      </c>
      <c r="G1897" s="14" t="s">
        <v>19</v>
      </c>
      <c r="H1897" s="14" t="s">
        <v>348</v>
      </c>
      <c r="I1897" s="15" t="s">
        <v>3660</v>
      </c>
      <c r="J1897" s="16" t="str">
        <f>VLOOKUP(B1897,baru!$B$2:$I$2271,4,FALSE)</f>
        <v>Reguler</v>
      </c>
      <c r="K1897" s="16" t="str">
        <f>VLOOKUP(B1897,baru!$B$2:$I$2271,5,FALSE)</f>
        <v>DKI JAKARTA</v>
      </c>
      <c r="L1897" s="16" t="str">
        <f>VLOOKUP(B1897,baru!$B$2:$I$2271,6,FALSE)</f>
        <v>KOTA JAKARTA SELATAN</v>
      </c>
    </row>
    <row r="1898" spans="1:12" hidden="1" x14ac:dyDescent="0.35">
      <c r="A1898" s="6">
        <v>1369520</v>
      </c>
      <c r="B1898" s="7" t="str">
        <f>"3328116510050011"</f>
        <v>3328116510050011</v>
      </c>
      <c r="C1898" s="7" t="s">
        <v>3893</v>
      </c>
      <c r="D1898" s="7" t="s">
        <v>10</v>
      </c>
      <c r="E1898" s="7" t="s">
        <v>11</v>
      </c>
      <c r="F1898" s="7" t="s">
        <v>91</v>
      </c>
      <c r="G1898" s="7" t="s">
        <v>159</v>
      </c>
      <c r="H1898" s="7" t="s">
        <v>160</v>
      </c>
      <c r="I1898" s="8" t="s">
        <v>161</v>
      </c>
    </row>
    <row r="1899" spans="1:12" x14ac:dyDescent="0.35">
      <c r="A1899" s="17">
        <v>2016348</v>
      </c>
      <c r="B1899" s="18" t="str">
        <f>"3328116701070010"</f>
        <v>3328116701070010</v>
      </c>
      <c r="C1899" s="18" t="s">
        <v>3895</v>
      </c>
      <c r="D1899" s="18" t="s">
        <v>189</v>
      </c>
      <c r="E1899" s="18" t="s">
        <v>11</v>
      </c>
      <c r="F1899" s="18" t="s">
        <v>18</v>
      </c>
      <c r="G1899" s="18" t="s">
        <v>19</v>
      </c>
      <c r="H1899" s="18" t="s">
        <v>348</v>
      </c>
      <c r="I1899" s="19" t="s">
        <v>349</v>
      </c>
      <c r="J1899" s="20" t="str">
        <f>VLOOKUP(B1899,baru!$B$2:$I$2271,4,FALSE)</f>
        <v>Khusus</v>
      </c>
      <c r="K1899" s="20" t="str">
        <f>VLOOKUP(B1899,baru!$B$2:$I$2271,5,FALSE)</f>
        <v>JAWA TENGAH</v>
      </c>
      <c r="L1899" s="20" t="str">
        <f>VLOOKUP(B1899,baru!$B$2:$I$2271,6,FALSE)</f>
        <v>MAGELANG</v>
      </c>
    </row>
    <row r="1900" spans="1:12" hidden="1" x14ac:dyDescent="0.35">
      <c r="A1900" s="6">
        <v>388869</v>
      </c>
      <c r="B1900" s="7" t="str">
        <f>"3328116705050008"</f>
        <v>3328116705050008</v>
      </c>
      <c r="C1900" s="7" t="s">
        <v>3896</v>
      </c>
      <c r="D1900" s="7" t="s">
        <v>10</v>
      </c>
      <c r="E1900" s="7" t="s">
        <v>11</v>
      </c>
      <c r="F1900" s="7" t="s">
        <v>18</v>
      </c>
      <c r="G1900" s="7" t="s">
        <v>268</v>
      </c>
      <c r="H1900" s="7" t="s">
        <v>448</v>
      </c>
      <c r="I1900" s="8" t="s">
        <v>3897</v>
      </c>
    </row>
    <row r="1901" spans="1:12" hidden="1" x14ac:dyDescent="0.35">
      <c r="A1901" s="6">
        <v>416498</v>
      </c>
      <c r="B1901" s="7" t="str">
        <f>"3328116706820006"</f>
        <v>3328116706820006</v>
      </c>
      <c r="C1901" s="7" t="s">
        <v>3899</v>
      </c>
      <c r="D1901" s="7" t="s">
        <v>10</v>
      </c>
      <c r="E1901" s="7" t="s">
        <v>11</v>
      </c>
      <c r="F1901" s="7" t="s">
        <v>18</v>
      </c>
      <c r="G1901" s="7" t="s">
        <v>268</v>
      </c>
      <c r="H1901" s="7" t="s">
        <v>448</v>
      </c>
      <c r="I1901" s="8" t="s">
        <v>888</v>
      </c>
    </row>
    <row r="1902" spans="1:12" hidden="1" x14ac:dyDescent="0.35">
      <c r="A1902" s="13">
        <v>2038010</v>
      </c>
      <c r="B1902" s="14" t="str">
        <f>"3328116708990008"</f>
        <v>3328116708990008</v>
      </c>
      <c r="C1902" s="14" t="s">
        <v>3900</v>
      </c>
      <c r="D1902" s="14" t="s">
        <v>10</v>
      </c>
      <c r="E1902" s="14" t="s">
        <v>11</v>
      </c>
      <c r="F1902" s="14" t="s">
        <v>18</v>
      </c>
      <c r="G1902" s="14" t="s">
        <v>19</v>
      </c>
      <c r="H1902" s="14" t="s">
        <v>348</v>
      </c>
      <c r="I1902" s="15" t="s">
        <v>3721</v>
      </c>
      <c r="J1902" s="16" t="str">
        <f>VLOOKUP(B1902,baru!$B$2:$I$2271,4,FALSE)</f>
        <v>Reguler</v>
      </c>
      <c r="K1902" s="16" t="str">
        <f>VLOOKUP(B1902,baru!$B$2:$I$2271,5,FALSE)</f>
        <v>JAWA TENGAH</v>
      </c>
      <c r="L1902" s="16" t="str">
        <f>VLOOKUP(B1902,baru!$B$2:$I$2271,6,FALSE)</f>
        <v>KARANGANYAR</v>
      </c>
    </row>
    <row r="1903" spans="1:12" hidden="1" x14ac:dyDescent="0.35">
      <c r="A1903" s="6">
        <v>2021308</v>
      </c>
      <c r="B1903" s="7" t="str">
        <f>"3328116710020002"</f>
        <v>3328116710020002</v>
      </c>
      <c r="C1903" s="7" t="s">
        <v>3903</v>
      </c>
      <c r="D1903" s="7" t="s">
        <v>10</v>
      </c>
      <c r="E1903" s="7" t="s">
        <v>11</v>
      </c>
      <c r="F1903" s="7" t="s">
        <v>18</v>
      </c>
      <c r="G1903" s="7" t="s">
        <v>19</v>
      </c>
      <c r="H1903" s="7" t="s">
        <v>348</v>
      </c>
      <c r="I1903" s="8" t="s">
        <v>349</v>
      </c>
      <c r="J1903" t="e">
        <f>VLOOKUP(B1903,baru!$B$2:$I$2271,4,FALSE)</f>
        <v>#N/A</v>
      </c>
      <c r="K1903" t="e">
        <f>VLOOKUP(B1903,baru!$B$2:$I$2271,5,FALSE)</f>
        <v>#N/A</v>
      </c>
      <c r="L1903" t="e">
        <f>VLOOKUP(B1903,baru!$B$2:$I$2271,6,FALSE)</f>
        <v>#N/A</v>
      </c>
    </row>
    <row r="1904" spans="1:12" hidden="1" x14ac:dyDescent="0.35">
      <c r="A1904" s="6">
        <v>1862483</v>
      </c>
      <c r="B1904" s="7" t="str">
        <f>"3328116710020002"</f>
        <v>3328116710020002</v>
      </c>
      <c r="C1904" s="7" t="s">
        <v>3903</v>
      </c>
      <c r="D1904" s="7" t="s">
        <v>10</v>
      </c>
      <c r="E1904" s="7" t="s">
        <v>57</v>
      </c>
      <c r="F1904" s="7" t="s">
        <v>18</v>
      </c>
      <c r="G1904" s="7" t="s">
        <v>733</v>
      </c>
      <c r="H1904" s="7" t="s">
        <v>733</v>
      </c>
      <c r="I1904" s="8" t="s">
        <v>734</v>
      </c>
    </row>
    <row r="1905" spans="1:12" hidden="1" x14ac:dyDescent="0.35">
      <c r="A1905" s="13">
        <v>2048679</v>
      </c>
      <c r="B1905" s="14" t="str">
        <f>"3328116809790001"</f>
        <v>3328116809790001</v>
      </c>
      <c r="C1905" s="14" t="s">
        <v>3904</v>
      </c>
      <c r="D1905" s="14" t="s">
        <v>10</v>
      </c>
      <c r="E1905" s="14" t="s">
        <v>11</v>
      </c>
      <c r="F1905" s="14" t="s">
        <v>18</v>
      </c>
      <c r="G1905" s="14" t="s">
        <v>19</v>
      </c>
      <c r="H1905" s="14" t="s">
        <v>348</v>
      </c>
      <c r="I1905" s="15" t="s">
        <v>3670</v>
      </c>
      <c r="J1905" s="16" t="str">
        <f>VLOOKUP(B1905,baru!$B$2:$I$2271,4,FALSE)</f>
        <v>Reguler</v>
      </c>
      <c r="K1905" s="16" t="str">
        <f>VLOOKUP(B1905,baru!$B$2:$I$2271,5,FALSE)</f>
        <v>JAWA TENGAH</v>
      </c>
      <c r="L1905" s="16" t="str">
        <f>VLOOKUP(B1905,baru!$B$2:$I$2271,6,FALSE)</f>
        <v>BANYUMAS</v>
      </c>
    </row>
    <row r="1906" spans="1:12" hidden="1" x14ac:dyDescent="0.35">
      <c r="A1906" s="6">
        <v>530729</v>
      </c>
      <c r="B1906" s="7" t="str">
        <f>"3328116906980003"</f>
        <v>3328116906980003</v>
      </c>
      <c r="C1906" s="7" t="s">
        <v>3907</v>
      </c>
      <c r="D1906" s="7" t="s">
        <v>10</v>
      </c>
      <c r="E1906" s="7" t="s">
        <v>11</v>
      </c>
      <c r="F1906" s="7" t="s">
        <v>67</v>
      </c>
      <c r="G1906" s="7" t="s">
        <v>791</v>
      </c>
      <c r="H1906" s="7" t="s">
        <v>1796</v>
      </c>
      <c r="I1906" s="8" t="s">
        <v>3908</v>
      </c>
    </row>
    <row r="1907" spans="1:12" hidden="1" x14ac:dyDescent="0.35">
      <c r="A1907" s="13">
        <v>2135014</v>
      </c>
      <c r="B1907" s="14" t="str">
        <f>"3328117012850008"</f>
        <v>3328117012850008</v>
      </c>
      <c r="C1907" s="14" t="s">
        <v>3909</v>
      </c>
      <c r="D1907" s="14" t="s">
        <v>10</v>
      </c>
      <c r="E1907" s="14" t="s">
        <v>11</v>
      </c>
      <c r="F1907" s="14" t="s">
        <v>18</v>
      </c>
      <c r="G1907" s="14" t="s">
        <v>19</v>
      </c>
      <c r="H1907" s="14" t="s">
        <v>348</v>
      </c>
      <c r="I1907" s="15" t="s">
        <v>3677</v>
      </c>
      <c r="J1907" s="16" t="str">
        <f>VLOOKUP(B1907,baru!$B$2:$I$2271,4,FALSE)</f>
        <v>Reguler</v>
      </c>
      <c r="K1907" s="16" t="str">
        <f>VLOOKUP(B1907,baru!$B$2:$I$2271,5,FALSE)</f>
        <v>JAWA TENGAH</v>
      </c>
      <c r="L1907" s="16" t="str">
        <f>VLOOKUP(B1907,baru!$B$2:$I$2271,6,FALSE)</f>
        <v>KARANGANYAR</v>
      </c>
    </row>
    <row r="1908" spans="1:12" hidden="1" x14ac:dyDescent="0.35">
      <c r="A1908" s="13">
        <v>2153105</v>
      </c>
      <c r="B1908" s="14" t="str">
        <f>"3328117103990007"</f>
        <v>3328117103990007</v>
      </c>
      <c r="C1908" s="14" t="s">
        <v>3910</v>
      </c>
      <c r="D1908" s="14" t="s">
        <v>10</v>
      </c>
      <c r="E1908" s="14" t="s">
        <v>11</v>
      </c>
      <c r="F1908" s="14" t="s">
        <v>18</v>
      </c>
      <c r="G1908" s="14" t="s">
        <v>19</v>
      </c>
      <c r="H1908" s="14" t="s">
        <v>348</v>
      </c>
      <c r="I1908" s="15" t="s">
        <v>3688</v>
      </c>
      <c r="J1908" s="16" t="str">
        <f>VLOOKUP(B1908,baru!$B$2:$I$2271,4,FALSE)</f>
        <v>Reguler</v>
      </c>
      <c r="K1908" s="16" t="str">
        <f>VLOOKUP(B1908,baru!$B$2:$I$2271,5,FALSE)</f>
        <v>JAWA TENGAH</v>
      </c>
      <c r="L1908" s="16" t="str">
        <f>VLOOKUP(B1908,baru!$B$2:$I$2271,6,FALSE)</f>
        <v>BREBES</v>
      </c>
    </row>
    <row r="1909" spans="1:12" hidden="1" x14ac:dyDescent="0.35">
      <c r="A1909" s="6">
        <v>2374620</v>
      </c>
      <c r="B1909" s="7" t="str">
        <f>"3328117108880008"</f>
        <v>3328117108880008</v>
      </c>
      <c r="C1909" s="7" t="s">
        <v>3912</v>
      </c>
      <c r="D1909" s="7" t="s">
        <v>10</v>
      </c>
      <c r="E1909" s="7" t="s">
        <v>11</v>
      </c>
      <c r="F1909" s="7" t="s">
        <v>18</v>
      </c>
      <c r="G1909" s="7" t="s">
        <v>19</v>
      </c>
      <c r="H1909" s="7" t="s">
        <v>348</v>
      </c>
      <c r="I1909" s="8" t="s">
        <v>348</v>
      </c>
      <c r="J1909" t="e">
        <f>VLOOKUP(B1909,baru!$B$2:$I$2271,4,FALSE)</f>
        <v>#N/A</v>
      </c>
      <c r="K1909" t="e">
        <f>VLOOKUP(B1909,baru!$B$2:$I$2271,5,FALSE)</f>
        <v>#N/A</v>
      </c>
      <c r="L1909" t="e">
        <f>VLOOKUP(B1909,baru!$B$2:$I$2271,6,FALSE)</f>
        <v>#N/A</v>
      </c>
    </row>
    <row r="1910" spans="1:12" hidden="1" x14ac:dyDescent="0.35">
      <c r="A1910" s="6">
        <v>423753</v>
      </c>
      <c r="B1910" s="7" t="str">
        <f>"3328117108880008"</f>
        <v>3328117108880008</v>
      </c>
      <c r="C1910" s="7" t="s">
        <v>3913</v>
      </c>
      <c r="D1910" s="7" t="s">
        <v>10</v>
      </c>
      <c r="E1910" s="7" t="s">
        <v>57</v>
      </c>
      <c r="F1910" s="7" t="s">
        <v>18</v>
      </c>
      <c r="G1910" s="7" t="s">
        <v>268</v>
      </c>
      <c r="H1910" s="7" t="s">
        <v>277</v>
      </c>
      <c r="I1910" s="8" t="s">
        <v>278</v>
      </c>
    </row>
    <row r="1911" spans="1:12" hidden="1" x14ac:dyDescent="0.35">
      <c r="A1911" s="6">
        <v>2117676</v>
      </c>
      <c r="B1911" s="7" t="str">
        <f>"3328120102860005"</f>
        <v>3328120102860005</v>
      </c>
      <c r="C1911" s="7" t="s">
        <v>3914</v>
      </c>
      <c r="D1911" s="7" t="s">
        <v>10</v>
      </c>
      <c r="E1911" s="7" t="s">
        <v>11</v>
      </c>
      <c r="F1911" s="7" t="s">
        <v>18</v>
      </c>
      <c r="G1911" s="7" t="s">
        <v>19</v>
      </c>
      <c r="H1911" s="7" t="s">
        <v>348</v>
      </c>
      <c r="I1911" s="8" t="s">
        <v>1777</v>
      </c>
      <c r="J1911" t="e">
        <f>VLOOKUP(B1911,baru!$B$2:$I$2271,4,FALSE)</f>
        <v>#N/A</v>
      </c>
      <c r="K1911" t="e">
        <f>VLOOKUP(B1911,baru!$B$2:$I$2271,5,FALSE)</f>
        <v>#N/A</v>
      </c>
      <c r="L1911" t="e">
        <f>VLOOKUP(B1911,baru!$B$2:$I$2271,6,FALSE)</f>
        <v>#N/A</v>
      </c>
    </row>
    <row r="1912" spans="1:12" hidden="1" x14ac:dyDescent="0.35">
      <c r="A1912" s="6">
        <v>423783</v>
      </c>
      <c r="B1912" s="7" t="str">
        <f>"3328120102860005"</f>
        <v>3328120102860005</v>
      </c>
      <c r="C1912" s="7" t="s">
        <v>3915</v>
      </c>
      <c r="D1912" s="7" t="s">
        <v>10</v>
      </c>
      <c r="E1912" s="7" t="s">
        <v>57</v>
      </c>
      <c r="F1912" s="7" t="s">
        <v>18</v>
      </c>
      <c r="G1912" s="7" t="s">
        <v>268</v>
      </c>
      <c r="H1912" s="7" t="s">
        <v>277</v>
      </c>
      <c r="I1912" s="8" t="s">
        <v>278</v>
      </c>
    </row>
    <row r="1913" spans="1:12" hidden="1" x14ac:dyDescent="0.35">
      <c r="A1913" s="6">
        <v>2117675</v>
      </c>
      <c r="B1913" s="7" t="str">
        <f>"3328124505870014"</f>
        <v>3328124505870014</v>
      </c>
      <c r="C1913" s="7" t="s">
        <v>3916</v>
      </c>
      <c r="D1913" s="7" t="s">
        <v>10</v>
      </c>
      <c r="E1913" s="7" t="s">
        <v>11</v>
      </c>
      <c r="F1913" s="7" t="s">
        <v>18</v>
      </c>
      <c r="G1913" s="7" t="s">
        <v>19</v>
      </c>
      <c r="H1913" s="7" t="s">
        <v>348</v>
      </c>
      <c r="I1913" s="8" t="s">
        <v>1777</v>
      </c>
      <c r="J1913" t="e">
        <f>VLOOKUP(B1913,baru!$B$2:$I$2271,4,FALSE)</f>
        <v>#N/A</v>
      </c>
      <c r="K1913" t="e">
        <f>VLOOKUP(B1913,baru!$B$2:$I$2271,5,FALSE)</f>
        <v>#N/A</v>
      </c>
      <c r="L1913" t="e">
        <f>VLOOKUP(B1913,baru!$B$2:$I$2271,6,FALSE)</f>
        <v>#N/A</v>
      </c>
    </row>
    <row r="1914" spans="1:12" hidden="1" x14ac:dyDescent="0.35">
      <c r="A1914" s="6">
        <v>423877</v>
      </c>
      <c r="B1914" s="7" t="str">
        <f>"3328124505870014"</f>
        <v>3328124505870014</v>
      </c>
      <c r="C1914" s="7" t="s">
        <v>3917</v>
      </c>
      <c r="D1914" s="7" t="s">
        <v>10</v>
      </c>
      <c r="E1914" s="7" t="s">
        <v>57</v>
      </c>
      <c r="F1914" s="7" t="s">
        <v>18</v>
      </c>
      <c r="G1914" s="7" t="s">
        <v>268</v>
      </c>
      <c r="H1914" s="7" t="s">
        <v>277</v>
      </c>
      <c r="I1914" s="8" t="s">
        <v>278</v>
      </c>
    </row>
    <row r="1915" spans="1:12" hidden="1" x14ac:dyDescent="0.35">
      <c r="A1915" s="13">
        <v>2152255</v>
      </c>
      <c r="B1915" s="14" t="str">
        <f>"3328130412010005"</f>
        <v>3328130412010005</v>
      </c>
      <c r="C1915" s="14" t="s">
        <v>3918</v>
      </c>
      <c r="D1915" s="14" t="s">
        <v>10</v>
      </c>
      <c r="E1915" s="14" t="s">
        <v>11</v>
      </c>
      <c r="F1915" s="14" t="s">
        <v>18</v>
      </c>
      <c r="G1915" s="14" t="s">
        <v>19</v>
      </c>
      <c r="H1915" s="14" t="s">
        <v>348</v>
      </c>
      <c r="I1915" s="15" t="s">
        <v>3688</v>
      </c>
      <c r="J1915" s="16" t="str">
        <f>VLOOKUP(B1915,baru!$B$2:$I$2271,4,FALSE)</f>
        <v>Reguler</v>
      </c>
      <c r="K1915" s="16" t="str">
        <f>VLOOKUP(B1915,baru!$B$2:$I$2271,5,FALSE)</f>
        <v>DKI JAKARTA</v>
      </c>
      <c r="L1915" s="16" t="str">
        <f>VLOOKUP(B1915,baru!$B$2:$I$2271,6,FALSE)</f>
        <v>KOTA JAKARTA BARAT</v>
      </c>
    </row>
    <row r="1916" spans="1:12" hidden="1" x14ac:dyDescent="0.35">
      <c r="A1916" s="13">
        <v>2152384</v>
      </c>
      <c r="B1916" s="14" t="str">
        <f>"3328134810830003"</f>
        <v>3328134810830003</v>
      </c>
      <c r="C1916" s="14" t="s">
        <v>3921</v>
      </c>
      <c r="D1916" s="14" t="s">
        <v>10</v>
      </c>
      <c r="E1916" s="14" t="s">
        <v>11</v>
      </c>
      <c r="F1916" s="14" t="s">
        <v>18</v>
      </c>
      <c r="G1916" s="14" t="s">
        <v>19</v>
      </c>
      <c r="H1916" s="14" t="s">
        <v>348</v>
      </c>
      <c r="I1916" s="15" t="s">
        <v>3688</v>
      </c>
      <c r="J1916" s="16" t="str">
        <f>VLOOKUP(B1916,baru!$B$2:$I$2271,4,FALSE)</f>
        <v>Reguler</v>
      </c>
      <c r="K1916" s="16" t="str">
        <f>VLOOKUP(B1916,baru!$B$2:$I$2271,5,FALSE)</f>
        <v>DKI JAKARTA</v>
      </c>
      <c r="L1916" s="16" t="str">
        <f>VLOOKUP(B1916,baru!$B$2:$I$2271,6,FALSE)</f>
        <v>KOTA JAKARTA BARAT</v>
      </c>
    </row>
    <row r="1917" spans="1:12" hidden="1" x14ac:dyDescent="0.35">
      <c r="A1917" s="6">
        <v>215624</v>
      </c>
      <c r="B1917" s="7" t="str">
        <f>"3328137004840004"</f>
        <v>3328137004840004</v>
      </c>
      <c r="C1917" s="7" t="s">
        <v>3923</v>
      </c>
      <c r="D1917" s="7" t="s">
        <v>10</v>
      </c>
      <c r="E1917" s="7" t="s">
        <v>11</v>
      </c>
      <c r="F1917" s="7" t="s">
        <v>18</v>
      </c>
      <c r="G1917" s="7" t="s">
        <v>268</v>
      </c>
      <c r="H1917" s="7" t="s">
        <v>371</v>
      </c>
      <c r="I1917" s="8" t="s">
        <v>2772</v>
      </c>
    </row>
    <row r="1918" spans="1:12" hidden="1" x14ac:dyDescent="0.35">
      <c r="A1918" s="6">
        <v>1361780</v>
      </c>
      <c r="B1918" s="7" t="str">
        <f>"3329036308990002"</f>
        <v>3329036308990002</v>
      </c>
      <c r="C1918" s="7" t="s">
        <v>3925</v>
      </c>
      <c r="D1918" s="7" t="s">
        <v>10</v>
      </c>
      <c r="E1918" s="7" t="s">
        <v>11</v>
      </c>
      <c r="F1918" s="7" t="s">
        <v>18</v>
      </c>
      <c r="G1918" s="7" t="s">
        <v>264</v>
      </c>
      <c r="H1918" s="7" t="s">
        <v>461</v>
      </c>
      <c r="I1918" s="8" t="s">
        <v>461</v>
      </c>
    </row>
    <row r="1919" spans="1:12" hidden="1" x14ac:dyDescent="0.35">
      <c r="A1919" s="6">
        <v>1439996</v>
      </c>
      <c r="B1919" s="7" t="str">
        <f>"3329055901880001"</f>
        <v>3329055901880001</v>
      </c>
      <c r="C1919" s="7" t="s">
        <v>3927</v>
      </c>
      <c r="D1919" s="7" t="s">
        <v>10</v>
      </c>
      <c r="E1919" s="7" t="s">
        <v>11</v>
      </c>
      <c r="F1919" s="7" t="s">
        <v>18</v>
      </c>
      <c r="G1919" s="7" t="s">
        <v>264</v>
      </c>
      <c r="H1919" s="7" t="s">
        <v>289</v>
      </c>
      <c r="I1919" s="8" t="s">
        <v>3928</v>
      </c>
    </row>
    <row r="1920" spans="1:12" hidden="1" x14ac:dyDescent="0.35">
      <c r="A1920" s="6">
        <v>1381246</v>
      </c>
      <c r="B1920" s="7" t="str">
        <f>"3329070805850004"</f>
        <v>3329070805850004</v>
      </c>
      <c r="C1920" s="7" t="s">
        <v>3930</v>
      </c>
      <c r="D1920" s="7" t="s">
        <v>10</v>
      </c>
      <c r="E1920" s="7" t="s">
        <v>11</v>
      </c>
      <c r="F1920" s="7" t="s">
        <v>18</v>
      </c>
      <c r="G1920" s="7" t="s">
        <v>264</v>
      </c>
      <c r="H1920" s="7" t="s">
        <v>265</v>
      </c>
      <c r="I1920" s="8" t="s">
        <v>1628</v>
      </c>
    </row>
    <row r="1921" spans="1:12" hidden="1" x14ac:dyDescent="0.35">
      <c r="A1921" s="13">
        <v>2235059</v>
      </c>
      <c r="B1921" s="14" t="str">
        <f>"3329070809990002"</f>
        <v>3329070809990002</v>
      </c>
      <c r="C1921" s="14" t="s">
        <v>3932</v>
      </c>
      <c r="D1921" s="14" t="s">
        <v>10</v>
      </c>
      <c r="E1921" s="14" t="s">
        <v>11</v>
      </c>
      <c r="F1921" s="14" t="s">
        <v>18</v>
      </c>
      <c r="G1921" s="14" t="s">
        <v>19</v>
      </c>
      <c r="H1921" s="14" t="s">
        <v>348</v>
      </c>
      <c r="I1921" s="15" t="s">
        <v>459</v>
      </c>
      <c r="J1921" s="16" t="str">
        <f>VLOOKUP(B1921,baru!$B$2:$I$2271,4,FALSE)</f>
        <v>Reguler</v>
      </c>
      <c r="K1921" s="16" t="str">
        <f>VLOOKUP(B1921,baru!$B$2:$I$2271,5,FALSE)</f>
        <v>JAWA TENGAH</v>
      </c>
      <c r="L1921" s="16" t="str">
        <f>VLOOKUP(B1921,baru!$B$2:$I$2271,6,FALSE)</f>
        <v>BREBES</v>
      </c>
    </row>
    <row r="1922" spans="1:12" hidden="1" x14ac:dyDescent="0.35">
      <c r="A1922" s="6">
        <v>1284480</v>
      </c>
      <c r="B1922" s="7" t="str">
        <f>"3329071006640002"</f>
        <v>3329071006640002</v>
      </c>
      <c r="C1922" s="7" t="s">
        <v>3092</v>
      </c>
      <c r="D1922" s="7" t="s">
        <v>10</v>
      </c>
      <c r="E1922" s="7" t="s">
        <v>11</v>
      </c>
      <c r="F1922" s="7" t="s">
        <v>18</v>
      </c>
      <c r="G1922" s="7" t="s">
        <v>264</v>
      </c>
      <c r="H1922" s="7" t="s">
        <v>265</v>
      </c>
      <c r="I1922" s="8" t="s">
        <v>1598</v>
      </c>
    </row>
    <row r="1923" spans="1:12" hidden="1" x14ac:dyDescent="0.35">
      <c r="A1923" s="13">
        <v>2055679</v>
      </c>
      <c r="B1923" s="14" t="str">
        <f>"3329071306510001"</f>
        <v>3329071306510001</v>
      </c>
      <c r="C1923" s="14" t="s">
        <v>3934</v>
      </c>
      <c r="D1923" s="14" t="s">
        <v>10</v>
      </c>
      <c r="E1923" s="14" t="s">
        <v>11</v>
      </c>
      <c r="F1923" s="14" t="s">
        <v>18</v>
      </c>
      <c r="G1923" s="14" t="s">
        <v>19</v>
      </c>
      <c r="H1923" s="14" t="s">
        <v>348</v>
      </c>
      <c r="I1923" s="15" t="s">
        <v>3658</v>
      </c>
      <c r="J1923" s="16" t="str">
        <f>VLOOKUP(B1923,baru!$B$2:$I$2271,4,FALSE)</f>
        <v>Reguler</v>
      </c>
      <c r="K1923" s="16" t="str">
        <f>VLOOKUP(B1923,baru!$B$2:$I$2271,5,FALSE)</f>
        <v>JAWA TENGAH</v>
      </c>
      <c r="L1923" s="16" t="str">
        <f>VLOOKUP(B1923,baru!$B$2:$I$2271,6,FALSE)</f>
        <v>BREBES</v>
      </c>
    </row>
    <row r="1924" spans="1:12" x14ac:dyDescent="0.35">
      <c r="A1924" s="6">
        <v>1252806</v>
      </c>
      <c r="B1924" s="7" t="str">
        <f>"3329072106840004"</f>
        <v>3329072106840004</v>
      </c>
      <c r="C1924" s="7" t="s">
        <v>851</v>
      </c>
      <c r="D1924" s="7" t="s">
        <v>189</v>
      </c>
      <c r="E1924" s="7" t="s">
        <v>11</v>
      </c>
      <c r="F1924" s="7" t="s">
        <v>18</v>
      </c>
      <c r="G1924" s="7" t="s">
        <v>264</v>
      </c>
      <c r="H1924" s="7" t="s">
        <v>265</v>
      </c>
      <c r="I1924" s="8" t="s">
        <v>266</v>
      </c>
    </row>
    <row r="1925" spans="1:12" hidden="1" x14ac:dyDescent="0.35">
      <c r="A1925" s="6">
        <v>1284481</v>
      </c>
      <c r="B1925" s="7" t="str">
        <f>"3329074107670057"</f>
        <v>3329074107670057</v>
      </c>
      <c r="C1925" s="7" t="s">
        <v>1143</v>
      </c>
      <c r="D1925" s="7" t="s">
        <v>10</v>
      </c>
      <c r="E1925" s="7" t="s">
        <v>11</v>
      </c>
      <c r="F1925" s="7" t="s">
        <v>18</v>
      </c>
      <c r="G1925" s="7" t="s">
        <v>264</v>
      </c>
      <c r="H1925" s="7" t="s">
        <v>265</v>
      </c>
      <c r="I1925" s="8" t="s">
        <v>1598</v>
      </c>
    </row>
    <row r="1926" spans="1:12" hidden="1" x14ac:dyDescent="0.35">
      <c r="A1926" s="13">
        <v>2055678</v>
      </c>
      <c r="B1926" s="14" t="str">
        <f>"3329075405550002"</f>
        <v>3329075405550002</v>
      </c>
      <c r="C1926" s="14" t="s">
        <v>3937</v>
      </c>
      <c r="D1926" s="14" t="s">
        <v>10</v>
      </c>
      <c r="E1926" s="14" t="s">
        <v>11</v>
      </c>
      <c r="F1926" s="14" t="s">
        <v>18</v>
      </c>
      <c r="G1926" s="14" t="s">
        <v>19</v>
      </c>
      <c r="H1926" s="14" t="s">
        <v>348</v>
      </c>
      <c r="I1926" s="15" t="s">
        <v>3658</v>
      </c>
      <c r="J1926" s="16" t="str">
        <f>VLOOKUP(B1926,baru!$B$2:$I$2271,4,FALSE)</f>
        <v>Reguler</v>
      </c>
      <c r="K1926" s="16" t="str">
        <f>VLOOKUP(B1926,baru!$B$2:$I$2271,5,FALSE)</f>
        <v>JAWA TENGAH</v>
      </c>
      <c r="L1926" s="16" t="str">
        <f>VLOOKUP(B1926,baru!$B$2:$I$2271,6,FALSE)</f>
        <v>BREBES</v>
      </c>
    </row>
    <row r="1927" spans="1:12" hidden="1" x14ac:dyDescent="0.35">
      <c r="A1927" s="6">
        <v>1284760</v>
      </c>
      <c r="B1927" s="7" t="str">
        <f>"3329076508870001"</f>
        <v>3329076508870001</v>
      </c>
      <c r="C1927" s="7" t="s">
        <v>3938</v>
      </c>
      <c r="D1927" s="7" t="s">
        <v>10</v>
      </c>
      <c r="E1927" s="7" t="s">
        <v>11</v>
      </c>
      <c r="F1927" s="7" t="s">
        <v>18</v>
      </c>
      <c r="G1927" s="7" t="s">
        <v>264</v>
      </c>
      <c r="H1927" s="7" t="s">
        <v>265</v>
      </c>
      <c r="I1927" s="8" t="s">
        <v>1598</v>
      </c>
    </row>
    <row r="1928" spans="1:12" hidden="1" x14ac:dyDescent="0.35">
      <c r="A1928" s="13">
        <v>2234807</v>
      </c>
      <c r="B1928" s="14" t="str">
        <f>"3329083012790006"</f>
        <v>3329083012790006</v>
      </c>
      <c r="C1928" s="14" t="s">
        <v>3940</v>
      </c>
      <c r="D1928" s="14" t="s">
        <v>10</v>
      </c>
      <c r="E1928" s="14" t="s">
        <v>11</v>
      </c>
      <c r="F1928" s="14" t="s">
        <v>18</v>
      </c>
      <c r="G1928" s="14" t="s">
        <v>19</v>
      </c>
      <c r="H1928" s="14" t="s">
        <v>348</v>
      </c>
      <c r="I1928" s="15" t="s">
        <v>459</v>
      </c>
      <c r="J1928" s="16" t="str">
        <f>VLOOKUP(B1928,baru!$B$2:$I$2271,4,FALSE)</f>
        <v>Reguler</v>
      </c>
      <c r="K1928" s="16" t="str">
        <f>VLOOKUP(B1928,baru!$B$2:$I$2271,5,FALSE)</f>
        <v>JAWA TENGAH</v>
      </c>
      <c r="L1928" s="16" t="str">
        <f>VLOOKUP(B1928,baru!$B$2:$I$2271,6,FALSE)</f>
        <v>BREBES</v>
      </c>
    </row>
    <row r="1929" spans="1:12" hidden="1" x14ac:dyDescent="0.35">
      <c r="A1929" s="6">
        <v>959946</v>
      </c>
      <c r="B1929" s="7" t="str">
        <f>"3329093112810008"</f>
        <v>3329093112810008</v>
      </c>
      <c r="C1929" s="7" t="s">
        <v>3945</v>
      </c>
      <c r="D1929" s="7" t="s">
        <v>10</v>
      </c>
      <c r="E1929" s="7" t="s">
        <v>11</v>
      </c>
      <c r="F1929" s="7" t="s">
        <v>18</v>
      </c>
      <c r="G1929" s="7" t="s">
        <v>264</v>
      </c>
      <c r="H1929" s="7" t="s">
        <v>264</v>
      </c>
      <c r="I1929" s="8" t="s">
        <v>2074</v>
      </c>
    </row>
    <row r="1930" spans="1:12" x14ac:dyDescent="0.35">
      <c r="A1930" s="13">
        <v>2234078</v>
      </c>
      <c r="B1930" s="14" t="str">
        <f>"3329094107480265"</f>
        <v>3329094107480265</v>
      </c>
      <c r="C1930" s="14" t="s">
        <v>3946</v>
      </c>
      <c r="D1930" s="14" t="s">
        <v>189</v>
      </c>
      <c r="E1930" s="14" t="s">
        <v>11</v>
      </c>
      <c r="F1930" s="14" t="s">
        <v>18</v>
      </c>
      <c r="G1930" s="14" t="s">
        <v>19</v>
      </c>
      <c r="H1930" s="14" t="s">
        <v>348</v>
      </c>
      <c r="I1930" s="15" t="s">
        <v>459</v>
      </c>
      <c r="J1930" s="16" t="str">
        <f>VLOOKUP(B1930,baru!$B$2:$I$2271,4,FALSE)</f>
        <v>Reguler</v>
      </c>
      <c r="K1930" s="16" t="str">
        <f>VLOOKUP(B1930,baru!$B$2:$I$2271,5,FALSE)</f>
        <v>JAWA TENGAH</v>
      </c>
      <c r="L1930" s="16" t="str">
        <f>VLOOKUP(B1930,baru!$B$2:$I$2271,6,FALSE)</f>
        <v>BREBES</v>
      </c>
    </row>
    <row r="1931" spans="1:12" hidden="1" x14ac:dyDescent="0.35">
      <c r="A1931" s="6">
        <v>837615</v>
      </c>
      <c r="B1931" s="7" t="str">
        <f>"3329094603980001"</f>
        <v>3329094603980001</v>
      </c>
      <c r="C1931" s="7" t="s">
        <v>3947</v>
      </c>
      <c r="D1931" s="7" t="s">
        <v>10</v>
      </c>
      <c r="E1931" s="7" t="s">
        <v>11</v>
      </c>
      <c r="F1931" s="7" t="s">
        <v>18</v>
      </c>
      <c r="G1931" s="7" t="s">
        <v>264</v>
      </c>
      <c r="H1931" s="7" t="s">
        <v>264</v>
      </c>
      <c r="I1931" s="8" t="s">
        <v>264</v>
      </c>
    </row>
    <row r="1932" spans="1:12" hidden="1" x14ac:dyDescent="0.35">
      <c r="A1932" s="13">
        <v>2383044</v>
      </c>
      <c r="B1932" s="14" t="str">
        <f>"3329106106950003"</f>
        <v>3329106106950003</v>
      </c>
      <c r="C1932" s="14" t="s">
        <v>3948</v>
      </c>
      <c r="D1932" s="14" t="s">
        <v>10</v>
      </c>
      <c r="E1932" s="14" t="s">
        <v>11</v>
      </c>
      <c r="F1932" s="14" t="s">
        <v>18</v>
      </c>
      <c r="G1932" s="14" t="s">
        <v>19</v>
      </c>
      <c r="H1932" s="14" t="s">
        <v>348</v>
      </c>
      <c r="I1932" s="15" t="s">
        <v>348</v>
      </c>
      <c r="J1932" s="16" t="str">
        <f>VLOOKUP(B1932,baru!$B$2:$I$2271,4,FALSE)</f>
        <v>Reguler</v>
      </c>
      <c r="K1932" s="16" t="str">
        <f>VLOOKUP(B1932,baru!$B$2:$I$2271,5,FALSE)</f>
        <v>JAWA TENGAH</v>
      </c>
      <c r="L1932" s="16" t="str">
        <f>VLOOKUP(B1932,baru!$B$2:$I$2271,6,FALSE)</f>
        <v>BREBES</v>
      </c>
    </row>
    <row r="1933" spans="1:12" hidden="1" x14ac:dyDescent="0.35">
      <c r="A1933" s="6">
        <v>557697</v>
      </c>
      <c r="B1933" s="7" t="str">
        <f>"3329120702810008"</f>
        <v>3329120702810008</v>
      </c>
      <c r="C1933" s="7" t="s">
        <v>3949</v>
      </c>
      <c r="D1933" s="7" t="s">
        <v>10</v>
      </c>
      <c r="E1933" s="7" t="s">
        <v>11</v>
      </c>
      <c r="F1933" s="7" t="s">
        <v>18</v>
      </c>
      <c r="G1933" s="7" t="s">
        <v>264</v>
      </c>
      <c r="H1933" s="7" t="s">
        <v>877</v>
      </c>
      <c r="I1933" s="8" t="s">
        <v>3950</v>
      </c>
    </row>
    <row r="1934" spans="1:12" hidden="1" x14ac:dyDescent="0.35">
      <c r="A1934" s="13">
        <v>2231293</v>
      </c>
      <c r="B1934" s="14" t="str">
        <f>"3329142808930001"</f>
        <v>3329142808930001</v>
      </c>
      <c r="C1934" s="14" t="s">
        <v>3952</v>
      </c>
      <c r="D1934" s="14" t="s">
        <v>10</v>
      </c>
      <c r="E1934" s="14" t="s">
        <v>11</v>
      </c>
      <c r="F1934" s="14" t="s">
        <v>18</v>
      </c>
      <c r="G1934" s="14" t="s">
        <v>19</v>
      </c>
      <c r="H1934" s="14" t="s">
        <v>348</v>
      </c>
      <c r="I1934" s="15" t="s">
        <v>459</v>
      </c>
      <c r="J1934" s="16" t="str">
        <f>VLOOKUP(B1934,baru!$B$2:$I$2271,4,FALSE)</f>
        <v>Reguler</v>
      </c>
      <c r="K1934" s="16" t="str">
        <f>VLOOKUP(B1934,baru!$B$2:$I$2271,5,FALSE)</f>
        <v>JAWA TENGAH</v>
      </c>
      <c r="L1934" s="16" t="str">
        <f>VLOOKUP(B1934,baru!$B$2:$I$2271,6,FALSE)</f>
        <v>BREBES</v>
      </c>
    </row>
    <row r="1935" spans="1:12" hidden="1" x14ac:dyDescent="0.35">
      <c r="A1935" s="6">
        <v>397492</v>
      </c>
      <c r="B1935" s="7" t="str">
        <f>"3329145410980005"</f>
        <v>3329145410980005</v>
      </c>
      <c r="C1935" s="7" t="s">
        <v>3954</v>
      </c>
      <c r="D1935" s="7" t="s">
        <v>10</v>
      </c>
      <c r="E1935" s="7" t="s">
        <v>11</v>
      </c>
      <c r="F1935" s="7" t="s">
        <v>18</v>
      </c>
      <c r="G1935" s="7" t="s">
        <v>264</v>
      </c>
      <c r="H1935" s="7" t="s">
        <v>477</v>
      </c>
      <c r="I1935" s="8" t="s">
        <v>3955</v>
      </c>
    </row>
    <row r="1936" spans="1:12" hidden="1" x14ac:dyDescent="0.35">
      <c r="A1936" s="13">
        <v>2378622</v>
      </c>
      <c r="B1936" s="14" t="str">
        <f>"3329145906840004"</f>
        <v>3329145906840004</v>
      </c>
      <c r="C1936" s="14" t="s">
        <v>3956</v>
      </c>
      <c r="D1936" s="14" t="s">
        <v>10</v>
      </c>
      <c r="E1936" s="14" t="s">
        <v>11</v>
      </c>
      <c r="F1936" s="14" t="s">
        <v>18</v>
      </c>
      <c r="G1936" s="14" t="s">
        <v>19</v>
      </c>
      <c r="H1936" s="14" t="s">
        <v>348</v>
      </c>
      <c r="I1936" s="15" t="s">
        <v>348</v>
      </c>
      <c r="J1936" s="16" t="str">
        <f>VLOOKUP(B1936,baru!$B$2:$I$2271,4,FALSE)</f>
        <v>Reguler</v>
      </c>
      <c r="K1936" s="16" t="str">
        <f>VLOOKUP(B1936,baru!$B$2:$I$2271,5,FALSE)</f>
        <v>JAWA TENGAH</v>
      </c>
      <c r="L1936" s="16" t="str">
        <f>VLOOKUP(B1936,baru!$B$2:$I$2271,6,FALSE)</f>
        <v>GROBOGAN</v>
      </c>
    </row>
    <row r="1937" spans="1:12" hidden="1" x14ac:dyDescent="0.35">
      <c r="A1937" s="6">
        <v>726844</v>
      </c>
      <c r="B1937" s="7" t="str">
        <f>"3329150603950003"</f>
        <v>3329150603950003</v>
      </c>
      <c r="C1937" s="7" t="s">
        <v>3960</v>
      </c>
      <c r="D1937" s="7" t="s">
        <v>10</v>
      </c>
      <c r="E1937" s="7" t="s">
        <v>11</v>
      </c>
      <c r="F1937" s="7" t="s">
        <v>18</v>
      </c>
      <c r="G1937" s="7" t="s">
        <v>264</v>
      </c>
      <c r="H1937" s="7" t="s">
        <v>330</v>
      </c>
      <c r="I1937" s="8" t="s">
        <v>2093</v>
      </c>
    </row>
    <row r="1938" spans="1:12" hidden="1" x14ac:dyDescent="0.35">
      <c r="A1938" s="6">
        <v>2152819</v>
      </c>
      <c r="B1938" s="7" t="str">
        <f>"3329150707900003"</f>
        <v>3329150707900003</v>
      </c>
      <c r="C1938" s="7" t="s">
        <v>3961</v>
      </c>
      <c r="D1938" s="7" t="s">
        <v>10</v>
      </c>
      <c r="E1938" s="7" t="s">
        <v>11</v>
      </c>
      <c r="F1938" s="7" t="s">
        <v>18</v>
      </c>
      <c r="G1938" s="7" t="s">
        <v>19</v>
      </c>
      <c r="H1938" s="7" t="s">
        <v>348</v>
      </c>
      <c r="I1938" s="8" t="s">
        <v>3688</v>
      </c>
      <c r="J1938" t="e">
        <f>VLOOKUP(B1938,baru!$B$2:$I$2271,4,FALSE)</f>
        <v>#N/A</v>
      </c>
      <c r="K1938" t="e">
        <f>VLOOKUP(B1938,baru!$B$2:$I$2271,5,FALSE)</f>
        <v>#N/A</v>
      </c>
      <c r="L1938" t="e">
        <f>VLOOKUP(B1938,baru!$B$2:$I$2271,6,FALSE)</f>
        <v>#N/A</v>
      </c>
    </row>
    <row r="1939" spans="1:12" x14ac:dyDescent="0.35">
      <c r="A1939" s="6">
        <v>1133705</v>
      </c>
      <c r="B1939" s="7" t="str">
        <f>"3329150707900003"</f>
        <v>3329150707900003</v>
      </c>
      <c r="C1939" s="7" t="s">
        <v>3962</v>
      </c>
      <c r="D1939" s="7" t="s">
        <v>189</v>
      </c>
      <c r="E1939" s="7" t="s">
        <v>11</v>
      </c>
      <c r="F1939" s="7" t="s">
        <v>18</v>
      </c>
      <c r="G1939" s="7" t="s">
        <v>264</v>
      </c>
      <c r="H1939" s="7" t="s">
        <v>330</v>
      </c>
      <c r="I1939" s="8" t="s">
        <v>489</v>
      </c>
    </row>
    <row r="1940" spans="1:12" hidden="1" x14ac:dyDescent="0.35">
      <c r="A1940" s="6">
        <v>1552148</v>
      </c>
      <c r="B1940" s="7" t="str">
        <f>"3329151105940002"</f>
        <v>3329151105940002</v>
      </c>
      <c r="C1940" s="7" t="s">
        <v>3963</v>
      </c>
      <c r="D1940" s="7" t="s">
        <v>10</v>
      </c>
      <c r="E1940" s="7" t="s">
        <v>11</v>
      </c>
      <c r="F1940" s="7" t="s">
        <v>18</v>
      </c>
      <c r="G1940" s="7" t="s">
        <v>264</v>
      </c>
      <c r="H1940" s="7" t="s">
        <v>330</v>
      </c>
      <c r="I1940" s="8" t="s">
        <v>331</v>
      </c>
    </row>
    <row r="1941" spans="1:12" hidden="1" x14ac:dyDescent="0.35">
      <c r="A1941" s="6">
        <v>718465</v>
      </c>
      <c r="B1941" s="7" t="str">
        <f>"3329155407860009"</f>
        <v>3329155407860009</v>
      </c>
      <c r="C1941" s="7" t="s">
        <v>3965</v>
      </c>
      <c r="D1941" s="7" t="s">
        <v>10</v>
      </c>
      <c r="E1941" s="7" t="s">
        <v>11</v>
      </c>
      <c r="F1941" s="7" t="s">
        <v>18</v>
      </c>
      <c r="G1941" s="7" t="s">
        <v>264</v>
      </c>
      <c r="H1941" s="7" t="s">
        <v>330</v>
      </c>
      <c r="I1941" s="8" t="s">
        <v>2093</v>
      </c>
    </row>
    <row r="1942" spans="1:12" x14ac:dyDescent="0.35">
      <c r="A1942" s="6">
        <v>328238</v>
      </c>
      <c r="B1942" s="7" t="str">
        <f>"3376010705950001"</f>
        <v>3376010705950001</v>
      </c>
      <c r="C1942" s="7" t="s">
        <v>3966</v>
      </c>
      <c r="D1942" s="7" t="s">
        <v>189</v>
      </c>
      <c r="E1942" s="7" t="s">
        <v>11</v>
      </c>
      <c r="F1942" s="7" t="s">
        <v>18</v>
      </c>
      <c r="G1942" s="7" t="s">
        <v>268</v>
      </c>
      <c r="H1942" s="7" t="s">
        <v>277</v>
      </c>
      <c r="I1942" s="8" t="s">
        <v>278</v>
      </c>
    </row>
    <row r="1943" spans="1:12" hidden="1" x14ac:dyDescent="0.35">
      <c r="A1943" s="6">
        <v>293063</v>
      </c>
      <c r="B1943" s="7" t="str">
        <f>"3376011410810002"</f>
        <v>3376011410810002</v>
      </c>
      <c r="C1943" s="7" t="s">
        <v>1370</v>
      </c>
      <c r="D1943" s="7" t="s">
        <v>10</v>
      </c>
      <c r="E1943" s="7" t="s">
        <v>11</v>
      </c>
      <c r="F1943" s="7" t="s">
        <v>18</v>
      </c>
      <c r="G1943" s="7" t="s">
        <v>268</v>
      </c>
      <c r="H1943" s="7" t="s">
        <v>277</v>
      </c>
      <c r="I1943" s="8" t="s">
        <v>2762</v>
      </c>
    </row>
    <row r="1944" spans="1:12" hidden="1" x14ac:dyDescent="0.35">
      <c r="A1944" s="6">
        <v>301990</v>
      </c>
      <c r="B1944" s="7" t="str">
        <f>"3376011602740001"</f>
        <v>3376011602740001</v>
      </c>
      <c r="C1944" s="7" t="s">
        <v>3968</v>
      </c>
      <c r="D1944" s="7" t="s">
        <v>10</v>
      </c>
      <c r="E1944" s="7" t="s">
        <v>11</v>
      </c>
      <c r="F1944" s="7" t="s">
        <v>18</v>
      </c>
      <c r="G1944" s="7" t="s">
        <v>268</v>
      </c>
      <c r="H1944" s="7" t="s">
        <v>277</v>
      </c>
      <c r="I1944" s="8" t="s">
        <v>2762</v>
      </c>
    </row>
    <row r="1945" spans="1:12" hidden="1" x14ac:dyDescent="0.35">
      <c r="A1945" s="6">
        <v>323570</v>
      </c>
      <c r="B1945" s="7" t="str">
        <f>"3376016005930002"</f>
        <v>3376016005930002</v>
      </c>
      <c r="C1945" s="7" t="s">
        <v>3969</v>
      </c>
      <c r="D1945" s="7" t="s">
        <v>10</v>
      </c>
      <c r="E1945" s="7" t="s">
        <v>11</v>
      </c>
      <c r="F1945" s="7" t="s">
        <v>18</v>
      </c>
      <c r="G1945" s="7" t="s">
        <v>268</v>
      </c>
      <c r="H1945" s="7" t="s">
        <v>277</v>
      </c>
      <c r="I1945" s="8" t="s">
        <v>278</v>
      </c>
    </row>
    <row r="1946" spans="1:12" hidden="1" x14ac:dyDescent="0.35">
      <c r="A1946" s="6">
        <v>301991</v>
      </c>
      <c r="B1946" s="7" t="str">
        <f>"3376016512750001"</f>
        <v>3376016512750001</v>
      </c>
      <c r="C1946" s="7" t="s">
        <v>3971</v>
      </c>
      <c r="D1946" s="7" t="s">
        <v>10</v>
      </c>
      <c r="E1946" s="7" t="s">
        <v>11</v>
      </c>
      <c r="F1946" s="7" t="s">
        <v>18</v>
      </c>
      <c r="G1946" s="7" t="s">
        <v>268</v>
      </c>
      <c r="H1946" s="7" t="s">
        <v>277</v>
      </c>
      <c r="I1946" s="8" t="s">
        <v>2762</v>
      </c>
    </row>
    <row r="1947" spans="1:12" hidden="1" x14ac:dyDescent="0.35">
      <c r="A1947" s="6">
        <v>308226</v>
      </c>
      <c r="B1947" s="7" t="str">
        <f>"3376021905980001"</f>
        <v>3376021905980001</v>
      </c>
      <c r="C1947" s="7" t="s">
        <v>3972</v>
      </c>
      <c r="D1947" s="7" t="s">
        <v>10</v>
      </c>
      <c r="E1947" s="7" t="s">
        <v>11</v>
      </c>
      <c r="F1947" s="7" t="s">
        <v>18</v>
      </c>
      <c r="G1947" s="7" t="s">
        <v>268</v>
      </c>
      <c r="H1947" s="7" t="s">
        <v>269</v>
      </c>
      <c r="I1947" s="8" t="s">
        <v>1398</v>
      </c>
    </row>
    <row r="1948" spans="1:12" hidden="1" x14ac:dyDescent="0.35">
      <c r="A1948" s="6">
        <v>237254</v>
      </c>
      <c r="B1948" s="7" t="str">
        <f>"3376022206900002"</f>
        <v>3376022206900002</v>
      </c>
      <c r="C1948" s="7" t="s">
        <v>3974</v>
      </c>
      <c r="D1948" s="7" t="s">
        <v>10</v>
      </c>
      <c r="E1948" s="7" t="s">
        <v>11</v>
      </c>
      <c r="F1948" s="7" t="s">
        <v>18</v>
      </c>
      <c r="G1948" s="7" t="s">
        <v>268</v>
      </c>
      <c r="H1948" s="7" t="s">
        <v>371</v>
      </c>
      <c r="I1948" s="8" t="s">
        <v>372</v>
      </c>
    </row>
    <row r="1949" spans="1:12" hidden="1" x14ac:dyDescent="0.35">
      <c r="A1949" s="6">
        <v>217227</v>
      </c>
      <c r="B1949" s="7" t="str">
        <f>"3376025507000003"</f>
        <v>3376025507000003</v>
      </c>
      <c r="C1949" s="7" t="s">
        <v>3975</v>
      </c>
      <c r="D1949" s="7" t="s">
        <v>10</v>
      </c>
      <c r="E1949" s="7" t="s">
        <v>11</v>
      </c>
      <c r="F1949" s="7" t="s">
        <v>18</v>
      </c>
      <c r="G1949" s="7" t="s">
        <v>268</v>
      </c>
      <c r="H1949" s="7" t="s">
        <v>371</v>
      </c>
      <c r="I1949" s="8" t="s">
        <v>2772</v>
      </c>
    </row>
    <row r="1950" spans="1:12" hidden="1" x14ac:dyDescent="0.35">
      <c r="A1950" s="6">
        <v>366862</v>
      </c>
      <c r="B1950" s="7" t="str">
        <f>"3376030510940001"</f>
        <v>3376030510940001</v>
      </c>
      <c r="C1950" s="7" t="s">
        <v>3976</v>
      </c>
      <c r="D1950" s="7" t="s">
        <v>10</v>
      </c>
      <c r="E1950" s="7" t="s">
        <v>11</v>
      </c>
      <c r="F1950" s="7" t="s">
        <v>18</v>
      </c>
      <c r="G1950" s="7" t="s">
        <v>268</v>
      </c>
      <c r="H1950" s="7" t="s">
        <v>269</v>
      </c>
      <c r="I1950" s="8" t="s">
        <v>996</v>
      </c>
    </row>
    <row r="1951" spans="1:12" hidden="1" x14ac:dyDescent="0.35">
      <c r="A1951" s="6">
        <v>342783</v>
      </c>
      <c r="B1951" s="7" t="str">
        <f>"3376031202910001"</f>
        <v>3376031202910001</v>
      </c>
      <c r="C1951" s="7" t="s">
        <v>3977</v>
      </c>
      <c r="D1951" s="7" t="s">
        <v>10</v>
      </c>
      <c r="E1951" s="7" t="s">
        <v>11</v>
      </c>
      <c r="F1951" s="7" t="s">
        <v>18</v>
      </c>
      <c r="G1951" s="7" t="s">
        <v>268</v>
      </c>
      <c r="H1951" s="7" t="s">
        <v>269</v>
      </c>
      <c r="I1951" s="8" t="s">
        <v>3978</v>
      </c>
    </row>
    <row r="1952" spans="1:12" hidden="1" x14ac:dyDescent="0.35">
      <c r="A1952" s="6">
        <v>407838</v>
      </c>
      <c r="B1952" s="7" t="str">
        <f>"3376041804940001"</f>
        <v>3376041804940001</v>
      </c>
      <c r="C1952" s="7" t="s">
        <v>3979</v>
      </c>
      <c r="D1952" s="7" t="s">
        <v>10</v>
      </c>
      <c r="E1952" s="7" t="s">
        <v>11</v>
      </c>
      <c r="F1952" s="7" t="s">
        <v>18</v>
      </c>
      <c r="G1952" s="7" t="s">
        <v>268</v>
      </c>
      <c r="H1952" s="7" t="s">
        <v>448</v>
      </c>
      <c r="I1952" s="8" t="s">
        <v>448</v>
      </c>
    </row>
    <row r="1953" spans="1:12" hidden="1" x14ac:dyDescent="0.35">
      <c r="A1953" s="6">
        <v>407837</v>
      </c>
      <c r="B1953" s="7" t="str">
        <f>"3376044712950001"</f>
        <v>3376044712950001</v>
      </c>
      <c r="C1953" s="7" t="s">
        <v>3980</v>
      </c>
      <c r="D1953" s="7" t="s">
        <v>10</v>
      </c>
      <c r="E1953" s="7" t="s">
        <v>11</v>
      </c>
      <c r="F1953" s="7" t="s">
        <v>18</v>
      </c>
      <c r="G1953" s="7" t="s">
        <v>268</v>
      </c>
      <c r="H1953" s="7" t="s">
        <v>448</v>
      </c>
      <c r="I1953" s="8" t="s">
        <v>448</v>
      </c>
    </row>
    <row r="1954" spans="1:12" hidden="1" x14ac:dyDescent="0.35">
      <c r="A1954" s="6">
        <v>575769</v>
      </c>
      <c r="B1954" s="7" t="str">
        <f>"3526184205970002"</f>
        <v>3526184205970002</v>
      </c>
      <c r="C1954" s="7" t="s">
        <v>3981</v>
      </c>
      <c r="D1954" s="7" t="s">
        <v>10</v>
      </c>
      <c r="E1954" s="7" t="s">
        <v>11</v>
      </c>
      <c r="F1954" s="7" t="s">
        <v>303</v>
      </c>
      <c r="G1954" s="7" t="s">
        <v>1676</v>
      </c>
      <c r="H1954" s="7" t="s">
        <v>3982</v>
      </c>
      <c r="I1954" s="8" t="s">
        <v>3983</v>
      </c>
    </row>
    <row r="1955" spans="1:12" hidden="1" x14ac:dyDescent="0.35">
      <c r="A1955" s="6">
        <v>2315668</v>
      </c>
      <c r="B1955" s="7" t="str">
        <f>"3603121203660003"</f>
        <v>3603121203660003</v>
      </c>
      <c r="C1955" s="7" t="s">
        <v>3984</v>
      </c>
      <c r="D1955" s="7" t="s">
        <v>10</v>
      </c>
      <c r="E1955" s="7" t="s">
        <v>11</v>
      </c>
      <c r="F1955" s="7" t="s">
        <v>67</v>
      </c>
      <c r="G1955" s="7" t="s">
        <v>791</v>
      </c>
      <c r="H1955" s="7" t="s">
        <v>792</v>
      </c>
      <c r="I1955" s="8" t="s">
        <v>793</v>
      </c>
    </row>
    <row r="1956" spans="1:12" hidden="1" x14ac:dyDescent="0.35">
      <c r="A1956" s="6">
        <v>2315605</v>
      </c>
      <c r="B1956" s="7" t="str">
        <f>"3603122801880006"</f>
        <v>3603122801880006</v>
      </c>
      <c r="C1956" s="7" t="s">
        <v>3986</v>
      </c>
      <c r="D1956" s="7" t="s">
        <v>10</v>
      </c>
      <c r="E1956" s="7" t="s">
        <v>11</v>
      </c>
      <c r="F1956" s="7" t="s">
        <v>67</v>
      </c>
      <c r="G1956" s="7" t="s">
        <v>791</v>
      </c>
      <c r="H1956" s="7" t="s">
        <v>792</v>
      </c>
      <c r="I1956" s="8" t="s">
        <v>793</v>
      </c>
    </row>
    <row r="1957" spans="1:12" hidden="1" x14ac:dyDescent="0.35">
      <c r="A1957" s="6">
        <v>2315667</v>
      </c>
      <c r="B1957" s="7" t="str">
        <f>"3603124904710003"</f>
        <v>3603124904710003</v>
      </c>
      <c r="C1957" s="7" t="s">
        <v>3988</v>
      </c>
      <c r="D1957" s="7" t="s">
        <v>10</v>
      </c>
      <c r="E1957" s="7" t="s">
        <v>11</v>
      </c>
      <c r="F1957" s="7" t="s">
        <v>67</v>
      </c>
      <c r="G1957" s="7" t="s">
        <v>791</v>
      </c>
      <c r="H1957" s="7" t="s">
        <v>792</v>
      </c>
      <c r="I1957" s="8" t="s">
        <v>793</v>
      </c>
    </row>
    <row r="1958" spans="1:12" hidden="1" x14ac:dyDescent="0.35">
      <c r="A1958" s="6">
        <v>1711023</v>
      </c>
      <c r="B1958" s="7" t="str">
        <f>"3671060708910010"</f>
        <v>3671060708910010</v>
      </c>
      <c r="C1958" s="7" t="s">
        <v>3989</v>
      </c>
      <c r="D1958" s="7" t="s">
        <v>10</v>
      </c>
      <c r="E1958" s="7" t="s">
        <v>11</v>
      </c>
      <c r="F1958" s="7" t="s">
        <v>67</v>
      </c>
      <c r="G1958" s="7" t="s">
        <v>512</v>
      </c>
      <c r="H1958" s="7" t="s">
        <v>513</v>
      </c>
      <c r="I1958" s="8" t="s">
        <v>3990</v>
      </c>
    </row>
    <row r="1959" spans="1:12" hidden="1" x14ac:dyDescent="0.35">
      <c r="A1959" s="6">
        <v>784054</v>
      </c>
      <c r="B1959" s="7" t="str">
        <f>"3674040112030006"</f>
        <v>3674040112030006</v>
      </c>
      <c r="C1959" s="7" t="s">
        <v>3992</v>
      </c>
      <c r="D1959" s="7" t="s">
        <v>10</v>
      </c>
      <c r="E1959" s="7" t="s">
        <v>11</v>
      </c>
      <c r="F1959" s="7" t="s">
        <v>50</v>
      </c>
      <c r="G1959" s="7" t="s">
        <v>72</v>
      </c>
      <c r="H1959" s="7" t="s">
        <v>1093</v>
      </c>
      <c r="I1959" s="8" t="s">
        <v>3993</v>
      </c>
    </row>
    <row r="1960" spans="1:12" hidden="1" x14ac:dyDescent="0.35">
      <c r="A1960" s="6">
        <v>216265</v>
      </c>
      <c r="B1960" s="7" t="str">
        <f>"6207082308810001"</f>
        <v>6207082308810001</v>
      </c>
      <c r="C1960" s="7" t="s">
        <v>3994</v>
      </c>
      <c r="D1960" s="7" t="s">
        <v>10</v>
      </c>
      <c r="E1960" s="7" t="s">
        <v>11</v>
      </c>
      <c r="F1960" s="7" t="s">
        <v>521</v>
      </c>
      <c r="G1960" s="7" t="s">
        <v>1449</v>
      </c>
      <c r="H1960" s="7" t="s">
        <v>3995</v>
      </c>
      <c r="I1960" s="8" t="s">
        <v>3996</v>
      </c>
    </row>
    <row r="1961" spans="1:12" hidden="1" x14ac:dyDescent="0.35">
      <c r="A1961" s="6">
        <v>873809</v>
      </c>
      <c r="B1961" s="7" t="str">
        <f>"1611033008900002"</f>
        <v>1611033008900002</v>
      </c>
      <c r="C1961" s="7" t="s">
        <v>3998</v>
      </c>
      <c r="D1961" s="7" t="s">
        <v>10</v>
      </c>
      <c r="E1961" s="7" t="s">
        <v>11</v>
      </c>
      <c r="F1961" s="7" t="s">
        <v>91</v>
      </c>
      <c r="G1961" s="7" t="s">
        <v>114</v>
      </c>
      <c r="H1961" s="7" t="s">
        <v>3246</v>
      </c>
      <c r="I1961" s="8" t="s">
        <v>3247</v>
      </c>
    </row>
    <row r="1962" spans="1:12" hidden="1" x14ac:dyDescent="0.35">
      <c r="A1962" s="6">
        <v>814001</v>
      </c>
      <c r="B1962" s="7" t="str">
        <f>"1871074601700001"</f>
        <v>1871074601700001</v>
      </c>
      <c r="C1962" s="7" t="s">
        <v>4000</v>
      </c>
      <c r="D1962" s="7" t="s">
        <v>10</v>
      </c>
      <c r="E1962" s="7" t="s">
        <v>11</v>
      </c>
      <c r="F1962" s="7" t="s">
        <v>44</v>
      </c>
      <c r="G1962" s="7" t="s">
        <v>1594</v>
      </c>
      <c r="H1962" s="7" t="s">
        <v>4001</v>
      </c>
      <c r="I1962" s="8" t="s">
        <v>4002</v>
      </c>
    </row>
    <row r="1963" spans="1:12" hidden="1" x14ac:dyDescent="0.35">
      <c r="A1963" s="6">
        <v>75769</v>
      </c>
      <c r="B1963" s="7" t="str">
        <f>"3171025009830006"</f>
        <v>3171025009830006</v>
      </c>
      <c r="C1963" s="7" t="s">
        <v>401</v>
      </c>
      <c r="D1963" s="7" t="s">
        <v>10</v>
      </c>
      <c r="E1963" s="7" t="s">
        <v>11</v>
      </c>
      <c r="F1963" s="7" t="s">
        <v>50</v>
      </c>
      <c r="G1963" s="7" t="s">
        <v>280</v>
      </c>
      <c r="H1963" s="7" t="s">
        <v>455</v>
      </c>
      <c r="I1963" s="8" t="s">
        <v>456</v>
      </c>
    </row>
    <row r="1964" spans="1:12" hidden="1" x14ac:dyDescent="0.35">
      <c r="A1964" s="6">
        <v>75606</v>
      </c>
      <c r="B1964" s="7" t="str">
        <f>"3171025410060002"</f>
        <v>3171025410060002</v>
      </c>
      <c r="C1964" s="7" t="s">
        <v>4005</v>
      </c>
      <c r="D1964" s="7" t="s">
        <v>10</v>
      </c>
      <c r="E1964" s="7" t="s">
        <v>11</v>
      </c>
      <c r="F1964" s="7" t="s">
        <v>50</v>
      </c>
      <c r="G1964" s="7" t="s">
        <v>280</v>
      </c>
      <c r="H1964" s="7" t="s">
        <v>455</v>
      </c>
      <c r="I1964" s="8" t="s">
        <v>456</v>
      </c>
    </row>
    <row r="1965" spans="1:12" hidden="1" x14ac:dyDescent="0.35">
      <c r="A1965" s="6">
        <v>2459171</v>
      </c>
      <c r="B1965" s="7" t="str">
        <f>"3171082108790001"</f>
        <v>3171082108790001</v>
      </c>
      <c r="C1965" s="7" t="s">
        <v>4007</v>
      </c>
      <c r="D1965" s="7" t="s">
        <v>10</v>
      </c>
      <c r="E1965" s="7" t="s">
        <v>11</v>
      </c>
      <c r="F1965" s="7" t="s">
        <v>18</v>
      </c>
      <c r="G1965" s="7" t="s">
        <v>19</v>
      </c>
      <c r="H1965" s="7" t="s">
        <v>3354</v>
      </c>
      <c r="I1965" s="8" t="s">
        <v>4008</v>
      </c>
      <c r="J1965" t="e">
        <f>VLOOKUP(B1965,baru!$B$2:$I$2271,4,FALSE)</f>
        <v>#N/A</v>
      </c>
      <c r="K1965" t="e">
        <f>VLOOKUP(B1965,baru!$B$2:$I$2271,5,FALSE)</f>
        <v>#N/A</v>
      </c>
      <c r="L1965" t="e">
        <f>VLOOKUP(B1965,baru!$B$2:$I$2271,6,FALSE)</f>
        <v>#N/A</v>
      </c>
    </row>
    <row r="1966" spans="1:12" hidden="1" x14ac:dyDescent="0.35">
      <c r="A1966" s="6">
        <v>2416977</v>
      </c>
      <c r="B1966" s="7" t="str">
        <f>"3171082108790001"</f>
        <v>3171082108790001</v>
      </c>
      <c r="C1966" s="7" t="s">
        <v>4009</v>
      </c>
      <c r="D1966" s="7" t="s">
        <v>10</v>
      </c>
      <c r="E1966" s="7" t="s">
        <v>57</v>
      </c>
      <c r="F1966" s="7" t="s">
        <v>50</v>
      </c>
      <c r="G1966" s="7" t="s">
        <v>58</v>
      </c>
      <c r="H1966" s="7" t="s">
        <v>59</v>
      </c>
      <c r="I1966" s="8" t="s">
        <v>60</v>
      </c>
    </row>
    <row r="1967" spans="1:12" hidden="1" x14ac:dyDescent="0.35">
      <c r="A1967" s="6">
        <v>208646</v>
      </c>
      <c r="B1967" s="7" t="str">
        <f>"3172041703840002"</f>
        <v>3172041703840002</v>
      </c>
      <c r="C1967" s="7" t="s">
        <v>4010</v>
      </c>
      <c r="D1967" s="7" t="s">
        <v>10</v>
      </c>
      <c r="E1967" s="7" t="s">
        <v>11</v>
      </c>
      <c r="F1967" s="7" t="s">
        <v>50</v>
      </c>
      <c r="G1967" s="7" t="s">
        <v>51</v>
      </c>
      <c r="H1967" s="7" t="s">
        <v>78</v>
      </c>
      <c r="I1967" s="8" t="s">
        <v>436</v>
      </c>
    </row>
    <row r="1968" spans="1:12" x14ac:dyDescent="0.35">
      <c r="A1968" s="6">
        <v>2328611</v>
      </c>
      <c r="B1968" s="7" t="str">
        <f>"3172041703840002"</f>
        <v>3172041703840002</v>
      </c>
      <c r="C1968" s="7" t="s">
        <v>4011</v>
      </c>
      <c r="D1968" s="7" t="s">
        <v>189</v>
      </c>
      <c r="E1968" s="7" t="s">
        <v>11</v>
      </c>
      <c r="F1968" s="7" t="s">
        <v>18</v>
      </c>
      <c r="G1968" s="7" t="s">
        <v>19</v>
      </c>
      <c r="H1968" s="7" t="s">
        <v>3354</v>
      </c>
      <c r="I1968" s="8" t="s">
        <v>307</v>
      </c>
      <c r="J1968" t="e">
        <f>VLOOKUP(B1968,baru!$B$2:$I$2271,4,FALSE)</f>
        <v>#N/A</v>
      </c>
      <c r="K1968" t="e">
        <f>VLOOKUP(B1968,baru!$B$2:$I$2271,5,FALSE)</f>
        <v>#N/A</v>
      </c>
      <c r="L1968" t="e">
        <f>VLOOKUP(B1968,baru!$B$2:$I$2271,6,FALSE)</f>
        <v>#N/A</v>
      </c>
    </row>
    <row r="1969" spans="1:9" hidden="1" x14ac:dyDescent="0.35">
      <c r="A1969" s="6">
        <v>957867</v>
      </c>
      <c r="B1969" s="7" t="str">
        <f>"3172046810760021"</f>
        <v>3172046810760021</v>
      </c>
      <c r="C1969" s="7" t="s">
        <v>2870</v>
      </c>
      <c r="D1969" s="7" t="s">
        <v>10</v>
      </c>
      <c r="E1969" s="7" t="s">
        <v>11</v>
      </c>
      <c r="F1969" s="7" t="s">
        <v>50</v>
      </c>
      <c r="G1969" s="7" t="s">
        <v>51</v>
      </c>
      <c r="H1969" s="7" t="s">
        <v>78</v>
      </c>
      <c r="I1969" s="8" t="s">
        <v>81</v>
      </c>
    </row>
    <row r="1970" spans="1:9" hidden="1" x14ac:dyDescent="0.35">
      <c r="A1970" s="6">
        <v>287709</v>
      </c>
      <c r="B1970" s="7" t="str">
        <f>"3173021111780005"</f>
        <v>3173021111780005</v>
      </c>
      <c r="C1970" s="7" t="s">
        <v>4013</v>
      </c>
      <c r="D1970" s="7" t="s">
        <v>10</v>
      </c>
      <c r="E1970" s="7" t="s">
        <v>11</v>
      </c>
      <c r="F1970" s="7" t="s">
        <v>50</v>
      </c>
      <c r="G1970" s="7" t="s">
        <v>86</v>
      </c>
      <c r="H1970" s="7" t="s">
        <v>205</v>
      </c>
      <c r="I1970" s="8" t="s">
        <v>2635</v>
      </c>
    </row>
    <row r="1971" spans="1:9" hidden="1" x14ac:dyDescent="0.35">
      <c r="A1971" s="6">
        <v>287710</v>
      </c>
      <c r="B1971" s="7" t="str">
        <f>"3173024501061001"</f>
        <v>3173024501061001</v>
      </c>
      <c r="C1971" s="7" t="s">
        <v>4015</v>
      </c>
      <c r="D1971" s="7" t="s">
        <v>10</v>
      </c>
      <c r="E1971" s="7" t="s">
        <v>11</v>
      </c>
      <c r="F1971" s="7" t="s">
        <v>50</v>
      </c>
      <c r="G1971" s="7" t="s">
        <v>86</v>
      </c>
      <c r="H1971" s="7" t="s">
        <v>205</v>
      </c>
      <c r="I1971" s="8" t="s">
        <v>2635</v>
      </c>
    </row>
    <row r="1972" spans="1:9" hidden="1" x14ac:dyDescent="0.35">
      <c r="A1972" s="6">
        <v>287708</v>
      </c>
      <c r="B1972" s="7" t="str">
        <f>"3173025101820008"</f>
        <v>3173025101820008</v>
      </c>
      <c r="C1972" s="7" t="s">
        <v>4016</v>
      </c>
      <c r="D1972" s="7" t="s">
        <v>10</v>
      </c>
      <c r="E1972" s="7" t="s">
        <v>11</v>
      </c>
      <c r="F1972" s="7" t="s">
        <v>50</v>
      </c>
      <c r="G1972" s="7" t="s">
        <v>86</v>
      </c>
      <c r="H1972" s="7" t="s">
        <v>205</v>
      </c>
      <c r="I1972" s="8" t="s">
        <v>2635</v>
      </c>
    </row>
    <row r="1973" spans="1:9" hidden="1" x14ac:dyDescent="0.35">
      <c r="A1973" s="6">
        <v>1941953</v>
      </c>
      <c r="B1973" s="7" t="str">
        <f>"3173040708820012"</f>
        <v>3173040708820012</v>
      </c>
      <c r="C1973" s="7" t="s">
        <v>4017</v>
      </c>
      <c r="D1973" s="7" t="s">
        <v>10</v>
      </c>
      <c r="E1973" s="7" t="s">
        <v>11</v>
      </c>
      <c r="F1973" s="7" t="s">
        <v>67</v>
      </c>
      <c r="G1973" s="7" t="s">
        <v>375</v>
      </c>
      <c r="H1973" s="7" t="s">
        <v>4018</v>
      </c>
      <c r="I1973" s="8" t="s">
        <v>4019</v>
      </c>
    </row>
    <row r="1974" spans="1:9" hidden="1" x14ac:dyDescent="0.35">
      <c r="A1974" s="6">
        <v>813193</v>
      </c>
      <c r="B1974" s="7" t="str">
        <f>"3174041605690010"</f>
        <v>3174041605690010</v>
      </c>
      <c r="C1974" s="7" t="s">
        <v>4020</v>
      </c>
      <c r="D1974" s="7" t="s">
        <v>10</v>
      </c>
      <c r="E1974" s="7" t="s">
        <v>11</v>
      </c>
      <c r="F1974" s="7" t="s">
        <v>50</v>
      </c>
      <c r="G1974" s="7" t="s">
        <v>72</v>
      </c>
      <c r="H1974" s="7" t="s">
        <v>73</v>
      </c>
      <c r="I1974" s="8" t="s">
        <v>74</v>
      </c>
    </row>
    <row r="1975" spans="1:9" hidden="1" x14ac:dyDescent="0.35">
      <c r="A1975" s="6">
        <v>878725</v>
      </c>
      <c r="B1975" s="7" t="str">
        <f>"3174051211640007"</f>
        <v>3174051211640007</v>
      </c>
      <c r="C1975" s="7" t="s">
        <v>4023</v>
      </c>
      <c r="D1975" s="7" t="s">
        <v>10</v>
      </c>
      <c r="E1975" s="7" t="s">
        <v>11</v>
      </c>
      <c r="F1975" s="7" t="s">
        <v>50</v>
      </c>
      <c r="G1975" s="7" t="s">
        <v>72</v>
      </c>
      <c r="H1975" s="7" t="s">
        <v>803</v>
      </c>
      <c r="I1975" s="8" t="s">
        <v>2866</v>
      </c>
    </row>
    <row r="1976" spans="1:9" hidden="1" x14ac:dyDescent="0.35">
      <c r="A1976" s="6">
        <v>2337056</v>
      </c>
      <c r="B1976" s="7" t="str">
        <f>"3216020806820018"</f>
        <v>3216020806820018</v>
      </c>
      <c r="C1976" s="7" t="s">
        <v>4024</v>
      </c>
      <c r="D1976" s="7" t="s">
        <v>10</v>
      </c>
      <c r="E1976" s="7" t="s">
        <v>11</v>
      </c>
      <c r="F1976" s="7" t="s">
        <v>91</v>
      </c>
      <c r="G1976" s="7" t="s">
        <v>92</v>
      </c>
      <c r="H1976" s="7" t="s">
        <v>93</v>
      </c>
      <c r="I1976" s="8" t="s">
        <v>4025</v>
      </c>
    </row>
    <row r="1977" spans="1:9" hidden="1" x14ac:dyDescent="0.35">
      <c r="A1977" s="6">
        <v>2337055</v>
      </c>
      <c r="B1977" s="7" t="str">
        <f>"3216025910840005"</f>
        <v>3216025910840005</v>
      </c>
      <c r="C1977" s="7" t="s">
        <v>4027</v>
      </c>
      <c r="D1977" s="7" t="s">
        <v>10</v>
      </c>
      <c r="E1977" s="7" t="s">
        <v>11</v>
      </c>
      <c r="F1977" s="7" t="s">
        <v>91</v>
      </c>
      <c r="G1977" s="7" t="s">
        <v>92</v>
      </c>
      <c r="H1977" s="7" t="s">
        <v>93</v>
      </c>
      <c r="I1977" s="8" t="s">
        <v>4025</v>
      </c>
    </row>
    <row r="1978" spans="1:9" hidden="1" x14ac:dyDescent="0.35">
      <c r="A1978" s="6">
        <v>359292</v>
      </c>
      <c r="B1978" s="7" t="str">
        <f>"3216081206710016"</f>
        <v>3216081206710016</v>
      </c>
      <c r="C1978" s="7" t="s">
        <v>4028</v>
      </c>
      <c r="D1978" s="7" t="s">
        <v>10</v>
      </c>
      <c r="E1978" s="7" t="s">
        <v>11</v>
      </c>
      <c r="F1978" s="7" t="s">
        <v>2889</v>
      </c>
      <c r="G1978" s="7" t="s">
        <v>4029</v>
      </c>
      <c r="H1978" s="7" t="s">
        <v>4030</v>
      </c>
      <c r="I1978" s="8" t="s">
        <v>4031</v>
      </c>
    </row>
    <row r="1979" spans="1:9" hidden="1" x14ac:dyDescent="0.35">
      <c r="A1979" s="6">
        <v>1544437</v>
      </c>
      <c r="B1979" s="7" t="str">
        <f>"3216094206690006"</f>
        <v>3216094206690006</v>
      </c>
      <c r="C1979" s="7" t="s">
        <v>4032</v>
      </c>
      <c r="D1979" s="7" t="s">
        <v>10</v>
      </c>
      <c r="E1979" s="7" t="s">
        <v>11</v>
      </c>
      <c r="F1979" s="7" t="s">
        <v>91</v>
      </c>
      <c r="G1979" s="7" t="s">
        <v>92</v>
      </c>
      <c r="H1979" s="7" t="s">
        <v>128</v>
      </c>
      <c r="I1979" s="8" t="s">
        <v>2066</v>
      </c>
    </row>
    <row r="1980" spans="1:9" hidden="1" x14ac:dyDescent="0.35">
      <c r="A1980" s="6">
        <v>2137738</v>
      </c>
      <c r="B1980" s="7" t="str">
        <f>"3216221112930004"</f>
        <v>3216221112930004</v>
      </c>
      <c r="C1980" s="7" t="s">
        <v>4034</v>
      </c>
      <c r="D1980" s="7" t="s">
        <v>10</v>
      </c>
      <c r="E1980" s="7" t="s">
        <v>11</v>
      </c>
      <c r="F1980" s="7" t="s">
        <v>91</v>
      </c>
      <c r="G1980" s="7" t="s">
        <v>92</v>
      </c>
      <c r="H1980" s="7" t="s">
        <v>4035</v>
      </c>
      <c r="I1980" s="8" t="s">
        <v>4036</v>
      </c>
    </row>
    <row r="1981" spans="1:9" hidden="1" x14ac:dyDescent="0.35">
      <c r="A1981" s="6">
        <v>683371</v>
      </c>
      <c r="B1981" s="7" t="str">
        <f>"3217070606650019"</f>
        <v>3217070606650019</v>
      </c>
      <c r="C1981" s="7" t="s">
        <v>4037</v>
      </c>
      <c r="D1981" s="7" t="s">
        <v>10</v>
      </c>
      <c r="E1981" s="7" t="s">
        <v>11</v>
      </c>
      <c r="F1981" s="7" t="s">
        <v>91</v>
      </c>
      <c r="G1981" s="7" t="s">
        <v>137</v>
      </c>
      <c r="H1981" s="7" t="s">
        <v>4038</v>
      </c>
      <c r="I1981" s="8" t="s">
        <v>4039</v>
      </c>
    </row>
    <row r="1982" spans="1:9" hidden="1" x14ac:dyDescent="0.35">
      <c r="A1982" s="6">
        <v>1948262</v>
      </c>
      <c r="B1982" s="7" t="str">
        <f>"3273151006600005"</f>
        <v>3273151006600005</v>
      </c>
      <c r="C1982" s="7" t="s">
        <v>4041</v>
      </c>
      <c r="D1982" s="7" t="s">
        <v>10</v>
      </c>
      <c r="E1982" s="7" t="s">
        <v>11</v>
      </c>
      <c r="F1982" s="7" t="s">
        <v>91</v>
      </c>
      <c r="G1982" s="7" t="s">
        <v>149</v>
      </c>
      <c r="H1982" s="7" t="s">
        <v>4042</v>
      </c>
      <c r="I1982" s="8" t="s">
        <v>4043</v>
      </c>
    </row>
    <row r="1983" spans="1:9" hidden="1" x14ac:dyDescent="0.35">
      <c r="A1983" s="6">
        <v>1435645</v>
      </c>
      <c r="B1983" s="7" t="str">
        <f>"3275041902780013"</f>
        <v>3275041902780013</v>
      </c>
      <c r="C1983" s="7" t="s">
        <v>4045</v>
      </c>
      <c r="D1983" s="7" t="s">
        <v>10</v>
      </c>
      <c r="E1983" s="7" t="s">
        <v>11</v>
      </c>
      <c r="F1983" s="7" t="s">
        <v>91</v>
      </c>
      <c r="G1983" s="7" t="s">
        <v>159</v>
      </c>
      <c r="H1983" s="7" t="s">
        <v>2614</v>
      </c>
      <c r="I1983" s="8" t="s">
        <v>2614</v>
      </c>
    </row>
    <row r="1984" spans="1:9" hidden="1" x14ac:dyDescent="0.35">
      <c r="A1984" s="6">
        <v>544937</v>
      </c>
      <c r="B1984" s="7" t="str">
        <f>"3276101104730005"</f>
        <v>3276101104730005</v>
      </c>
      <c r="C1984" s="7" t="s">
        <v>4047</v>
      </c>
      <c r="D1984" s="7" t="s">
        <v>10</v>
      </c>
      <c r="E1984" s="7" t="s">
        <v>11</v>
      </c>
      <c r="F1984" s="7" t="s">
        <v>91</v>
      </c>
      <c r="G1984" s="7" t="s">
        <v>903</v>
      </c>
      <c r="H1984" s="7" t="s">
        <v>938</v>
      </c>
      <c r="I1984" s="8" t="s">
        <v>4048</v>
      </c>
    </row>
    <row r="1985" spans="1:12" hidden="1" x14ac:dyDescent="0.35">
      <c r="A1985" s="6">
        <v>544940</v>
      </c>
      <c r="B1985" s="7" t="str">
        <f>"3276101208960002"</f>
        <v>3276101208960002</v>
      </c>
      <c r="C1985" s="7" t="s">
        <v>4050</v>
      </c>
      <c r="D1985" s="7" t="s">
        <v>10</v>
      </c>
      <c r="E1985" s="7" t="s">
        <v>11</v>
      </c>
      <c r="F1985" s="7" t="s">
        <v>91</v>
      </c>
      <c r="G1985" s="7" t="s">
        <v>903</v>
      </c>
      <c r="H1985" s="7" t="s">
        <v>938</v>
      </c>
      <c r="I1985" s="8" t="s">
        <v>4048</v>
      </c>
    </row>
    <row r="1986" spans="1:12" hidden="1" x14ac:dyDescent="0.35">
      <c r="A1986" s="6">
        <v>544938</v>
      </c>
      <c r="B1986" s="7" t="str">
        <f>"3276102311020004"</f>
        <v>3276102311020004</v>
      </c>
      <c r="C1986" s="7" t="s">
        <v>4051</v>
      </c>
      <c r="D1986" s="7" t="s">
        <v>10</v>
      </c>
      <c r="E1986" s="7" t="s">
        <v>11</v>
      </c>
      <c r="F1986" s="7" t="s">
        <v>91</v>
      </c>
      <c r="G1986" s="7" t="s">
        <v>903</v>
      </c>
      <c r="H1986" s="7" t="s">
        <v>938</v>
      </c>
      <c r="I1986" s="8" t="s">
        <v>4048</v>
      </c>
    </row>
    <row r="1987" spans="1:12" hidden="1" x14ac:dyDescent="0.35">
      <c r="A1987" s="6">
        <v>544939</v>
      </c>
      <c r="B1987" s="7" t="str">
        <f>"3276106209670001"</f>
        <v>3276106209670001</v>
      </c>
      <c r="C1987" s="7" t="s">
        <v>4052</v>
      </c>
      <c r="D1987" s="7" t="s">
        <v>10</v>
      </c>
      <c r="E1987" s="7" t="s">
        <v>11</v>
      </c>
      <c r="F1987" s="7" t="s">
        <v>91</v>
      </c>
      <c r="G1987" s="7" t="s">
        <v>903</v>
      </c>
      <c r="H1987" s="7" t="s">
        <v>938</v>
      </c>
      <c r="I1987" s="8" t="s">
        <v>4048</v>
      </c>
    </row>
    <row r="1988" spans="1:12" hidden="1" x14ac:dyDescent="0.35">
      <c r="A1988" s="6">
        <v>991204</v>
      </c>
      <c r="B1988" s="7" t="str">
        <f>"3303087008860002"</f>
        <v>3303087008860002</v>
      </c>
      <c r="C1988" s="7" t="s">
        <v>4053</v>
      </c>
      <c r="D1988" s="7" t="s">
        <v>10</v>
      </c>
      <c r="E1988" s="7" t="s">
        <v>11</v>
      </c>
      <c r="F1988" s="7" t="s">
        <v>18</v>
      </c>
      <c r="G1988" s="7" t="s">
        <v>1349</v>
      </c>
      <c r="H1988" s="7" t="s">
        <v>1350</v>
      </c>
      <c r="I1988" s="8" t="s">
        <v>4054</v>
      </c>
    </row>
    <row r="1989" spans="1:12" hidden="1" x14ac:dyDescent="0.35">
      <c r="A1989" s="13">
        <v>2363379</v>
      </c>
      <c r="B1989" s="14" t="str">
        <f>"3325035010870003"</f>
        <v>3325035010870003</v>
      </c>
      <c r="C1989" s="14" t="s">
        <v>4061</v>
      </c>
      <c r="D1989" s="14" t="s">
        <v>10</v>
      </c>
      <c r="E1989" s="14" t="s">
        <v>11</v>
      </c>
      <c r="F1989" s="14" t="s">
        <v>18</v>
      </c>
      <c r="G1989" s="14" t="s">
        <v>19</v>
      </c>
      <c r="H1989" s="14" t="s">
        <v>3354</v>
      </c>
      <c r="I1989" s="15" t="s">
        <v>1309</v>
      </c>
      <c r="J1989" s="16" t="str">
        <f>VLOOKUP(B1989,baru!$B$2:$I$2271,4,FALSE)</f>
        <v>Reguler</v>
      </c>
      <c r="K1989" s="16" t="str">
        <f>VLOOKUP(B1989,baru!$B$2:$I$2271,5,FALSE)</f>
        <v>JAWA TENGAH</v>
      </c>
      <c r="L1989" s="16" t="str">
        <f>VLOOKUP(B1989,baru!$B$2:$I$2271,6,FALSE)</f>
        <v>BATANG</v>
      </c>
    </row>
    <row r="1990" spans="1:12" hidden="1" x14ac:dyDescent="0.35">
      <c r="A1990" s="6">
        <v>380796</v>
      </c>
      <c r="B1990" s="7" t="str">
        <f>"3325131404890003"</f>
        <v>3325131404890003</v>
      </c>
      <c r="C1990" s="7" t="s">
        <v>4065</v>
      </c>
      <c r="D1990" s="7" t="s">
        <v>10</v>
      </c>
      <c r="E1990" s="7" t="s">
        <v>11</v>
      </c>
      <c r="F1990" s="7" t="s">
        <v>18</v>
      </c>
      <c r="G1990" s="7" t="s">
        <v>190</v>
      </c>
      <c r="H1990" s="7" t="s">
        <v>3801</v>
      </c>
      <c r="I1990" s="8" t="s">
        <v>4066</v>
      </c>
    </row>
    <row r="1991" spans="1:12" hidden="1" x14ac:dyDescent="0.35">
      <c r="A1991" s="13">
        <v>2201778</v>
      </c>
      <c r="B1991" s="14" t="str">
        <f>"3326120708790001"</f>
        <v>3326120708790001</v>
      </c>
      <c r="C1991" s="14" t="s">
        <v>4068</v>
      </c>
      <c r="D1991" s="14" t="s">
        <v>10</v>
      </c>
      <c r="E1991" s="14" t="s">
        <v>11</v>
      </c>
      <c r="F1991" s="14" t="s">
        <v>18</v>
      </c>
      <c r="G1991" s="14" t="s">
        <v>19</v>
      </c>
      <c r="H1991" s="14" t="s">
        <v>3354</v>
      </c>
      <c r="I1991" s="15" t="s">
        <v>1954</v>
      </c>
      <c r="J1991" s="16" t="str">
        <f>VLOOKUP(B1991,baru!$B$2:$I$2271,4,FALSE)</f>
        <v>Reguler</v>
      </c>
      <c r="K1991" s="16" t="str">
        <f>VLOOKUP(B1991,baru!$B$2:$I$2271,5,FALSE)</f>
        <v>JAWA TENGAH</v>
      </c>
      <c r="L1991" s="16" t="str">
        <f>VLOOKUP(B1991,baru!$B$2:$I$2271,6,FALSE)</f>
        <v>PEKALONGAN</v>
      </c>
    </row>
    <row r="1992" spans="1:12" hidden="1" x14ac:dyDescent="0.35">
      <c r="A1992" s="13">
        <v>2201779</v>
      </c>
      <c r="B1992" s="14" t="str">
        <f>"3327015712870001"</f>
        <v>3327015712870001</v>
      </c>
      <c r="C1992" s="14" t="s">
        <v>4070</v>
      </c>
      <c r="D1992" s="14" t="s">
        <v>10</v>
      </c>
      <c r="E1992" s="14" t="s">
        <v>11</v>
      </c>
      <c r="F1992" s="14" t="s">
        <v>18</v>
      </c>
      <c r="G1992" s="14" t="s">
        <v>19</v>
      </c>
      <c r="H1992" s="14" t="s">
        <v>3354</v>
      </c>
      <c r="I1992" s="15" t="s">
        <v>1954</v>
      </c>
      <c r="J1992" s="16" t="str">
        <f>VLOOKUP(B1992,baru!$B$2:$I$2271,4,FALSE)</f>
        <v>Reguler</v>
      </c>
      <c r="K1992" s="16" t="str">
        <f>VLOOKUP(B1992,baru!$B$2:$I$2271,5,FALSE)</f>
        <v>JAWA TENGAH</v>
      </c>
      <c r="L1992" s="16" t="str">
        <f>VLOOKUP(B1992,baru!$B$2:$I$2271,6,FALSE)</f>
        <v>PEKALONGAN</v>
      </c>
    </row>
    <row r="1993" spans="1:12" hidden="1" x14ac:dyDescent="0.35">
      <c r="A1993" s="13">
        <v>2279149</v>
      </c>
      <c r="B1993" s="14" t="str">
        <f>"3327022506960001"</f>
        <v>3327022506960001</v>
      </c>
      <c r="C1993" s="14" t="s">
        <v>2920</v>
      </c>
      <c r="D1993" s="14" t="s">
        <v>10</v>
      </c>
      <c r="E1993" s="14" t="s">
        <v>11</v>
      </c>
      <c r="F1993" s="14" t="s">
        <v>18</v>
      </c>
      <c r="G1993" s="14" t="s">
        <v>19</v>
      </c>
      <c r="H1993" s="14" t="s">
        <v>3354</v>
      </c>
      <c r="I1993" s="15" t="s">
        <v>4040</v>
      </c>
      <c r="J1993" s="16" t="str">
        <f>VLOOKUP(B1993,baru!$B$2:$I$2271,4,FALSE)</f>
        <v>Reguler</v>
      </c>
      <c r="K1993" s="16" t="str">
        <f>VLOOKUP(B1993,baru!$B$2:$I$2271,5,FALSE)</f>
        <v>JAWA TENGAH</v>
      </c>
      <c r="L1993" s="16" t="str">
        <f>VLOOKUP(B1993,baru!$B$2:$I$2271,6,FALSE)</f>
        <v>PEMALANG</v>
      </c>
    </row>
    <row r="1994" spans="1:12" hidden="1" x14ac:dyDescent="0.35">
      <c r="A1994" s="6">
        <v>2003695</v>
      </c>
      <c r="B1994" s="7" t="str">
        <f>"3327104612950001"</f>
        <v>3327104612950001</v>
      </c>
      <c r="C1994" s="7" t="s">
        <v>4073</v>
      </c>
      <c r="D1994" s="7" t="s">
        <v>10</v>
      </c>
      <c r="E1994" s="7" t="s">
        <v>11</v>
      </c>
      <c r="F1994" s="7" t="s">
        <v>18</v>
      </c>
      <c r="G1994" s="7" t="s">
        <v>199</v>
      </c>
      <c r="H1994" s="7" t="s">
        <v>200</v>
      </c>
      <c r="I1994" s="8" t="s">
        <v>4074</v>
      </c>
    </row>
    <row r="1995" spans="1:12" hidden="1" x14ac:dyDescent="0.35">
      <c r="A1995" s="6">
        <v>2200785</v>
      </c>
      <c r="B1995" s="7" t="str">
        <f>"3328113011040005"</f>
        <v>3328113011040005</v>
      </c>
      <c r="C1995" s="7" t="s">
        <v>4080</v>
      </c>
      <c r="D1995" s="7" t="s">
        <v>10</v>
      </c>
      <c r="E1995" s="7" t="s">
        <v>11</v>
      </c>
      <c r="F1995" s="7" t="s">
        <v>18</v>
      </c>
      <c r="G1995" s="7" t="s">
        <v>19</v>
      </c>
      <c r="H1995" s="7" t="s">
        <v>3354</v>
      </c>
      <c r="I1995" s="8" t="s">
        <v>1954</v>
      </c>
      <c r="J1995" t="e">
        <f>VLOOKUP(B1995,baru!$B$2:$I$2271,4,FALSE)</f>
        <v>#N/A</v>
      </c>
      <c r="K1995" t="e">
        <f>VLOOKUP(B1995,baru!$B$2:$I$2271,5,FALSE)</f>
        <v>#N/A</v>
      </c>
      <c r="L1995" t="e">
        <f>VLOOKUP(B1995,baru!$B$2:$I$2271,6,FALSE)</f>
        <v>#N/A</v>
      </c>
    </row>
    <row r="1996" spans="1:12" hidden="1" x14ac:dyDescent="0.35">
      <c r="A1996" s="6">
        <v>1350426</v>
      </c>
      <c r="B1996" s="7" t="str">
        <f>"3328113011040005"</f>
        <v>3328113011040005</v>
      </c>
      <c r="C1996" s="7" t="s">
        <v>4081</v>
      </c>
      <c r="D1996" s="7" t="s">
        <v>10</v>
      </c>
      <c r="E1996" s="7" t="s">
        <v>57</v>
      </c>
      <c r="F1996" s="7" t="s">
        <v>303</v>
      </c>
      <c r="G1996" s="7" t="s">
        <v>608</v>
      </c>
      <c r="H1996" s="7" t="s">
        <v>609</v>
      </c>
      <c r="I1996" s="8" t="s">
        <v>610</v>
      </c>
    </row>
    <row r="1997" spans="1:12" hidden="1" x14ac:dyDescent="0.35">
      <c r="A1997" s="6">
        <v>217801</v>
      </c>
      <c r="B1997" s="7" t="str">
        <f>"3328120107940086"</f>
        <v>3328120107940086</v>
      </c>
      <c r="C1997" s="7" t="s">
        <v>4082</v>
      </c>
      <c r="D1997" s="7" t="s">
        <v>10</v>
      </c>
      <c r="E1997" s="7" t="s">
        <v>11</v>
      </c>
      <c r="F1997" s="7" t="s">
        <v>18</v>
      </c>
      <c r="G1997" s="7" t="s">
        <v>268</v>
      </c>
      <c r="H1997" s="7" t="s">
        <v>371</v>
      </c>
      <c r="I1997" s="8" t="s">
        <v>2772</v>
      </c>
    </row>
    <row r="1998" spans="1:12" x14ac:dyDescent="0.35">
      <c r="A1998" s="6">
        <v>2335314</v>
      </c>
      <c r="B1998" s="7" t="str">
        <f>"3328120109620008"</f>
        <v>3328120109620008</v>
      </c>
      <c r="C1998" s="7" t="s">
        <v>4084</v>
      </c>
      <c r="D1998" s="7" t="s">
        <v>189</v>
      </c>
      <c r="E1998" s="7" t="s">
        <v>11</v>
      </c>
      <c r="F1998" s="7" t="s">
        <v>18</v>
      </c>
      <c r="G1998" s="7" t="s">
        <v>19</v>
      </c>
      <c r="H1998" s="7" t="s">
        <v>3354</v>
      </c>
      <c r="I1998" s="8" t="s">
        <v>4026</v>
      </c>
      <c r="J1998" t="e">
        <f>VLOOKUP(B1998,baru!$B$2:$I$2271,4,FALSE)</f>
        <v>#N/A</v>
      </c>
      <c r="K1998" t="e">
        <f>VLOOKUP(B1998,baru!$B$2:$I$2271,5,FALSE)</f>
        <v>#N/A</v>
      </c>
      <c r="L1998" t="e">
        <f>VLOOKUP(B1998,baru!$B$2:$I$2271,6,FALSE)</f>
        <v>#N/A</v>
      </c>
    </row>
    <row r="1999" spans="1:12" hidden="1" x14ac:dyDescent="0.35">
      <c r="A1999" s="6">
        <v>2419097</v>
      </c>
      <c r="B1999" s="7" t="str">
        <f>"3328120109620008"</f>
        <v>3328120109620008</v>
      </c>
      <c r="C1999" s="7" t="s">
        <v>4085</v>
      </c>
      <c r="D1999" s="7" t="s">
        <v>10</v>
      </c>
      <c r="E1999" s="7" t="s">
        <v>57</v>
      </c>
      <c r="F1999" s="7" t="s">
        <v>50</v>
      </c>
      <c r="G1999" s="7" t="s">
        <v>58</v>
      </c>
      <c r="H1999" s="7" t="s">
        <v>59</v>
      </c>
      <c r="I1999" s="8" t="s">
        <v>60</v>
      </c>
    </row>
    <row r="2000" spans="1:12" hidden="1" x14ac:dyDescent="0.35">
      <c r="A2000" s="6">
        <v>2237688</v>
      </c>
      <c r="B2000" s="7" t="str">
        <f>"3328120202030012"</f>
        <v>3328120202030012</v>
      </c>
      <c r="C2000" s="7" t="s">
        <v>4086</v>
      </c>
      <c r="D2000" s="7" t="s">
        <v>10</v>
      </c>
      <c r="E2000" s="7" t="s">
        <v>11</v>
      </c>
      <c r="F2000" s="7" t="s">
        <v>18</v>
      </c>
      <c r="G2000" s="7" t="s">
        <v>19</v>
      </c>
      <c r="H2000" s="7" t="s">
        <v>3354</v>
      </c>
      <c r="I2000" s="8" t="s">
        <v>613</v>
      </c>
      <c r="J2000" t="e">
        <f>VLOOKUP(B2000,baru!$B$2:$I$2271,4,FALSE)</f>
        <v>#N/A</v>
      </c>
      <c r="K2000" t="e">
        <f>VLOOKUP(B2000,baru!$B$2:$I$2271,5,FALSE)</f>
        <v>#N/A</v>
      </c>
      <c r="L2000" t="e">
        <f>VLOOKUP(B2000,baru!$B$2:$I$2271,6,FALSE)</f>
        <v>#N/A</v>
      </c>
    </row>
    <row r="2001" spans="1:12" hidden="1" x14ac:dyDescent="0.35">
      <c r="A2001" s="6">
        <v>1350419</v>
      </c>
      <c r="B2001" s="7" t="str">
        <f>"3328120202030012"</f>
        <v>3328120202030012</v>
      </c>
      <c r="C2001" s="7" t="s">
        <v>4086</v>
      </c>
      <c r="D2001" s="7" t="s">
        <v>10</v>
      </c>
      <c r="E2001" s="7" t="s">
        <v>57</v>
      </c>
      <c r="F2001" s="7" t="s">
        <v>303</v>
      </c>
      <c r="G2001" s="7" t="s">
        <v>608</v>
      </c>
      <c r="H2001" s="7" t="s">
        <v>609</v>
      </c>
      <c r="I2001" s="8" t="s">
        <v>610</v>
      </c>
    </row>
    <row r="2002" spans="1:12" hidden="1" x14ac:dyDescent="0.35">
      <c r="A2002" s="13">
        <v>2224516</v>
      </c>
      <c r="B2002" s="14" t="str">
        <f>"3328120211770003"</f>
        <v>3328120211770003</v>
      </c>
      <c r="C2002" s="14" t="s">
        <v>1813</v>
      </c>
      <c r="D2002" s="14" t="s">
        <v>10</v>
      </c>
      <c r="E2002" s="14" t="s">
        <v>11</v>
      </c>
      <c r="F2002" s="14" t="s">
        <v>18</v>
      </c>
      <c r="G2002" s="14" t="s">
        <v>19</v>
      </c>
      <c r="H2002" s="14" t="s">
        <v>3354</v>
      </c>
      <c r="I2002" s="15" t="s">
        <v>4003</v>
      </c>
      <c r="J2002" s="16" t="str">
        <f>VLOOKUP(B2002,baru!$B$2:$I$2271,4,FALSE)</f>
        <v>Reguler</v>
      </c>
      <c r="K2002" s="16" t="str">
        <f>VLOOKUP(B2002,baru!$B$2:$I$2271,5,FALSE)</f>
        <v>JAWA TENGAH</v>
      </c>
      <c r="L2002" s="16" t="str">
        <f>VLOOKUP(B2002,baru!$B$2:$I$2271,6,FALSE)</f>
        <v>KOTA TEGAL</v>
      </c>
    </row>
    <row r="2003" spans="1:12" hidden="1" x14ac:dyDescent="0.35">
      <c r="A2003" s="6">
        <v>1877083</v>
      </c>
      <c r="B2003" s="7" t="str">
        <f>"3328120307920006"</f>
        <v>3328120307920006</v>
      </c>
      <c r="C2003" s="7" t="s">
        <v>4088</v>
      </c>
      <c r="D2003" s="7" t="s">
        <v>10</v>
      </c>
      <c r="E2003" s="7" t="s">
        <v>11</v>
      </c>
      <c r="F2003" s="7" t="s">
        <v>303</v>
      </c>
      <c r="G2003" s="7" t="s">
        <v>1808</v>
      </c>
      <c r="H2003" s="7" t="s">
        <v>4089</v>
      </c>
      <c r="I2003" s="8" t="s">
        <v>4090</v>
      </c>
    </row>
    <row r="2004" spans="1:12" hidden="1" x14ac:dyDescent="0.35">
      <c r="A2004" s="6">
        <v>2462755</v>
      </c>
      <c r="B2004" s="7" t="str">
        <f>"3328120308910002"</f>
        <v>3328120308910002</v>
      </c>
      <c r="C2004" s="7" t="s">
        <v>4091</v>
      </c>
      <c r="D2004" s="7" t="s">
        <v>10</v>
      </c>
      <c r="E2004" s="7" t="s">
        <v>11</v>
      </c>
      <c r="F2004" s="7" t="s">
        <v>18</v>
      </c>
      <c r="G2004" s="7" t="s">
        <v>19</v>
      </c>
      <c r="H2004" s="7" t="s">
        <v>3354</v>
      </c>
      <c r="I2004" s="8" t="s">
        <v>4008</v>
      </c>
      <c r="J2004" t="e">
        <f>VLOOKUP(B2004,baru!$B$2:$I$2271,4,FALSE)</f>
        <v>#N/A</v>
      </c>
      <c r="K2004" t="e">
        <f>VLOOKUP(B2004,baru!$B$2:$I$2271,5,FALSE)</f>
        <v>#N/A</v>
      </c>
      <c r="L2004" t="e">
        <f>VLOOKUP(B2004,baru!$B$2:$I$2271,6,FALSE)</f>
        <v>#N/A</v>
      </c>
    </row>
    <row r="2005" spans="1:12" hidden="1" x14ac:dyDescent="0.35">
      <c r="A2005" s="6">
        <v>2662273</v>
      </c>
      <c r="B2005" s="7" t="str">
        <f>"3328120308910002"</f>
        <v>3328120308910002</v>
      </c>
      <c r="C2005" s="7" t="s">
        <v>4092</v>
      </c>
      <c r="D2005" s="7" t="s">
        <v>10</v>
      </c>
      <c r="E2005" s="7" t="s">
        <v>57</v>
      </c>
      <c r="F2005" s="7" t="s">
        <v>18</v>
      </c>
      <c r="G2005" s="7" t="s">
        <v>199</v>
      </c>
      <c r="H2005" s="7" t="s">
        <v>199</v>
      </c>
      <c r="I2005" s="8" t="s">
        <v>839</v>
      </c>
    </row>
    <row r="2006" spans="1:12" hidden="1" x14ac:dyDescent="0.35">
      <c r="A2006" s="6">
        <v>2330234</v>
      </c>
      <c r="B2006" s="7" t="str">
        <f>"3328120312020015"</f>
        <v>3328120312020015</v>
      </c>
      <c r="C2006" s="7" t="s">
        <v>4093</v>
      </c>
      <c r="D2006" s="7" t="s">
        <v>10</v>
      </c>
      <c r="E2006" s="7" t="s">
        <v>11</v>
      </c>
      <c r="F2006" s="7" t="s">
        <v>18</v>
      </c>
      <c r="G2006" s="7" t="s">
        <v>19</v>
      </c>
      <c r="H2006" s="7" t="s">
        <v>3354</v>
      </c>
      <c r="I2006" s="8" t="s">
        <v>307</v>
      </c>
      <c r="J2006" t="e">
        <f>VLOOKUP(B2006,baru!$B$2:$I$2271,4,FALSE)</f>
        <v>#N/A</v>
      </c>
      <c r="K2006" t="e">
        <f>VLOOKUP(B2006,baru!$B$2:$I$2271,5,FALSE)</f>
        <v>#N/A</v>
      </c>
      <c r="L2006" t="e">
        <f>VLOOKUP(B2006,baru!$B$2:$I$2271,6,FALSE)</f>
        <v>#N/A</v>
      </c>
    </row>
    <row r="2007" spans="1:12" hidden="1" x14ac:dyDescent="0.35">
      <c r="A2007" s="6">
        <v>1350423</v>
      </c>
      <c r="B2007" s="7" t="str">
        <f>"3328120312020015"</f>
        <v>3328120312020015</v>
      </c>
      <c r="C2007" s="7" t="s">
        <v>4093</v>
      </c>
      <c r="D2007" s="7" t="s">
        <v>10</v>
      </c>
      <c r="E2007" s="7" t="s">
        <v>57</v>
      </c>
      <c r="F2007" s="7" t="s">
        <v>303</v>
      </c>
      <c r="G2007" s="7" t="s">
        <v>608</v>
      </c>
      <c r="H2007" s="7" t="s">
        <v>609</v>
      </c>
      <c r="I2007" s="8" t="s">
        <v>610</v>
      </c>
    </row>
    <row r="2008" spans="1:12" hidden="1" x14ac:dyDescent="0.35">
      <c r="A2008" s="13">
        <v>2227910</v>
      </c>
      <c r="B2008" s="14" t="str">
        <f>"3328120402480001"</f>
        <v>3328120402480001</v>
      </c>
      <c r="C2008" s="14" t="s">
        <v>508</v>
      </c>
      <c r="D2008" s="14" t="s">
        <v>10</v>
      </c>
      <c r="E2008" s="14" t="s">
        <v>11</v>
      </c>
      <c r="F2008" s="14" t="s">
        <v>18</v>
      </c>
      <c r="G2008" s="14" t="s">
        <v>19</v>
      </c>
      <c r="H2008" s="14" t="s">
        <v>3354</v>
      </c>
      <c r="I2008" s="15" t="s">
        <v>4049</v>
      </c>
      <c r="J2008" s="16" t="str">
        <f>VLOOKUP(B2008,baru!$B$2:$I$2271,4,FALSE)</f>
        <v>Reguler</v>
      </c>
      <c r="K2008" s="16" t="str">
        <f>VLOOKUP(B2008,baru!$B$2:$I$2271,5,FALSE)</f>
        <v>DKI JAKARTA</v>
      </c>
      <c r="L2008" s="16" t="str">
        <f>VLOOKUP(B2008,baru!$B$2:$I$2271,6,FALSE)</f>
        <v>KOTA JAKARTA UTARA</v>
      </c>
    </row>
    <row r="2009" spans="1:12" hidden="1" x14ac:dyDescent="0.35">
      <c r="A2009" s="13">
        <v>2194637</v>
      </c>
      <c r="B2009" s="14" t="str">
        <f>"3328120410830002"</f>
        <v>3328120410830002</v>
      </c>
      <c r="C2009" s="14" t="s">
        <v>4097</v>
      </c>
      <c r="D2009" s="14" t="s">
        <v>10</v>
      </c>
      <c r="E2009" s="14" t="s">
        <v>11</v>
      </c>
      <c r="F2009" s="14" t="s">
        <v>18</v>
      </c>
      <c r="G2009" s="14" t="s">
        <v>19</v>
      </c>
      <c r="H2009" s="14" t="s">
        <v>3354</v>
      </c>
      <c r="I2009" s="15" t="s">
        <v>4098</v>
      </c>
      <c r="J2009" s="16" t="str">
        <f>VLOOKUP(B2009,baru!$B$2:$I$2271,4,FALSE)</f>
        <v>Reguler</v>
      </c>
      <c r="K2009" s="16" t="str">
        <f>VLOOKUP(B2009,baru!$B$2:$I$2271,5,FALSE)</f>
        <v>JAWA TENGAH</v>
      </c>
      <c r="L2009" s="16" t="str">
        <f>VLOOKUP(B2009,baru!$B$2:$I$2271,6,FALSE)</f>
        <v>BREBES</v>
      </c>
    </row>
    <row r="2010" spans="1:12" hidden="1" x14ac:dyDescent="0.35">
      <c r="A2010" s="6">
        <v>53327</v>
      </c>
      <c r="B2010" s="7" t="str">
        <f>"3328120503940003"</f>
        <v>3328120503940003</v>
      </c>
      <c r="C2010" s="7" t="s">
        <v>4099</v>
      </c>
      <c r="D2010" s="7" t="s">
        <v>10</v>
      </c>
      <c r="E2010" s="7" t="s">
        <v>11</v>
      </c>
      <c r="F2010" s="7" t="s">
        <v>1374</v>
      </c>
      <c r="G2010" s="7" t="s">
        <v>1375</v>
      </c>
      <c r="H2010" s="7" t="s">
        <v>1376</v>
      </c>
      <c r="I2010" s="8" t="s">
        <v>1377</v>
      </c>
    </row>
    <row r="2011" spans="1:12" hidden="1" x14ac:dyDescent="0.35">
      <c r="A2011" s="6">
        <v>315246</v>
      </c>
      <c r="B2011" s="7" t="str">
        <f>"3328120511920008"</f>
        <v>3328120511920008</v>
      </c>
      <c r="C2011" s="7" t="s">
        <v>4100</v>
      </c>
      <c r="D2011" s="7" t="s">
        <v>10</v>
      </c>
      <c r="E2011" s="7" t="s">
        <v>11</v>
      </c>
      <c r="F2011" s="7" t="s">
        <v>18</v>
      </c>
      <c r="G2011" s="7" t="s">
        <v>268</v>
      </c>
      <c r="H2011" s="7" t="s">
        <v>269</v>
      </c>
      <c r="I2011" s="8" t="s">
        <v>1662</v>
      </c>
    </row>
    <row r="2012" spans="1:12" hidden="1" x14ac:dyDescent="0.35">
      <c r="A2012" s="6">
        <v>179322</v>
      </c>
      <c r="B2012" s="7" t="str">
        <f>"3328120610870001"</f>
        <v>3328120610870001</v>
      </c>
      <c r="C2012" s="7" t="s">
        <v>4102</v>
      </c>
      <c r="D2012" s="7" t="s">
        <v>10</v>
      </c>
      <c r="E2012" s="7" t="s">
        <v>11</v>
      </c>
      <c r="F2012" s="7" t="s">
        <v>18</v>
      </c>
      <c r="G2012" s="7" t="s">
        <v>264</v>
      </c>
      <c r="H2012" s="7" t="s">
        <v>477</v>
      </c>
      <c r="I2012" s="8" t="s">
        <v>478</v>
      </c>
    </row>
    <row r="2013" spans="1:12" hidden="1" x14ac:dyDescent="0.35">
      <c r="A2013" s="6">
        <v>2330653</v>
      </c>
      <c r="B2013" s="7" t="str">
        <f>"3328120705010011"</f>
        <v>3328120705010011</v>
      </c>
      <c r="C2013" s="7" t="s">
        <v>4103</v>
      </c>
      <c r="D2013" s="7" t="s">
        <v>10</v>
      </c>
      <c r="E2013" s="7" t="s">
        <v>11</v>
      </c>
      <c r="F2013" s="7" t="s">
        <v>18</v>
      </c>
      <c r="G2013" s="7" t="s">
        <v>19</v>
      </c>
      <c r="H2013" s="7" t="s">
        <v>3354</v>
      </c>
      <c r="I2013" s="8" t="s">
        <v>307</v>
      </c>
      <c r="J2013" t="e">
        <f>VLOOKUP(B2013,baru!$B$2:$I$2271,4,FALSE)</f>
        <v>#N/A</v>
      </c>
      <c r="K2013" t="e">
        <f>VLOOKUP(B2013,baru!$B$2:$I$2271,5,FALSE)</f>
        <v>#N/A</v>
      </c>
      <c r="L2013" t="e">
        <f>VLOOKUP(B2013,baru!$B$2:$I$2271,6,FALSE)</f>
        <v>#N/A</v>
      </c>
    </row>
    <row r="2014" spans="1:12" hidden="1" x14ac:dyDescent="0.35">
      <c r="A2014" s="6">
        <v>1350422</v>
      </c>
      <c r="B2014" s="7" t="str">
        <f>"3328120705010011"</f>
        <v>3328120705010011</v>
      </c>
      <c r="C2014" s="7" t="s">
        <v>4104</v>
      </c>
      <c r="D2014" s="7" t="s">
        <v>10</v>
      </c>
      <c r="E2014" s="7" t="s">
        <v>57</v>
      </c>
      <c r="F2014" s="7" t="s">
        <v>303</v>
      </c>
      <c r="G2014" s="7" t="s">
        <v>608</v>
      </c>
      <c r="H2014" s="7" t="s">
        <v>609</v>
      </c>
      <c r="I2014" s="8" t="s">
        <v>610</v>
      </c>
    </row>
    <row r="2015" spans="1:12" hidden="1" x14ac:dyDescent="0.35">
      <c r="A2015" s="17">
        <v>2339169</v>
      </c>
      <c r="B2015" s="18" t="str">
        <f>"3328120705950001"</f>
        <v>3328120705950001</v>
      </c>
      <c r="C2015" s="18" t="s">
        <v>4105</v>
      </c>
      <c r="D2015" s="18" t="s">
        <v>10</v>
      </c>
      <c r="E2015" s="18" t="s">
        <v>11</v>
      </c>
      <c r="F2015" s="18" t="s">
        <v>18</v>
      </c>
      <c r="G2015" s="18" t="s">
        <v>19</v>
      </c>
      <c r="H2015" s="18" t="s">
        <v>3354</v>
      </c>
      <c r="I2015" s="19" t="s">
        <v>4026</v>
      </c>
      <c r="J2015" s="20" t="str">
        <f>VLOOKUP(B2015,baru!$B$2:$I$2271,4,FALSE)</f>
        <v>Khusus</v>
      </c>
      <c r="K2015" s="20" t="str">
        <f>VLOOKUP(B2015,baru!$B$2:$I$2271,5,FALSE)</f>
        <v>JAWA TENGAH</v>
      </c>
      <c r="L2015" s="20" t="str">
        <f>VLOOKUP(B2015,baru!$B$2:$I$2271,6,FALSE)</f>
        <v>KOTA PEKALONGAN</v>
      </c>
    </row>
    <row r="2016" spans="1:12" hidden="1" x14ac:dyDescent="0.35">
      <c r="A2016" s="6">
        <v>501974</v>
      </c>
      <c r="B2016" s="7" t="str">
        <f>"3328120710840002"</f>
        <v>3328120710840002</v>
      </c>
      <c r="C2016" s="7" t="s">
        <v>4109</v>
      </c>
      <c r="D2016" s="7" t="s">
        <v>10</v>
      </c>
      <c r="E2016" s="7" t="s">
        <v>11</v>
      </c>
      <c r="F2016" s="7" t="s">
        <v>18</v>
      </c>
      <c r="G2016" s="7" t="s">
        <v>264</v>
      </c>
      <c r="H2016" s="7" t="s">
        <v>877</v>
      </c>
      <c r="I2016" s="8" t="s">
        <v>4110</v>
      </c>
    </row>
    <row r="2017" spans="1:12" hidden="1" x14ac:dyDescent="0.35">
      <c r="A2017" s="6">
        <v>1350420</v>
      </c>
      <c r="B2017" s="7" t="str">
        <f>"3328120909040002"</f>
        <v>3328120909040002</v>
      </c>
      <c r="C2017" s="7" t="s">
        <v>4113</v>
      </c>
      <c r="D2017" s="7" t="s">
        <v>10</v>
      </c>
      <c r="E2017" s="7" t="s">
        <v>57</v>
      </c>
      <c r="F2017" s="7" t="s">
        <v>303</v>
      </c>
      <c r="G2017" s="7" t="s">
        <v>608</v>
      </c>
      <c r="H2017" s="7" t="s">
        <v>609</v>
      </c>
      <c r="I2017" s="8" t="s">
        <v>610</v>
      </c>
    </row>
    <row r="2018" spans="1:12" x14ac:dyDescent="0.35">
      <c r="A2018" s="13">
        <v>2280142</v>
      </c>
      <c r="B2018" s="14" t="str">
        <f>"3328121103990005"</f>
        <v>3328121103990005</v>
      </c>
      <c r="C2018" s="14" t="s">
        <v>4115</v>
      </c>
      <c r="D2018" s="14" t="s">
        <v>189</v>
      </c>
      <c r="E2018" s="14" t="s">
        <v>11</v>
      </c>
      <c r="F2018" s="14" t="s">
        <v>18</v>
      </c>
      <c r="G2018" s="14" t="s">
        <v>19</v>
      </c>
      <c r="H2018" s="14" t="s">
        <v>3354</v>
      </c>
      <c r="I2018" s="15" t="s">
        <v>4040</v>
      </c>
      <c r="J2018" s="16" t="str">
        <f>VLOOKUP(B2018,baru!$B$2:$I$2271,4,FALSE)</f>
        <v>Reguler</v>
      </c>
      <c r="K2018" s="16" t="str">
        <f>VLOOKUP(B2018,baru!$B$2:$I$2271,5,FALSE)</f>
        <v>JAWA TENGAH</v>
      </c>
      <c r="L2018" s="16" t="str">
        <f>VLOOKUP(B2018,baru!$B$2:$I$2271,6,FALSE)</f>
        <v>KOTA TEGAL</v>
      </c>
    </row>
    <row r="2019" spans="1:12" x14ac:dyDescent="0.35">
      <c r="A2019" s="13">
        <v>2434437</v>
      </c>
      <c r="B2019" s="14" t="str">
        <f>"3328121109950004"</f>
        <v>3328121109950004</v>
      </c>
      <c r="C2019" s="14" t="s">
        <v>4116</v>
      </c>
      <c r="D2019" s="14" t="s">
        <v>189</v>
      </c>
      <c r="E2019" s="14" t="s">
        <v>11</v>
      </c>
      <c r="F2019" s="14" t="s">
        <v>18</v>
      </c>
      <c r="G2019" s="14" t="s">
        <v>19</v>
      </c>
      <c r="H2019" s="14" t="s">
        <v>3354</v>
      </c>
      <c r="I2019" s="15" t="s">
        <v>3999</v>
      </c>
      <c r="J2019" s="16" t="str">
        <f>VLOOKUP(B2019,baru!$B$2:$I$2271,4,FALSE)</f>
        <v>Reguler</v>
      </c>
      <c r="K2019" s="16" t="str">
        <f>VLOOKUP(B2019,baru!$B$2:$I$2271,5,FALSE)</f>
        <v>JAWA TENGAH</v>
      </c>
      <c r="L2019" s="16" t="str">
        <f>VLOOKUP(B2019,baru!$B$2:$I$2271,6,FALSE)</f>
        <v>KOTA SEMARANG</v>
      </c>
    </row>
    <row r="2020" spans="1:12" hidden="1" x14ac:dyDescent="0.35">
      <c r="A2020" s="13">
        <v>2186363</v>
      </c>
      <c r="B2020" s="14" t="str">
        <f>"3328121110940007"</f>
        <v>3328121110940007</v>
      </c>
      <c r="C2020" s="14" t="s">
        <v>4118</v>
      </c>
      <c r="D2020" s="14" t="s">
        <v>10</v>
      </c>
      <c r="E2020" s="14" t="s">
        <v>11</v>
      </c>
      <c r="F2020" s="14" t="s">
        <v>18</v>
      </c>
      <c r="G2020" s="14" t="s">
        <v>19</v>
      </c>
      <c r="H2020" s="14" t="s">
        <v>3354</v>
      </c>
      <c r="I2020" s="15" t="s">
        <v>4012</v>
      </c>
      <c r="J2020" s="16" t="str">
        <f>VLOOKUP(B2020,baru!$B$2:$I$2271,4,FALSE)</f>
        <v>Reguler</v>
      </c>
      <c r="K2020" s="16" t="str">
        <f>VLOOKUP(B2020,baru!$B$2:$I$2271,5,FALSE)</f>
        <v>JAWA TENGAH</v>
      </c>
      <c r="L2020" s="16" t="str">
        <f>VLOOKUP(B2020,baru!$B$2:$I$2271,6,FALSE)</f>
        <v>KOTA TEGAL</v>
      </c>
    </row>
    <row r="2021" spans="1:12" hidden="1" x14ac:dyDescent="0.35">
      <c r="A2021" s="6">
        <v>423670</v>
      </c>
      <c r="B2021" s="7" t="str">
        <f>"3328121111990001"</f>
        <v>3328121111990001</v>
      </c>
      <c r="C2021" s="7" t="s">
        <v>4121</v>
      </c>
      <c r="D2021" s="7" t="s">
        <v>10</v>
      </c>
      <c r="E2021" s="7" t="s">
        <v>57</v>
      </c>
      <c r="F2021" s="7" t="s">
        <v>18</v>
      </c>
      <c r="G2021" s="7" t="s">
        <v>268</v>
      </c>
      <c r="H2021" s="7" t="s">
        <v>277</v>
      </c>
      <c r="I2021" s="8" t="s">
        <v>278</v>
      </c>
    </row>
    <row r="2022" spans="1:12" x14ac:dyDescent="0.35">
      <c r="A2022" s="6">
        <v>2187742</v>
      </c>
      <c r="B2022" s="7" t="str">
        <f>"3328121201010004"</f>
        <v>3328121201010004</v>
      </c>
      <c r="C2022" s="7" t="s">
        <v>4122</v>
      </c>
      <c r="D2022" s="7" t="s">
        <v>189</v>
      </c>
      <c r="E2022" s="7" t="s">
        <v>11</v>
      </c>
      <c r="F2022" s="7" t="s">
        <v>18</v>
      </c>
      <c r="G2022" s="7" t="s">
        <v>19</v>
      </c>
      <c r="H2022" s="7" t="s">
        <v>3354</v>
      </c>
      <c r="I2022" s="8" t="s">
        <v>4012</v>
      </c>
      <c r="J2022" t="e">
        <f>VLOOKUP(B2022,baru!$B$2:$I$2271,4,FALSE)</f>
        <v>#N/A</v>
      </c>
      <c r="K2022" t="e">
        <f>VLOOKUP(B2022,baru!$B$2:$I$2271,5,FALSE)</f>
        <v>#N/A</v>
      </c>
      <c r="L2022" t="e">
        <f>VLOOKUP(B2022,baru!$B$2:$I$2271,6,FALSE)</f>
        <v>#N/A</v>
      </c>
    </row>
    <row r="2023" spans="1:12" hidden="1" x14ac:dyDescent="0.35">
      <c r="A2023" s="6">
        <v>1350427</v>
      </c>
      <c r="B2023" s="7" t="str">
        <f>"3328121201010004"</f>
        <v>3328121201010004</v>
      </c>
      <c r="C2023" s="7" t="s">
        <v>4122</v>
      </c>
      <c r="D2023" s="7" t="s">
        <v>10</v>
      </c>
      <c r="E2023" s="7" t="s">
        <v>57</v>
      </c>
      <c r="F2023" s="7" t="s">
        <v>303</v>
      </c>
      <c r="G2023" s="7" t="s">
        <v>608</v>
      </c>
      <c r="H2023" s="7" t="s">
        <v>609</v>
      </c>
      <c r="I2023" s="8" t="s">
        <v>610</v>
      </c>
    </row>
    <row r="2024" spans="1:12" hidden="1" x14ac:dyDescent="0.35">
      <c r="A2024" s="6">
        <v>2261020</v>
      </c>
      <c r="B2024" s="7" t="str">
        <f>"3328121201030004"</f>
        <v>3328121201030004</v>
      </c>
      <c r="C2024" s="7" t="s">
        <v>4123</v>
      </c>
      <c r="D2024" s="7" t="s">
        <v>10</v>
      </c>
      <c r="E2024" s="7" t="s">
        <v>11</v>
      </c>
      <c r="F2024" s="7" t="s">
        <v>18</v>
      </c>
      <c r="G2024" s="7" t="s">
        <v>19</v>
      </c>
      <c r="H2024" s="7" t="s">
        <v>3354</v>
      </c>
      <c r="I2024" s="8" t="s">
        <v>4022</v>
      </c>
      <c r="J2024" t="e">
        <f>VLOOKUP(B2024,baru!$B$2:$I$2271,4,FALSE)</f>
        <v>#N/A</v>
      </c>
      <c r="K2024" t="e">
        <f>VLOOKUP(B2024,baru!$B$2:$I$2271,5,FALSE)</f>
        <v>#N/A</v>
      </c>
      <c r="L2024" t="e">
        <f>VLOOKUP(B2024,baru!$B$2:$I$2271,6,FALSE)</f>
        <v>#N/A</v>
      </c>
    </row>
    <row r="2025" spans="1:12" hidden="1" x14ac:dyDescent="0.35">
      <c r="A2025" s="6">
        <v>1350431</v>
      </c>
      <c r="B2025" s="7" t="str">
        <f>"3328121201030004"</f>
        <v>3328121201030004</v>
      </c>
      <c r="C2025" s="7" t="s">
        <v>4123</v>
      </c>
      <c r="D2025" s="7" t="s">
        <v>10</v>
      </c>
      <c r="E2025" s="7" t="s">
        <v>57</v>
      </c>
      <c r="F2025" s="7" t="s">
        <v>303</v>
      </c>
      <c r="G2025" s="7" t="s">
        <v>608</v>
      </c>
      <c r="H2025" s="7" t="s">
        <v>609</v>
      </c>
      <c r="I2025" s="8" t="s">
        <v>610</v>
      </c>
    </row>
    <row r="2026" spans="1:12" hidden="1" x14ac:dyDescent="0.35">
      <c r="A2026" s="6">
        <v>2194720</v>
      </c>
      <c r="B2026" s="7" t="str">
        <f>"3328121202000008"</f>
        <v>3328121202000008</v>
      </c>
      <c r="C2026" s="7" t="s">
        <v>4124</v>
      </c>
      <c r="D2026" s="7" t="s">
        <v>10</v>
      </c>
      <c r="E2026" s="7" t="s">
        <v>11</v>
      </c>
      <c r="F2026" s="7" t="s">
        <v>18</v>
      </c>
      <c r="G2026" s="7" t="s">
        <v>19</v>
      </c>
      <c r="H2026" s="7" t="s">
        <v>3354</v>
      </c>
      <c r="I2026" s="8" t="s">
        <v>4098</v>
      </c>
      <c r="J2026" t="e">
        <f>VLOOKUP(B2026,baru!$B$2:$I$2271,4,FALSE)</f>
        <v>#N/A</v>
      </c>
      <c r="K2026" t="e">
        <f>VLOOKUP(B2026,baru!$B$2:$I$2271,5,FALSE)</f>
        <v>#N/A</v>
      </c>
      <c r="L2026" t="e">
        <f>VLOOKUP(B2026,baru!$B$2:$I$2271,6,FALSE)</f>
        <v>#N/A</v>
      </c>
    </row>
    <row r="2027" spans="1:12" hidden="1" x14ac:dyDescent="0.35">
      <c r="A2027" s="6">
        <v>423725</v>
      </c>
      <c r="B2027" s="7" t="str">
        <f>"3328121202000008"</f>
        <v>3328121202000008</v>
      </c>
      <c r="C2027" s="7" t="s">
        <v>4125</v>
      </c>
      <c r="D2027" s="7" t="s">
        <v>10</v>
      </c>
      <c r="E2027" s="7" t="s">
        <v>57</v>
      </c>
      <c r="F2027" s="7" t="s">
        <v>18</v>
      </c>
      <c r="G2027" s="7" t="s">
        <v>268</v>
      </c>
      <c r="H2027" s="7" t="s">
        <v>277</v>
      </c>
      <c r="I2027" s="8" t="s">
        <v>278</v>
      </c>
    </row>
    <row r="2028" spans="1:12" hidden="1" x14ac:dyDescent="0.35">
      <c r="A2028" s="6">
        <v>594876</v>
      </c>
      <c r="B2028" s="7" t="str">
        <f>"3328121205790004"</f>
        <v>3328121205790004</v>
      </c>
      <c r="C2028" s="7" t="s">
        <v>4126</v>
      </c>
      <c r="D2028" s="7" t="s">
        <v>10</v>
      </c>
      <c r="E2028" s="7" t="s">
        <v>11</v>
      </c>
      <c r="F2028" s="7" t="s">
        <v>18</v>
      </c>
      <c r="G2028" s="7" t="s">
        <v>264</v>
      </c>
      <c r="H2028" s="7" t="s">
        <v>264</v>
      </c>
      <c r="I2028" s="8" t="s">
        <v>1637</v>
      </c>
    </row>
    <row r="2029" spans="1:12" hidden="1" x14ac:dyDescent="0.35">
      <c r="A2029" s="6">
        <v>2186094</v>
      </c>
      <c r="B2029" s="7" t="str">
        <f>"3328121409030005"</f>
        <v>3328121409030005</v>
      </c>
      <c r="C2029" s="7" t="s">
        <v>4127</v>
      </c>
      <c r="D2029" s="7" t="s">
        <v>10</v>
      </c>
      <c r="E2029" s="7" t="s">
        <v>11</v>
      </c>
      <c r="F2029" s="7" t="s">
        <v>18</v>
      </c>
      <c r="G2029" s="7" t="s">
        <v>19</v>
      </c>
      <c r="H2029" s="7" t="s">
        <v>3354</v>
      </c>
      <c r="I2029" s="8" t="s">
        <v>4012</v>
      </c>
      <c r="J2029" t="e">
        <f>VLOOKUP(B2029,baru!$B$2:$I$2271,4,FALSE)</f>
        <v>#N/A</v>
      </c>
      <c r="K2029" t="e">
        <f>VLOOKUP(B2029,baru!$B$2:$I$2271,5,FALSE)</f>
        <v>#N/A</v>
      </c>
      <c r="L2029" t="e">
        <f>VLOOKUP(B2029,baru!$B$2:$I$2271,6,FALSE)</f>
        <v>#N/A</v>
      </c>
    </row>
    <row r="2030" spans="1:12" hidden="1" x14ac:dyDescent="0.35">
      <c r="A2030" s="6">
        <v>1350428</v>
      </c>
      <c r="B2030" s="7" t="str">
        <f>"3328121409030005"</f>
        <v>3328121409030005</v>
      </c>
      <c r="C2030" s="7" t="s">
        <v>4127</v>
      </c>
      <c r="D2030" s="7" t="s">
        <v>10</v>
      </c>
      <c r="E2030" s="7" t="s">
        <v>57</v>
      </c>
      <c r="F2030" s="7" t="s">
        <v>303</v>
      </c>
      <c r="G2030" s="7" t="s">
        <v>608</v>
      </c>
      <c r="H2030" s="7" t="s">
        <v>609</v>
      </c>
      <c r="I2030" s="8" t="s">
        <v>610</v>
      </c>
    </row>
    <row r="2031" spans="1:12" hidden="1" x14ac:dyDescent="0.35">
      <c r="A2031" s="6">
        <v>2281048</v>
      </c>
      <c r="B2031" s="7" t="str">
        <f>"3328121506000006"</f>
        <v>3328121506000006</v>
      </c>
      <c r="C2031" s="7" t="s">
        <v>4128</v>
      </c>
      <c r="D2031" s="7" t="s">
        <v>10</v>
      </c>
      <c r="E2031" s="7" t="s">
        <v>11</v>
      </c>
      <c r="F2031" s="7" t="s">
        <v>18</v>
      </c>
      <c r="G2031" s="7" t="s">
        <v>19</v>
      </c>
      <c r="H2031" s="7" t="s">
        <v>3354</v>
      </c>
      <c r="I2031" s="8" t="s">
        <v>4040</v>
      </c>
      <c r="J2031" t="e">
        <f>VLOOKUP(B2031,baru!$B$2:$I$2271,4,FALSE)</f>
        <v>#N/A</v>
      </c>
      <c r="K2031" t="e">
        <f>VLOOKUP(B2031,baru!$B$2:$I$2271,5,FALSE)</f>
        <v>#N/A</v>
      </c>
      <c r="L2031" t="e">
        <f>VLOOKUP(B2031,baru!$B$2:$I$2271,6,FALSE)</f>
        <v>#N/A</v>
      </c>
    </row>
    <row r="2032" spans="1:12" hidden="1" x14ac:dyDescent="0.35">
      <c r="A2032" s="6">
        <v>1350429</v>
      </c>
      <c r="B2032" s="7" t="str">
        <f>"3328121506000006"</f>
        <v>3328121506000006</v>
      </c>
      <c r="C2032" s="7" t="s">
        <v>4128</v>
      </c>
      <c r="D2032" s="7" t="s">
        <v>10</v>
      </c>
      <c r="E2032" s="7" t="s">
        <v>57</v>
      </c>
      <c r="F2032" s="7" t="s">
        <v>303</v>
      </c>
      <c r="G2032" s="7" t="s">
        <v>608</v>
      </c>
      <c r="H2032" s="7" t="s">
        <v>609</v>
      </c>
      <c r="I2032" s="8" t="s">
        <v>610</v>
      </c>
    </row>
    <row r="2033" spans="1:12" hidden="1" x14ac:dyDescent="0.35">
      <c r="A2033" s="6">
        <v>206695</v>
      </c>
      <c r="B2033" s="7" t="str">
        <f>"3328121511970003"</f>
        <v>3328121511970003</v>
      </c>
      <c r="C2033" s="7" t="s">
        <v>4129</v>
      </c>
      <c r="D2033" s="7" t="s">
        <v>10</v>
      </c>
      <c r="E2033" s="7" t="s">
        <v>11</v>
      </c>
      <c r="F2033" s="7" t="s">
        <v>18</v>
      </c>
      <c r="G2033" s="7" t="s">
        <v>268</v>
      </c>
      <c r="H2033" s="7" t="s">
        <v>371</v>
      </c>
      <c r="I2033" s="8" t="s">
        <v>2769</v>
      </c>
    </row>
    <row r="2034" spans="1:12" hidden="1" x14ac:dyDescent="0.35">
      <c r="A2034" s="13">
        <v>2190509</v>
      </c>
      <c r="B2034" s="14" t="str">
        <f>"3328121906760005"</f>
        <v>3328121906760005</v>
      </c>
      <c r="C2034" s="14" t="s">
        <v>4131</v>
      </c>
      <c r="D2034" s="14" t="s">
        <v>10</v>
      </c>
      <c r="E2034" s="14" t="s">
        <v>11</v>
      </c>
      <c r="F2034" s="14" t="s">
        <v>18</v>
      </c>
      <c r="G2034" s="14" t="s">
        <v>19</v>
      </c>
      <c r="H2034" s="14" t="s">
        <v>3354</v>
      </c>
      <c r="I2034" s="15" t="s">
        <v>4014</v>
      </c>
      <c r="J2034" s="16" t="str">
        <f>VLOOKUP(B2034,baru!$B$2:$I$2271,4,FALSE)</f>
        <v>Reguler</v>
      </c>
      <c r="K2034" s="16" t="str">
        <f>VLOOKUP(B2034,baru!$B$2:$I$2271,5,FALSE)</f>
        <v>JAWA TENGAH</v>
      </c>
      <c r="L2034" s="16" t="str">
        <f>VLOOKUP(B2034,baru!$B$2:$I$2271,6,FALSE)</f>
        <v>PEKALONGAN</v>
      </c>
    </row>
    <row r="2035" spans="1:12" hidden="1" x14ac:dyDescent="0.35">
      <c r="A2035" s="6">
        <v>2202334</v>
      </c>
      <c r="B2035" s="7" t="str">
        <f>"3328121911050003"</f>
        <v>3328121911050003</v>
      </c>
      <c r="C2035" s="7" t="s">
        <v>4133</v>
      </c>
      <c r="D2035" s="7" t="s">
        <v>10</v>
      </c>
      <c r="E2035" s="7" t="s">
        <v>11</v>
      </c>
      <c r="F2035" s="7" t="s">
        <v>18</v>
      </c>
      <c r="G2035" s="7" t="s">
        <v>19</v>
      </c>
      <c r="H2035" s="7" t="s">
        <v>3354</v>
      </c>
      <c r="I2035" s="8" t="s">
        <v>1954</v>
      </c>
      <c r="J2035" t="e">
        <f>VLOOKUP(B2035,baru!$B$2:$I$2271,4,FALSE)</f>
        <v>#N/A</v>
      </c>
      <c r="K2035" t="e">
        <f>VLOOKUP(B2035,baru!$B$2:$I$2271,5,FALSE)</f>
        <v>#N/A</v>
      </c>
      <c r="L2035" t="e">
        <f>VLOOKUP(B2035,baru!$B$2:$I$2271,6,FALSE)</f>
        <v>#N/A</v>
      </c>
    </row>
    <row r="2036" spans="1:12" hidden="1" x14ac:dyDescent="0.35">
      <c r="A2036" s="6">
        <v>1684353</v>
      </c>
      <c r="B2036" s="7" t="str">
        <f>"3328121911050003"</f>
        <v>3328121911050003</v>
      </c>
      <c r="C2036" s="7" t="s">
        <v>4134</v>
      </c>
      <c r="D2036" s="7" t="s">
        <v>10</v>
      </c>
      <c r="E2036" s="7" t="s">
        <v>57</v>
      </c>
      <c r="F2036" s="7" t="s">
        <v>18</v>
      </c>
      <c r="G2036" s="7" t="s">
        <v>184</v>
      </c>
      <c r="H2036" s="7" t="s">
        <v>1085</v>
      </c>
      <c r="I2036" s="8" t="s">
        <v>1086</v>
      </c>
    </row>
    <row r="2037" spans="1:12" hidden="1" x14ac:dyDescent="0.35">
      <c r="A2037" s="6">
        <v>672103</v>
      </c>
      <c r="B2037" s="7" t="str">
        <f>"3328121911950002"</f>
        <v>3328121911950002</v>
      </c>
      <c r="C2037" s="7" t="s">
        <v>4135</v>
      </c>
      <c r="D2037" s="7" t="s">
        <v>10</v>
      </c>
      <c r="E2037" s="7" t="s">
        <v>11</v>
      </c>
      <c r="F2037" s="7" t="s">
        <v>379</v>
      </c>
      <c r="G2037" s="7" t="s">
        <v>1206</v>
      </c>
      <c r="H2037" s="7" t="s">
        <v>4136</v>
      </c>
      <c r="I2037" s="8" t="s">
        <v>4137</v>
      </c>
    </row>
    <row r="2038" spans="1:12" hidden="1" x14ac:dyDescent="0.35">
      <c r="A2038" s="6">
        <v>2261019</v>
      </c>
      <c r="B2038" s="7" t="str">
        <f>"3328122005040006"</f>
        <v>3328122005040006</v>
      </c>
      <c r="C2038" s="7" t="s">
        <v>4139</v>
      </c>
      <c r="D2038" s="7" t="s">
        <v>10</v>
      </c>
      <c r="E2038" s="7" t="s">
        <v>11</v>
      </c>
      <c r="F2038" s="7" t="s">
        <v>18</v>
      </c>
      <c r="G2038" s="7" t="s">
        <v>19</v>
      </c>
      <c r="H2038" s="7" t="s">
        <v>3354</v>
      </c>
      <c r="I2038" s="8" t="s">
        <v>4022</v>
      </c>
      <c r="J2038" t="e">
        <f>VLOOKUP(B2038,baru!$B$2:$I$2271,4,FALSE)</f>
        <v>#N/A</v>
      </c>
      <c r="K2038" t="e">
        <f>VLOOKUP(B2038,baru!$B$2:$I$2271,5,FALSE)</f>
        <v>#N/A</v>
      </c>
      <c r="L2038" t="e">
        <f>VLOOKUP(B2038,baru!$B$2:$I$2271,6,FALSE)</f>
        <v>#N/A</v>
      </c>
    </row>
    <row r="2039" spans="1:12" hidden="1" x14ac:dyDescent="0.35">
      <c r="A2039" s="6">
        <v>1350432</v>
      </c>
      <c r="B2039" s="7" t="str">
        <f>"3328122005040006"</f>
        <v>3328122005040006</v>
      </c>
      <c r="C2039" s="7" t="s">
        <v>4139</v>
      </c>
      <c r="D2039" s="7" t="s">
        <v>10</v>
      </c>
      <c r="E2039" s="7" t="s">
        <v>57</v>
      </c>
      <c r="F2039" s="7" t="s">
        <v>303</v>
      </c>
      <c r="G2039" s="7" t="s">
        <v>608</v>
      </c>
      <c r="H2039" s="7" t="s">
        <v>609</v>
      </c>
      <c r="I2039" s="8" t="s">
        <v>610</v>
      </c>
    </row>
    <row r="2040" spans="1:12" hidden="1" x14ac:dyDescent="0.35">
      <c r="A2040" s="13">
        <v>2285474</v>
      </c>
      <c r="B2040" s="14" t="str">
        <f>"3328122006940008"</f>
        <v>3328122006940008</v>
      </c>
      <c r="C2040" s="14" t="s">
        <v>4140</v>
      </c>
      <c r="D2040" s="14" t="s">
        <v>10</v>
      </c>
      <c r="E2040" s="14" t="s">
        <v>11</v>
      </c>
      <c r="F2040" s="14" t="s">
        <v>18</v>
      </c>
      <c r="G2040" s="14" t="s">
        <v>19</v>
      </c>
      <c r="H2040" s="14" t="s">
        <v>3354</v>
      </c>
      <c r="I2040" s="15" t="s">
        <v>4040</v>
      </c>
      <c r="J2040" s="16" t="str">
        <f>VLOOKUP(B2040,baru!$B$2:$I$2271,4,FALSE)</f>
        <v>Reguler</v>
      </c>
      <c r="K2040" s="16" t="str">
        <f>VLOOKUP(B2040,baru!$B$2:$I$2271,5,FALSE)</f>
        <v>DKI JAKARTA</v>
      </c>
      <c r="L2040" s="16" t="str">
        <f>VLOOKUP(B2040,baru!$B$2:$I$2271,6,FALSE)</f>
        <v>KOTA JAKARTA TIMUR</v>
      </c>
    </row>
    <row r="2041" spans="1:12" hidden="1" x14ac:dyDescent="0.35">
      <c r="A2041" s="6">
        <v>2261572</v>
      </c>
      <c r="B2041" s="7" t="str">
        <f>"3328122106000002"</f>
        <v>3328122106000002</v>
      </c>
      <c r="C2041" s="7" t="s">
        <v>4142</v>
      </c>
      <c r="D2041" s="7" t="s">
        <v>10</v>
      </c>
      <c r="E2041" s="7" t="s">
        <v>11</v>
      </c>
      <c r="F2041" s="7" t="s">
        <v>18</v>
      </c>
      <c r="G2041" s="7" t="s">
        <v>19</v>
      </c>
      <c r="H2041" s="7" t="s">
        <v>3354</v>
      </c>
      <c r="I2041" s="8" t="s">
        <v>4022</v>
      </c>
      <c r="J2041" t="e">
        <f>VLOOKUP(B2041,baru!$B$2:$I$2271,4,FALSE)</f>
        <v>#N/A</v>
      </c>
      <c r="K2041" t="e">
        <f>VLOOKUP(B2041,baru!$B$2:$I$2271,5,FALSE)</f>
        <v>#N/A</v>
      </c>
      <c r="L2041" t="e">
        <f>VLOOKUP(B2041,baru!$B$2:$I$2271,6,FALSE)</f>
        <v>#N/A</v>
      </c>
    </row>
    <row r="2042" spans="1:12" hidden="1" x14ac:dyDescent="0.35">
      <c r="A2042" s="6">
        <v>1862931</v>
      </c>
      <c r="B2042" s="7" t="str">
        <f>"3328122106000002"</f>
        <v>3328122106000002</v>
      </c>
      <c r="C2042" s="7" t="s">
        <v>4143</v>
      </c>
      <c r="D2042" s="7" t="s">
        <v>10</v>
      </c>
      <c r="E2042" s="7" t="s">
        <v>57</v>
      </c>
      <c r="F2042" s="7" t="s">
        <v>18</v>
      </c>
      <c r="G2042" s="7" t="s">
        <v>733</v>
      </c>
      <c r="H2042" s="7" t="s">
        <v>1127</v>
      </c>
      <c r="I2042" s="8" t="s">
        <v>1127</v>
      </c>
    </row>
    <row r="2043" spans="1:12" hidden="1" x14ac:dyDescent="0.35">
      <c r="A2043" s="6">
        <v>2193495</v>
      </c>
      <c r="B2043" s="7" t="str">
        <f>"3328122204000001"</f>
        <v>3328122204000001</v>
      </c>
      <c r="C2043" s="7" t="s">
        <v>4144</v>
      </c>
      <c r="D2043" s="7" t="s">
        <v>10</v>
      </c>
      <c r="E2043" s="7" t="s">
        <v>11</v>
      </c>
      <c r="F2043" s="7" t="s">
        <v>18</v>
      </c>
      <c r="G2043" s="7" t="s">
        <v>19</v>
      </c>
      <c r="H2043" s="7" t="s">
        <v>3354</v>
      </c>
      <c r="I2043" s="8" t="s">
        <v>4098</v>
      </c>
      <c r="J2043" t="e">
        <f>VLOOKUP(B2043,baru!$B$2:$I$2271,4,FALSE)</f>
        <v>#N/A</v>
      </c>
      <c r="K2043" t="e">
        <f>VLOOKUP(B2043,baru!$B$2:$I$2271,5,FALSE)</f>
        <v>#N/A</v>
      </c>
      <c r="L2043" t="e">
        <f>VLOOKUP(B2043,baru!$B$2:$I$2271,6,FALSE)</f>
        <v>#N/A</v>
      </c>
    </row>
    <row r="2044" spans="1:12" hidden="1" x14ac:dyDescent="0.35">
      <c r="A2044" s="6">
        <v>423861</v>
      </c>
      <c r="B2044" s="7" t="str">
        <f>"3328122204000001"</f>
        <v>3328122204000001</v>
      </c>
      <c r="C2044" s="7" t="s">
        <v>4145</v>
      </c>
      <c r="D2044" s="7" t="s">
        <v>10</v>
      </c>
      <c r="E2044" s="7" t="s">
        <v>57</v>
      </c>
      <c r="F2044" s="7" t="s">
        <v>18</v>
      </c>
      <c r="G2044" s="7" t="s">
        <v>268</v>
      </c>
      <c r="H2044" s="7" t="s">
        <v>277</v>
      </c>
      <c r="I2044" s="8" t="s">
        <v>278</v>
      </c>
    </row>
    <row r="2045" spans="1:12" x14ac:dyDescent="0.35">
      <c r="A2045" s="6">
        <v>2328130</v>
      </c>
      <c r="B2045" s="7" t="str">
        <f>"3328122207050007"</f>
        <v>3328122207050007</v>
      </c>
      <c r="C2045" s="7" t="s">
        <v>4146</v>
      </c>
      <c r="D2045" s="7" t="s">
        <v>189</v>
      </c>
      <c r="E2045" s="7" t="s">
        <v>11</v>
      </c>
      <c r="F2045" s="7" t="s">
        <v>18</v>
      </c>
      <c r="G2045" s="7" t="s">
        <v>19</v>
      </c>
      <c r="H2045" s="7" t="s">
        <v>3354</v>
      </c>
      <c r="I2045" s="8" t="s">
        <v>307</v>
      </c>
      <c r="J2045" t="e">
        <f>VLOOKUP(B2045,baru!$B$2:$I$2271,4,FALSE)</f>
        <v>#N/A</v>
      </c>
      <c r="K2045" t="e">
        <f>VLOOKUP(B2045,baru!$B$2:$I$2271,5,FALSE)</f>
        <v>#N/A</v>
      </c>
      <c r="L2045" t="e">
        <f>VLOOKUP(B2045,baru!$B$2:$I$2271,6,FALSE)</f>
        <v>#N/A</v>
      </c>
    </row>
    <row r="2046" spans="1:12" hidden="1" x14ac:dyDescent="0.35">
      <c r="A2046" s="6">
        <v>1350424</v>
      </c>
      <c r="B2046" s="7" t="str">
        <f>"3328122207050007"</f>
        <v>3328122207050007</v>
      </c>
      <c r="C2046" s="7" t="s">
        <v>4147</v>
      </c>
      <c r="D2046" s="7" t="s">
        <v>10</v>
      </c>
      <c r="E2046" s="7" t="s">
        <v>57</v>
      </c>
      <c r="F2046" s="7" t="s">
        <v>303</v>
      </c>
      <c r="G2046" s="7" t="s">
        <v>608</v>
      </c>
      <c r="H2046" s="7" t="s">
        <v>609</v>
      </c>
      <c r="I2046" s="8" t="s">
        <v>610</v>
      </c>
    </row>
    <row r="2047" spans="1:12" hidden="1" x14ac:dyDescent="0.35">
      <c r="A2047" s="6">
        <v>1350433</v>
      </c>
      <c r="B2047" s="7" t="str">
        <f>"3328122303050001"</f>
        <v>3328122303050001</v>
      </c>
      <c r="C2047" s="7" t="s">
        <v>4148</v>
      </c>
      <c r="D2047" s="7" t="s">
        <v>10</v>
      </c>
      <c r="E2047" s="7" t="s">
        <v>57</v>
      </c>
      <c r="F2047" s="7" t="s">
        <v>303</v>
      </c>
      <c r="G2047" s="7" t="s">
        <v>608</v>
      </c>
      <c r="H2047" s="7" t="s">
        <v>609</v>
      </c>
      <c r="I2047" s="8" t="s">
        <v>610</v>
      </c>
    </row>
    <row r="2048" spans="1:12" x14ac:dyDescent="0.35">
      <c r="A2048" s="6">
        <v>2458987</v>
      </c>
      <c r="B2048" s="7" t="str">
        <f>"3328122308060004"</f>
        <v>3328122308060004</v>
      </c>
      <c r="C2048" s="7" t="s">
        <v>4149</v>
      </c>
      <c r="D2048" s="7" t="s">
        <v>189</v>
      </c>
      <c r="E2048" s="7" t="s">
        <v>11</v>
      </c>
      <c r="F2048" s="7" t="s">
        <v>18</v>
      </c>
      <c r="G2048" s="7" t="s">
        <v>19</v>
      </c>
      <c r="H2048" s="7" t="s">
        <v>3354</v>
      </c>
      <c r="I2048" s="8" t="s">
        <v>4008</v>
      </c>
      <c r="J2048" t="e">
        <f>VLOOKUP(B2048,baru!$B$2:$I$2271,4,FALSE)</f>
        <v>#N/A</v>
      </c>
      <c r="K2048" t="e">
        <f>VLOOKUP(B2048,baru!$B$2:$I$2271,5,FALSE)</f>
        <v>#N/A</v>
      </c>
      <c r="L2048" t="e">
        <f>VLOOKUP(B2048,baru!$B$2:$I$2271,6,FALSE)</f>
        <v>#N/A</v>
      </c>
    </row>
    <row r="2049" spans="1:12" hidden="1" x14ac:dyDescent="0.35">
      <c r="A2049" s="6">
        <v>1349045</v>
      </c>
      <c r="B2049" s="7" t="str">
        <f>"3328122308060004"</f>
        <v>3328122308060004</v>
      </c>
      <c r="C2049" s="7" t="s">
        <v>4149</v>
      </c>
      <c r="D2049" s="7" t="s">
        <v>10</v>
      </c>
      <c r="E2049" s="7" t="s">
        <v>57</v>
      </c>
      <c r="F2049" s="7" t="s">
        <v>303</v>
      </c>
      <c r="G2049" s="7" t="s">
        <v>608</v>
      </c>
      <c r="H2049" s="7" t="s">
        <v>609</v>
      </c>
      <c r="I2049" s="8" t="s">
        <v>610</v>
      </c>
    </row>
    <row r="2050" spans="1:12" hidden="1" x14ac:dyDescent="0.35">
      <c r="A2050" s="6">
        <v>1070262</v>
      </c>
      <c r="B2050" s="7" t="str">
        <f>"3328122407980002"</f>
        <v>3328122407980002</v>
      </c>
      <c r="C2050" s="7" t="s">
        <v>4150</v>
      </c>
      <c r="D2050" s="7" t="s">
        <v>10</v>
      </c>
      <c r="E2050" s="7" t="s">
        <v>11</v>
      </c>
      <c r="F2050" s="7" t="s">
        <v>303</v>
      </c>
      <c r="G2050" s="7" t="s">
        <v>2117</v>
      </c>
      <c r="H2050" s="7" t="s">
        <v>2559</v>
      </c>
      <c r="I2050" s="8" t="s">
        <v>4151</v>
      </c>
    </row>
    <row r="2051" spans="1:12" x14ac:dyDescent="0.35">
      <c r="A2051" s="6">
        <v>2230722</v>
      </c>
      <c r="B2051" s="7" t="str">
        <f>"3328122808060008"</f>
        <v>3328122808060008</v>
      </c>
      <c r="C2051" s="7" t="s">
        <v>4153</v>
      </c>
      <c r="D2051" s="7" t="s">
        <v>189</v>
      </c>
      <c r="E2051" s="7" t="s">
        <v>11</v>
      </c>
      <c r="F2051" s="7" t="s">
        <v>18</v>
      </c>
      <c r="G2051" s="7" t="s">
        <v>19</v>
      </c>
      <c r="H2051" s="7" t="s">
        <v>3354</v>
      </c>
      <c r="I2051" s="8" t="s">
        <v>4049</v>
      </c>
      <c r="J2051" t="e">
        <f>VLOOKUP(B2051,baru!$B$2:$I$2271,4,FALSE)</f>
        <v>#N/A</v>
      </c>
      <c r="K2051" t="e">
        <f>VLOOKUP(B2051,baru!$B$2:$I$2271,5,FALSE)</f>
        <v>#N/A</v>
      </c>
      <c r="L2051" t="e">
        <f>VLOOKUP(B2051,baru!$B$2:$I$2271,6,FALSE)</f>
        <v>#N/A</v>
      </c>
    </row>
    <row r="2052" spans="1:12" hidden="1" x14ac:dyDescent="0.35">
      <c r="A2052" s="6">
        <v>1350421</v>
      </c>
      <c r="B2052" s="7" t="str">
        <f>"3328122808060008"</f>
        <v>3328122808060008</v>
      </c>
      <c r="C2052" s="7" t="s">
        <v>4153</v>
      </c>
      <c r="D2052" s="7" t="s">
        <v>10</v>
      </c>
      <c r="E2052" s="7" t="s">
        <v>57</v>
      </c>
      <c r="F2052" s="7" t="s">
        <v>303</v>
      </c>
      <c r="G2052" s="7" t="s">
        <v>608</v>
      </c>
      <c r="H2052" s="7" t="s">
        <v>609</v>
      </c>
      <c r="I2052" s="8" t="s">
        <v>610</v>
      </c>
    </row>
    <row r="2053" spans="1:12" x14ac:dyDescent="0.35">
      <c r="A2053" s="13">
        <v>2194636</v>
      </c>
      <c r="B2053" s="14" t="str">
        <f>"3328122809060004"</f>
        <v>3328122809060004</v>
      </c>
      <c r="C2053" s="14" t="s">
        <v>4154</v>
      </c>
      <c r="D2053" s="14" t="s">
        <v>189</v>
      </c>
      <c r="E2053" s="14" t="s">
        <v>11</v>
      </c>
      <c r="F2053" s="14" t="s">
        <v>18</v>
      </c>
      <c r="G2053" s="14" t="s">
        <v>19</v>
      </c>
      <c r="H2053" s="14" t="s">
        <v>3354</v>
      </c>
      <c r="I2053" s="15" t="s">
        <v>4098</v>
      </c>
      <c r="J2053" s="16" t="str">
        <f>VLOOKUP(B2053,baru!$B$2:$I$2271,4,FALSE)</f>
        <v>Reguler</v>
      </c>
      <c r="K2053" s="16" t="str">
        <f>VLOOKUP(B2053,baru!$B$2:$I$2271,5,FALSE)</f>
        <v>JAWA TENGAH</v>
      </c>
      <c r="L2053" s="16" t="str">
        <f>VLOOKUP(B2053,baru!$B$2:$I$2271,6,FALSE)</f>
        <v>BREBES</v>
      </c>
    </row>
    <row r="2054" spans="1:12" hidden="1" x14ac:dyDescent="0.35">
      <c r="A2054" s="13">
        <v>2364349</v>
      </c>
      <c r="B2054" s="14" t="str">
        <f>"3328122812990003"</f>
        <v>3328122812990003</v>
      </c>
      <c r="C2054" s="14" t="s">
        <v>1049</v>
      </c>
      <c r="D2054" s="14" t="s">
        <v>10</v>
      </c>
      <c r="E2054" s="14" t="s">
        <v>11</v>
      </c>
      <c r="F2054" s="14" t="s">
        <v>18</v>
      </c>
      <c r="G2054" s="14" t="s">
        <v>19</v>
      </c>
      <c r="H2054" s="14" t="s">
        <v>3354</v>
      </c>
      <c r="I2054" s="15" t="s">
        <v>1309</v>
      </c>
      <c r="J2054" s="16" t="str">
        <f>VLOOKUP(B2054,baru!$B$2:$I$2271,4,FALSE)</f>
        <v>Reguler</v>
      </c>
      <c r="K2054" s="16" t="str">
        <f>VLOOKUP(B2054,baru!$B$2:$I$2271,5,FALSE)</f>
        <v>JAWA TENGAH</v>
      </c>
      <c r="L2054" s="16" t="str">
        <f>VLOOKUP(B2054,baru!$B$2:$I$2271,6,FALSE)</f>
        <v>TEGAL</v>
      </c>
    </row>
    <row r="2055" spans="1:12" hidden="1" x14ac:dyDescent="0.35">
      <c r="A2055" s="6">
        <v>2280999</v>
      </c>
      <c r="B2055" s="7" t="str">
        <f>"3328122908970001"</f>
        <v>3328122908970001</v>
      </c>
      <c r="C2055" s="7" t="s">
        <v>4157</v>
      </c>
      <c r="D2055" s="7" t="s">
        <v>10</v>
      </c>
      <c r="E2055" s="7" t="s">
        <v>11</v>
      </c>
      <c r="F2055" s="7" t="s">
        <v>18</v>
      </c>
      <c r="G2055" s="7" t="s">
        <v>19</v>
      </c>
      <c r="H2055" s="7" t="s">
        <v>3354</v>
      </c>
      <c r="I2055" s="8" t="s">
        <v>4040</v>
      </c>
      <c r="J2055" t="e">
        <f>VLOOKUP(B2055,baru!$B$2:$I$2271,4,FALSE)</f>
        <v>#N/A</v>
      </c>
      <c r="K2055" t="e">
        <f>VLOOKUP(B2055,baru!$B$2:$I$2271,5,FALSE)</f>
        <v>#N/A</v>
      </c>
      <c r="L2055" t="e">
        <f>VLOOKUP(B2055,baru!$B$2:$I$2271,6,FALSE)</f>
        <v>#N/A</v>
      </c>
    </row>
    <row r="2056" spans="1:12" hidden="1" x14ac:dyDescent="0.35">
      <c r="A2056" s="6">
        <v>1350430</v>
      </c>
      <c r="B2056" s="7" t="str">
        <f>"3328122908970001"</f>
        <v>3328122908970001</v>
      </c>
      <c r="C2056" s="7" t="s">
        <v>4157</v>
      </c>
      <c r="D2056" s="7" t="s">
        <v>10</v>
      </c>
      <c r="E2056" s="7" t="s">
        <v>57</v>
      </c>
      <c r="F2056" s="7" t="s">
        <v>303</v>
      </c>
      <c r="G2056" s="7" t="s">
        <v>608</v>
      </c>
      <c r="H2056" s="7" t="s">
        <v>609</v>
      </c>
      <c r="I2056" s="8" t="s">
        <v>610</v>
      </c>
    </row>
    <row r="2057" spans="1:12" x14ac:dyDescent="0.35">
      <c r="A2057" s="6">
        <v>2222513</v>
      </c>
      <c r="B2057" s="7" t="str">
        <f>"3328123008920008"</f>
        <v>3328123008920008</v>
      </c>
      <c r="C2057" s="7" t="s">
        <v>4158</v>
      </c>
      <c r="D2057" s="7" t="s">
        <v>189</v>
      </c>
      <c r="E2057" s="7" t="s">
        <v>11</v>
      </c>
      <c r="F2057" s="7" t="s">
        <v>18</v>
      </c>
      <c r="G2057" s="7" t="s">
        <v>19</v>
      </c>
      <c r="H2057" s="7" t="s">
        <v>3354</v>
      </c>
      <c r="I2057" s="8" t="s">
        <v>4003</v>
      </c>
      <c r="J2057" t="e">
        <f>VLOOKUP(B2057,baru!$B$2:$I$2271,4,FALSE)</f>
        <v>#N/A</v>
      </c>
      <c r="K2057" t="e">
        <f>VLOOKUP(B2057,baru!$B$2:$I$2271,5,FALSE)</f>
        <v>#N/A</v>
      </c>
      <c r="L2057" t="e">
        <f>VLOOKUP(B2057,baru!$B$2:$I$2271,6,FALSE)</f>
        <v>#N/A</v>
      </c>
    </row>
    <row r="2058" spans="1:12" hidden="1" x14ac:dyDescent="0.35">
      <c r="A2058" s="6">
        <v>2662114</v>
      </c>
      <c r="B2058" s="7" t="str">
        <f>"3328123008920008"</f>
        <v>3328123008920008</v>
      </c>
      <c r="C2058" s="7" t="s">
        <v>4158</v>
      </c>
      <c r="D2058" s="7" t="s">
        <v>10</v>
      </c>
      <c r="E2058" s="7" t="s">
        <v>57</v>
      </c>
      <c r="F2058" s="7" t="s">
        <v>18</v>
      </c>
      <c r="G2058" s="7" t="s">
        <v>199</v>
      </c>
      <c r="H2058" s="7" t="s">
        <v>208</v>
      </c>
      <c r="I2058" s="8" t="s">
        <v>209</v>
      </c>
    </row>
    <row r="2059" spans="1:12" hidden="1" x14ac:dyDescent="0.35">
      <c r="A2059" s="6">
        <v>2003693</v>
      </c>
      <c r="B2059" s="7" t="str">
        <f>"3328123101840001"</f>
        <v>3328123101840001</v>
      </c>
      <c r="C2059" s="7" t="s">
        <v>4159</v>
      </c>
      <c r="D2059" s="7" t="s">
        <v>10</v>
      </c>
      <c r="E2059" s="7" t="s">
        <v>11</v>
      </c>
      <c r="F2059" s="7" t="s">
        <v>18</v>
      </c>
      <c r="G2059" s="7" t="s">
        <v>199</v>
      </c>
      <c r="H2059" s="7" t="s">
        <v>200</v>
      </c>
      <c r="I2059" s="8" t="s">
        <v>4074</v>
      </c>
    </row>
    <row r="2060" spans="1:12" x14ac:dyDescent="0.35">
      <c r="A2060" s="17">
        <v>2328227</v>
      </c>
      <c r="B2060" s="18" t="str">
        <f>"3328124212050001"</f>
        <v>3328124212050001</v>
      </c>
      <c r="C2060" s="18" t="s">
        <v>4161</v>
      </c>
      <c r="D2060" s="18" t="s">
        <v>189</v>
      </c>
      <c r="E2060" s="18" t="s">
        <v>11</v>
      </c>
      <c r="F2060" s="18" t="s">
        <v>18</v>
      </c>
      <c r="G2060" s="18" t="s">
        <v>19</v>
      </c>
      <c r="H2060" s="18" t="s">
        <v>3354</v>
      </c>
      <c r="I2060" s="19" t="s">
        <v>307</v>
      </c>
      <c r="J2060" s="20" t="str">
        <f>VLOOKUP(B2060,baru!$B$2:$I$2271,4,FALSE)</f>
        <v>Khusus</v>
      </c>
      <c r="K2060" s="20" t="str">
        <f>VLOOKUP(B2060,baru!$B$2:$I$2271,5,FALSE)</f>
        <v>JAWA TENGAH</v>
      </c>
      <c r="L2060" s="20" t="str">
        <f>VLOOKUP(B2060,baru!$B$2:$I$2271,6,FALSE)</f>
        <v>MAGELANG</v>
      </c>
    </row>
    <row r="2061" spans="1:12" hidden="1" x14ac:dyDescent="0.35">
      <c r="A2061" s="6">
        <v>333115</v>
      </c>
      <c r="B2061" s="7" t="str">
        <f>"3328124404940010"</f>
        <v>3328124404940010</v>
      </c>
      <c r="C2061" s="7" t="s">
        <v>4162</v>
      </c>
      <c r="D2061" s="7" t="s">
        <v>10</v>
      </c>
      <c r="E2061" s="7" t="s">
        <v>11</v>
      </c>
      <c r="F2061" s="7" t="s">
        <v>18</v>
      </c>
      <c r="G2061" s="7" t="s">
        <v>1381</v>
      </c>
      <c r="H2061" s="7" t="s">
        <v>1381</v>
      </c>
      <c r="I2061" s="8" t="s">
        <v>4163</v>
      </c>
    </row>
    <row r="2062" spans="1:12" hidden="1" x14ac:dyDescent="0.35">
      <c r="A2062" s="6">
        <v>2458903</v>
      </c>
      <c r="B2062" s="7" t="str">
        <f>"3328124405780008"</f>
        <v>3328124405780008</v>
      </c>
      <c r="C2062" s="7" t="s">
        <v>3620</v>
      </c>
      <c r="D2062" s="7" t="s">
        <v>10</v>
      </c>
      <c r="E2062" s="7" t="s">
        <v>11</v>
      </c>
      <c r="F2062" s="7" t="s">
        <v>18</v>
      </c>
      <c r="G2062" s="7" t="s">
        <v>19</v>
      </c>
      <c r="H2062" s="7" t="s">
        <v>3354</v>
      </c>
      <c r="I2062" s="8" t="s">
        <v>4008</v>
      </c>
      <c r="J2062" t="e">
        <f>VLOOKUP(B2062,baru!$B$2:$I$2271,4,FALSE)</f>
        <v>#N/A</v>
      </c>
      <c r="K2062" t="e">
        <f>VLOOKUP(B2062,baru!$B$2:$I$2271,5,FALSE)</f>
        <v>#N/A</v>
      </c>
      <c r="L2062" t="e">
        <f>VLOOKUP(B2062,baru!$B$2:$I$2271,6,FALSE)</f>
        <v>#N/A</v>
      </c>
    </row>
    <row r="2063" spans="1:12" hidden="1" x14ac:dyDescent="0.35">
      <c r="A2063" s="6">
        <v>1349044</v>
      </c>
      <c r="B2063" s="7" t="str">
        <f>"3328124405780008"</f>
        <v>3328124405780008</v>
      </c>
      <c r="C2063" s="7" t="s">
        <v>4164</v>
      </c>
      <c r="D2063" s="7" t="s">
        <v>10</v>
      </c>
      <c r="E2063" s="7" t="s">
        <v>57</v>
      </c>
      <c r="F2063" s="7" t="s">
        <v>303</v>
      </c>
      <c r="G2063" s="7" t="s">
        <v>608</v>
      </c>
      <c r="H2063" s="7" t="s">
        <v>609</v>
      </c>
      <c r="I2063" s="8" t="s">
        <v>610</v>
      </c>
    </row>
    <row r="2064" spans="1:12" hidden="1" x14ac:dyDescent="0.35">
      <c r="A2064" s="17">
        <v>2238252</v>
      </c>
      <c r="B2064" s="18" t="str">
        <f>"3328124406060003"</f>
        <v>3328124406060003</v>
      </c>
      <c r="C2064" s="18" t="s">
        <v>4165</v>
      </c>
      <c r="D2064" s="18" t="s">
        <v>10</v>
      </c>
      <c r="E2064" s="18" t="s">
        <v>11</v>
      </c>
      <c r="F2064" s="18" t="s">
        <v>18</v>
      </c>
      <c r="G2064" s="18" t="s">
        <v>19</v>
      </c>
      <c r="H2064" s="18" t="s">
        <v>3354</v>
      </c>
      <c r="I2064" s="19" t="s">
        <v>613</v>
      </c>
      <c r="J2064" s="20" t="str">
        <f>VLOOKUP(B2064,baru!$B$2:$I$2271,4,FALSE)</f>
        <v>Khusus</v>
      </c>
      <c r="K2064" s="20" t="str">
        <f>VLOOKUP(B2064,baru!$B$2:$I$2271,5,FALSE)</f>
        <v>JAWA TENGAH</v>
      </c>
      <c r="L2064" s="20" t="str">
        <f>VLOOKUP(B2064,baru!$B$2:$I$2271,6,FALSE)</f>
        <v>MAGELANG</v>
      </c>
    </row>
    <row r="2065" spans="1:12" hidden="1" x14ac:dyDescent="0.35">
      <c r="A2065" s="6">
        <v>2327511</v>
      </c>
      <c r="B2065" s="7" t="str">
        <f>"3328124702670003"</f>
        <v>3328124702670003</v>
      </c>
      <c r="C2065" s="7" t="s">
        <v>4167</v>
      </c>
      <c r="D2065" s="7" t="s">
        <v>10</v>
      </c>
      <c r="E2065" s="7" t="s">
        <v>11</v>
      </c>
      <c r="F2065" s="7" t="s">
        <v>18</v>
      </c>
      <c r="G2065" s="7" t="s">
        <v>19</v>
      </c>
      <c r="H2065" s="7" t="s">
        <v>3354</v>
      </c>
      <c r="I2065" s="8" t="s">
        <v>307</v>
      </c>
      <c r="J2065" t="e">
        <f>VLOOKUP(B2065,baru!$B$2:$I$2271,4,FALSE)</f>
        <v>#N/A</v>
      </c>
      <c r="K2065" t="e">
        <f>VLOOKUP(B2065,baru!$B$2:$I$2271,5,FALSE)</f>
        <v>#N/A</v>
      </c>
      <c r="L2065" t="e">
        <f>VLOOKUP(B2065,baru!$B$2:$I$2271,6,FALSE)</f>
        <v>#N/A</v>
      </c>
    </row>
    <row r="2066" spans="1:12" hidden="1" x14ac:dyDescent="0.35">
      <c r="A2066" s="6">
        <v>1349046</v>
      </c>
      <c r="B2066" s="7" t="str">
        <f>"3328124702670003"</f>
        <v>3328124702670003</v>
      </c>
      <c r="C2066" s="7" t="s">
        <v>4168</v>
      </c>
      <c r="D2066" s="7" t="s">
        <v>10</v>
      </c>
      <c r="E2066" s="7" t="s">
        <v>57</v>
      </c>
      <c r="F2066" s="7" t="s">
        <v>303</v>
      </c>
      <c r="G2066" s="7" t="s">
        <v>608</v>
      </c>
      <c r="H2066" s="7" t="s">
        <v>609</v>
      </c>
      <c r="I2066" s="8" t="s">
        <v>610</v>
      </c>
    </row>
    <row r="2067" spans="1:12" hidden="1" x14ac:dyDescent="0.35">
      <c r="A2067" s="6">
        <v>204527</v>
      </c>
      <c r="B2067" s="7" t="str">
        <f>"3328125008040003"</f>
        <v>3328125008040003</v>
      </c>
      <c r="C2067" s="7" t="s">
        <v>4169</v>
      </c>
      <c r="D2067" s="7" t="s">
        <v>10</v>
      </c>
      <c r="E2067" s="7" t="s">
        <v>11</v>
      </c>
      <c r="F2067" s="7" t="s">
        <v>18</v>
      </c>
      <c r="G2067" s="7" t="s">
        <v>268</v>
      </c>
      <c r="H2067" s="7" t="s">
        <v>371</v>
      </c>
      <c r="I2067" s="8" t="s">
        <v>2769</v>
      </c>
    </row>
    <row r="2068" spans="1:12" hidden="1" x14ac:dyDescent="0.35">
      <c r="A2068" s="6">
        <v>2341927</v>
      </c>
      <c r="B2068" s="7" t="str">
        <f>"3328125108800007"</f>
        <v>3328125108800007</v>
      </c>
      <c r="C2068" s="7" t="s">
        <v>4171</v>
      </c>
      <c r="D2068" s="7" t="s">
        <v>10</v>
      </c>
      <c r="E2068" s="7" t="s">
        <v>11</v>
      </c>
      <c r="F2068" s="7" t="s">
        <v>18</v>
      </c>
      <c r="G2068" s="7" t="s">
        <v>19</v>
      </c>
      <c r="H2068" s="7" t="s">
        <v>3354</v>
      </c>
      <c r="I2068" s="8" t="s">
        <v>4026</v>
      </c>
      <c r="J2068" t="e">
        <f>VLOOKUP(B2068,baru!$B$2:$I$2271,4,FALSE)</f>
        <v>#N/A</v>
      </c>
      <c r="K2068" t="e">
        <f>VLOOKUP(B2068,baru!$B$2:$I$2271,5,FALSE)</f>
        <v>#N/A</v>
      </c>
      <c r="L2068" t="e">
        <f>VLOOKUP(B2068,baru!$B$2:$I$2271,6,FALSE)</f>
        <v>#N/A</v>
      </c>
    </row>
    <row r="2069" spans="1:12" hidden="1" x14ac:dyDescent="0.35">
      <c r="A2069" s="6">
        <v>423743</v>
      </c>
      <c r="B2069" s="7" t="str">
        <f>"3328125108800007"</f>
        <v>3328125108800007</v>
      </c>
      <c r="C2069" s="7" t="s">
        <v>4172</v>
      </c>
      <c r="D2069" s="7" t="s">
        <v>10</v>
      </c>
      <c r="E2069" s="7" t="s">
        <v>57</v>
      </c>
      <c r="F2069" s="7" t="s">
        <v>18</v>
      </c>
      <c r="G2069" s="7" t="s">
        <v>268</v>
      </c>
      <c r="H2069" s="7" t="s">
        <v>277</v>
      </c>
      <c r="I2069" s="8" t="s">
        <v>278</v>
      </c>
    </row>
    <row r="2070" spans="1:12" hidden="1" x14ac:dyDescent="0.35">
      <c r="A2070" s="6">
        <v>2440580</v>
      </c>
      <c r="B2070" s="7" t="str">
        <f>"3328125205030006"</f>
        <v>3328125205030006</v>
      </c>
      <c r="C2070" s="7" t="s">
        <v>4173</v>
      </c>
      <c r="D2070" s="7" t="s">
        <v>10</v>
      </c>
      <c r="E2070" s="7" t="s">
        <v>11</v>
      </c>
      <c r="F2070" s="7" t="s">
        <v>18</v>
      </c>
      <c r="G2070" s="7" t="s">
        <v>19</v>
      </c>
      <c r="H2070" s="7" t="s">
        <v>3354</v>
      </c>
      <c r="I2070" s="8" t="s">
        <v>4076</v>
      </c>
      <c r="J2070" t="e">
        <f>VLOOKUP(B2070,baru!$B$2:$I$2271,4,FALSE)</f>
        <v>#N/A</v>
      </c>
      <c r="K2070" t="e">
        <f>VLOOKUP(B2070,baru!$B$2:$I$2271,5,FALSE)</f>
        <v>#N/A</v>
      </c>
      <c r="L2070" t="e">
        <f>VLOOKUP(B2070,baru!$B$2:$I$2271,6,FALSE)</f>
        <v>#N/A</v>
      </c>
    </row>
    <row r="2071" spans="1:12" hidden="1" x14ac:dyDescent="0.35">
      <c r="A2071" s="6">
        <v>1862497</v>
      </c>
      <c r="B2071" s="7" t="str">
        <f>"3328125205030006"</f>
        <v>3328125205030006</v>
      </c>
      <c r="C2071" s="7" t="s">
        <v>4173</v>
      </c>
      <c r="D2071" s="7" t="s">
        <v>10</v>
      </c>
      <c r="E2071" s="7" t="s">
        <v>57</v>
      </c>
      <c r="F2071" s="7" t="s">
        <v>18</v>
      </c>
      <c r="G2071" s="7" t="s">
        <v>733</v>
      </c>
      <c r="H2071" s="7" t="s">
        <v>733</v>
      </c>
      <c r="I2071" s="8" t="s">
        <v>734</v>
      </c>
    </row>
    <row r="2072" spans="1:12" hidden="1" x14ac:dyDescent="0.35">
      <c r="A2072" s="6">
        <v>813192</v>
      </c>
      <c r="B2072" s="7" t="str">
        <f>"3328125303800001"</f>
        <v>3328125303800001</v>
      </c>
      <c r="C2072" s="7" t="s">
        <v>4174</v>
      </c>
      <c r="D2072" s="7" t="s">
        <v>10</v>
      </c>
      <c r="E2072" s="7" t="s">
        <v>11</v>
      </c>
      <c r="F2072" s="7" t="s">
        <v>50</v>
      </c>
      <c r="G2072" s="7" t="s">
        <v>72</v>
      </c>
      <c r="H2072" s="7" t="s">
        <v>73</v>
      </c>
      <c r="I2072" s="8" t="s">
        <v>74</v>
      </c>
    </row>
    <row r="2073" spans="1:12" x14ac:dyDescent="0.35">
      <c r="A2073" s="6">
        <v>2433552</v>
      </c>
      <c r="B2073" s="7" t="str">
        <f>"3328125410060004"</f>
        <v>3328125410060004</v>
      </c>
      <c r="C2073" s="7" t="s">
        <v>4175</v>
      </c>
      <c r="D2073" s="7" t="s">
        <v>189</v>
      </c>
      <c r="E2073" s="7" t="s">
        <v>11</v>
      </c>
      <c r="F2073" s="7" t="s">
        <v>18</v>
      </c>
      <c r="G2073" s="7" t="s">
        <v>19</v>
      </c>
      <c r="H2073" s="7" t="s">
        <v>3354</v>
      </c>
      <c r="I2073" s="8" t="s">
        <v>3999</v>
      </c>
      <c r="J2073" t="e">
        <f>VLOOKUP(B2073,baru!$B$2:$I$2271,4,FALSE)</f>
        <v>#N/A</v>
      </c>
      <c r="K2073" t="e">
        <f>VLOOKUP(B2073,baru!$B$2:$I$2271,5,FALSE)</f>
        <v>#N/A</v>
      </c>
      <c r="L2073" t="e">
        <f>VLOOKUP(B2073,baru!$B$2:$I$2271,6,FALSE)</f>
        <v>#N/A</v>
      </c>
    </row>
    <row r="2074" spans="1:12" hidden="1" x14ac:dyDescent="0.35">
      <c r="A2074" s="6">
        <v>1352915</v>
      </c>
      <c r="B2074" s="7" t="str">
        <f>"3328125410060004"</f>
        <v>3328125410060004</v>
      </c>
      <c r="C2074" s="7" t="s">
        <v>4175</v>
      </c>
      <c r="D2074" s="7" t="s">
        <v>10</v>
      </c>
      <c r="E2074" s="7" t="s">
        <v>57</v>
      </c>
      <c r="F2074" s="7" t="s">
        <v>303</v>
      </c>
      <c r="G2074" s="7" t="s">
        <v>608</v>
      </c>
      <c r="H2074" s="7" t="s">
        <v>609</v>
      </c>
      <c r="I2074" s="8" t="s">
        <v>610</v>
      </c>
    </row>
    <row r="2075" spans="1:12" hidden="1" x14ac:dyDescent="0.35">
      <c r="A2075" s="6">
        <v>1198834</v>
      </c>
      <c r="B2075" s="7" t="str">
        <f>"3328125505930004"</f>
        <v>3328125505930004</v>
      </c>
      <c r="C2075" s="7" t="s">
        <v>4176</v>
      </c>
      <c r="D2075" s="7" t="s">
        <v>10</v>
      </c>
      <c r="E2075" s="7" t="s">
        <v>11</v>
      </c>
      <c r="F2075" s="7" t="s">
        <v>91</v>
      </c>
      <c r="G2075" s="7" t="s">
        <v>320</v>
      </c>
      <c r="H2075" s="7" t="s">
        <v>368</v>
      </c>
      <c r="I2075" s="8" t="s">
        <v>3266</v>
      </c>
    </row>
    <row r="2076" spans="1:12" hidden="1" x14ac:dyDescent="0.35">
      <c r="A2076" s="13">
        <v>2187737</v>
      </c>
      <c r="B2076" s="14" t="str">
        <f>"3328125506920006"</f>
        <v>3328125506920006</v>
      </c>
      <c r="C2076" s="14" t="s">
        <v>4178</v>
      </c>
      <c r="D2076" s="14" t="s">
        <v>10</v>
      </c>
      <c r="E2076" s="14" t="s">
        <v>11</v>
      </c>
      <c r="F2076" s="14" t="s">
        <v>18</v>
      </c>
      <c r="G2076" s="14" t="s">
        <v>19</v>
      </c>
      <c r="H2076" s="14" t="s">
        <v>3354</v>
      </c>
      <c r="I2076" s="15" t="s">
        <v>4012</v>
      </c>
      <c r="J2076" s="16" t="str">
        <f>VLOOKUP(B2076,baru!$B$2:$I$2271,4,FALSE)</f>
        <v>Reguler</v>
      </c>
      <c r="K2076" s="16" t="str">
        <f>VLOOKUP(B2076,baru!$B$2:$I$2271,5,FALSE)</f>
        <v>JAWA TENGAH</v>
      </c>
      <c r="L2076" s="16" t="str">
        <f>VLOOKUP(B2076,baru!$B$2:$I$2271,6,FALSE)</f>
        <v>KOTA TEGAL</v>
      </c>
    </row>
    <row r="2077" spans="1:12" hidden="1" x14ac:dyDescent="0.35">
      <c r="A2077" s="13">
        <v>2429021</v>
      </c>
      <c r="B2077" s="14" t="str">
        <f>"3328125507020003"</f>
        <v>3328125507020003</v>
      </c>
      <c r="C2077" s="14" t="s">
        <v>4180</v>
      </c>
      <c r="D2077" s="14" t="s">
        <v>10</v>
      </c>
      <c r="E2077" s="14" t="s">
        <v>11</v>
      </c>
      <c r="F2077" s="14" t="s">
        <v>18</v>
      </c>
      <c r="G2077" s="14" t="s">
        <v>19</v>
      </c>
      <c r="H2077" s="14" t="s">
        <v>3354</v>
      </c>
      <c r="I2077" s="15" t="s">
        <v>3354</v>
      </c>
      <c r="J2077" s="16" t="str">
        <f>VLOOKUP(B2077,baru!$B$2:$I$2271,4,FALSE)</f>
        <v>Reguler</v>
      </c>
      <c r="K2077" s="16" t="str">
        <f>VLOOKUP(B2077,baru!$B$2:$I$2271,5,FALSE)</f>
        <v>JAWA TENGAH</v>
      </c>
      <c r="L2077" s="16" t="str">
        <f>VLOOKUP(B2077,baru!$B$2:$I$2271,6,FALSE)</f>
        <v>KARANGANYAR</v>
      </c>
    </row>
    <row r="2078" spans="1:12" hidden="1" x14ac:dyDescent="0.35">
      <c r="A2078" s="6">
        <v>2192449</v>
      </c>
      <c r="B2078" s="7" t="str">
        <f>"3328125606850005"</f>
        <v>3328125606850005</v>
      </c>
      <c r="C2078" s="7" t="s">
        <v>4183</v>
      </c>
      <c r="D2078" s="7" t="s">
        <v>10</v>
      </c>
      <c r="E2078" s="7" t="s">
        <v>11</v>
      </c>
      <c r="F2078" s="7" t="s">
        <v>18</v>
      </c>
      <c r="G2078" s="7" t="s">
        <v>19</v>
      </c>
      <c r="H2078" s="7" t="s">
        <v>3354</v>
      </c>
      <c r="I2078" s="8" t="s">
        <v>4014</v>
      </c>
      <c r="J2078" t="e">
        <f>VLOOKUP(B2078,baru!$B$2:$I$2271,4,FALSE)</f>
        <v>#N/A</v>
      </c>
      <c r="K2078" t="e">
        <f>VLOOKUP(B2078,baru!$B$2:$I$2271,5,FALSE)</f>
        <v>#N/A</v>
      </c>
      <c r="L2078" t="e">
        <f>VLOOKUP(B2078,baru!$B$2:$I$2271,6,FALSE)</f>
        <v>#N/A</v>
      </c>
    </row>
    <row r="2079" spans="1:12" hidden="1" x14ac:dyDescent="0.35">
      <c r="A2079" s="6">
        <v>1352176</v>
      </c>
      <c r="B2079" s="7" t="str">
        <f>"3328125606850005"</f>
        <v>3328125606850005</v>
      </c>
      <c r="C2079" s="7" t="s">
        <v>4184</v>
      </c>
      <c r="D2079" s="7" t="s">
        <v>10</v>
      </c>
      <c r="E2079" s="7" t="s">
        <v>57</v>
      </c>
      <c r="F2079" s="7" t="s">
        <v>303</v>
      </c>
      <c r="G2079" s="7" t="s">
        <v>608</v>
      </c>
      <c r="H2079" s="7" t="s">
        <v>609</v>
      </c>
      <c r="I2079" s="8" t="s">
        <v>610</v>
      </c>
    </row>
    <row r="2080" spans="1:12" x14ac:dyDescent="0.35">
      <c r="A2080" s="13">
        <v>2200166</v>
      </c>
      <c r="B2080" s="14" t="str">
        <f>"3328125803000003"</f>
        <v>3328125803000003</v>
      </c>
      <c r="C2080" s="14" t="s">
        <v>4185</v>
      </c>
      <c r="D2080" s="14" t="s">
        <v>189</v>
      </c>
      <c r="E2080" s="14" t="s">
        <v>11</v>
      </c>
      <c r="F2080" s="14" t="s">
        <v>18</v>
      </c>
      <c r="G2080" s="14" t="s">
        <v>19</v>
      </c>
      <c r="H2080" s="14" t="s">
        <v>3354</v>
      </c>
      <c r="I2080" s="15" t="s">
        <v>1954</v>
      </c>
      <c r="J2080" s="16" t="str">
        <f>VLOOKUP(B2080,baru!$B$2:$I$2271,4,FALSE)</f>
        <v>Reguler</v>
      </c>
      <c r="K2080" s="16" t="str">
        <f>VLOOKUP(B2080,baru!$B$2:$I$2271,5,FALSE)</f>
        <v>JAWA TENGAH</v>
      </c>
      <c r="L2080" s="16" t="str">
        <f>VLOOKUP(B2080,baru!$B$2:$I$2271,6,FALSE)</f>
        <v>TEGAL</v>
      </c>
    </row>
    <row r="2081" spans="1:12" hidden="1" x14ac:dyDescent="0.35">
      <c r="A2081" s="13">
        <v>2208095</v>
      </c>
      <c r="B2081" s="14" t="str">
        <f>"3328126001860001"</f>
        <v>3328126001860001</v>
      </c>
      <c r="C2081" s="14" t="s">
        <v>4187</v>
      </c>
      <c r="D2081" s="14" t="s">
        <v>10</v>
      </c>
      <c r="E2081" s="14" t="s">
        <v>11</v>
      </c>
      <c r="F2081" s="14" t="s">
        <v>18</v>
      </c>
      <c r="G2081" s="14" t="s">
        <v>19</v>
      </c>
      <c r="H2081" s="14" t="s">
        <v>3354</v>
      </c>
      <c r="I2081" s="15" t="s">
        <v>4057</v>
      </c>
      <c r="J2081" s="16" t="str">
        <f>VLOOKUP(B2081,baru!$B$2:$I$2271,4,FALSE)</f>
        <v>Reguler</v>
      </c>
      <c r="K2081" s="16" t="str">
        <f>VLOOKUP(B2081,baru!$B$2:$I$2271,5,FALSE)</f>
        <v>JAWA TENGAH</v>
      </c>
      <c r="L2081" s="16" t="str">
        <f>VLOOKUP(B2081,baru!$B$2:$I$2271,6,FALSE)</f>
        <v>MAGELANG</v>
      </c>
    </row>
    <row r="2082" spans="1:12" hidden="1" x14ac:dyDescent="0.35">
      <c r="A2082" s="6">
        <v>965060</v>
      </c>
      <c r="B2082" s="7" t="str">
        <f>"3328126012910013"</f>
        <v>3328126012910013</v>
      </c>
      <c r="C2082" s="7" t="s">
        <v>4191</v>
      </c>
      <c r="D2082" s="7" t="s">
        <v>10</v>
      </c>
      <c r="E2082" s="7" t="s">
        <v>11</v>
      </c>
      <c r="F2082" s="7" t="s">
        <v>303</v>
      </c>
      <c r="G2082" s="7" t="s">
        <v>1855</v>
      </c>
      <c r="H2082" s="7" t="s">
        <v>4192</v>
      </c>
      <c r="I2082" s="8" t="s">
        <v>4193</v>
      </c>
    </row>
    <row r="2083" spans="1:12" hidden="1" x14ac:dyDescent="0.35">
      <c r="A2083" s="6">
        <v>463782</v>
      </c>
      <c r="B2083" s="7" t="str">
        <f>"3328126106520001"</f>
        <v>3328126106520001</v>
      </c>
      <c r="C2083" s="7" t="s">
        <v>4194</v>
      </c>
      <c r="D2083" s="7" t="s">
        <v>10</v>
      </c>
      <c r="E2083" s="7" t="s">
        <v>11</v>
      </c>
      <c r="F2083" s="7" t="s">
        <v>50</v>
      </c>
      <c r="G2083" s="7" t="s">
        <v>72</v>
      </c>
      <c r="H2083" s="7" t="s">
        <v>1840</v>
      </c>
      <c r="I2083" s="8" t="s">
        <v>4195</v>
      </c>
    </row>
    <row r="2084" spans="1:12" hidden="1" x14ac:dyDescent="0.35">
      <c r="A2084" s="17">
        <v>2328298</v>
      </c>
      <c r="B2084" s="18" t="str">
        <f>"3328126108060002"</f>
        <v>3328126108060002</v>
      </c>
      <c r="C2084" s="18" t="s">
        <v>4197</v>
      </c>
      <c r="D2084" s="18" t="s">
        <v>10</v>
      </c>
      <c r="E2084" s="18" t="s">
        <v>11</v>
      </c>
      <c r="F2084" s="18" t="s">
        <v>18</v>
      </c>
      <c r="G2084" s="18" t="s">
        <v>19</v>
      </c>
      <c r="H2084" s="18" t="s">
        <v>3354</v>
      </c>
      <c r="I2084" s="19" t="s">
        <v>307</v>
      </c>
      <c r="J2084" s="20" t="str">
        <f>VLOOKUP(B2084,baru!$B$2:$I$2271,4,FALSE)</f>
        <v>Khusus</v>
      </c>
      <c r="K2084" s="20" t="str">
        <f>VLOOKUP(B2084,baru!$B$2:$I$2271,5,FALSE)</f>
        <v>JAWA TENGAH</v>
      </c>
      <c r="L2084" s="20" t="str">
        <f>VLOOKUP(B2084,baru!$B$2:$I$2271,6,FALSE)</f>
        <v>MAGELANG</v>
      </c>
    </row>
    <row r="2085" spans="1:12" hidden="1" x14ac:dyDescent="0.35">
      <c r="A2085" s="6">
        <v>2262589</v>
      </c>
      <c r="B2085" s="7" t="str">
        <f>"3328126204020009"</f>
        <v>3328126204020009</v>
      </c>
      <c r="C2085" s="7" t="s">
        <v>4198</v>
      </c>
      <c r="D2085" s="7" t="s">
        <v>10</v>
      </c>
      <c r="E2085" s="7" t="s">
        <v>11</v>
      </c>
      <c r="F2085" s="7" t="s">
        <v>18</v>
      </c>
      <c r="G2085" s="7" t="s">
        <v>19</v>
      </c>
      <c r="H2085" s="7" t="s">
        <v>3354</v>
      </c>
      <c r="I2085" s="8" t="s">
        <v>4022</v>
      </c>
      <c r="J2085" t="e">
        <f>VLOOKUP(B2085,baru!$B$2:$I$2271,4,FALSE)</f>
        <v>#N/A</v>
      </c>
      <c r="K2085" t="e">
        <f>VLOOKUP(B2085,baru!$B$2:$I$2271,5,FALSE)</f>
        <v>#N/A</v>
      </c>
      <c r="L2085" t="e">
        <f>VLOOKUP(B2085,baru!$B$2:$I$2271,6,FALSE)</f>
        <v>#N/A</v>
      </c>
    </row>
    <row r="2086" spans="1:12" hidden="1" x14ac:dyDescent="0.35">
      <c r="A2086" s="6">
        <v>1352916</v>
      </c>
      <c r="B2086" s="7" t="str">
        <f>"3328126204020009"</f>
        <v>3328126204020009</v>
      </c>
      <c r="C2086" s="7" t="s">
        <v>4198</v>
      </c>
      <c r="D2086" s="7" t="s">
        <v>10</v>
      </c>
      <c r="E2086" s="7" t="s">
        <v>57</v>
      </c>
      <c r="F2086" s="7" t="s">
        <v>303</v>
      </c>
      <c r="G2086" s="7" t="s">
        <v>608</v>
      </c>
      <c r="H2086" s="7" t="s">
        <v>609</v>
      </c>
      <c r="I2086" s="8" t="s">
        <v>610</v>
      </c>
    </row>
    <row r="2087" spans="1:12" x14ac:dyDescent="0.35">
      <c r="A2087" s="13">
        <v>2360734</v>
      </c>
      <c r="B2087" s="14" t="str">
        <f>"3328126412960002"</f>
        <v>3328126412960002</v>
      </c>
      <c r="C2087" s="14" t="s">
        <v>4200</v>
      </c>
      <c r="D2087" s="14" t="s">
        <v>189</v>
      </c>
      <c r="E2087" s="14" t="s">
        <v>11</v>
      </c>
      <c r="F2087" s="14" t="s">
        <v>18</v>
      </c>
      <c r="G2087" s="14" t="s">
        <v>19</v>
      </c>
      <c r="H2087" s="14" t="s">
        <v>3354</v>
      </c>
      <c r="I2087" s="15" t="s">
        <v>1309</v>
      </c>
      <c r="J2087" s="16" t="str">
        <f>VLOOKUP(B2087,baru!$B$2:$I$2271,4,FALSE)</f>
        <v>Reguler</v>
      </c>
      <c r="K2087" s="16" t="str">
        <f>VLOOKUP(B2087,baru!$B$2:$I$2271,5,FALSE)</f>
        <v>JAWA TENGAH</v>
      </c>
      <c r="L2087" s="16" t="str">
        <f>VLOOKUP(B2087,baru!$B$2:$I$2271,6,FALSE)</f>
        <v>KOTA TEGAL</v>
      </c>
    </row>
    <row r="2088" spans="1:12" x14ac:dyDescent="0.35">
      <c r="A2088" s="13">
        <v>2337895</v>
      </c>
      <c r="B2088" s="14" t="str">
        <f>"3328126510940002"</f>
        <v>3328126510940002</v>
      </c>
      <c r="C2088" s="14" t="s">
        <v>4201</v>
      </c>
      <c r="D2088" s="14" t="s">
        <v>189</v>
      </c>
      <c r="E2088" s="14" t="s">
        <v>11</v>
      </c>
      <c r="F2088" s="14" t="s">
        <v>18</v>
      </c>
      <c r="G2088" s="14" t="s">
        <v>19</v>
      </c>
      <c r="H2088" s="14" t="s">
        <v>3354</v>
      </c>
      <c r="I2088" s="15" t="s">
        <v>4026</v>
      </c>
      <c r="J2088" s="16" t="str">
        <f>VLOOKUP(B2088,baru!$B$2:$I$2271,4,FALSE)</f>
        <v>Reguler</v>
      </c>
      <c r="K2088" s="16" t="str">
        <f>VLOOKUP(B2088,baru!$B$2:$I$2271,5,FALSE)</f>
        <v>JAWA BARAT</v>
      </c>
      <c r="L2088" s="16" t="str">
        <f>VLOOKUP(B2088,baru!$B$2:$I$2271,6,FALSE)</f>
        <v>KARAWANG</v>
      </c>
    </row>
    <row r="2089" spans="1:12" hidden="1" x14ac:dyDescent="0.35">
      <c r="A2089" s="13">
        <v>2194638</v>
      </c>
      <c r="B2089" s="14" t="str">
        <f>"3328126709860001"</f>
        <v>3328126709860001</v>
      </c>
      <c r="C2089" s="14" t="s">
        <v>4203</v>
      </c>
      <c r="D2089" s="14" t="s">
        <v>10</v>
      </c>
      <c r="E2089" s="14" t="s">
        <v>11</v>
      </c>
      <c r="F2089" s="14" t="s">
        <v>18</v>
      </c>
      <c r="G2089" s="14" t="s">
        <v>19</v>
      </c>
      <c r="H2089" s="14" t="s">
        <v>3354</v>
      </c>
      <c r="I2089" s="15" t="s">
        <v>4098</v>
      </c>
      <c r="J2089" s="16" t="str">
        <f>VLOOKUP(B2089,baru!$B$2:$I$2271,4,FALSE)</f>
        <v>Reguler</v>
      </c>
      <c r="K2089" s="16" t="str">
        <f>VLOOKUP(B2089,baru!$B$2:$I$2271,5,FALSE)</f>
        <v>JAWA TENGAH</v>
      </c>
      <c r="L2089" s="16" t="str">
        <f>VLOOKUP(B2089,baru!$B$2:$I$2271,6,FALSE)</f>
        <v>BREBES</v>
      </c>
    </row>
    <row r="2090" spans="1:12" hidden="1" x14ac:dyDescent="0.35">
      <c r="A2090" s="17">
        <v>2237057</v>
      </c>
      <c r="B2090" s="18" t="str">
        <f>"3328126709940004"</f>
        <v>3328126709940004</v>
      </c>
      <c r="C2090" s="18" t="s">
        <v>4204</v>
      </c>
      <c r="D2090" s="18" t="s">
        <v>10</v>
      </c>
      <c r="E2090" s="18" t="s">
        <v>11</v>
      </c>
      <c r="F2090" s="18" t="s">
        <v>18</v>
      </c>
      <c r="G2090" s="18" t="s">
        <v>19</v>
      </c>
      <c r="H2090" s="18" t="s">
        <v>3354</v>
      </c>
      <c r="I2090" s="19" t="s">
        <v>613</v>
      </c>
      <c r="J2090" s="20" t="str">
        <f>VLOOKUP(B2090,baru!$B$2:$I$2271,4,FALSE)</f>
        <v>Khusus</v>
      </c>
      <c r="K2090" s="20" t="str">
        <f>VLOOKUP(B2090,baru!$B$2:$I$2271,5,FALSE)</f>
        <v>JAWA TIMUR</v>
      </c>
      <c r="L2090" s="20" t="str">
        <f>VLOOKUP(B2090,baru!$B$2:$I$2271,6,FALSE)</f>
        <v>KOTA MOJOKERTO</v>
      </c>
    </row>
    <row r="2091" spans="1:12" hidden="1" x14ac:dyDescent="0.35">
      <c r="A2091" s="13">
        <v>2215806</v>
      </c>
      <c r="B2091" s="14" t="str">
        <f>"3328126810980007"</f>
        <v>3328126810980007</v>
      </c>
      <c r="C2091" s="14" t="s">
        <v>4209</v>
      </c>
      <c r="D2091" s="14" t="s">
        <v>10</v>
      </c>
      <c r="E2091" s="14" t="s">
        <v>11</v>
      </c>
      <c r="F2091" s="14" t="s">
        <v>18</v>
      </c>
      <c r="G2091" s="14" t="s">
        <v>19</v>
      </c>
      <c r="H2091" s="14" t="s">
        <v>3354</v>
      </c>
      <c r="I2091" s="15" t="s">
        <v>131</v>
      </c>
      <c r="J2091" s="16" t="str">
        <f>VLOOKUP(B2091,baru!$B$2:$I$2271,4,FALSE)</f>
        <v>Reguler</v>
      </c>
      <c r="K2091" s="16" t="str">
        <f>VLOOKUP(B2091,baru!$B$2:$I$2271,5,FALSE)</f>
        <v>DKI JAKARTA</v>
      </c>
      <c r="L2091" s="16" t="str">
        <f>VLOOKUP(B2091,baru!$B$2:$I$2271,6,FALSE)</f>
        <v>KOTA JAKARTA SELATAN</v>
      </c>
    </row>
    <row r="2092" spans="1:12" x14ac:dyDescent="0.35">
      <c r="A2092" s="13">
        <v>2329110</v>
      </c>
      <c r="B2092" s="14" t="str">
        <f>"3328126901970002"</f>
        <v>3328126901970002</v>
      </c>
      <c r="C2092" s="14" t="s">
        <v>4211</v>
      </c>
      <c r="D2092" s="14" t="s">
        <v>189</v>
      </c>
      <c r="E2092" s="14" t="s">
        <v>11</v>
      </c>
      <c r="F2092" s="14" t="s">
        <v>18</v>
      </c>
      <c r="G2092" s="14" t="s">
        <v>19</v>
      </c>
      <c r="H2092" s="14" t="s">
        <v>3354</v>
      </c>
      <c r="I2092" s="15" t="s">
        <v>307</v>
      </c>
      <c r="J2092" s="16" t="str">
        <f>VLOOKUP(B2092,baru!$B$2:$I$2271,4,FALSE)</f>
        <v>Reguler</v>
      </c>
      <c r="K2092" s="16" t="str">
        <f>VLOOKUP(B2092,baru!$B$2:$I$2271,5,FALSE)</f>
        <v>JAWA TENGAH</v>
      </c>
      <c r="L2092" s="16" t="str">
        <f>VLOOKUP(B2092,baru!$B$2:$I$2271,6,FALSE)</f>
        <v>KOTA TEGAL</v>
      </c>
    </row>
    <row r="2093" spans="1:12" hidden="1" x14ac:dyDescent="0.35">
      <c r="A2093" s="6">
        <v>2429694</v>
      </c>
      <c r="B2093" s="7" t="str">
        <f>"3328126905020001"</f>
        <v>3328126905020001</v>
      </c>
      <c r="C2093" s="7" t="s">
        <v>4212</v>
      </c>
      <c r="D2093" s="7" t="s">
        <v>10</v>
      </c>
      <c r="E2093" s="7" t="s">
        <v>11</v>
      </c>
      <c r="F2093" s="7" t="s">
        <v>18</v>
      </c>
      <c r="G2093" s="7" t="s">
        <v>19</v>
      </c>
      <c r="H2093" s="7" t="s">
        <v>3354</v>
      </c>
      <c r="I2093" s="8" t="s">
        <v>3354</v>
      </c>
      <c r="J2093" t="e">
        <f>VLOOKUP(B2093,baru!$B$2:$I$2271,4,FALSE)</f>
        <v>#N/A</v>
      </c>
      <c r="K2093" t="e">
        <f>VLOOKUP(B2093,baru!$B$2:$I$2271,5,FALSE)</f>
        <v>#N/A</v>
      </c>
      <c r="L2093" t="e">
        <f>VLOOKUP(B2093,baru!$B$2:$I$2271,6,FALSE)</f>
        <v>#N/A</v>
      </c>
    </row>
    <row r="2094" spans="1:12" hidden="1" x14ac:dyDescent="0.35">
      <c r="A2094" s="6">
        <v>1352177</v>
      </c>
      <c r="B2094" s="7" t="str">
        <f>"3328126905020001"</f>
        <v>3328126905020001</v>
      </c>
      <c r="C2094" s="7" t="s">
        <v>4212</v>
      </c>
      <c r="D2094" s="7" t="s">
        <v>10</v>
      </c>
      <c r="E2094" s="7" t="s">
        <v>57</v>
      </c>
      <c r="F2094" s="7" t="s">
        <v>303</v>
      </c>
      <c r="G2094" s="7" t="s">
        <v>608</v>
      </c>
      <c r="H2094" s="7" t="s">
        <v>609</v>
      </c>
      <c r="I2094" s="8" t="s">
        <v>610</v>
      </c>
    </row>
    <row r="2095" spans="1:12" x14ac:dyDescent="0.35">
      <c r="A2095" s="13">
        <v>2443858</v>
      </c>
      <c r="B2095" s="14" t="str">
        <f>"3328126912000002"</f>
        <v>3328126912000002</v>
      </c>
      <c r="C2095" s="14" t="s">
        <v>4213</v>
      </c>
      <c r="D2095" s="14" t="s">
        <v>189</v>
      </c>
      <c r="E2095" s="14" t="s">
        <v>11</v>
      </c>
      <c r="F2095" s="14" t="s">
        <v>18</v>
      </c>
      <c r="G2095" s="14" t="s">
        <v>19</v>
      </c>
      <c r="H2095" s="14" t="s">
        <v>3354</v>
      </c>
      <c r="I2095" s="15" t="s">
        <v>4076</v>
      </c>
      <c r="J2095" s="16" t="str">
        <f>VLOOKUP(B2095,baru!$B$2:$I$2271,4,FALSE)</f>
        <v>Reguler</v>
      </c>
      <c r="K2095" s="16" t="str">
        <f>VLOOKUP(B2095,baru!$B$2:$I$2271,5,FALSE)</f>
        <v>JAWA TENGAH</v>
      </c>
      <c r="L2095" s="16" t="str">
        <f>VLOOKUP(B2095,baru!$B$2:$I$2271,6,FALSE)</f>
        <v>BREBES</v>
      </c>
    </row>
    <row r="2096" spans="1:12" x14ac:dyDescent="0.35">
      <c r="A2096" s="6">
        <v>243935</v>
      </c>
      <c r="B2096" s="7" t="str">
        <f>"3328127003010006"</f>
        <v>3328127003010006</v>
      </c>
      <c r="C2096" s="7" t="s">
        <v>4214</v>
      </c>
      <c r="D2096" s="7" t="s">
        <v>189</v>
      </c>
      <c r="E2096" s="7" t="s">
        <v>11</v>
      </c>
      <c r="F2096" s="7" t="s">
        <v>18</v>
      </c>
      <c r="G2096" s="7" t="s">
        <v>268</v>
      </c>
      <c r="H2096" s="7" t="s">
        <v>371</v>
      </c>
      <c r="I2096" s="8" t="s">
        <v>372</v>
      </c>
    </row>
    <row r="2097" spans="1:12" x14ac:dyDescent="0.35">
      <c r="A2097" s="6">
        <v>2199190</v>
      </c>
      <c r="B2097" s="7" t="str">
        <f>"3328127101050006"</f>
        <v>3328127101050006</v>
      </c>
      <c r="C2097" s="7" t="s">
        <v>4216</v>
      </c>
      <c r="D2097" s="7" t="s">
        <v>189</v>
      </c>
      <c r="E2097" s="7" t="s">
        <v>11</v>
      </c>
      <c r="F2097" s="7" t="s">
        <v>18</v>
      </c>
      <c r="G2097" s="7" t="s">
        <v>19</v>
      </c>
      <c r="H2097" s="7" t="s">
        <v>3354</v>
      </c>
      <c r="I2097" s="8" t="s">
        <v>3355</v>
      </c>
      <c r="J2097" t="e">
        <f>VLOOKUP(B2097,baru!$B$2:$I$2271,4,FALSE)</f>
        <v>#N/A</v>
      </c>
      <c r="K2097" t="e">
        <f>VLOOKUP(B2097,baru!$B$2:$I$2271,5,FALSE)</f>
        <v>#N/A</v>
      </c>
      <c r="L2097" t="e">
        <f>VLOOKUP(B2097,baru!$B$2:$I$2271,6,FALSE)</f>
        <v>#N/A</v>
      </c>
    </row>
    <row r="2098" spans="1:12" hidden="1" x14ac:dyDescent="0.35">
      <c r="A2098" s="6">
        <v>1862382</v>
      </c>
      <c r="B2098" s="7" t="str">
        <f>"3328127101050006"</f>
        <v>3328127101050006</v>
      </c>
      <c r="C2098" s="7" t="s">
        <v>4216</v>
      </c>
      <c r="D2098" s="7" t="s">
        <v>10</v>
      </c>
      <c r="E2098" s="7" t="s">
        <v>57</v>
      </c>
      <c r="F2098" s="7" t="s">
        <v>18</v>
      </c>
      <c r="G2098" s="7" t="s">
        <v>733</v>
      </c>
      <c r="H2098" s="7" t="s">
        <v>733</v>
      </c>
      <c r="I2098" s="8" t="s">
        <v>734</v>
      </c>
    </row>
    <row r="2099" spans="1:12" hidden="1" x14ac:dyDescent="0.35">
      <c r="A2099" s="6">
        <v>2202677</v>
      </c>
      <c r="B2099" s="7" t="str">
        <f>"3328131506040004"</f>
        <v>3328131506040004</v>
      </c>
      <c r="C2099" s="7" t="s">
        <v>4217</v>
      </c>
      <c r="D2099" s="7" t="s">
        <v>10</v>
      </c>
      <c r="E2099" s="7" t="s">
        <v>11</v>
      </c>
      <c r="F2099" s="7" t="s">
        <v>18</v>
      </c>
      <c r="G2099" s="7" t="s">
        <v>19</v>
      </c>
      <c r="H2099" s="7" t="s">
        <v>3354</v>
      </c>
      <c r="I2099" s="8" t="s">
        <v>1954</v>
      </c>
      <c r="J2099" t="e">
        <f>VLOOKUP(B2099,baru!$B$2:$I$2271,4,FALSE)</f>
        <v>#N/A</v>
      </c>
      <c r="K2099" t="e">
        <f>VLOOKUP(B2099,baru!$B$2:$I$2271,5,FALSE)</f>
        <v>#N/A</v>
      </c>
      <c r="L2099" t="e">
        <f>VLOOKUP(B2099,baru!$B$2:$I$2271,6,FALSE)</f>
        <v>#N/A</v>
      </c>
    </row>
    <row r="2100" spans="1:12" hidden="1" x14ac:dyDescent="0.35">
      <c r="A2100" s="6">
        <v>1351195</v>
      </c>
      <c r="B2100" s="7" t="str">
        <f>"3328131506040004"</f>
        <v>3328131506040004</v>
      </c>
      <c r="C2100" s="7" t="s">
        <v>4218</v>
      </c>
      <c r="D2100" s="7" t="s">
        <v>10</v>
      </c>
      <c r="E2100" s="7" t="s">
        <v>57</v>
      </c>
      <c r="F2100" s="7" t="s">
        <v>303</v>
      </c>
      <c r="G2100" s="7" t="s">
        <v>608</v>
      </c>
      <c r="H2100" s="7" t="s">
        <v>609</v>
      </c>
      <c r="I2100" s="8" t="s">
        <v>610</v>
      </c>
    </row>
    <row r="2101" spans="1:12" hidden="1" x14ac:dyDescent="0.35">
      <c r="A2101" s="13">
        <v>2224517</v>
      </c>
      <c r="B2101" s="14" t="str">
        <f>"3328134410970003"</f>
        <v>3328134410970003</v>
      </c>
      <c r="C2101" s="14" t="s">
        <v>4219</v>
      </c>
      <c r="D2101" s="14" t="s">
        <v>10</v>
      </c>
      <c r="E2101" s="14" t="s">
        <v>11</v>
      </c>
      <c r="F2101" s="14" t="s">
        <v>18</v>
      </c>
      <c r="G2101" s="14" t="s">
        <v>19</v>
      </c>
      <c r="H2101" s="14" t="s">
        <v>3354</v>
      </c>
      <c r="I2101" s="15" t="s">
        <v>4003</v>
      </c>
      <c r="J2101" s="16" t="str">
        <f>VLOOKUP(B2101,baru!$B$2:$I$2271,4,FALSE)</f>
        <v>Reguler</v>
      </c>
      <c r="K2101" s="16" t="str">
        <f>VLOOKUP(B2101,baru!$B$2:$I$2271,5,FALSE)</f>
        <v>JAWA TENGAH</v>
      </c>
      <c r="L2101" s="16" t="str">
        <f>VLOOKUP(B2101,baru!$B$2:$I$2271,6,FALSE)</f>
        <v>KOTA TEGAL</v>
      </c>
    </row>
    <row r="2102" spans="1:12" x14ac:dyDescent="0.35">
      <c r="A2102" s="6">
        <v>266207</v>
      </c>
      <c r="B2102" s="7" t="str">
        <f>"3329065308950004"</f>
        <v>3329065308950004</v>
      </c>
      <c r="C2102" s="7" t="s">
        <v>4221</v>
      </c>
      <c r="D2102" s="7" t="s">
        <v>189</v>
      </c>
      <c r="E2102" s="7" t="s">
        <v>11</v>
      </c>
      <c r="F2102" s="7" t="s">
        <v>18</v>
      </c>
      <c r="G2102" s="7" t="s">
        <v>264</v>
      </c>
      <c r="H2102" s="7" t="s">
        <v>468</v>
      </c>
      <c r="I2102" s="8" t="s">
        <v>468</v>
      </c>
    </row>
    <row r="2103" spans="1:12" hidden="1" x14ac:dyDescent="0.35">
      <c r="A2103" s="6">
        <v>1329081</v>
      </c>
      <c r="B2103" s="7" t="str">
        <f>"3329071704940002"</f>
        <v>3329071704940002</v>
      </c>
      <c r="C2103" s="7" t="s">
        <v>4223</v>
      </c>
      <c r="D2103" s="7" t="s">
        <v>10</v>
      </c>
      <c r="E2103" s="7" t="s">
        <v>11</v>
      </c>
      <c r="F2103" s="7" t="s">
        <v>18</v>
      </c>
      <c r="G2103" s="7" t="s">
        <v>264</v>
      </c>
      <c r="H2103" s="7" t="s">
        <v>265</v>
      </c>
      <c r="I2103" s="8" t="s">
        <v>1878</v>
      </c>
    </row>
    <row r="2104" spans="1:12" hidden="1" x14ac:dyDescent="0.35">
      <c r="A2104" s="6">
        <v>1314732</v>
      </c>
      <c r="B2104" s="7" t="str">
        <f>"3329072912930004"</f>
        <v>3329072912930004</v>
      </c>
      <c r="C2104" s="7" t="s">
        <v>4225</v>
      </c>
      <c r="D2104" s="7" t="s">
        <v>10</v>
      </c>
      <c r="E2104" s="7" t="s">
        <v>11</v>
      </c>
      <c r="F2104" s="7" t="s">
        <v>18</v>
      </c>
      <c r="G2104" s="7" t="s">
        <v>264</v>
      </c>
      <c r="H2104" s="7" t="s">
        <v>265</v>
      </c>
      <c r="I2104" s="8" t="s">
        <v>865</v>
      </c>
    </row>
    <row r="2105" spans="1:12" hidden="1" x14ac:dyDescent="0.35">
      <c r="A2105" s="6">
        <v>1210394</v>
      </c>
      <c r="B2105" s="7" t="str">
        <f>"3329074411890007"</f>
        <v>3329074411890007</v>
      </c>
      <c r="C2105" s="7" t="s">
        <v>4226</v>
      </c>
      <c r="D2105" s="7" t="s">
        <v>10</v>
      </c>
      <c r="E2105" s="7" t="s">
        <v>11</v>
      </c>
      <c r="F2105" s="7" t="s">
        <v>18</v>
      </c>
      <c r="G2105" s="7" t="s">
        <v>264</v>
      </c>
      <c r="H2105" s="7" t="s">
        <v>265</v>
      </c>
      <c r="I2105" s="8" t="s">
        <v>906</v>
      </c>
    </row>
    <row r="2106" spans="1:12" hidden="1" x14ac:dyDescent="0.35">
      <c r="A2106" s="6">
        <v>215842</v>
      </c>
      <c r="B2106" s="7" t="str">
        <f>"3329081912040003"</f>
        <v>3329081912040003</v>
      </c>
      <c r="C2106" s="7" t="s">
        <v>4227</v>
      </c>
      <c r="D2106" s="7" t="s">
        <v>10</v>
      </c>
      <c r="E2106" s="7" t="s">
        <v>11</v>
      </c>
      <c r="F2106" s="7" t="s">
        <v>18</v>
      </c>
      <c r="G2106" s="7" t="s">
        <v>268</v>
      </c>
      <c r="H2106" s="7" t="s">
        <v>371</v>
      </c>
      <c r="I2106" s="8" t="s">
        <v>2772</v>
      </c>
    </row>
    <row r="2107" spans="1:12" x14ac:dyDescent="0.35">
      <c r="A2107" s="6">
        <v>844993</v>
      </c>
      <c r="B2107" s="7" t="str">
        <f>"3329090608900001"</f>
        <v>3329090608900001</v>
      </c>
      <c r="C2107" s="7" t="s">
        <v>4229</v>
      </c>
      <c r="D2107" s="7" t="s">
        <v>189</v>
      </c>
      <c r="E2107" s="7" t="s">
        <v>11</v>
      </c>
      <c r="F2107" s="7" t="s">
        <v>18</v>
      </c>
      <c r="G2107" s="7" t="s">
        <v>264</v>
      </c>
      <c r="H2107" s="7" t="s">
        <v>264</v>
      </c>
      <c r="I2107" s="8" t="s">
        <v>264</v>
      </c>
    </row>
    <row r="2108" spans="1:12" hidden="1" x14ac:dyDescent="0.35">
      <c r="A2108" s="6">
        <v>609913</v>
      </c>
      <c r="B2108" s="7" t="str">
        <f>"3329090909960007"</f>
        <v>3329090909960007</v>
      </c>
      <c r="C2108" s="7" t="s">
        <v>4231</v>
      </c>
      <c r="D2108" s="7" t="s">
        <v>10</v>
      </c>
      <c r="E2108" s="7" t="s">
        <v>11</v>
      </c>
      <c r="F2108" s="7" t="s">
        <v>18</v>
      </c>
      <c r="G2108" s="7" t="s">
        <v>264</v>
      </c>
      <c r="H2108" s="7" t="s">
        <v>264</v>
      </c>
      <c r="I2108" s="8" t="s">
        <v>4232</v>
      </c>
    </row>
    <row r="2109" spans="1:12" x14ac:dyDescent="0.35">
      <c r="A2109" s="6">
        <v>612406</v>
      </c>
      <c r="B2109" s="7" t="str">
        <f>"3329091101940004"</f>
        <v>3329091101940004</v>
      </c>
      <c r="C2109" s="7" t="s">
        <v>681</v>
      </c>
      <c r="D2109" s="7" t="s">
        <v>189</v>
      </c>
      <c r="E2109" s="7" t="s">
        <v>11</v>
      </c>
      <c r="F2109" s="7" t="s">
        <v>18</v>
      </c>
      <c r="G2109" s="7" t="s">
        <v>264</v>
      </c>
      <c r="H2109" s="7" t="s">
        <v>264</v>
      </c>
      <c r="I2109" s="8" t="s">
        <v>4232</v>
      </c>
    </row>
    <row r="2110" spans="1:12" hidden="1" x14ac:dyDescent="0.35">
      <c r="A2110" s="6">
        <v>594877</v>
      </c>
      <c r="B2110" s="7" t="str">
        <f>"3329096711850007"</f>
        <v>3329096711850007</v>
      </c>
      <c r="C2110" s="7" t="s">
        <v>4234</v>
      </c>
      <c r="D2110" s="7" t="s">
        <v>10</v>
      </c>
      <c r="E2110" s="7" t="s">
        <v>11</v>
      </c>
      <c r="F2110" s="7" t="s">
        <v>18</v>
      </c>
      <c r="G2110" s="7" t="s">
        <v>264</v>
      </c>
      <c r="H2110" s="7" t="s">
        <v>264</v>
      </c>
      <c r="I2110" s="8" t="s">
        <v>1637</v>
      </c>
    </row>
    <row r="2111" spans="1:12" hidden="1" x14ac:dyDescent="0.35">
      <c r="A2111" s="6">
        <v>1511169</v>
      </c>
      <c r="B2111" s="7" t="str">
        <f>"3329102503970002"</f>
        <v>3329102503970002</v>
      </c>
      <c r="C2111" s="7" t="s">
        <v>4235</v>
      </c>
      <c r="D2111" s="7" t="s">
        <v>10</v>
      </c>
      <c r="E2111" s="7" t="s">
        <v>11</v>
      </c>
      <c r="F2111" s="7" t="s">
        <v>18</v>
      </c>
      <c r="G2111" s="7" t="s">
        <v>264</v>
      </c>
      <c r="H2111" s="7" t="s">
        <v>273</v>
      </c>
      <c r="I2111" s="8" t="s">
        <v>274</v>
      </c>
    </row>
    <row r="2112" spans="1:12" hidden="1" x14ac:dyDescent="0.35">
      <c r="A2112" s="6">
        <v>1524047</v>
      </c>
      <c r="B2112" s="7" t="str">
        <f>"3329104607890010"</f>
        <v>3329104607890010</v>
      </c>
      <c r="C2112" s="7" t="s">
        <v>4237</v>
      </c>
      <c r="D2112" s="7" t="s">
        <v>10</v>
      </c>
      <c r="E2112" s="7" t="s">
        <v>11</v>
      </c>
      <c r="F2112" s="7" t="s">
        <v>18</v>
      </c>
      <c r="G2112" s="7" t="s">
        <v>264</v>
      </c>
      <c r="H2112" s="7" t="s">
        <v>273</v>
      </c>
      <c r="I2112" s="8" t="s">
        <v>2709</v>
      </c>
    </row>
    <row r="2113" spans="1:12" hidden="1" x14ac:dyDescent="0.35">
      <c r="A2113" s="6">
        <v>389272</v>
      </c>
      <c r="B2113" s="7" t="str">
        <f>"3329141006800009"</f>
        <v>3329141006800009</v>
      </c>
      <c r="C2113" s="7" t="s">
        <v>4240</v>
      </c>
      <c r="D2113" s="7" t="s">
        <v>10</v>
      </c>
      <c r="E2113" s="7" t="s">
        <v>11</v>
      </c>
      <c r="F2113" s="7" t="s">
        <v>18</v>
      </c>
      <c r="G2113" s="7" t="s">
        <v>264</v>
      </c>
      <c r="H2113" s="7" t="s">
        <v>477</v>
      </c>
      <c r="I2113" s="8" t="s">
        <v>2714</v>
      </c>
    </row>
    <row r="2114" spans="1:12" hidden="1" x14ac:dyDescent="0.35">
      <c r="A2114" s="6">
        <v>408041</v>
      </c>
      <c r="B2114" s="7" t="str">
        <f>"3329141105860013"</f>
        <v>3329141105860013</v>
      </c>
      <c r="C2114" s="7" t="s">
        <v>4241</v>
      </c>
      <c r="D2114" s="7" t="s">
        <v>10</v>
      </c>
      <c r="E2114" s="7" t="s">
        <v>11</v>
      </c>
      <c r="F2114" s="7" t="s">
        <v>18</v>
      </c>
      <c r="G2114" s="7" t="s">
        <v>264</v>
      </c>
      <c r="H2114" s="7" t="s">
        <v>477</v>
      </c>
      <c r="I2114" s="8" t="s">
        <v>2091</v>
      </c>
    </row>
    <row r="2115" spans="1:12" hidden="1" x14ac:dyDescent="0.35">
      <c r="A2115" s="6">
        <v>387302</v>
      </c>
      <c r="B2115" s="7" t="str">
        <f>"3329141508880006"</f>
        <v>3329141508880006</v>
      </c>
      <c r="C2115" s="7" t="s">
        <v>4242</v>
      </c>
      <c r="D2115" s="7" t="s">
        <v>10</v>
      </c>
      <c r="E2115" s="7" t="s">
        <v>11</v>
      </c>
      <c r="F2115" s="7" t="s">
        <v>18</v>
      </c>
      <c r="G2115" s="7" t="s">
        <v>264</v>
      </c>
      <c r="H2115" s="7" t="s">
        <v>477</v>
      </c>
      <c r="I2115" s="8" t="s">
        <v>2714</v>
      </c>
    </row>
    <row r="2116" spans="1:12" hidden="1" x14ac:dyDescent="0.35">
      <c r="A2116" s="6">
        <v>389273</v>
      </c>
      <c r="B2116" s="7" t="str">
        <f>"3329144501850005"</f>
        <v>3329144501850005</v>
      </c>
      <c r="C2116" s="7" t="s">
        <v>4244</v>
      </c>
      <c r="D2116" s="7" t="s">
        <v>10</v>
      </c>
      <c r="E2116" s="7" t="s">
        <v>11</v>
      </c>
      <c r="F2116" s="7" t="s">
        <v>18</v>
      </c>
      <c r="G2116" s="7" t="s">
        <v>264</v>
      </c>
      <c r="H2116" s="7" t="s">
        <v>477</v>
      </c>
      <c r="I2116" s="8" t="s">
        <v>2714</v>
      </c>
    </row>
    <row r="2117" spans="1:12" hidden="1" x14ac:dyDescent="0.35">
      <c r="A2117" s="6">
        <v>408040</v>
      </c>
      <c r="B2117" s="7" t="str">
        <f>"3329144905870015"</f>
        <v>3329144905870015</v>
      </c>
      <c r="C2117" s="7" t="s">
        <v>4246</v>
      </c>
      <c r="D2117" s="7" t="s">
        <v>10</v>
      </c>
      <c r="E2117" s="7" t="s">
        <v>11</v>
      </c>
      <c r="F2117" s="7" t="s">
        <v>18</v>
      </c>
      <c r="G2117" s="7" t="s">
        <v>264</v>
      </c>
      <c r="H2117" s="7" t="s">
        <v>477</v>
      </c>
      <c r="I2117" s="8" t="s">
        <v>2091</v>
      </c>
    </row>
    <row r="2118" spans="1:12" hidden="1" x14ac:dyDescent="0.35">
      <c r="A2118" s="6">
        <v>179323</v>
      </c>
      <c r="B2118" s="7" t="str">
        <f>"3329146201920001"</f>
        <v>3329146201920001</v>
      </c>
      <c r="C2118" s="7" t="s">
        <v>4247</v>
      </c>
      <c r="D2118" s="7" t="s">
        <v>10</v>
      </c>
      <c r="E2118" s="7" t="s">
        <v>11</v>
      </c>
      <c r="F2118" s="7" t="s">
        <v>18</v>
      </c>
      <c r="G2118" s="7" t="s">
        <v>264</v>
      </c>
      <c r="H2118" s="7" t="s">
        <v>477</v>
      </c>
      <c r="I2118" s="8" t="s">
        <v>478</v>
      </c>
    </row>
    <row r="2119" spans="1:12" hidden="1" x14ac:dyDescent="0.35">
      <c r="A2119" s="6">
        <v>1569227</v>
      </c>
      <c r="B2119" s="7" t="str">
        <f>"3329155112950005"</f>
        <v>3329155112950005</v>
      </c>
      <c r="C2119" s="7" t="s">
        <v>4248</v>
      </c>
      <c r="D2119" s="7" t="s">
        <v>10</v>
      </c>
      <c r="E2119" s="7" t="s">
        <v>11</v>
      </c>
      <c r="F2119" s="7" t="s">
        <v>18</v>
      </c>
      <c r="G2119" s="7" t="s">
        <v>264</v>
      </c>
      <c r="H2119" s="7" t="s">
        <v>330</v>
      </c>
      <c r="I2119" s="8" t="s">
        <v>330</v>
      </c>
    </row>
    <row r="2120" spans="1:12" hidden="1" x14ac:dyDescent="0.35">
      <c r="A2120" s="6">
        <v>308064</v>
      </c>
      <c r="B2120" s="7" t="str">
        <f>"3376011408940001"</f>
        <v>3376011408940001</v>
      </c>
      <c r="C2120" s="7" t="s">
        <v>4249</v>
      </c>
      <c r="D2120" s="7" t="s">
        <v>10</v>
      </c>
      <c r="E2120" s="7" t="s">
        <v>11</v>
      </c>
      <c r="F2120" s="7" t="s">
        <v>18</v>
      </c>
      <c r="G2120" s="7" t="s">
        <v>268</v>
      </c>
      <c r="H2120" s="7" t="s">
        <v>269</v>
      </c>
      <c r="I2120" s="8" t="s">
        <v>4250</v>
      </c>
    </row>
    <row r="2121" spans="1:12" hidden="1" x14ac:dyDescent="0.35">
      <c r="A2121" s="6">
        <v>291053</v>
      </c>
      <c r="B2121" s="7" t="str">
        <f>"3376011709950001"</f>
        <v>3376011709950001</v>
      </c>
      <c r="C2121" s="7" t="s">
        <v>4252</v>
      </c>
      <c r="D2121" s="7" t="s">
        <v>10</v>
      </c>
      <c r="E2121" s="7" t="s">
        <v>11</v>
      </c>
      <c r="F2121" s="7" t="s">
        <v>18</v>
      </c>
      <c r="G2121" s="7" t="s">
        <v>268</v>
      </c>
      <c r="H2121" s="7" t="s">
        <v>277</v>
      </c>
      <c r="I2121" s="8" t="s">
        <v>2665</v>
      </c>
    </row>
    <row r="2122" spans="1:12" hidden="1" x14ac:dyDescent="0.35">
      <c r="A2122" s="6">
        <v>320933</v>
      </c>
      <c r="B2122" s="7" t="str">
        <f>"3376012006980001"</f>
        <v>3376012006980001</v>
      </c>
      <c r="C2122" s="7" t="s">
        <v>4253</v>
      </c>
      <c r="D2122" s="7" t="s">
        <v>10</v>
      </c>
      <c r="E2122" s="7" t="s">
        <v>11</v>
      </c>
      <c r="F2122" s="7" t="s">
        <v>18</v>
      </c>
      <c r="G2122" s="7" t="s">
        <v>268</v>
      </c>
      <c r="H2122" s="7" t="s">
        <v>277</v>
      </c>
      <c r="I2122" s="8" t="s">
        <v>278</v>
      </c>
    </row>
    <row r="2123" spans="1:12" hidden="1" x14ac:dyDescent="0.35">
      <c r="A2123" s="6">
        <v>320718</v>
      </c>
      <c r="B2123" s="7" t="str">
        <f>"3376015911020001"</f>
        <v>3376015911020001</v>
      </c>
      <c r="C2123" s="7" t="s">
        <v>4254</v>
      </c>
      <c r="D2123" s="7" t="s">
        <v>10</v>
      </c>
      <c r="E2123" s="7" t="s">
        <v>11</v>
      </c>
      <c r="F2123" s="7" t="s">
        <v>18</v>
      </c>
      <c r="G2123" s="7" t="s">
        <v>268</v>
      </c>
      <c r="H2123" s="7" t="s">
        <v>277</v>
      </c>
      <c r="I2123" s="8" t="s">
        <v>278</v>
      </c>
    </row>
    <row r="2124" spans="1:12" hidden="1" x14ac:dyDescent="0.35">
      <c r="A2124" s="6">
        <v>400292</v>
      </c>
      <c r="B2124" s="7" t="str">
        <f>"3376016208930002"</f>
        <v>3376016208930002</v>
      </c>
      <c r="C2124" s="7" t="s">
        <v>4255</v>
      </c>
      <c r="D2124" s="7" t="s">
        <v>10</v>
      </c>
      <c r="E2124" s="7" t="s">
        <v>11</v>
      </c>
      <c r="F2124" s="7" t="s">
        <v>18</v>
      </c>
      <c r="G2124" s="7" t="s">
        <v>268</v>
      </c>
      <c r="H2124" s="7" t="s">
        <v>448</v>
      </c>
      <c r="I2124" s="8" t="s">
        <v>448</v>
      </c>
    </row>
    <row r="2125" spans="1:12" hidden="1" x14ac:dyDescent="0.35">
      <c r="A2125" s="6">
        <v>204167</v>
      </c>
      <c r="B2125" s="7" t="str">
        <f>"3376022010980002"</f>
        <v>3376022010980002</v>
      </c>
      <c r="C2125" s="7" t="s">
        <v>4256</v>
      </c>
      <c r="D2125" s="7" t="s">
        <v>10</v>
      </c>
      <c r="E2125" s="7" t="s">
        <v>11</v>
      </c>
      <c r="F2125" s="7" t="s">
        <v>18</v>
      </c>
      <c r="G2125" s="7" t="s">
        <v>268</v>
      </c>
      <c r="H2125" s="7" t="s">
        <v>371</v>
      </c>
      <c r="I2125" s="8" t="s">
        <v>2769</v>
      </c>
    </row>
    <row r="2126" spans="1:12" hidden="1" x14ac:dyDescent="0.35">
      <c r="A2126" s="6">
        <v>246214</v>
      </c>
      <c r="B2126" s="7" t="str">
        <f>"3376026712920002"</f>
        <v>3376026712920002</v>
      </c>
      <c r="C2126" s="7" t="s">
        <v>4257</v>
      </c>
      <c r="D2126" s="7" t="s">
        <v>10</v>
      </c>
      <c r="E2126" s="7" t="s">
        <v>11</v>
      </c>
      <c r="F2126" s="7" t="s">
        <v>18</v>
      </c>
      <c r="G2126" s="7" t="s">
        <v>268</v>
      </c>
      <c r="H2126" s="7" t="s">
        <v>371</v>
      </c>
      <c r="I2126" s="8" t="s">
        <v>497</v>
      </c>
    </row>
    <row r="2127" spans="1:12" hidden="1" x14ac:dyDescent="0.35">
      <c r="A2127" s="6">
        <v>2331362</v>
      </c>
      <c r="B2127" s="7" t="str">
        <f>"3376032204980001"</f>
        <v>3376032204980001</v>
      </c>
      <c r="C2127" s="7" t="s">
        <v>4259</v>
      </c>
      <c r="D2127" s="7" t="s">
        <v>10</v>
      </c>
      <c r="E2127" s="7" t="s">
        <v>11</v>
      </c>
      <c r="F2127" s="7" t="s">
        <v>18</v>
      </c>
      <c r="G2127" s="7" t="s">
        <v>19</v>
      </c>
      <c r="H2127" s="7" t="s">
        <v>3354</v>
      </c>
      <c r="I2127" s="8" t="s">
        <v>307</v>
      </c>
      <c r="J2127" t="e">
        <f>VLOOKUP(B2127,baru!$B$2:$I$2271,4,FALSE)</f>
        <v>#N/A</v>
      </c>
      <c r="K2127" t="e">
        <f>VLOOKUP(B2127,baru!$B$2:$I$2271,5,FALSE)</f>
        <v>#N/A</v>
      </c>
      <c r="L2127" t="e">
        <f>VLOOKUP(B2127,baru!$B$2:$I$2271,6,FALSE)</f>
        <v>#N/A</v>
      </c>
    </row>
    <row r="2128" spans="1:12" hidden="1" x14ac:dyDescent="0.35">
      <c r="A2128" s="6">
        <v>423672</v>
      </c>
      <c r="B2128" s="7" t="str">
        <f>"3376032204980001"</f>
        <v>3376032204980001</v>
      </c>
      <c r="C2128" s="7" t="s">
        <v>4260</v>
      </c>
      <c r="D2128" s="7" t="s">
        <v>10</v>
      </c>
      <c r="E2128" s="7" t="s">
        <v>57</v>
      </c>
      <c r="F2128" s="7" t="s">
        <v>18</v>
      </c>
      <c r="G2128" s="7" t="s">
        <v>268</v>
      </c>
      <c r="H2128" s="7" t="s">
        <v>277</v>
      </c>
      <c r="I2128" s="8" t="s">
        <v>278</v>
      </c>
    </row>
    <row r="2129" spans="1:12" x14ac:dyDescent="0.35">
      <c r="A2129" s="6">
        <v>361871</v>
      </c>
      <c r="B2129" s="7" t="str">
        <f>"3376036104060001"</f>
        <v>3376036104060001</v>
      </c>
      <c r="C2129" s="7" t="s">
        <v>4261</v>
      </c>
      <c r="D2129" s="7" t="s">
        <v>189</v>
      </c>
      <c r="E2129" s="7" t="s">
        <v>11</v>
      </c>
      <c r="F2129" s="7" t="s">
        <v>18</v>
      </c>
      <c r="G2129" s="7" t="s">
        <v>268</v>
      </c>
      <c r="H2129" s="7" t="s">
        <v>269</v>
      </c>
      <c r="I2129" s="8" t="s">
        <v>996</v>
      </c>
    </row>
    <row r="2130" spans="1:12" hidden="1" x14ac:dyDescent="0.35">
      <c r="A2130" s="6">
        <v>400588</v>
      </c>
      <c r="B2130" s="7" t="str">
        <f>"3376040808930002"</f>
        <v>3376040808930002</v>
      </c>
      <c r="C2130" s="7" t="s">
        <v>4263</v>
      </c>
      <c r="D2130" s="7" t="s">
        <v>10</v>
      </c>
      <c r="E2130" s="7" t="s">
        <v>11</v>
      </c>
      <c r="F2130" s="7" t="s">
        <v>18</v>
      </c>
      <c r="G2130" s="7" t="s">
        <v>268</v>
      </c>
      <c r="H2130" s="7" t="s">
        <v>448</v>
      </c>
      <c r="I2130" s="8" t="s">
        <v>448</v>
      </c>
    </row>
    <row r="2131" spans="1:12" hidden="1" x14ac:dyDescent="0.35">
      <c r="A2131" s="6">
        <v>400293</v>
      </c>
      <c r="B2131" s="7" t="str">
        <f>"3376041112940001"</f>
        <v>3376041112940001</v>
      </c>
      <c r="C2131" s="7" t="s">
        <v>4264</v>
      </c>
      <c r="D2131" s="7" t="s">
        <v>10</v>
      </c>
      <c r="E2131" s="7" t="s">
        <v>11</v>
      </c>
      <c r="F2131" s="7" t="s">
        <v>18</v>
      </c>
      <c r="G2131" s="7" t="s">
        <v>268</v>
      </c>
      <c r="H2131" s="7" t="s">
        <v>448</v>
      </c>
      <c r="I2131" s="8" t="s">
        <v>448</v>
      </c>
    </row>
    <row r="2132" spans="1:12" hidden="1" x14ac:dyDescent="0.35">
      <c r="A2132" s="6">
        <v>1045467</v>
      </c>
      <c r="B2132" s="7" t="str">
        <f>"3376041208750003"</f>
        <v>3376041208750003</v>
      </c>
      <c r="C2132" s="7" t="s">
        <v>4265</v>
      </c>
      <c r="D2132" s="7" t="s">
        <v>10</v>
      </c>
      <c r="E2132" s="7" t="s">
        <v>11</v>
      </c>
      <c r="F2132" s="7" t="s">
        <v>18</v>
      </c>
      <c r="G2132" s="7" t="s">
        <v>264</v>
      </c>
      <c r="H2132" s="7" t="s">
        <v>248</v>
      </c>
      <c r="I2132" s="8" t="s">
        <v>472</v>
      </c>
    </row>
    <row r="2133" spans="1:12" hidden="1" x14ac:dyDescent="0.35">
      <c r="A2133" s="6">
        <v>1045469</v>
      </c>
      <c r="B2133" s="7" t="str">
        <f>"3376044711970001"</f>
        <v>3376044711970001</v>
      </c>
      <c r="C2133" s="7" t="s">
        <v>4266</v>
      </c>
      <c r="D2133" s="7" t="s">
        <v>10</v>
      </c>
      <c r="E2133" s="7" t="s">
        <v>11</v>
      </c>
      <c r="F2133" s="7" t="s">
        <v>18</v>
      </c>
      <c r="G2133" s="7" t="s">
        <v>264</v>
      </c>
      <c r="H2133" s="7" t="s">
        <v>248</v>
      </c>
      <c r="I2133" s="8" t="s">
        <v>472</v>
      </c>
    </row>
    <row r="2134" spans="1:12" hidden="1" x14ac:dyDescent="0.35">
      <c r="A2134" s="6">
        <v>1045465</v>
      </c>
      <c r="B2134" s="7" t="str">
        <f>"3376045202750001"</f>
        <v>3376045202750001</v>
      </c>
      <c r="C2134" s="7" t="s">
        <v>4267</v>
      </c>
      <c r="D2134" s="7" t="s">
        <v>10</v>
      </c>
      <c r="E2134" s="7" t="s">
        <v>11</v>
      </c>
      <c r="F2134" s="7" t="s">
        <v>18</v>
      </c>
      <c r="G2134" s="7" t="s">
        <v>264</v>
      </c>
      <c r="H2134" s="7" t="s">
        <v>248</v>
      </c>
      <c r="I2134" s="8" t="s">
        <v>472</v>
      </c>
    </row>
    <row r="2135" spans="1:12" hidden="1" x14ac:dyDescent="0.35">
      <c r="A2135" s="6">
        <v>1045471</v>
      </c>
      <c r="B2135" s="7" t="str">
        <f>"3376046006020001"</f>
        <v>3376046006020001</v>
      </c>
      <c r="C2135" s="7" t="s">
        <v>4269</v>
      </c>
      <c r="D2135" s="7" t="s">
        <v>10</v>
      </c>
      <c r="E2135" s="7" t="s">
        <v>11</v>
      </c>
      <c r="F2135" s="7" t="s">
        <v>18</v>
      </c>
      <c r="G2135" s="7" t="s">
        <v>264</v>
      </c>
      <c r="H2135" s="7" t="s">
        <v>248</v>
      </c>
      <c r="I2135" s="8" t="s">
        <v>472</v>
      </c>
    </row>
    <row r="2136" spans="1:12" hidden="1" x14ac:dyDescent="0.35">
      <c r="A2136" s="6">
        <v>965059</v>
      </c>
      <c r="B2136" s="7" t="str">
        <f>"3501100609800005"</f>
        <v>3501100609800005</v>
      </c>
      <c r="C2136" s="7" t="s">
        <v>4270</v>
      </c>
      <c r="D2136" s="7" t="s">
        <v>10</v>
      </c>
      <c r="E2136" s="7" t="s">
        <v>11</v>
      </c>
      <c r="F2136" s="7" t="s">
        <v>303</v>
      </c>
      <c r="G2136" s="7" t="s">
        <v>1855</v>
      </c>
      <c r="H2136" s="7" t="s">
        <v>4192</v>
      </c>
      <c r="I2136" s="8" t="s">
        <v>4193</v>
      </c>
    </row>
    <row r="2137" spans="1:12" hidden="1" x14ac:dyDescent="0.35">
      <c r="A2137" s="6">
        <v>2330353</v>
      </c>
      <c r="B2137" s="7" t="str">
        <f>"3526090107780930"</f>
        <v>3526090107780930</v>
      </c>
      <c r="C2137" s="7" t="s">
        <v>4271</v>
      </c>
      <c r="D2137" s="7" t="s">
        <v>10</v>
      </c>
      <c r="E2137" s="7" t="s">
        <v>11</v>
      </c>
      <c r="F2137" s="7" t="s">
        <v>18</v>
      </c>
      <c r="G2137" s="7" t="s">
        <v>19</v>
      </c>
      <c r="H2137" s="7" t="s">
        <v>3354</v>
      </c>
      <c r="I2137" s="8" t="s">
        <v>307</v>
      </c>
      <c r="J2137" t="e">
        <f>VLOOKUP(B2137,baru!$B$2:$I$2271,4,FALSE)</f>
        <v>#N/A</v>
      </c>
      <c r="K2137" t="e">
        <f>VLOOKUP(B2137,baru!$B$2:$I$2271,5,FALSE)</f>
        <v>#N/A</v>
      </c>
      <c r="L2137" t="e">
        <f>VLOOKUP(B2137,baru!$B$2:$I$2271,6,FALSE)</f>
        <v>#N/A</v>
      </c>
    </row>
    <row r="2138" spans="1:12" hidden="1" x14ac:dyDescent="0.35">
      <c r="A2138" s="6">
        <v>501832</v>
      </c>
      <c r="B2138" s="7" t="str">
        <f>"3526090107780930"</f>
        <v>3526090107780930</v>
      </c>
      <c r="C2138" s="7" t="s">
        <v>4272</v>
      </c>
      <c r="D2138" s="7" t="s">
        <v>10</v>
      </c>
      <c r="E2138" s="7" t="s">
        <v>11</v>
      </c>
      <c r="F2138" s="7" t="s">
        <v>303</v>
      </c>
      <c r="G2138" s="7" t="s">
        <v>1676</v>
      </c>
      <c r="H2138" s="7" t="s">
        <v>4273</v>
      </c>
      <c r="I2138" s="8" t="s">
        <v>4274</v>
      </c>
    </row>
    <row r="2139" spans="1:12" hidden="1" x14ac:dyDescent="0.35">
      <c r="A2139" s="6">
        <v>1941954</v>
      </c>
      <c r="B2139" s="7" t="str">
        <f>"3604244112910003"</f>
        <v>3604244112910003</v>
      </c>
      <c r="C2139" s="7" t="s">
        <v>4275</v>
      </c>
      <c r="D2139" s="7" t="s">
        <v>10</v>
      </c>
      <c r="E2139" s="7" t="s">
        <v>11</v>
      </c>
      <c r="F2139" s="7" t="s">
        <v>67</v>
      </c>
      <c r="G2139" s="7" t="s">
        <v>375</v>
      </c>
      <c r="H2139" s="7" t="s">
        <v>4018</v>
      </c>
      <c r="I2139" s="8" t="s">
        <v>4019</v>
      </c>
    </row>
    <row r="2140" spans="1:12" hidden="1" x14ac:dyDescent="0.35">
      <c r="A2140" s="6">
        <v>324030</v>
      </c>
      <c r="B2140" s="7" t="str">
        <f>"6172010509900002"</f>
        <v>6172010509900002</v>
      </c>
      <c r="C2140" s="7" t="s">
        <v>4276</v>
      </c>
      <c r="D2140" s="7" t="s">
        <v>10</v>
      </c>
      <c r="E2140" s="7" t="s">
        <v>11</v>
      </c>
      <c r="F2140" s="7" t="s">
        <v>516</v>
      </c>
      <c r="G2140" s="7" t="s">
        <v>4277</v>
      </c>
      <c r="H2140" s="7" t="s">
        <v>4278</v>
      </c>
      <c r="I2140" s="8" t="s">
        <v>4279</v>
      </c>
    </row>
    <row r="2141" spans="1:12" hidden="1" x14ac:dyDescent="0.35">
      <c r="A2141" s="13">
        <v>2341071</v>
      </c>
      <c r="B2141" s="14" t="str">
        <f>"6473016306030001"</f>
        <v>6473016306030001</v>
      </c>
      <c r="C2141" s="14" t="s">
        <v>4280</v>
      </c>
      <c r="D2141" s="14" t="s">
        <v>10</v>
      </c>
      <c r="E2141" s="14" t="s">
        <v>11</v>
      </c>
      <c r="F2141" s="14" t="s">
        <v>18</v>
      </c>
      <c r="G2141" s="14" t="s">
        <v>19</v>
      </c>
      <c r="H2141" s="14" t="s">
        <v>3354</v>
      </c>
      <c r="I2141" s="15" t="s">
        <v>4026</v>
      </c>
      <c r="J2141" s="16" t="str">
        <f>VLOOKUP(B2141,baru!$B$2:$I$2271,4,FALSE)</f>
        <v>Reguler</v>
      </c>
      <c r="K2141" s="16" t="str">
        <f>VLOOKUP(B2141,baru!$B$2:$I$2271,5,FALSE)</f>
        <v>DKI JAKARTA</v>
      </c>
      <c r="L2141" s="16" t="str">
        <f>VLOOKUP(B2141,baru!$B$2:$I$2271,6,FALSE)</f>
        <v>KOTA JAKARTA TIMUR</v>
      </c>
    </row>
    <row r="2142" spans="1:12" hidden="1" x14ac:dyDescent="0.35">
      <c r="A2142" s="6">
        <v>169611</v>
      </c>
      <c r="B2142" s="7" t="str">
        <f>"7571030305520001"</f>
        <v>7571030305520001</v>
      </c>
      <c r="C2142" s="7" t="s">
        <v>2537</v>
      </c>
      <c r="D2142" s="7" t="s">
        <v>10</v>
      </c>
      <c r="E2142" s="7" t="s">
        <v>11</v>
      </c>
      <c r="F2142" s="7" t="s">
        <v>4281</v>
      </c>
      <c r="G2142" s="7" t="s">
        <v>4282</v>
      </c>
      <c r="H2142" s="7" t="s">
        <v>4283</v>
      </c>
      <c r="I2142" s="8" t="s">
        <v>4284</v>
      </c>
    </row>
    <row r="2143" spans="1:12" hidden="1" x14ac:dyDescent="0.35">
      <c r="A2143" s="6">
        <v>319293</v>
      </c>
      <c r="B2143" s="7" t="str">
        <f>"1810076003980002"</f>
        <v>1810076003980002</v>
      </c>
      <c r="C2143" s="7" t="s">
        <v>4285</v>
      </c>
      <c r="D2143" s="7" t="s">
        <v>10</v>
      </c>
      <c r="E2143" s="7" t="s">
        <v>11</v>
      </c>
      <c r="F2143" s="7" t="s">
        <v>44</v>
      </c>
      <c r="G2143" s="7" t="s">
        <v>4286</v>
      </c>
      <c r="H2143" s="7" t="s">
        <v>4287</v>
      </c>
      <c r="I2143" s="8" t="s">
        <v>4288</v>
      </c>
    </row>
    <row r="2144" spans="1:12" hidden="1" x14ac:dyDescent="0.35">
      <c r="A2144" s="6">
        <v>1876455</v>
      </c>
      <c r="B2144" s="7" t="str">
        <f>"3171020211840006"</f>
        <v>3171020211840006</v>
      </c>
      <c r="C2144" s="7" t="s">
        <v>4291</v>
      </c>
      <c r="D2144" s="7" t="s">
        <v>10</v>
      </c>
      <c r="E2144" s="7" t="s">
        <v>11</v>
      </c>
      <c r="F2144" s="7" t="s">
        <v>18</v>
      </c>
      <c r="G2144" s="7" t="s">
        <v>19</v>
      </c>
      <c r="H2144" s="7" t="s">
        <v>4290</v>
      </c>
      <c r="I2144" s="8" t="s">
        <v>344</v>
      </c>
      <c r="J2144" t="e">
        <f>VLOOKUP(B2144,baru!$B$2:$I$2271,4,FALSE)</f>
        <v>#N/A</v>
      </c>
      <c r="K2144" t="e">
        <f>VLOOKUP(B2144,baru!$B$2:$I$2271,5,FALSE)</f>
        <v>#N/A</v>
      </c>
      <c r="L2144" t="e">
        <f>VLOOKUP(B2144,baru!$B$2:$I$2271,6,FALSE)</f>
        <v>#N/A</v>
      </c>
    </row>
    <row r="2145" spans="1:12" hidden="1" x14ac:dyDescent="0.35">
      <c r="A2145" s="6">
        <v>2422734</v>
      </c>
      <c r="B2145" s="7" t="str">
        <f>"3171020211840006"</f>
        <v>3171020211840006</v>
      </c>
      <c r="C2145" s="7" t="s">
        <v>4292</v>
      </c>
      <c r="D2145" s="7" t="s">
        <v>10</v>
      </c>
      <c r="E2145" s="7" t="s">
        <v>57</v>
      </c>
      <c r="F2145" s="7" t="s">
        <v>50</v>
      </c>
      <c r="G2145" s="7" t="s">
        <v>58</v>
      </c>
      <c r="H2145" s="7" t="s">
        <v>59</v>
      </c>
      <c r="I2145" s="8" t="s">
        <v>60</v>
      </c>
    </row>
    <row r="2146" spans="1:12" hidden="1" x14ac:dyDescent="0.35">
      <c r="A2146" s="6">
        <v>96734</v>
      </c>
      <c r="B2146" s="7" t="str">
        <f>"3171071711900006"</f>
        <v>3171071711900006</v>
      </c>
      <c r="C2146" s="7" t="s">
        <v>4293</v>
      </c>
      <c r="D2146" s="7" t="s">
        <v>10</v>
      </c>
      <c r="E2146" s="7" t="s">
        <v>11</v>
      </c>
      <c r="F2146" s="7" t="s">
        <v>50</v>
      </c>
      <c r="G2146" s="7" t="s">
        <v>72</v>
      </c>
      <c r="H2146" s="7" t="s">
        <v>541</v>
      </c>
      <c r="I2146" s="8" t="s">
        <v>2901</v>
      </c>
    </row>
    <row r="2147" spans="1:12" hidden="1" x14ac:dyDescent="0.35">
      <c r="A2147" s="6">
        <v>675786</v>
      </c>
      <c r="B2147" s="7" t="str">
        <f>"3171075207620001"</f>
        <v>3171075207620001</v>
      </c>
      <c r="C2147" s="7" t="s">
        <v>4295</v>
      </c>
      <c r="D2147" s="7" t="s">
        <v>10</v>
      </c>
      <c r="E2147" s="7" t="s">
        <v>11</v>
      </c>
      <c r="F2147" s="7" t="s">
        <v>50</v>
      </c>
      <c r="G2147" s="7" t="s">
        <v>280</v>
      </c>
      <c r="H2147" s="7" t="s">
        <v>281</v>
      </c>
      <c r="I2147" s="8" t="s">
        <v>4296</v>
      </c>
    </row>
    <row r="2148" spans="1:12" hidden="1" x14ac:dyDescent="0.35">
      <c r="A2148" s="6">
        <v>240578</v>
      </c>
      <c r="B2148" s="7" t="str">
        <f>"3172012801740004"</f>
        <v>3172012801740004</v>
      </c>
      <c r="C2148" s="7" t="s">
        <v>979</v>
      </c>
      <c r="D2148" s="7" t="s">
        <v>10</v>
      </c>
      <c r="E2148" s="7" t="s">
        <v>11</v>
      </c>
      <c r="F2148" s="7" t="s">
        <v>50</v>
      </c>
      <c r="G2148" s="7" t="s">
        <v>51</v>
      </c>
      <c r="H2148" s="7" t="s">
        <v>52</v>
      </c>
      <c r="I2148" s="8" t="s">
        <v>3823</v>
      </c>
    </row>
    <row r="2149" spans="1:12" hidden="1" x14ac:dyDescent="0.35">
      <c r="A2149" s="13">
        <v>1906825</v>
      </c>
      <c r="B2149" s="14" t="str">
        <f>"3172014907951001"</f>
        <v>3172014907951001</v>
      </c>
      <c r="C2149" s="14" t="s">
        <v>4297</v>
      </c>
      <c r="D2149" s="14" t="s">
        <v>10</v>
      </c>
      <c r="E2149" s="14" t="s">
        <v>11</v>
      </c>
      <c r="F2149" s="14" t="s">
        <v>18</v>
      </c>
      <c r="G2149" s="14" t="s">
        <v>19</v>
      </c>
      <c r="H2149" s="14" t="s">
        <v>4290</v>
      </c>
      <c r="I2149" s="15" t="s">
        <v>4298</v>
      </c>
      <c r="J2149" s="16" t="str">
        <f>VLOOKUP(B2149,baru!$B$2:$I$2271,4,FALSE)</f>
        <v>Reguler</v>
      </c>
      <c r="K2149" s="16" t="str">
        <f>VLOOKUP(B2149,baru!$B$2:$I$2271,5,FALSE)</f>
        <v>DKI JAKARTA</v>
      </c>
      <c r="L2149" s="16" t="str">
        <f>VLOOKUP(B2149,baru!$B$2:$I$2271,6,FALSE)</f>
        <v>KOTA JAKARTA UTARA</v>
      </c>
    </row>
    <row r="2150" spans="1:12" hidden="1" x14ac:dyDescent="0.35">
      <c r="A2150" s="6">
        <v>240580</v>
      </c>
      <c r="B2150" s="7" t="str">
        <f>"3172016410010004"</f>
        <v>3172016410010004</v>
      </c>
      <c r="C2150" s="7" t="s">
        <v>4299</v>
      </c>
      <c r="D2150" s="7" t="s">
        <v>10</v>
      </c>
      <c r="E2150" s="7" t="s">
        <v>11</v>
      </c>
      <c r="F2150" s="7" t="s">
        <v>50</v>
      </c>
      <c r="G2150" s="7" t="s">
        <v>51</v>
      </c>
      <c r="H2150" s="7" t="s">
        <v>52</v>
      </c>
      <c r="I2150" s="8" t="s">
        <v>3823</v>
      </c>
    </row>
    <row r="2151" spans="1:12" hidden="1" x14ac:dyDescent="0.35">
      <c r="A2151" s="6">
        <v>240579</v>
      </c>
      <c r="B2151" s="7" t="str">
        <f>"3172017005760004"</f>
        <v>3172017005760004</v>
      </c>
      <c r="C2151" s="7" t="s">
        <v>4301</v>
      </c>
      <c r="D2151" s="7" t="s">
        <v>10</v>
      </c>
      <c r="E2151" s="7" t="s">
        <v>11</v>
      </c>
      <c r="F2151" s="7" t="s">
        <v>50</v>
      </c>
      <c r="G2151" s="7" t="s">
        <v>51</v>
      </c>
      <c r="H2151" s="7" t="s">
        <v>52</v>
      </c>
      <c r="I2151" s="8" t="s">
        <v>3823</v>
      </c>
    </row>
    <row r="2152" spans="1:12" hidden="1" x14ac:dyDescent="0.35">
      <c r="A2152" s="13">
        <v>1879727</v>
      </c>
      <c r="B2152" s="14" t="str">
        <f>"3173012202920001"</f>
        <v>3173012202920001</v>
      </c>
      <c r="C2152" s="14" t="s">
        <v>4302</v>
      </c>
      <c r="D2152" s="14" t="s">
        <v>10</v>
      </c>
      <c r="E2152" s="14" t="s">
        <v>11</v>
      </c>
      <c r="F2152" s="14" t="s">
        <v>18</v>
      </c>
      <c r="G2152" s="14" t="s">
        <v>19</v>
      </c>
      <c r="H2152" s="14" t="s">
        <v>4290</v>
      </c>
      <c r="I2152" s="15" t="s">
        <v>4303</v>
      </c>
      <c r="J2152" s="16" t="str">
        <f>VLOOKUP(B2152,baru!$B$2:$I$2271,4,FALSE)</f>
        <v>Reguler</v>
      </c>
      <c r="K2152" s="16" t="str">
        <f>VLOOKUP(B2152,baru!$B$2:$I$2271,5,FALSE)</f>
        <v>JAWA TENGAH</v>
      </c>
      <c r="L2152" s="16" t="str">
        <f>VLOOKUP(B2152,baru!$B$2:$I$2271,6,FALSE)</f>
        <v>PEKALONGAN</v>
      </c>
    </row>
    <row r="2153" spans="1:12" hidden="1" x14ac:dyDescent="0.35">
      <c r="A2153" s="6">
        <v>1101914</v>
      </c>
      <c r="B2153" s="7" t="str">
        <f>"3174060708050003"</f>
        <v>3174060708050003</v>
      </c>
      <c r="C2153" s="7" t="s">
        <v>4306</v>
      </c>
      <c r="D2153" s="7" t="s">
        <v>10</v>
      </c>
      <c r="E2153" s="7" t="s">
        <v>11</v>
      </c>
      <c r="F2153" s="7" t="s">
        <v>50</v>
      </c>
      <c r="G2153" s="7" t="s">
        <v>72</v>
      </c>
      <c r="H2153" s="7" t="s">
        <v>1093</v>
      </c>
      <c r="I2153" s="8" t="s">
        <v>4307</v>
      </c>
    </row>
    <row r="2154" spans="1:12" hidden="1" x14ac:dyDescent="0.35">
      <c r="A2154" s="6">
        <v>1101916</v>
      </c>
      <c r="B2154" s="7" t="str">
        <f>"3174062205690010"</f>
        <v>3174062205690010</v>
      </c>
      <c r="C2154" s="7" t="s">
        <v>4310</v>
      </c>
      <c r="D2154" s="7" t="s">
        <v>10</v>
      </c>
      <c r="E2154" s="7" t="s">
        <v>11</v>
      </c>
      <c r="F2154" s="7" t="s">
        <v>50</v>
      </c>
      <c r="G2154" s="7" t="s">
        <v>72</v>
      </c>
      <c r="H2154" s="7" t="s">
        <v>1093</v>
      </c>
      <c r="I2154" s="8" t="s">
        <v>4307</v>
      </c>
    </row>
    <row r="2155" spans="1:12" hidden="1" x14ac:dyDescent="0.35">
      <c r="A2155" s="6">
        <v>1101918</v>
      </c>
      <c r="B2155" s="7" t="str">
        <f>"3174065605800005"</f>
        <v>3174065605800005</v>
      </c>
      <c r="C2155" s="7" t="s">
        <v>4312</v>
      </c>
      <c r="D2155" s="7" t="s">
        <v>10</v>
      </c>
      <c r="E2155" s="7" t="s">
        <v>11</v>
      </c>
      <c r="F2155" s="7" t="s">
        <v>50</v>
      </c>
      <c r="G2155" s="7" t="s">
        <v>72</v>
      </c>
      <c r="H2155" s="7" t="s">
        <v>1093</v>
      </c>
      <c r="I2155" s="8" t="s">
        <v>4307</v>
      </c>
    </row>
    <row r="2156" spans="1:12" hidden="1" x14ac:dyDescent="0.35">
      <c r="A2156" s="13">
        <v>1895244</v>
      </c>
      <c r="B2156" s="14" t="str">
        <f>"3175072507750007"</f>
        <v>3175072507750007</v>
      </c>
      <c r="C2156" s="14" t="s">
        <v>4314</v>
      </c>
      <c r="D2156" s="14" t="s">
        <v>10</v>
      </c>
      <c r="E2156" s="14" t="s">
        <v>11</v>
      </c>
      <c r="F2156" s="14" t="s">
        <v>18</v>
      </c>
      <c r="G2156" s="14" t="s">
        <v>19</v>
      </c>
      <c r="H2156" s="14" t="s">
        <v>4290</v>
      </c>
      <c r="I2156" s="15" t="s">
        <v>4315</v>
      </c>
      <c r="J2156" s="16" t="str">
        <f>VLOOKUP(B2156,baru!$B$2:$I$2271,4,FALSE)</f>
        <v>Reguler</v>
      </c>
      <c r="K2156" s="16" t="str">
        <f>VLOOKUP(B2156,baru!$B$2:$I$2271,5,FALSE)</f>
        <v>DKI JAKARTA</v>
      </c>
      <c r="L2156" s="16" t="str">
        <f>VLOOKUP(B2156,baru!$B$2:$I$2271,6,FALSE)</f>
        <v>KOTA JAKARTA TIMUR</v>
      </c>
    </row>
    <row r="2157" spans="1:12" hidden="1" x14ac:dyDescent="0.35">
      <c r="A2157" s="6">
        <v>1078006</v>
      </c>
      <c r="B2157" s="7" t="str">
        <f>"3175090407800019"</f>
        <v>3175090407800019</v>
      </c>
      <c r="C2157" s="7" t="s">
        <v>4317</v>
      </c>
      <c r="D2157" s="7" t="s">
        <v>10</v>
      </c>
      <c r="E2157" s="7" t="s">
        <v>11</v>
      </c>
      <c r="F2157" s="7" t="s">
        <v>50</v>
      </c>
      <c r="G2157" s="7" t="s">
        <v>58</v>
      </c>
      <c r="H2157" s="7" t="s">
        <v>1747</v>
      </c>
      <c r="I2157" s="8" t="s">
        <v>2291</v>
      </c>
    </row>
    <row r="2158" spans="1:12" hidden="1" x14ac:dyDescent="0.35">
      <c r="A2158" s="17">
        <v>1879967</v>
      </c>
      <c r="B2158" s="18" t="str">
        <f>"3201150304670012"</f>
        <v>3201150304670012</v>
      </c>
      <c r="C2158" s="18" t="s">
        <v>4319</v>
      </c>
      <c r="D2158" s="18" t="s">
        <v>10</v>
      </c>
      <c r="E2158" s="18" t="s">
        <v>11</v>
      </c>
      <c r="F2158" s="18" t="s">
        <v>18</v>
      </c>
      <c r="G2158" s="18" t="s">
        <v>19</v>
      </c>
      <c r="H2158" s="18" t="s">
        <v>4290</v>
      </c>
      <c r="I2158" s="19" t="s">
        <v>4303</v>
      </c>
      <c r="J2158" s="20" t="str">
        <f>VLOOKUP(B2158,baru!$B$2:$I$2271,4,FALSE)</f>
        <v>Khusus</v>
      </c>
      <c r="K2158" s="20" t="str">
        <f>VLOOKUP(B2158,baru!$B$2:$I$2271,5,FALSE)</f>
        <v>KALIMANTAN BARAT</v>
      </c>
      <c r="L2158" s="20" t="str">
        <f>VLOOKUP(B2158,baru!$B$2:$I$2271,6,FALSE)</f>
        <v>KUBU RAYA</v>
      </c>
    </row>
    <row r="2159" spans="1:12" hidden="1" x14ac:dyDescent="0.35">
      <c r="A2159" s="6">
        <v>1272237</v>
      </c>
      <c r="B2159" s="7" t="str">
        <f>"3209195605980005"</f>
        <v>3209195605980005</v>
      </c>
      <c r="C2159" s="7" t="s">
        <v>4323</v>
      </c>
      <c r="D2159" s="7" t="s">
        <v>10</v>
      </c>
      <c r="E2159" s="7" t="s">
        <v>11</v>
      </c>
      <c r="F2159" s="7" t="s">
        <v>91</v>
      </c>
      <c r="G2159" s="7" t="s">
        <v>985</v>
      </c>
      <c r="H2159" s="7" t="s">
        <v>4324</v>
      </c>
      <c r="I2159" s="8" t="s">
        <v>680</v>
      </c>
    </row>
    <row r="2160" spans="1:12" hidden="1" x14ac:dyDescent="0.35">
      <c r="A2160" s="6">
        <v>1422994</v>
      </c>
      <c r="B2160" s="7" t="str">
        <f>"3211264111930001"</f>
        <v>3211264111930001</v>
      </c>
      <c r="C2160" s="7" t="s">
        <v>4325</v>
      </c>
      <c r="D2160" s="7" t="s">
        <v>10</v>
      </c>
      <c r="E2160" s="7" t="s">
        <v>11</v>
      </c>
      <c r="F2160" s="7" t="s">
        <v>91</v>
      </c>
      <c r="G2160" s="7" t="s">
        <v>1763</v>
      </c>
      <c r="H2160" s="7" t="s">
        <v>4326</v>
      </c>
      <c r="I2160" s="8" t="s">
        <v>4327</v>
      </c>
    </row>
    <row r="2161" spans="1:12" hidden="1" x14ac:dyDescent="0.35">
      <c r="A2161" s="6">
        <v>161515</v>
      </c>
      <c r="B2161" s="7" t="str">
        <f>"3212055308010001"</f>
        <v>3212055308010001</v>
      </c>
      <c r="C2161" s="7" t="s">
        <v>4330</v>
      </c>
      <c r="D2161" s="7" t="s">
        <v>10</v>
      </c>
      <c r="E2161" s="7" t="s">
        <v>11</v>
      </c>
      <c r="F2161" s="7" t="s">
        <v>91</v>
      </c>
      <c r="G2161" s="7" t="s">
        <v>114</v>
      </c>
      <c r="H2161" s="7" t="s">
        <v>4331</v>
      </c>
      <c r="I2161" s="8" t="s">
        <v>4332</v>
      </c>
    </row>
    <row r="2162" spans="1:12" hidden="1" x14ac:dyDescent="0.35">
      <c r="A2162" s="13">
        <v>1875817</v>
      </c>
      <c r="B2162" s="14" t="str">
        <f>"3213091011810014"</f>
        <v>3213091011810014</v>
      </c>
      <c r="C2162" s="14" t="s">
        <v>4333</v>
      </c>
      <c r="D2162" s="14" t="s">
        <v>10</v>
      </c>
      <c r="E2162" s="14" t="s">
        <v>11</v>
      </c>
      <c r="F2162" s="14" t="s">
        <v>18</v>
      </c>
      <c r="G2162" s="14" t="s">
        <v>19</v>
      </c>
      <c r="H2162" s="14" t="s">
        <v>4290</v>
      </c>
      <c r="I2162" s="15" t="s">
        <v>344</v>
      </c>
      <c r="J2162" s="16" t="str">
        <f>VLOOKUP(B2162,baru!$B$2:$I$2271,4,FALSE)</f>
        <v>Reguler</v>
      </c>
      <c r="K2162" s="16" t="str">
        <f>VLOOKUP(B2162,baru!$B$2:$I$2271,5,FALSE)</f>
        <v>JAWA BARAT</v>
      </c>
      <c r="L2162" s="16" t="str">
        <f>VLOOKUP(B2162,baru!$B$2:$I$2271,6,FALSE)</f>
        <v>KARAWANG</v>
      </c>
    </row>
    <row r="2163" spans="1:12" hidden="1" x14ac:dyDescent="0.35">
      <c r="A2163" s="6">
        <v>1757432</v>
      </c>
      <c r="B2163" s="7" t="str">
        <f>"3215255606960005"</f>
        <v>3215255606960005</v>
      </c>
      <c r="C2163" s="7" t="s">
        <v>4336</v>
      </c>
      <c r="D2163" s="7" t="s">
        <v>10</v>
      </c>
      <c r="E2163" s="7" t="s">
        <v>11</v>
      </c>
      <c r="F2163" s="7" t="s">
        <v>91</v>
      </c>
      <c r="G2163" s="7" t="s">
        <v>320</v>
      </c>
      <c r="H2163" s="7" t="s">
        <v>1289</v>
      </c>
      <c r="I2163" s="8" t="s">
        <v>4337</v>
      </c>
    </row>
    <row r="2164" spans="1:12" hidden="1" x14ac:dyDescent="0.35">
      <c r="A2164" s="6">
        <v>621600</v>
      </c>
      <c r="B2164" s="7" t="str">
        <f>"3271050304800025"</f>
        <v>3271050304800025</v>
      </c>
      <c r="C2164" s="7" t="s">
        <v>4338</v>
      </c>
      <c r="D2164" s="7" t="s">
        <v>10</v>
      </c>
      <c r="E2164" s="7" t="s">
        <v>11</v>
      </c>
      <c r="F2164" s="7" t="s">
        <v>91</v>
      </c>
      <c r="G2164" s="7" t="s">
        <v>438</v>
      </c>
      <c r="H2164" s="7" t="s">
        <v>2958</v>
      </c>
      <c r="I2164" s="8" t="s">
        <v>4339</v>
      </c>
    </row>
    <row r="2165" spans="1:12" hidden="1" x14ac:dyDescent="0.35">
      <c r="A2165" s="6">
        <v>621601</v>
      </c>
      <c r="B2165" s="7" t="str">
        <f>"3271054802830010"</f>
        <v>3271054802830010</v>
      </c>
      <c r="C2165" s="7" t="s">
        <v>4341</v>
      </c>
      <c r="D2165" s="7" t="s">
        <v>10</v>
      </c>
      <c r="E2165" s="7" t="s">
        <v>11</v>
      </c>
      <c r="F2165" s="7" t="s">
        <v>91</v>
      </c>
      <c r="G2165" s="7" t="s">
        <v>438</v>
      </c>
      <c r="H2165" s="7" t="s">
        <v>2958</v>
      </c>
      <c r="I2165" s="8" t="s">
        <v>4339</v>
      </c>
    </row>
    <row r="2166" spans="1:12" hidden="1" x14ac:dyDescent="0.35">
      <c r="A2166" s="6">
        <v>621602</v>
      </c>
      <c r="B2166" s="7" t="str">
        <f>"3271057001070003"</f>
        <v>3271057001070003</v>
      </c>
      <c r="C2166" s="7" t="s">
        <v>4343</v>
      </c>
      <c r="D2166" s="7" t="s">
        <v>10</v>
      </c>
      <c r="E2166" s="7" t="s">
        <v>11</v>
      </c>
      <c r="F2166" s="7" t="s">
        <v>91</v>
      </c>
      <c r="G2166" s="7" t="s">
        <v>438</v>
      </c>
      <c r="H2166" s="7" t="s">
        <v>2958</v>
      </c>
      <c r="I2166" s="8" t="s">
        <v>4339</v>
      </c>
    </row>
    <row r="2167" spans="1:12" hidden="1" x14ac:dyDescent="0.35">
      <c r="A2167" s="6">
        <v>196064</v>
      </c>
      <c r="B2167" s="7" t="str">
        <f>"3274041904690004"</f>
        <v>3274041904690004</v>
      </c>
      <c r="C2167" s="7" t="s">
        <v>4345</v>
      </c>
      <c r="D2167" s="7" t="s">
        <v>10</v>
      </c>
      <c r="E2167" s="7" t="s">
        <v>11</v>
      </c>
      <c r="F2167" s="7" t="s">
        <v>91</v>
      </c>
      <c r="G2167" s="7" t="s">
        <v>155</v>
      </c>
      <c r="H2167" s="7" t="s">
        <v>1327</v>
      </c>
      <c r="I2167" s="8" t="s">
        <v>4346</v>
      </c>
    </row>
    <row r="2168" spans="1:12" hidden="1" x14ac:dyDescent="0.35">
      <c r="A2168" s="6">
        <v>196063</v>
      </c>
      <c r="B2168" s="7" t="str">
        <f>"3274046311740006"</f>
        <v>3274046311740006</v>
      </c>
      <c r="C2168" s="7" t="s">
        <v>4348</v>
      </c>
      <c r="D2168" s="7" t="s">
        <v>10</v>
      </c>
      <c r="E2168" s="7" t="s">
        <v>11</v>
      </c>
      <c r="F2168" s="7" t="s">
        <v>91</v>
      </c>
      <c r="G2168" s="7" t="s">
        <v>155</v>
      </c>
      <c r="H2168" s="7" t="s">
        <v>1327</v>
      </c>
      <c r="I2168" s="8" t="s">
        <v>4346</v>
      </c>
    </row>
    <row r="2169" spans="1:12" hidden="1" x14ac:dyDescent="0.35">
      <c r="A2169" s="6">
        <v>132164</v>
      </c>
      <c r="B2169" s="7" t="str">
        <f>"3275014512690023"</f>
        <v>3275014512690023</v>
      </c>
      <c r="C2169" s="7" t="s">
        <v>4349</v>
      </c>
      <c r="D2169" s="7" t="s">
        <v>10</v>
      </c>
      <c r="E2169" s="7" t="s">
        <v>11</v>
      </c>
      <c r="F2169" s="7" t="s">
        <v>91</v>
      </c>
      <c r="G2169" s="7" t="s">
        <v>159</v>
      </c>
      <c r="H2169" s="7" t="s">
        <v>685</v>
      </c>
      <c r="I2169" s="8" t="s">
        <v>686</v>
      </c>
    </row>
    <row r="2170" spans="1:12" hidden="1" x14ac:dyDescent="0.35">
      <c r="A2170" s="6">
        <v>132166</v>
      </c>
      <c r="B2170" s="7" t="str">
        <f>"3275016104990029"</f>
        <v>3275016104990029</v>
      </c>
      <c r="C2170" s="7" t="s">
        <v>4351</v>
      </c>
      <c r="D2170" s="7" t="s">
        <v>10</v>
      </c>
      <c r="E2170" s="7" t="s">
        <v>11</v>
      </c>
      <c r="F2170" s="7" t="s">
        <v>91</v>
      </c>
      <c r="G2170" s="7" t="s">
        <v>159</v>
      </c>
      <c r="H2170" s="7" t="s">
        <v>685</v>
      </c>
      <c r="I2170" s="8" t="s">
        <v>686</v>
      </c>
    </row>
    <row r="2171" spans="1:12" hidden="1" x14ac:dyDescent="0.35">
      <c r="A2171" s="6">
        <v>1607835</v>
      </c>
      <c r="B2171" s="7" t="str">
        <f>"3275020404520025"</f>
        <v>3275020404520025</v>
      </c>
      <c r="C2171" s="7" t="s">
        <v>4353</v>
      </c>
      <c r="D2171" s="7" t="s">
        <v>10</v>
      </c>
      <c r="E2171" s="7" t="s">
        <v>11</v>
      </c>
      <c r="F2171" s="7" t="s">
        <v>91</v>
      </c>
      <c r="G2171" s="7" t="s">
        <v>159</v>
      </c>
      <c r="H2171" s="7" t="s">
        <v>1288</v>
      </c>
      <c r="I2171" s="8" t="s">
        <v>4354</v>
      </c>
    </row>
    <row r="2172" spans="1:12" hidden="1" x14ac:dyDescent="0.35">
      <c r="A2172" s="6">
        <v>1734910</v>
      </c>
      <c r="B2172" s="7" t="str">
        <f>"3275042309870019"</f>
        <v>3275042309870019</v>
      </c>
      <c r="C2172" s="7" t="s">
        <v>4356</v>
      </c>
      <c r="D2172" s="7" t="s">
        <v>10</v>
      </c>
      <c r="E2172" s="7" t="s">
        <v>11</v>
      </c>
      <c r="F2172" s="7" t="s">
        <v>91</v>
      </c>
      <c r="G2172" s="7" t="s">
        <v>159</v>
      </c>
      <c r="H2172" s="7" t="s">
        <v>1332</v>
      </c>
      <c r="I2172" s="8" t="s">
        <v>2358</v>
      </c>
    </row>
    <row r="2173" spans="1:12" hidden="1" x14ac:dyDescent="0.35">
      <c r="A2173" s="6">
        <v>369348</v>
      </c>
      <c r="B2173" s="7" t="str">
        <f>"3275045610860014"</f>
        <v>3275045610860014</v>
      </c>
      <c r="C2173" s="7" t="s">
        <v>4359</v>
      </c>
      <c r="D2173" s="7" t="s">
        <v>10</v>
      </c>
      <c r="E2173" s="7" t="s">
        <v>11</v>
      </c>
      <c r="F2173" s="7" t="s">
        <v>91</v>
      </c>
      <c r="G2173" s="7" t="s">
        <v>159</v>
      </c>
      <c r="H2173" s="7" t="s">
        <v>1332</v>
      </c>
      <c r="I2173" s="8" t="s">
        <v>4360</v>
      </c>
    </row>
    <row r="2174" spans="1:12" hidden="1" x14ac:dyDescent="0.35">
      <c r="A2174" s="13">
        <v>1904097</v>
      </c>
      <c r="B2174" s="14" t="str">
        <f>"3276026909810012"</f>
        <v>3276026909810012</v>
      </c>
      <c r="C2174" s="14" t="s">
        <v>4362</v>
      </c>
      <c r="D2174" s="14" t="s">
        <v>10</v>
      </c>
      <c r="E2174" s="14" t="s">
        <v>11</v>
      </c>
      <c r="F2174" s="14" t="s">
        <v>18</v>
      </c>
      <c r="G2174" s="14" t="s">
        <v>19</v>
      </c>
      <c r="H2174" s="14" t="s">
        <v>4290</v>
      </c>
      <c r="I2174" s="15" t="s">
        <v>4298</v>
      </c>
      <c r="J2174" s="16" t="str">
        <f>VLOOKUP(B2174,baru!$B$2:$I$2271,4,FALSE)</f>
        <v>Reguler</v>
      </c>
      <c r="K2174" s="16" t="str">
        <f>VLOOKUP(B2174,baru!$B$2:$I$2271,5,FALSE)</f>
        <v>JAWA TIMUR</v>
      </c>
      <c r="L2174" s="16" t="str">
        <f>VLOOKUP(B2174,baru!$B$2:$I$2271,6,FALSE)</f>
        <v>KEDIRI</v>
      </c>
    </row>
    <row r="2175" spans="1:12" hidden="1" x14ac:dyDescent="0.35">
      <c r="A2175" s="6">
        <v>1951378</v>
      </c>
      <c r="B2175" s="7" t="str">
        <f>"3308106109820006"</f>
        <v>3308106109820006</v>
      </c>
      <c r="C2175" s="7" t="s">
        <v>4366</v>
      </c>
      <c r="D2175" s="7" t="s">
        <v>10</v>
      </c>
      <c r="E2175" s="7" t="s">
        <v>11</v>
      </c>
      <c r="F2175" s="7" t="s">
        <v>18</v>
      </c>
      <c r="G2175" s="7" t="s">
        <v>962</v>
      </c>
      <c r="H2175" s="7" t="s">
        <v>4189</v>
      </c>
      <c r="I2175" s="8" t="s">
        <v>4367</v>
      </c>
    </row>
    <row r="2176" spans="1:12" hidden="1" x14ac:dyDescent="0.35">
      <c r="A2176" s="6">
        <v>710844</v>
      </c>
      <c r="B2176" s="7" t="str">
        <f>"3315104707040001"</f>
        <v>3315104707040001</v>
      </c>
      <c r="C2176" s="7" t="s">
        <v>4368</v>
      </c>
      <c r="D2176" s="7" t="s">
        <v>10</v>
      </c>
      <c r="E2176" s="7" t="s">
        <v>11</v>
      </c>
      <c r="F2176" s="7" t="s">
        <v>18</v>
      </c>
      <c r="G2176" s="7" t="s">
        <v>180</v>
      </c>
      <c r="H2176" s="7" t="s">
        <v>4369</v>
      </c>
      <c r="I2176" s="8" t="s">
        <v>4370</v>
      </c>
    </row>
    <row r="2177" spans="1:12" hidden="1" x14ac:dyDescent="0.35">
      <c r="A2177" s="6">
        <v>374947</v>
      </c>
      <c r="B2177" s="7" t="str">
        <f>"3317146602980001"</f>
        <v>3317146602980001</v>
      </c>
      <c r="C2177" s="7" t="s">
        <v>4372</v>
      </c>
      <c r="D2177" s="7" t="s">
        <v>10</v>
      </c>
      <c r="E2177" s="7" t="s">
        <v>11</v>
      </c>
      <c r="F2177" s="7" t="s">
        <v>18</v>
      </c>
      <c r="G2177" s="7" t="s">
        <v>4373</v>
      </c>
      <c r="H2177" s="7" t="s">
        <v>4374</v>
      </c>
      <c r="I2177" s="8" t="s">
        <v>4375</v>
      </c>
    </row>
    <row r="2178" spans="1:12" x14ac:dyDescent="0.35">
      <c r="A2178" s="6">
        <v>409605</v>
      </c>
      <c r="B2178" s="7" t="str">
        <f>"3323190507940001"</f>
        <v>3323190507940001</v>
      </c>
      <c r="C2178" s="7" t="s">
        <v>4376</v>
      </c>
      <c r="D2178" s="7" t="s">
        <v>189</v>
      </c>
      <c r="E2178" s="7" t="s">
        <v>11</v>
      </c>
      <c r="F2178" s="7" t="s">
        <v>18</v>
      </c>
      <c r="G2178" s="7" t="s">
        <v>3323</v>
      </c>
      <c r="H2178" s="7" t="s">
        <v>4377</v>
      </c>
      <c r="I2178" s="8" t="s">
        <v>1089</v>
      </c>
    </row>
    <row r="2179" spans="1:12" hidden="1" x14ac:dyDescent="0.35">
      <c r="A2179" s="13">
        <v>1879728</v>
      </c>
      <c r="B2179" s="14" t="str">
        <f>"3326045902020001"</f>
        <v>3326045902020001</v>
      </c>
      <c r="C2179" s="14" t="s">
        <v>4378</v>
      </c>
      <c r="D2179" s="14" t="s">
        <v>10</v>
      </c>
      <c r="E2179" s="14" t="s">
        <v>11</v>
      </c>
      <c r="F2179" s="14" t="s">
        <v>18</v>
      </c>
      <c r="G2179" s="14" t="s">
        <v>19</v>
      </c>
      <c r="H2179" s="14" t="s">
        <v>4290</v>
      </c>
      <c r="I2179" s="15" t="s">
        <v>4303</v>
      </c>
      <c r="J2179" s="16" t="str">
        <f>VLOOKUP(B2179,baru!$B$2:$I$2271,4,FALSE)</f>
        <v>Reguler</v>
      </c>
      <c r="K2179" s="16" t="str">
        <f>VLOOKUP(B2179,baru!$B$2:$I$2271,5,FALSE)</f>
        <v>JAWA TENGAH</v>
      </c>
      <c r="L2179" s="16" t="str">
        <f>VLOOKUP(B2179,baru!$B$2:$I$2271,6,FALSE)</f>
        <v>PEKALONGAN</v>
      </c>
    </row>
    <row r="2180" spans="1:12" hidden="1" x14ac:dyDescent="0.35">
      <c r="A2180" s="6">
        <v>322172</v>
      </c>
      <c r="B2180" s="7" t="str">
        <f>"3327031602860008"</f>
        <v>3327031602860008</v>
      </c>
      <c r="C2180" s="7" t="s">
        <v>4379</v>
      </c>
      <c r="D2180" s="7" t="s">
        <v>10</v>
      </c>
      <c r="E2180" s="7" t="s">
        <v>11</v>
      </c>
      <c r="F2180" s="7" t="s">
        <v>4380</v>
      </c>
      <c r="G2180" s="7" t="s">
        <v>4381</v>
      </c>
      <c r="H2180" s="7" t="s">
        <v>4382</v>
      </c>
      <c r="I2180" s="8" t="s">
        <v>4383</v>
      </c>
    </row>
    <row r="2181" spans="1:12" hidden="1" x14ac:dyDescent="0.35">
      <c r="A2181" s="13">
        <v>1875444</v>
      </c>
      <c r="B2181" s="14" t="str">
        <f>"3327081201820073"</f>
        <v>3327081201820073</v>
      </c>
      <c r="C2181" s="14" t="s">
        <v>4385</v>
      </c>
      <c r="D2181" s="14" t="s">
        <v>10</v>
      </c>
      <c r="E2181" s="14" t="s">
        <v>11</v>
      </c>
      <c r="F2181" s="14" t="s">
        <v>18</v>
      </c>
      <c r="G2181" s="14" t="s">
        <v>19</v>
      </c>
      <c r="H2181" s="14" t="s">
        <v>4290</v>
      </c>
      <c r="I2181" s="15" t="s">
        <v>344</v>
      </c>
      <c r="J2181" s="16" t="str">
        <f>VLOOKUP(B2181,baru!$B$2:$I$2271,4,FALSE)</f>
        <v>Reguler</v>
      </c>
      <c r="K2181" s="16" t="str">
        <f>VLOOKUP(B2181,baru!$B$2:$I$2271,5,FALSE)</f>
        <v>JAWA TENGAH</v>
      </c>
      <c r="L2181" s="16" t="str">
        <f>VLOOKUP(B2181,baru!$B$2:$I$2271,6,FALSE)</f>
        <v>PEMALANG</v>
      </c>
    </row>
    <row r="2182" spans="1:12" hidden="1" x14ac:dyDescent="0.35">
      <c r="A2182" s="13">
        <v>1878936</v>
      </c>
      <c r="B2182" s="14" t="str">
        <f>"3327116005980004"</f>
        <v>3327116005980004</v>
      </c>
      <c r="C2182" s="14" t="s">
        <v>4387</v>
      </c>
      <c r="D2182" s="14" t="s">
        <v>10</v>
      </c>
      <c r="E2182" s="14" t="s">
        <v>11</v>
      </c>
      <c r="F2182" s="14" t="s">
        <v>18</v>
      </c>
      <c r="G2182" s="14" t="s">
        <v>19</v>
      </c>
      <c r="H2182" s="14" t="s">
        <v>4290</v>
      </c>
      <c r="I2182" s="15" t="s">
        <v>4303</v>
      </c>
      <c r="J2182" s="16" t="str">
        <f>VLOOKUP(B2182,baru!$B$2:$I$2271,4,FALSE)</f>
        <v>Reguler</v>
      </c>
      <c r="K2182" s="16" t="str">
        <f>VLOOKUP(B2182,baru!$B$2:$I$2271,5,FALSE)</f>
        <v>JAWA TENGAH</v>
      </c>
      <c r="L2182" s="16" t="str">
        <f>VLOOKUP(B2182,baru!$B$2:$I$2271,6,FALSE)</f>
        <v>PEMALANG</v>
      </c>
    </row>
    <row r="2183" spans="1:12" hidden="1" x14ac:dyDescent="0.35">
      <c r="A2183" s="13">
        <v>1902934</v>
      </c>
      <c r="B2183" s="14" t="str">
        <f>"3328121107960009"</f>
        <v>3328121107960009</v>
      </c>
      <c r="C2183" s="14" t="s">
        <v>4388</v>
      </c>
      <c r="D2183" s="14" t="s">
        <v>10</v>
      </c>
      <c r="E2183" s="14" t="s">
        <v>11</v>
      </c>
      <c r="F2183" s="14" t="s">
        <v>18</v>
      </c>
      <c r="G2183" s="14" t="s">
        <v>19</v>
      </c>
      <c r="H2183" s="14" t="s">
        <v>4290</v>
      </c>
      <c r="I2183" s="15" t="s">
        <v>4298</v>
      </c>
      <c r="J2183" s="16" t="str">
        <f>VLOOKUP(B2183,baru!$B$2:$I$2271,4,FALSE)</f>
        <v>Reguler</v>
      </c>
      <c r="K2183" s="16" t="str">
        <f>VLOOKUP(B2183,baru!$B$2:$I$2271,5,FALSE)</f>
        <v>JAWA BARAT</v>
      </c>
      <c r="L2183" s="16" t="str">
        <f>VLOOKUP(B2183,baru!$B$2:$I$2271,6,FALSE)</f>
        <v>KUNINGAN</v>
      </c>
    </row>
    <row r="2184" spans="1:12" x14ac:dyDescent="0.35">
      <c r="A2184" s="6">
        <v>2084059</v>
      </c>
      <c r="B2184" s="7" t="str">
        <f>"3328122402060001"</f>
        <v>3328122402060001</v>
      </c>
      <c r="C2184" s="7" t="s">
        <v>4391</v>
      </c>
      <c r="D2184" s="7" t="s">
        <v>189</v>
      </c>
      <c r="E2184" s="7" t="s">
        <v>11</v>
      </c>
      <c r="F2184" s="7" t="s">
        <v>18</v>
      </c>
      <c r="G2184" s="7" t="s">
        <v>19</v>
      </c>
      <c r="H2184" s="7" t="s">
        <v>4290</v>
      </c>
      <c r="I2184" s="8" t="s">
        <v>4309</v>
      </c>
      <c r="J2184" t="e">
        <f>VLOOKUP(B2184,baru!$B$2:$I$2271,4,FALSE)</f>
        <v>#N/A</v>
      </c>
      <c r="K2184" t="e">
        <f>VLOOKUP(B2184,baru!$B$2:$I$2271,5,FALSE)</f>
        <v>#N/A</v>
      </c>
      <c r="L2184" t="e">
        <f>VLOOKUP(B2184,baru!$B$2:$I$2271,6,FALSE)</f>
        <v>#N/A</v>
      </c>
    </row>
    <row r="2185" spans="1:12" hidden="1" x14ac:dyDescent="0.35">
      <c r="A2185" s="6">
        <v>1351202</v>
      </c>
      <c r="B2185" s="7" t="str">
        <f>"3328122402060001"</f>
        <v>3328122402060001</v>
      </c>
      <c r="C2185" s="7" t="s">
        <v>4391</v>
      </c>
      <c r="D2185" s="7" t="s">
        <v>10</v>
      </c>
      <c r="E2185" s="7" t="s">
        <v>57</v>
      </c>
      <c r="F2185" s="7" t="s">
        <v>303</v>
      </c>
      <c r="G2185" s="7" t="s">
        <v>608</v>
      </c>
      <c r="H2185" s="7" t="s">
        <v>609</v>
      </c>
      <c r="I2185" s="8" t="s">
        <v>610</v>
      </c>
    </row>
    <row r="2186" spans="1:12" hidden="1" x14ac:dyDescent="0.35">
      <c r="A2186" s="6">
        <v>1301794</v>
      </c>
      <c r="B2186" s="7" t="str">
        <f>"3328130101670011"</f>
        <v>3328130101670011</v>
      </c>
      <c r="C2186" s="7" t="s">
        <v>4392</v>
      </c>
      <c r="D2186" s="7" t="s">
        <v>10</v>
      </c>
      <c r="E2186" s="7" t="s">
        <v>11</v>
      </c>
      <c r="F2186" s="7" t="s">
        <v>50</v>
      </c>
      <c r="G2186" s="7" t="s">
        <v>58</v>
      </c>
      <c r="H2186" s="7" t="s">
        <v>417</v>
      </c>
      <c r="I2186" s="8" t="s">
        <v>1131</v>
      </c>
    </row>
    <row r="2187" spans="1:12" hidden="1" x14ac:dyDescent="0.35">
      <c r="A2187" s="6">
        <v>349059</v>
      </c>
      <c r="B2187" s="7" t="str">
        <f>"3328130107890060"</f>
        <v>3328130107890060</v>
      </c>
      <c r="C2187" s="7" t="s">
        <v>4393</v>
      </c>
      <c r="D2187" s="7" t="s">
        <v>10</v>
      </c>
      <c r="E2187" s="7" t="s">
        <v>11</v>
      </c>
      <c r="F2187" s="7" t="s">
        <v>18</v>
      </c>
      <c r="G2187" s="7" t="s">
        <v>268</v>
      </c>
      <c r="H2187" s="7" t="s">
        <v>269</v>
      </c>
      <c r="I2187" s="8" t="s">
        <v>270</v>
      </c>
    </row>
    <row r="2188" spans="1:12" hidden="1" x14ac:dyDescent="0.35">
      <c r="A2188" s="13">
        <v>1845586</v>
      </c>
      <c r="B2188" s="14" t="str">
        <f>"3328130107930069"</f>
        <v>3328130107930069</v>
      </c>
      <c r="C2188" s="14" t="s">
        <v>4395</v>
      </c>
      <c r="D2188" s="14" t="s">
        <v>10</v>
      </c>
      <c r="E2188" s="14" t="s">
        <v>11</v>
      </c>
      <c r="F2188" s="14" t="s">
        <v>18</v>
      </c>
      <c r="G2188" s="14" t="s">
        <v>19</v>
      </c>
      <c r="H2188" s="14" t="s">
        <v>4290</v>
      </c>
      <c r="I2188" s="15" t="s">
        <v>4318</v>
      </c>
      <c r="J2188" s="16" t="str">
        <f>VLOOKUP(B2188,baru!$B$2:$I$2271,4,FALSE)</f>
        <v>Reguler</v>
      </c>
      <c r="K2188" s="16" t="str">
        <f>VLOOKUP(B2188,baru!$B$2:$I$2271,5,FALSE)</f>
        <v>JAWA TENGAH</v>
      </c>
      <c r="L2188" s="16" t="str">
        <f>VLOOKUP(B2188,baru!$B$2:$I$2271,6,FALSE)</f>
        <v>KOTA TEGAL</v>
      </c>
    </row>
    <row r="2189" spans="1:12" hidden="1" x14ac:dyDescent="0.35">
      <c r="A2189" s="13">
        <v>1443298</v>
      </c>
      <c r="B2189" s="14" t="str">
        <f>"3328130209940003"</f>
        <v>3328130209940003</v>
      </c>
      <c r="C2189" s="14" t="s">
        <v>4397</v>
      </c>
      <c r="D2189" s="14" t="s">
        <v>10</v>
      </c>
      <c r="E2189" s="14" t="s">
        <v>11</v>
      </c>
      <c r="F2189" s="14" t="s">
        <v>18</v>
      </c>
      <c r="G2189" s="14" t="s">
        <v>19</v>
      </c>
      <c r="H2189" s="14" t="s">
        <v>4290</v>
      </c>
      <c r="I2189" s="15" t="s">
        <v>878</v>
      </c>
      <c r="J2189" s="16" t="str">
        <f>VLOOKUP(B2189,baru!$B$2:$I$2271,4,FALSE)</f>
        <v>Reguler</v>
      </c>
      <c r="K2189" s="16" t="str">
        <f>VLOOKUP(B2189,baru!$B$2:$I$2271,5,FALSE)</f>
        <v>JAWA TENGAH</v>
      </c>
      <c r="L2189" s="16" t="str">
        <f>VLOOKUP(B2189,baru!$B$2:$I$2271,6,FALSE)</f>
        <v>KOTA TEGAL</v>
      </c>
    </row>
    <row r="2190" spans="1:12" hidden="1" x14ac:dyDescent="0.35">
      <c r="A2190" s="13">
        <v>1881200</v>
      </c>
      <c r="B2190" s="14" t="str">
        <f>"3328130307860007"</f>
        <v>3328130307860007</v>
      </c>
      <c r="C2190" s="14" t="s">
        <v>4399</v>
      </c>
      <c r="D2190" s="14" t="s">
        <v>10</v>
      </c>
      <c r="E2190" s="14" t="s">
        <v>11</v>
      </c>
      <c r="F2190" s="14" t="s">
        <v>18</v>
      </c>
      <c r="G2190" s="14" t="s">
        <v>19</v>
      </c>
      <c r="H2190" s="14" t="s">
        <v>4290</v>
      </c>
      <c r="I2190" s="15" t="s">
        <v>4303</v>
      </c>
      <c r="J2190" s="16" t="str">
        <f>VLOOKUP(B2190,baru!$B$2:$I$2271,4,FALSE)</f>
        <v>Reguler</v>
      </c>
      <c r="K2190" s="16" t="str">
        <f>VLOOKUP(B2190,baru!$B$2:$I$2271,5,FALSE)</f>
        <v>JAWA TENGAH</v>
      </c>
      <c r="L2190" s="16" t="str">
        <f>VLOOKUP(B2190,baru!$B$2:$I$2271,6,FALSE)</f>
        <v>PEMALANG</v>
      </c>
    </row>
    <row r="2191" spans="1:12" hidden="1" x14ac:dyDescent="0.35">
      <c r="A2191" s="6">
        <v>2257136</v>
      </c>
      <c r="B2191" s="7" t="str">
        <f>"3328130404610003"</f>
        <v>3328130404610003</v>
      </c>
      <c r="C2191" s="7" t="s">
        <v>4401</v>
      </c>
      <c r="D2191" s="7" t="s">
        <v>10</v>
      </c>
      <c r="E2191" s="7" t="s">
        <v>11</v>
      </c>
      <c r="F2191" s="7" t="s">
        <v>67</v>
      </c>
      <c r="G2191" s="7" t="s">
        <v>512</v>
      </c>
      <c r="H2191" s="7" t="s">
        <v>330</v>
      </c>
      <c r="I2191" s="8" t="s">
        <v>4402</v>
      </c>
    </row>
    <row r="2192" spans="1:12" hidden="1" x14ac:dyDescent="0.35">
      <c r="A2192" s="6">
        <v>554077</v>
      </c>
      <c r="B2192" s="7" t="str">
        <f>"3328130406900006"</f>
        <v>3328130406900006</v>
      </c>
      <c r="C2192" s="7" t="s">
        <v>4404</v>
      </c>
      <c r="D2192" s="7" t="s">
        <v>10</v>
      </c>
      <c r="E2192" s="7" t="s">
        <v>11</v>
      </c>
      <c r="F2192" s="7" t="s">
        <v>67</v>
      </c>
      <c r="G2192" s="7" t="s">
        <v>696</v>
      </c>
      <c r="H2192" s="7" t="s">
        <v>375</v>
      </c>
      <c r="I2192" s="8" t="s">
        <v>1477</v>
      </c>
    </row>
    <row r="2193" spans="1:12" hidden="1" x14ac:dyDescent="0.35">
      <c r="A2193" s="6">
        <v>710527</v>
      </c>
      <c r="B2193" s="7" t="str">
        <f>"3328130408920001"</f>
        <v>3328130408920001</v>
      </c>
      <c r="C2193" s="7" t="s">
        <v>4405</v>
      </c>
      <c r="D2193" s="7" t="s">
        <v>10</v>
      </c>
      <c r="E2193" s="7" t="s">
        <v>11</v>
      </c>
      <c r="F2193" s="7" t="s">
        <v>18</v>
      </c>
      <c r="G2193" s="7" t="s">
        <v>264</v>
      </c>
      <c r="H2193" s="7" t="s">
        <v>248</v>
      </c>
      <c r="I2193" s="8" t="s">
        <v>1630</v>
      </c>
    </row>
    <row r="2194" spans="1:12" hidden="1" x14ac:dyDescent="0.35">
      <c r="A2194" s="13">
        <v>2407791</v>
      </c>
      <c r="B2194" s="14" t="str">
        <f>"3328130503960005"</f>
        <v>3328130503960005</v>
      </c>
      <c r="C2194" s="14" t="s">
        <v>4407</v>
      </c>
      <c r="D2194" s="14" t="s">
        <v>10</v>
      </c>
      <c r="E2194" s="14" t="s">
        <v>11</v>
      </c>
      <c r="F2194" s="14" t="s">
        <v>18</v>
      </c>
      <c r="G2194" s="14" t="s">
        <v>19</v>
      </c>
      <c r="H2194" s="14" t="s">
        <v>4290</v>
      </c>
      <c r="I2194" s="15" t="s">
        <v>1381</v>
      </c>
      <c r="J2194" s="16" t="str">
        <f>VLOOKUP(B2194,baru!$B$2:$I$2271,4,FALSE)</f>
        <v>Reguler</v>
      </c>
      <c r="K2194" s="16" t="str">
        <f>VLOOKUP(B2194,baru!$B$2:$I$2271,5,FALSE)</f>
        <v>JAWA TENGAH</v>
      </c>
      <c r="L2194" s="16" t="str">
        <f>VLOOKUP(B2194,baru!$B$2:$I$2271,6,FALSE)</f>
        <v>KOTA TEGAL</v>
      </c>
    </row>
    <row r="2195" spans="1:12" hidden="1" x14ac:dyDescent="0.35">
      <c r="A2195" s="13">
        <v>1877108</v>
      </c>
      <c r="B2195" s="14" t="str">
        <f>"3328130504790006"</f>
        <v>3328130504790006</v>
      </c>
      <c r="C2195" s="14" t="s">
        <v>4409</v>
      </c>
      <c r="D2195" s="14" t="s">
        <v>10</v>
      </c>
      <c r="E2195" s="14" t="s">
        <v>11</v>
      </c>
      <c r="F2195" s="14" t="s">
        <v>18</v>
      </c>
      <c r="G2195" s="14" t="s">
        <v>19</v>
      </c>
      <c r="H2195" s="14" t="s">
        <v>4290</v>
      </c>
      <c r="I2195" s="15" t="s">
        <v>344</v>
      </c>
      <c r="J2195" s="16" t="str">
        <f>VLOOKUP(B2195,baru!$B$2:$I$2271,4,FALSE)</f>
        <v>Reguler</v>
      </c>
      <c r="K2195" s="16" t="str">
        <f>VLOOKUP(B2195,baru!$B$2:$I$2271,5,FALSE)</f>
        <v>BANTEN</v>
      </c>
      <c r="L2195" s="16" t="str">
        <f>VLOOKUP(B2195,baru!$B$2:$I$2271,6,FALSE)</f>
        <v>SERANG</v>
      </c>
    </row>
    <row r="2196" spans="1:12" hidden="1" x14ac:dyDescent="0.35">
      <c r="A2196" s="13">
        <v>2083982</v>
      </c>
      <c r="B2196" s="14" t="str">
        <f>"3328130505640005"</f>
        <v>3328130505640005</v>
      </c>
      <c r="C2196" s="14" t="s">
        <v>3431</v>
      </c>
      <c r="D2196" s="14" t="s">
        <v>10</v>
      </c>
      <c r="E2196" s="14" t="s">
        <v>11</v>
      </c>
      <c r="F2196" s="14" t="s">
        <v>18</v>
      </c>
      <c r="G2196" s="14" t="s">
        <v>19</v>
      </c>
      <c r="H2196" s="14" t="s">
        <v>4290</v>
      </c>
      <c r="I2196" s="15" t="s">
        <v>4309</v>
      </c>
      <c r="J2196" s="16" t="str">
        <f>VLOOKUP(B2196,baru!$B$2:$I$2271,4,FALSE)</f>
        <v>Reguler</v>
      </c>
      <c r="K2196" s="16" t="str">
        <f>VLOOKUP(B2196,baru!$B$2:$I$2271,5,FALSE)</f>
        <v>JAWA TENGAH</v>
      </c>
      <c r="L2196" s="16" t="str">
        <f>VLOOKUP(B2196,baru!$B$2:$I$2271,6,FALSE)</f>
        <v>KOTA TEGAL</v>
      </c>
    </row>
    <row r="2197" spans="1:12" hidden="1" x14ac:dyDescent="0.35">
      <c r="A2197" s="6">
        <v>2150723</v>
      </c>
      <c r="B2197" s="7" t="str">
        <f>"3328130505950003"</f>
        <v>3328130505950003</v>
      </c>
      <c r="C2197" s="7" t="s">
        <v>4414</v>
      </c>
      <c r="D2197" s="7" t="s">
        <v>10</v>
      </c>
      <c r="E2197" s="7" t="s">
        <v>11</v>
      </c>
      <c r="F2197" s="7" t="s">
        <v>18</v>
      </c>
      <c r="G2197" s="7" t="s">
        <v>19</v>
      </c>
      <c r="H2197" s="7" t="s">
        <v>4290</v>
      </c>
      <c r="I2197" s="8" t="s">
        <v>4290</v>
      </c>
      <c r="J2197" t="e">
        <f>VLOOKUP(B2197,baru!$B$2:$I$2271,4,FALSE)</f>
        <v>#N/A</v>
      </c>
      <c r="K2197" t="e">
        <f>VLOOKUP(B2197,baru!$B$2:$I$2271,5,FALSE)</f>
        <v>#N/A</v>
      </c>
      <c r="L2197" t="e">
        <f>VLOOKUP(B2197,baru!$B$2:$I$2271,6,FALSE)</f>
        <v>#N/A</v>
      </c>
    </row>
    <row r="2198" spans="1:12" hidden="1" x14ac:dyDescent="0.35">
      <c r="A2198" s="6">
        <v>423813</v>
      </c>
      <c r="B2198" s="7" t="str">
        <f>"3328130505950003"</f>
        <v>3328130505950003</v>
      </c>
      <c r="C2198" s="7" t="s">
        <v>4415</v>
      </c>
      <c r="D2198" s="7" t="s">
        <v>10</v>
      </c>
      <c r="E2198" s="7" t="s">
        <v>57</v>
      </c>
      <c r="F2198" s="7" t="s">
        <v>18</v>
      </c>
      <c r="G2198" s="7" t="s">
        <v>268</v>
      </c>
      <c r="H2198" s="7" t="s">
        <v>277</v>
      </c>
      <c r="I2198" s="8" t="s">
        <v>278</v>
      </c>
    </row>
    <row r="2199" spans="1:12" hidden="1" x14ac:dyDescent="0.35">
      <c r="A2199" s="6">
        <v>369520</v>
      </c>
      <c r="B2199" s="7" t="str">
        <f>"3328130509610003"</f>
        <v>3328130509610003</v>
      </c>
      <c r="C2199" s="7" t="s">
        <v>4416</v>
      </c>
      <c r="D2199" s="7" t="s">
        <v>10</v>
      </c>
      <c r="E2199" s="7" t="s">
        <v>11</v>
      </c>
      <c r="F2199" s="7" t="s">
        <v>18</v>
      </c>
      <c r="G2199" s="7" t="s">
        <v>268</v>
      </c>
      <c r="H2199" s="7" t="s">
        <v>269</v>
      </c>
      <c r="I2199" s="8" t="s">
        <v>996</v>
      </c>
    </row>
    <row r="2200" spans="1:12" hidden="1" x14ac:dyDescent="0.35">
      <c r="A2200" s="13">
        <v>1440262</v>
      </c>
      <c r="B2200" s="14" t="str">
        <f>"3328130510880001"</f>
        <v>3328130510880001</v>
      </c>
      <c r="C2200" s="14" t="s">
        <v>4418</v>
      </c>
      <c r="D2200" s="14" t="s">
        <v>10</v>
      </c>
      <c r="E2200" s="14" t="s">
        <v>11</v>
      </c>
      <c r="F2200" s="14" t="s">
        <v>18</v>
      </c>
      <c r="G2200" s="14" t="s">
        <v>19</v>
      </c>
      <c r="H2200" s="14" t="s">
        <v>4290</v>
      </c>
      <c r="I2200" s="15" t="s">
        <v>878</v>
      </c>
      <c r="J2200" s="16" t="str">
        <f>VLOOKUP(B2200,baru!$B$2:$I$2271,4,FALSE)</f>
        <v>Reguler</v>
      </c>
      <c r="K2200" s="16" t="str">
        <f>VLOOKUP(B2200,baru!$B$2:$I$2271,5,FALSE)</f>
        <v>JAWA TENGAH</v>
      </c>
      <c r="L2200" s="16" t="str">
        <f>VLOOKUP(B2200,baru!$B$2:$I$2271,6,FALSE)</f>
        <v>KOTA TEGAL</v>
      </c>
    </row>
    <row r="2201" spans="1:12" hidden="1" x14ac:dyDescent="0.35">
      <c r="A2201" s="6">
        <v>133611</v>
      </c>
      <c r="B2201" s="7" t="str">
        <f>"3328130609020004"</f>
        <v>3328130609020004</v>
      </c>
      <c r="C2201" s="7" t="s">
        <v>4420</v>
      </c>
      <c r="D2201" s="7" t="s">
        <v>10</v>
      </c>
      <c r="E2201" s="7" t="s">
        <v>11</v>
      </c>
      <c r="F2201" s="7" t="s">
        <v>4421</v>
      </c>
      <c r="G2201" s="7" t="s">
        <v>4422</v>
      </c>
      <c r="H2201" s="7" t="s">
        <v>4423</v>
      </c>
      <c r="I2201" s="8" t="s">
        <v>4424</v>
      </c>
    </row>
    <row r="2202" spans="1:12" hidden="1" x14ac:dyDescent="0.35">
      <c r="A2202" s="13">
        <v>1745620</v>
      </c>
      <c r="B2202" s="14" t="str">
        <f>"3328130705960003"</f>
        <v>3328130705960003</v>
      </c>
      <c r="C2202" s="14" t="s">
        <v>4425</v>
      </c>
      <c r="D2202" s="14" t="s">
        <v>10</v>
      </c>
      <c r="E2202" s="14" t="s">
        <v>11</v>
      </c>
      <c r="F2202" s="14" t="s">
        <v>18</v>
      </c>
      <c r="G2202" s="14" t="s">
        <v>19</v>
      </c>
      <c r="H2202" s="14" t="s">
        <v>4290</v>
      </c>
      <c r="I2202" s="15" t="s">
        <v>4426</v>
      </c>
      <c r="J2202" s="16" t="str">
        <f>VLOOKUP(B2202,baru!$B$2:$I$2271,4,FALSE)</f>
        <v>Reguler</v>
      </c>
      <c r="K2202" s="16" t="str">
        <f>VLOOKUP(B2202,baru!$B$2:$I$2271,5,FALSE)</f>
        <v>JAWA TENGAH</v>
      </c>
      <c r="L2202" s="16" t="str">
        <f>VLOOKUP(B2202,baru!$B$2:$I$2271,6,FALSE)</f>
        <v>KOTA SEMARANG</v>
      </c>
    </row>
    <row r="2203" spans="1:12" hidden="1" x14ac:dyDescent="0.35">
      <c r="A2203" s="6">
        <v>418525</v>
      </c>
      <c r="B2203" s="7" t="str">
        <f>"3328130706940003"</f>
        <v>3328130706940003</v>
      </c>
      <c r="C2203" s="7" t="s">
        <v>4430</v>
      </c>
      <c r="D2203" s="7" t="s">
        <v>10</v>
      </c>
      <c r="E2203" s="7" t="s">
        <v>11</v>
      </c>
      <c r="F2203" s="7" t="s">
        <v>18</v>
      </c>
      <c r="G2203" s="7" t="s">
        <v>268</v>
      </c>
      <c r="H2203" s="7" t="s">
        <v>448</v>
      </c>
      <c r="I2203" s="8" t="s">
        <v>888</v>
      </c>
    </row>
    <row r="2204" spans="1:12" x14ac:dyDescent="0.35">
      <c r="A2204" s="13">
        <v>1942484</v>
      </c>
      <c r="B2204" s="14" t="str">
        <f>"3328130707940004"</f>
        <v>3328130707940004</v>
      </c>
      <c r="C2204" s="14" t="s">
        <v>4431</v>
      </c>
      <c r="D2204" s="14" t="s">
        <v>189</v>
      </c>
      <c r="E2204" s="14" t="s">
        <v>11</v>
      </c>
      <c r="F2204" s="14" t="s">
        <v>18</v>
      </c>
      <c r="G2204" s="14" t="s">
        <v>19</v>
      </c>
      <c r="H2204" s="14" t="s">
        <v>4290</v>
      </c>
      <c r="I2204" s="15" t="s">
        <v>4329</v>
      </c>
      <c r="J2204" s="16" t="str">
        <f>VLOOKUP(B2204,baru!$B$2:$I$2271,4,FALSE)</f>
        <v>Reguler</v>
      </c>
      <c r="K2204" s="16" t="str">
        <f>VLOOKUP(B2204,baru!$B$2:$I$2271,5,FALSE)</f>
        <v>JAWA TENGAH</v>
      </c>
      <c r="L2204" s="16" t="str">
        <f>VLOOKUP(B2204,baru!$B$2:$I$2271,6,FALSE)</f>
        <v>BREBES</v>
      </c>
    </row>
    <row r="2205" spans="1:12" hidden="1" x14ac:dyDescent="0.35">
      <c r="A2205" s="6">
        <v>230692</v>
      </c>
      <c r="B2205" s="7" t="str">
        <f>"3328130708840007"</f>
        <v>3328130708840007</v>
      </c>
      <c r="C2205" s="7" t="s">
        <v>4434</v>
      </c>
      <c r="D2205" s="7" t="s">
        <v>10</v>
      </c>
      <c r="E2205" s="7" t="s">
        <v>11</v>
      </c>
      <c r="F2205" s="7" t="s">
        <v>18</v>
      </c>
      <c r="G2205" s="7" t="s">
        <v>268</v>
      </c>
      <c r="H2205" s="7" t="s">
        <v>371</v>
      </c>
      <c r="I2205" s="8" t="s">
        <v>2346</v>
      </c>
    </row>
    <row r="2206" spans="1:12" hidden="1" x14ac:dyDescent="0.35">
      <c r="A2206" s="6">
        <v>227509</v>
      </c>
      <c r="B2206" s="7" t="str">
        <f>"3328130709950006"</f>
        <v>3328130709950006</v>
      </c>
      <c r="C2206" s="7" t="s">
        <v>4435</v>
      </c>
      <c r="D2206" s="7" t="s">
        <v>10</v>
      </c>
      <c r="E2206" s="7" t="s">
        <v>11</v>
      </c>
      <c r="F2206" s="7" t="s">
        <v>18</v>
      </c>
      <c r="G2206" s="7" t="s">
        <v>268</v>
      </c>
      <c r="H2206" s="7" t="s">
        <v>371</v>
      </c>
      <c r="I2206" s="8" t="s">
        <v>2346</v>
      </c>
    </row>
    <row r="2207" spans="1:12" hidden="1" x14ac:dyDescent="0.35">
      <c r="A2207" s="6">
        <v>280273</v>
      </c>
      <c r="B2207" s="7" t="str">
        <f>"3328130710680005"</f>
        <v>3328130710680005</v>
      </c>
      <c r="C2207" s="7" t="s">
        <v>4437</v>
      </c>
      <c r="D2207" s="7" t="s">
        <v>10</v>
      </c>
      <c r="E2207" s="7" t="s">
        <v>11</v>
      </c>
      <c r="F2207" s="7" t="s">
        <v>50</v>
      </c>
      <c r="G2207" s="7" t="s">
        <v>280</v>
      </c>
      <c r="H2207" s="7" t="s">
        <v>440</v>
      </c>
      <c r="I2207" s="8" t="s">
        <v>440</v>
      </c>
    </row>
    <row r="2208" spans="1:12" hidden="1" x14ac:dyDescent="0.35">
      <c r="A2208" s="6">
        <v>1757433</v>
      </c>
      <c r="B2208" s="7" t="str">
        <f>"3328130803930008"</f>
        <v>3328130803930008</v>
      </c>
      <c r="C2208" s="7" t="s">
        <v>4438</v>
      </c>
      <c r="D2208" s="7" t="s">
        <v>10</v>
      </c>
      <c r="E2208" s="7" t="s">
        <v>11</v>
      </c>
      <c r="F2208" s="7" t="s">
        <v>91</v>
      </c>
      <c r="G2208" s="7" t="s">
        <v>320</v>
      </c>
      <c r="H2208" s="7" t="s">
        <v>1289</v>
      </c>
      <c r="I2208" s="8" t="s">
        <v>4337</v>
      </c>
    </row>
    <row r="2209" spans="1:12" hidden="1" x14ac:dyDescent="0.35">
      <c r="A2209" s="13">
        <v>1907957</v>
      </c>
      <c r="B2209" s="14" t="str">
        <f>"3328130805970003"</f>
        <v>3328130805970003</v>
      </c>
      <c r="C2209" s="14" t="s">
        <v>4439</v>
      </c>
      <c r="D2209" s="14" t="s">
        <v>10</v>
      </c>
      <c r="E2209" s="14" t="s">
        <v>11</v>
      </c>
      <c r="F2209" s="14" t="s">
        <v>18</v>
      </c>
      <c r="G2209" s="14" t="s">
        <v>19</v>
      </c>
      <c r="H2209" s="14" t="s">
        <v>4290</v>
      </c>
      <c r="I2209" s="15" t="s">
        <v>4298</v>
      </c>
      <c r="J2209" s="16" t="str">
        <f>VLOOKUP(B2209,baru!$B$2:$I$2271,4,FALSE)</f>
        <v>Reguler</v>
      </c>
      <c r="K2209" s="16" t="str">
        <f>VLOOKUP(B2209,baru!$B$2:$I$2271,5,FALSE)</f>
        <v>JAWA TENGAH</v>
      </c>
      <c r="L2209" s="16" t="str">
        <f>VLOOKUP(B2209,baru!$B$2:$I$2271,6,FALSE)</f>
        <v>KOTA TEGAL</v>
      </c>
    </row>
    <row r="2210" spans="1:12" hidden="1" x14ac:dyDescent="0.35">
      <c r="A2210" s="6">
        <v>363300</v>
      </c>
      <c r="B2210" s="7" t="str">
        <f>"3328130809880010"</f>
        <v>3328130809880010</v>
      </c>
      <c r="C2210" s="7" t="s">
        <v>3431</v>
      </c>
      <c r="D2210" s="7" t="s">
        <v>10</v>
      </c>
      <c r="E2210" s="7" t="s">
        <v>11</v>
      </c>
      <c r="F2210" s="7" t="s">
        <v>18</v>
      </c>
      <c r="G2210" s="7" t="s">
        <v>268</v>
      </c>
      <c r="H2210" s="7" t="s">
        <v>269</v>
      </c>
      <c r="I2210" s="8" t="s">
        <v>996</v>
      </c>
    </row>
    <row r="2211" spans="1:12" hidden="1" x14ac:dyDescent="0.35">
      <c r="A2211" s="13">
        <v>2406565</v>
      </c>
      <c r="B2211" s="14" t="str">
        <f>"3328131011960003"</f>
        <v>3328131011960003</v>
      </c>
      <c r="C2211" s="14" t="s">
        <v>4441</v>
      </c>
      <c r="D2211" s="14" t="s">
        <v>10</v>
      </c>
      <c r="E2211" s="14" t="s">
        <v>11</v>
      </c>
      <c r="F2211" s="14" t="s">
        <v>18</v>
      </c>
      <c r="G2211" s="14" t="s">
        <v>19</v>
      </c>
      <c r="H2211" s="14" t="s">
        <v>4290</v>
      </c>
      <c r="I2211" s="15" t="s">
        <v>1381</v>
      </c>
      <c r="J2211" s="16" t="str">
        <f>VLOOKUP(B2211,baru!$B$2:$I$2271,4,FALSE)</f>
        <v>Reguler</v>
      </c>
      <c r="K2211" s="16" t="str">
        <f>VLOOKUP(B2211,baru!$B$2:$I$2271,5,FALSE)</f>
        <v>JAWA TENGAH</v>
      </c>
      <c r="L2211" s="16" t="str">
        <f>VLOOKUP(B2211,baru!$B$2:$I$2271,6,FALSE)</f>
        <v>KOTA TEGAL</v>
      </c>
    </row>
    <row r="2212" spans="1:12" hidden="1" x14ac:dyDescent="0.35">
      <c r="A2212" s="13">
        <v>2086681</v>
      </c>
      <c r="B2212" s="14" t="str">
        <f>"3328131102960003"</f>
        <v>3328131102960003</v>
      </c>
      <c r="C2212" s="14" t="s">
        <v>4442</v>
      </c>
      <c r="D2212" s="14" t="s">
        <v>10</v>
      </c>
      <c r="E2212" s="14" t="s">
        <v>11</v>
      </c>
      <c r="F2212" s="14" t="s">
        <v>18</v>
      </c>
      <c r="G2212" s="14" t="s">
        <v>19</v>
      </c>
      <c r="H2212" s="14" t="s">
        <v>4290</v>
      </c>
      <c r="I2212" s="15" t="s">
        <v>4309</v>
      </c>
      <c r="J2212" s="16" t="str">
        <f>VLOOKUP(B2212,baru!$B$2:$I$2271,4,FALSE)</f>
        <v>Reguler</v>
      </c>
      <c r="K2212" s="16" t="str">
        <f>VLOOKUP(B2212,baru!$B$2:$I$2271,5,FALSE)</f>
        <v>JAWA TENGAH</v>
      </c>
      <c r="L2212" s="16" t="str">
        <f>VLOOKUP(B2212,baru!$B$2:$I$2271,6,FALSE)</f>
        <v>KOTA TEGAL</v>
      </c>
    </row>
    <row r="2213" spans="1:12" hidden="1" x14ac:dyDescent="0.35">
      <c r="A2213" s="6">
        <v>1858135</v>
      </c>
      <c r="B2213" s="7" t="str">
        <f>"3328131103830009"</f>
        <v>3328131103830009</v>
      </c>
      <c r="C2213" s="7" t="s">
        <v>4443</v>
      </c>
      <c r="D2213" s="7" t="s">
        <v>10</v>
      </c>
      <c r="E2213" s="7" t="s">
        <v>11</v>
      </c>
      <c r="F2213" s="7" t="s">
        <v>50</v>
      </c>
      <c r="G2213" s="7" t="s">
        <v>58</v>
      </c>
      <c r="H2213" s="7" t="s">
        <v>97</v>
      </c>
      <c r="I2213" s="8" t="s">
        <v>342</v>
      </c>
    </row>
    <row r="2214" spans="1:12" hidden="1" x14ac:dyDescent="0.35">
      <c r="A2214" s="13">
        <v>2407003</v>
      </c>
      <c r="B2214" s="14" t="str">
        <f>"3328131106960007"</f>
        <v>3328131106960007</v>
      </c>
      <c r="C2214" s="14" t="s">
        <v>4444</v>
      </c>
      <c r="D2214" s="14" t="s">
        <v>10</v>
      </c>
      <c r="E2214" s="14" t="s">
        <v>11</v>
      </c>
      <c r="F2214" s="14" t="s">
        <v>18</v>
      </c>
      <c r="G2214" s="14" t="s">
        <v>19</v>
      </c>
      <c r="H2214" s="14" t="s">
        <v>4290</v>
      </c>
      <c r="I2214" s="15" t="s">
        <v>1381</v>
      </c>
      <c r="J2214" s="16" t="str">
        <f>VLOOKUP(B2214,baru!$B$2:$I$2271,4,FALSE)</f>
        <v>Reguler</v>
      </c>
      <c r="K2214" s="16" t="str">
        <f>VLOOKUP(B2214,baru!$B$2:$I$2271,5,FALSE)</f>
        <v>JAWA TENGAH</v>
      </c>
      <c r="L2214" s="16" t="str">
        <f>VLOOKUP(B2214,baru!$B$2:$I$2271,6,FALSE)</f>
        <v>KOTA TEGAL</v>
      </c>
    </row>
    <row r="2215" spans="1:12" hidden="1" x14ac:dyDescent="0.35">
      <c r="A2215" s="6">
        <v>732846</v>
      </c>
      <c r="B2215" s="7" t="str">
        <f>"3328131110860007"</f>
        <v>3328131110860007</v>
      </c>
      <c r="C2215" s="7" t="s">
        <v>4446</v>
      </c>
      <c r="D2215" s="7" t="s">
        <v>10</v>
      </c>
      <c r="E2215" s="7" t="s">
        <v>11</v>
      </c>
      <c r="F2215" s="7" t="s">
        <v>50</v>
      </c>
      <c r="G2215" s="7" t="s">
        <v>86</v>
      </c>
      <c r="H2215" s="7" t="s">
        <v>530</v>
      </c>
      <c r="I2215" s="8" t="s">
        <v>534</v>
      </c>
    </row>
    <row r="2216" spans="1:12" hidden="1" x14ac:dyDescent="0.35">
      <c r="A2216" s="6">
        <v>1616051</v>
      </c>
      <c r="B2216" s="7" t="str">
        <f>"3328131205860007"</f>
        <v>3328131205860007</v>
      </c>
      <c r="C2216" s="7" t="s">
        <v>4448</v>
      </c>
      <c r="D2216" s="7" t="s">
        <v>10</v>
      </c>
      <c r="E2216" s="7" t="s">
        <v>11</v>
      </c>
      <c r="F2216" s="7" t="s">
        <v>50</v>
      </c>
      <c r="G2216" s="7" t="s">
        <v>58</v>
      </c>
      <c r="H2216" s="7" t="s">
        <v>1283</v>
      </c>
      <c r="I2216" s="8" t="s">
        <v>1291</v>
      </c>
    </row>
    <row r="2217" spans="1:12" hidden="1" x14ac:dyDescent="0.35">
      <c r="A2217" s="6">
        <v>2112162</v>
      </c>
      <c r="B2217" s="7" t="str">
        <f>"3328131207030003"</f>
        <v>3328131207030003</v>
      </c>
      <c r="C2217" s="7" t="s">
        <v>4450</v>
      </c>
      <c r="D2217" s="7" t="s">
        <v>10</v>
      </c>
      <c r="E2217" s="7" t="s">
        <v>11</v>
      </c>
      <c r="F2217" s="7" t="s">
        <v>18</v>
      </c>
      <c r="G2217" s="7" t="s">
        <v>19</v>
      </c>
      <c r="H2217" s="7" t="s">
        <v>4290</v>
      </c>
      <c r="I2217" s="8" t="s">
        <v>4347</v>
      </c>
      <c r="J2217" t="e">
        <f>VLOOKUP(B2217,baru!$B$2:$I$2271,4,FALSE)</f>
        <v>#N/A</v>
      </c>
      <c r="K2217" t="e">
        <f>VLOOKUP(B2217,baru!$B$2:$I$2271,5,FALSE)</f>
        <v>#N/A</v>
      </c>
      <c r="L2217" t="e">
        <f>VLOOKUP(B2217,baru!$B$2:$I$2271,6,FALSE)</f>
        <v>#N/A</v>
      </c>
    </row>
    <row r="2218" spans="1:12" hidden="1" x14ac:dyDescent="0.35">
      <c r="A2218" s="6">
        <v>1351192</v>
      </c>
      <c r="B2218" s="7" t="str">
        <f>"3328131207030003"</f>
        <v>3328131207030003</v>
      </c>
      <c r="C2218" s="7" t="s">
        <v>4450</v>
      </c>
      <c r="D2218" s="7" t="s">
        <v>10</v>
      </c>
      <c r="E2218" s="7" t="s">
        <v>57</v>
      </c>
      <c r="F2218" s="7" t="s">
        <v>303</v>
      </c>
      <c r="G2218" s="7" t="s">
        <v>608</v>
      </c>
      <c r="H2218" s="7" t="s">
        <v>609</v>
      </c>
      <c r="I2218" s="8" t="s">
        <v>610</v>
      </c>
    </row>
    <row r="2219" spans="1:12" hidden="1" x14ac:dyDescent="0.35">
      <c r="A2219" s="13">
        <v>2084386</v>
      </c>
      <c r="B2219" s="14" t="str">
        <f>"3328131210970001"</f>
        <v>3328131210970001</v>
      </c>
      <c r="C2219" s="14" t="s">
        <v>4451</v>
      </c>
      <c r="D2219" s="14" t="s">
        <v>10</v>
      </c>
      <c r="E2219" s="14" t="s">
        <v>11</v>
      </c>
      <c r="F2219" s="14" t="s">
        <v>18</v>
      </c>
      <c r="G2219" s="14" t="s">
        <v>19</v>
      </c>
      <c r="H2219" s="14" t="s">
        <v>4290</v>
      </c>
      <c r="I2219" s="15" t="s">
        <v>4309</v>
      </c>
      <c r="J2219" s="16" t="str">
        <f>VLOOKUP(B2219,baru!$B$2:$I$2271,4,FALSE)</f>
        <v>Reguler</v>
      </c>
      <c r="K2219" s="16" t="str">
        <f>VLOOKUP(B2219,baru!$B$2:$I$2271,5,FALSE)</f>
        <v>JAWA TENGAH</v>
      </c>
      <c r="L2219" s="16" t="str">
        <f>VLOOKUP(B2219,baru!$B$2:$I$2271,6,FALSE)</f>
        <v>KOTA TEGAL</v>
      </c>
    </row>
    <row r="2220" spans="1:12" hidden="1" x14ac:dyDescent="0.35">
      <c r="A2220" s="6">
        <v>2466000</v>
      </c>
      <c r="B2220" s="7" t="str">
        <f>"3328131212020004"</f>
        <v>3328131212020004</v>
      </c>
      <c r="C2220" s="7" t="s">
        <v>4453</v>
      </c>
      <c r="D2220" s="7" t="s">
        <v>10</v>
      </c>
      <c r="E2220" s="7" t="s">
        <v>11</v>
      </c>
      <c r="F2220" s="7" t="s">
        <v>18</v>
      </c>
      <c r="G2220" s="7" t="s">
        <v>19</v>
      </c>
      <c r="H2220" s="7" t="s">
        <v>4290</v>
      </c>
      <c r="I2220" s="8" t="s">
        <v>2513</v>
      </c>
      <c r="J2220" t="e">
        <f>VLOOKUP(B2220,baru!$B$2:$I$2271,4,FALSE)</f>
        <v>#N/A</v>
      </c>
      <c r="K2220" t="e">
        <f>VLOOKUP(B2220,baru!$B$2:$I$2271,5,FALSE)</f>
        <v>#N/A</v>
      </c>
      <c r="L2220" t="e">
        <f>VLOOKUP(B2220,baru!$B$2:$I$2271,6,FALSE)</f>
        <v>#N/A</v>
      </c>
    </row>
    <row r="2221" spans="1:12" hidden="1" x14ac:dyDescent="0.35">
      <c r="A2221" s="6">
        <v>1351196</v>
      </c>
      <c r="B2221" s="7" t="str">
        <f>"3328131212020004"</f>
        <v>3328131212020004</v>
      </c>
      <c r="C2221" s="7" t="s">
        <v>4453</v>
      </c>
      <c r="D2221" s="7" t="s">
        <v>10</v>
      </c>
      <c r="E2221" s="7" t="s">
        <v>57</v>
      </c>
      <c r="F2221" s="7" t="s">
        <v>303</v>
      </c>
      <c r="G2221" s="7" t="s">
        <v>608</v>
      </c>
      <c r="H2221" s="7" t="s">
        <v>609</v>
      </c>
      <c r="I2221" s="8" t="s">
        <v>610</v>
      </c>
    </row>
    <row r="2222" spans="1:12" hidden="1" x14ac:dyDescent="0.35">
      <c r="A2222" s="13">
        <v>1883388</v>
      </c>
      <c r="B2222" s="14" t="str">
        <f>"3328131310950007"</f>
        <v>3328131310950007</v>
      </c>
      <c r="C2222" s="14" t="s">
        <v>4454</v>
      </c>
      <c r="D2222" s="14" t="s">
        <v>10</v>
      </c>
      <c r="E2222" s="14" t="s">
        <v>11</v>
      </c>
      <c r="F2222" s="14" t="s">
        <v>18</v>
      </c>
      <c r="G2222" s="14" t="s">
        <v>19</v>
      </c>
      <c r="H2222" s="14" t="s">
        <v>4290</v>
      </c>
      <c r="I2222" s="15" t="s">
        <v>4303</v>
      </c>
      <c r="J2222" s="16" t="str">
        <f>VLOOKUP(B2222,baru!$B$2:$I$2271,4,FALSE)</f>
        <v>Reguler</v>
      </c>
      <c r="K2222" s="16" t="str">
        <f>VLOOKUP(B2222,baru!$B$2:$I$2271,5,FALSE)</f>
        <v>JAWA TENGAH</v>
      </c>
      <c r="L2222" s="16" t="str">
        <f>VLOOKUP(B2222,baru!$B$2:$I$2271,6,FALSE)</f>
        <v>KOTA TEGAL</v>
      </c>
    </row>
    <row r="2223" spans="1:12" hidden="1" x14ac:dyDescent="0.35">
      <c r="A2223" s="6">
        <v>1311497</v>
      </c>
      <c r="B2223" s="7" t="str">
        <f>"3328131405050002"</f>
        <v>3328131405050002</v>
      </c>
      <c r="C2223" s="7" t="s">
        <v>4455</v>
      </c>
      <c r="D2223" s="7" t="s">
        <v>10</v>
      </c>
      <c r="E2223" s="7" t="s">
        <v>11</v>
      </c>
      <c r="F2223" s="7" t="s">
        <v>303</v>
      </c>
      <c r="G2223" s="7" t="s">
        <v>509</v>
      </c>
      <c r="H2223" s="7" t="s">
        <v>4456</v>
      </c>
      <c r="I2223" s="8" t="s">
        <v>4456</v>
      </c>
    </row>
    <row r="2224" spans="1:12" hidden="1" x14ac:dyDescent="0.35">
      <c r="A2224" s="6">
        <v>272008</v>
      </c>
      <c r="B2224" s="7" t="str">
        <f>"3328131407930005"</f>
        <v>3328131407930005</v>
      </c>
      <c r="C2224" s="7" t="s">
        <v>4458</v>
      </c>
      <c r="D2224" s="7" t="s">
        <v>10</v>
      </c>
      <c r="E2224" s="7" t="s">
        <v>11</v>
      </c>
      <c r="F2224" s="7" t="s">
        <v>18</v>
      </c>
      <c r="G2224" s="7" t="s">
        <v>268</v>
      </c>
      <c r="H2224" s="7" t="s">
        <v>277</v>
      </c>
      <c r="I2224" s="8" t="s">
        <v>1659</v>
      </c>
    </row>
    <row r="2225" spans="1:12" x14ac:dyDescent="0.35">
      <c r="A2225" s="13">
        <v>1892666</v>
      </c>
      <c r="B2225" s="14" t="str">
        <f>"3328131409010003"</f>
        <v>3328131409010003</v>
      </c>
      <c r="C2225" s="14" t="s">
        <v>4459</v>
      </c>
      <c r="D2225" s="14" t="s">
        <v>189</v>
      </c>
      <c r="E2225" s="14" t="s">
        <v>11</v>
      </c>
      <c r="F2225" s="14" t="s">
        <v>18</v>
      </c>
      <c r="G2225" s="14" t="s">
        <v>19</v>
      </c>
      <c r="H2225" s="14" t="s">
        <v>4290</v>
      </c>
      <c r="I2225" s="15" t="s">
        <v>4315</v>
      </c>
      <c r="J2225" s="16" t="str">
        <f>VLOOKUP(B2225,baru!$B$2:$I$2271,4,FALSE)</f>
        <v>Reguler</v>
      </c>
      <c r="K2225" s="16" t="str">
        <f>VLOOKUP(B2225,baru!$B$2:$I$2271,5,FALSE)</f>
        <v>JAWA BARAT</v>
      </c>
      <c r="L2225" s="16" t="str">
        <f>VLOOKUP(B2225,baru!$B$2:$I$2271,6,FALSE)</f>
        <v>KUNINGAN</v>
      </c>
    </row>
    <row r="2226" spans="1:12" hidden="1" x14ac:dyDescent="0.35">
      <c r="A2226" s="13">
        <v>2088750</v>
      </c>
      <c r="B2226" s="14" t="str">
        <f>"3328131503910007"</f>
        <v>3328131503910007</v>
      </c>
      <c r="C2226" s="14" t="s">
        <v>4463</v>
      </c>
      <c r="D2226" s="14" t="s">
        <v>10</v>
      </c>
      <c r="E2226" s="14" t="s">
        <v>11</v>
      </c>
      <c r="F2226" s="14" t="s">
        <v>18</v>
      </c>
      <c r="G2226" s="14" t="s">
        <v>19</v>
      </c>
      <c r="H2226" s="14" t="s">
        <v>4290</v>
      </c>
      <c r="I2226" s="15" t="s">
        <v>4309</v>
      </c>
      <c r="J2226" s="16" t="str">
        <f>VLOOKUP(B2226,baru!$B$2:$I$2271,4,FALSE)</f>
        <v>Reguler</v>
      </c>
      <c r="K2226" s="16" t="str">
        <f>VLOOKUP(B2226,baru!$B$2:$I$2271,5,FALSE)</f>
        <v>JAWA TENGAH</v>
      </c>
      <c r="L2226" s="16" t="str">
        <f>VLOOKUP(B2226,baru!$B$2:$I$2271,6,FALSE)</f>
        <v>BANYUMAS</v>
      </c>
    </row>
    <row r="2227" spans="1:12" hidden="1" x14ac:dyDescent="0.35">
      <c r="A2227" s="13">
        <v>1844872</v>
      </c>
      <c r="B2227" s="14" t="str">
        <f>"3328131506940003"</f>
        <v>3328131506940003</v>
      </c>
      <c r="C2227" s="14" t="s">
        <v>4465</v>
      </c>
      <c r="D2227" s="14" t="s">
        <v>10</v>
      </c>
      <c r="E2227" s="14" t="s">
        <v>11</v>
      </c>
      <c r="F2227" s="14" t="s">
        <v>18</v>
      </c>
      <c r="G2227" s="14" t="s">
        <v>19</v>
      </c>
      <c r="H2227" s="14" t="s">
        <v>4290</v>
      </c>
      <c r="I2227" s="15" t="s">
        <v>4318</v>
      </c>
      <c r="J2227" s="16" t="str">
        <f>VLOOKUP(B2227,baru!$B$2:$I$2271,4,FALSE)</f>
        <v>Reguler</v>
      </c>
      <c r="K2227" s="16" t="str">
        <f>VLOOKUP(B2227,baru!$B$2:$I$2271,5,FALSE)</f>
        <v>JAWA TENGAH</v>
      </c>
      <c r="L2227" s="16" t="str">
        <f>VLOOKUP(B2227,baru!$B$2:$I$2271,6,FALSE)</f>
        <v>BREBES</v>
      </c>
    </row>
    <row r="2228" spans="1:12" hidden="1" x14ac:dyDescent="0.35">
      <c r="A2228" s="13">
        <v>1880650</v>
      </c>
      <c r="B2228" s="14" t="str">
        <f>"3328131509890004"</f>
        <v>3328131509890004</v>
      </c>
      <c r="C2228" s="14" t="s">
        <v>4466</v>
      </c>
      <c r="D2228" s="14" t="s">
        <v>10</v>
      </c>
      <c r="E2228" s="14" t="s">
        <v>11</v>
      </c>
      <c r="F2228" s="14" t="s">
        <v>18</v>
      </c>
      <c r="G2228" s="14" t="s">
        <v>19</v>
      </c>
      <c r="H2228" s="14" t="s">
        <v>4290</v>
      </c>
      <c r="I2228" s="15" t="s">
        <v>4303</v>
      </c>
      <c r="J2228" s="16" t="str">
        <f>VLOOKUP(B2228,baru!$B$2:$I$2271,4,FALSE)</f>
        <v>Reguler</v>
      </c>
      <c r="K2228" s="16" t="str">
        <f>VLOOKUP(B2228,baru!$B$2:$I$2271,5,FALSE)</f>
        <v>JAWA TENGAH</v>
      </c>
      <c r="L2228" s="16" t="str">
        <f>VLOOKUP(B2228,baru!$B$2:$I$2271,6,FALSE)</f>
        <v>KOTA TEGAL</v>
      </c>
    </row>
    <row r="2229" spans="1:12" hidden="1" x14ac:dyDescent="0.35">
      <c r="A2229" s="13">
        <v>1905354</v>
      </c>
      <c r="B2229" s="14" t="str">
        <f>"3328131510950002"</f>
        <v>3328131510950002</v>
      </c>
      <c r="C2229" s="14" t="s">
        <v>4467</v>
      </c>
      <c r="D2229" s="14" t="s">
        <v>10</v>
      </c>
      <c r="E2229" s="14" t="s">
        <v>11</v>
      </c>
      <c r="F2229" s="14" t="s">
        <v>18</v>
      </c>
      <c r="G2229" s="14" t="s">
        <v>19</v>
      </c>
      <c r="H2229" s="14" t="s">
        <v>4290</v>
      </c>
      <c r="I2229" s="15" t="s">
        <v>4298</v>
      </c>
      <c r="J2229" s="16" t="str">
        <f>VLOOKUP(B2229,baru!$B$2:$I$2271,4,FALSE)</f>
        <v>Reguler</v>
      </c>
      <c r="K2229" s="16" t="str">
        <f>VLOOKUP(B2229,baru!$B$2:$I$2271,5,FALSE)</f>
        <v>JAWA TENGAH</v>
      </c>
      <c r="L2229" s="16" t="str">
        <f>VLOOKUP(B2229,baru!$B$2:$I$2271,6,FALSE)</f>
        <v>KOTA TEGAL</v>
      </c>
    </row>
    <row r="2230" spans="1:12" hidden="1" x14ac:dyDescent="0.35">
      <c r="A2230" s="6">
        <v>2466438</v>
      </c>
      <c r="B2230" s="7" t="str">
        <f>"3328131511030002"</f>
        <v>3328131511030002</v>
      </c>
      <c r="C2230" s="7" t="s">
        <v>4468</v>
      </c>
      <c r="D2230" s="7" t="s">
        <v>10</v>
      </c>
      <c r="E2230" s="7" t="s">
        <v>11</v>
      </c>
      <c r="F2230" s="7" t="s">
        <v>18</v>
      </c>
      <c r="G2230" s="7" t="s">
        <v>19</v>
      </c>
      <c r="H2230" s="7" t="s">
        <v>4290</v>
      </c>
      <c r="I2230" s="8" t="s">
        <v>2513</v>
      </c>
      <c r="J2230" t="e">
        <f>VLOOKUP(B2230,baru!$B$2:$I$2271,4,FALSE)</f>
        <v>#N/A</v>
      </c>
      <c r="K2230" t="e">
        <f>VLOOKUP(B2230,baru!$B$2:$I$2271,5,FALSE)</f>
        <v>#N/A</v>
      </c>
      <c r="L2230" t="e">
        <f>VLOOKUP(B2230,baru!$B$2:$I$2271,6,FALSE)</f>
        <v>#N/A</v>
      </c>
    </row>
    <row r="2231" spans="1:12" hidden="1" x14ac:dyDescent="0.35">
      <c r="A2231" s="6">
        <v>1351194</v>
      </c>
      <c r="B2231" s="7" t="str">
        <f>"3328131511030002"</f>
        <v>3328131511030002</v>
      </c>
      <c r="C2231" s="7" t="s">
        <v>4468</v>
      </c>
      <c r="D2231" s="7" t="s">
        <v>10</v>
      </c>
      <c r="E2231" s="7" t="s">
        <v>57</v>
      </c>
      <c r="F2231" s="7" t="s">
        <v>303</v>
      </c>
      <c r="G2231" s="7" t="s">
        <v>608</v>
      </c>
      <c r="H2231" s="7" t="s">
        <v>609</v>
      </c>
      <c r="I2231" s="8" t="s">
        <v>610</v>
      </c>
    </row>
    <row r="2232" spans="1:12" hidden="1" x14ac:dyDescent="0.35">
      <c r="A2232" s="13">
        <v>2406354</v>
      </c>
      <c r="B2232" s="14" t="str">
        <f>"3328131511840007"</f>
        <v>3328131511840007</v>
      </c>
      <c r="C2232" s="14" t="s">
        <v>4469</v>
      </c>
      <c r="D2232" s="14" t="s">
        <v>10</v>
      </c>
      <c r="E2232" s="14" t="s">
        <v>11</v>
      </c>
      <c r="F2232" s="14" t="s">
        <v>18</v>
      </c>
      <c r="G2232" s="14" t="s">
        <v>19</v>
      </c>
      <c r="H2232" s="14" t="s">
        <v>4290</v>
      </c>
      <c r="I2232" s="15" t="s">
        <v>1381</v>
      </c>
      <c r="J2232" s="16" t="str">
        <f>VLOOKUP(B2232,baru!$B$2:$I$2271,4,FALSE)</f>
        <v>Reguler</v>
      </c>
      <c r="K2232" s="16" t="str">
        <f>VLOOKUP(B2232,baru!$B$2:$I$2271,5,FALSE)</f>
        <v>JAWA TENGAH</v>
      </c>
      <c r="L2232" s="16" t="str">
        <f>VLOOKUP(B2232,baru!$B$2:$I$2271,6,FALSE)</f>
        <v>KOTA TEGAL</v>
      </c>
    </row>
    <row r="2233" spans="1:12" hidden="1" x14ac:dyDescent="0.35">
      <c r="A2233" s="13">
        <v>1903152</v>
      </c>
      <c r="B2233" s="14" t="str">
        <f>"3328131607670001"</f>
        <v>3328131607670001</v>
      </c>
      <c r="C2233" s="14" t="s">
        <v>4471</v>
      </c>
      <c r="D2233" s="14" t="s">
        <v>10</v>
      </c>
      <c r="E2233" s="14" t="s">
        <v>11</v>
      </c>
      <c r="F2233" s="14" t="s">
        <v>18</v>
      </c>
      <c r="G2233" s="14" t="s">
        <v>19</v>
      </c>
      <c r="H2233" s="14" t="s">
        <v>4290</v>
      </c>
      <c r="I2233" s="15" t="s">
        <v>4298</v>
      </c>
      <c r="J2233" s="16" t="str">
        <f>VLOOKUP(B2233,baru!$B$2:$I$2271,4,FALSE)</f>
        <v>Reguler</v>
      </c>
      <c r="K2233" s="16" t="str">
        <f>VLOOKUP(B2233,baru!$B$2:$I$2271,5,FALSE)</f>
        <v>JAWA TENGAH</v>
      </c>
      <c r="L2233" s="16" t="str">
        <f>VLOOKUP(B2233,baru!$B$2:$I$2271,6,FALSE)</f>
        <v>KOTA TEGAL</v>
      </c>
    </row>
    <row r="2234" spans="1:12" hidden="1" x14ac:dyDescent="0.35">
      <c r="A2234" s="13">
        <v>1902211</v>
      </c>
      <c r="B2234" s="14" t="str">
        <f>"3328131607860002"</f>
        <v>3328131607860002</v>
      </c>
      <c r="C2234" s="14" t="s">
        <v>4473</v>
      </c>
      <c r="D2234" s="14" t="s">
        <v>10</v>
      </c>
      <c r="E2234" s="14" t="s">
        <v>11</v>
      </c>
      <c r="F2234" s="14" t="s">
        <v>18</v>
      </c>
      <c r="G2234" s="14" t="s">
        <v>19</v>
      </c>
      <c r="H2234" s="14" t="s">
        <v>4290</v>
      </c>
      <c r="I2234" s="15" t="s">
        <v>4358</v>
      </c>
      <c r="J2234" s="16" t="str">
        <f>VLOOKUP(B2234,baru!$B$2:$I$2271,4,FALSE)</f>
        <v>Reguler</v>
      </c>
      <c r="K2234" s="16" t="str">
        <f>VLOOKUP(B2234,baru!$B$2:$I$2271,5,FALSE)</f>
        <v>JAWA TENGAH</v>
      </c>
      <c r="L2234" s="16" t="str">
        <f>VLOOKUP(B2234,baru!$B$2:$I$2271,6,FALSE)</f>
        <v>KOTA TEGAL</v>
      </c>
    </row>
    <row r="2235" spans="1:12" hidden="1" x14ac:dyDescent="0.35">
      <c r="A2235" s="13">
        <v>1910245</v>
      </c>
      <c r="B2235" s="14" t="str">
        <f>"3328131701850004"</f>
        <v>3328131701850004</v>
      </c>
      <c r="C2235" s="14" t="s">
        <v>4474</v>
      </c>
      <c r="D2235" s="14" t="s">
        <v>10</v>
      </c>
      <c r="E2235" s="14" t="s">
        <v>11</v>
      </c>
      <c r="F2235" s="14" t="s">
        <v>18</v>
      </c>
      <c r="G2235" s="14" t="s">
        <v>19</v>
      </c>
      <c r="H2235" s="14" t="s">
        <v>4290</v>
      </c>
      <c r="I2235" s="15" t="s">
        <v>4475</v>
      </c>
      <c r="J2235" s="16" t="str">
        <f>VLOOKUP(B2235,baru!$B$2:$I$2271,4,FALSE)</f>
        <v>Reguler</v>
      </c>
      <c r="K2235" s="16" t="str">
        <f>VLOOKUP(B2235,baru!$B$2:$I$2271,5,FALSE)</f>
        <v>JAWA TENGAH</v>
      </c>
      <c r="L2235" s="16" t="str">
        <f>VLOOKUP(B2235,baru!$B$2:$I$2271,6,FALSE)</f>
        <v>PEMALANG</v>
      </c>
    </row>
    <row r="2236" spans="1:12" hidden="1" x14ac:dyDescent="0.35">
      <c r="A2236" s="13">
        <v>1478694</v>
      </c>
      <c r="B2236" s="14" t="str">
        <f>"3328131708940011"</f>
        <v>3328131708940011</v>
      </c>
      <c r="C2236" s="14" t="s">
        <v>4478</v>
      </c>
      <c r="D2236" s="14" t="s">
        <v>10</v>
      </c>
      <c r="E2236" s="14" t="s">
        <v>11</v>
      </c>
      <c r="F2236" s="14" t="s">
        <v>18</v>
      </c>
      <c r="G2236" s="14" t="s">
        <v>19</v>
      </c>
      <c r="H2236" s="14" t="s">
        <v>4290</v>
      </c>
      <c r="I2236" s="15" t="s">
        <v>4436</v>
      </c>
      <c r="J2236" s="16" t="str">
        <f>VLOOKUP(B2236,baru!$B$2:$I$2271,4,FALSE)</f>
        <v>Reguler</v>
      </c>
      <c r="K2236" s="16" t="str">
        <f>VLOOKUP(B2236,baru!$B$2:$I$2271,5,FALSE)</f>
        <v>JAWA TENGAH</v>
      </c>
      <c r="L2236" s="16" t="str">
        <f>VLOOKUP(B2236,baru!$B$2:$I$2271,6,FALSE)</f>
        <v>KOTA TEGAL</v>
      </c>
    </row>
    <row r="2237" spans="1:12" hidden="1" x14ac:dyDescent="0.35">
      <c r="A2237" s="6">
        <v>1908124</v>
      </c>
      <c r="B2237" s="7" t="str">
        <f>"3328131805040002"</f>
        <v>3328131805040002</v>
      </c>
      <c r="C2237" s="7" t="s">
        <v>4479</v>
      </c>
      <c r="D2237" s="7" t="s">
        <v>10</v>
      </c>
      <c r="E2237" s="7" t="s">
        <v>11</v>
      </c>
      <c r="F2237" s="7" t="s">
        <v>18</v>
      </c>
      <c r="G2237" s="7" t="s">
        <v>19</v>
      </c>
      <c r="H2237" s="7" t="s">
        <v>4290</v>
      </c>
      <c r="I2237" s="8" t="s">
        <v>4298</v>
      </c>
      <c r="J2237" t="e">
        <f>VLOOKUP(B2237,baru!$B$2:$I$2271,4,FALSE)</f>
        <v>#N/A</v>
      </c>
      <c r="K2237" t="e">
        <f>VLOOKUP(B2237,baru!$B$2:$I$2271,5,FALSE)</f>
        <v>#N/A</v>
      </c>
      <c r="L2237" t="e">
        <f>VLOOKUP(B2237,baru!$B$2:$I$2271,6,FALSE)</f>
        <v>#N/A</v>
      </c>
    </row>
    <row r="2238" spans="1:12" hidden="1" x14ac:dyDescent="0.35">
      <c r="A2238" s="6">
        <v>1351197</v>
      </c>
      <c r="B2238" s="7" t="str">
        <f>"3328131805040002"</f>
        <v>3328131805040002</v>
      </c>
      <c r="C2238" s="7" t="s">
        <v>4479</v>
      </c>
      <c r="D2238" s="7" t="s">
        <v>10</v>
      </c>
      <c r="E2238" s="7" t="s">
        <v>57</v>
      </c>
      <c r="F2238" s="7" t="s">
        <v>303</v>
      </c>
      <c r="G2238" s="7" t="s">
        <v>608</v>
      </c>
      <c r="H2238" s="7" t="s">
        <v>609</v>
      </c>
      <c r="I2238" s="8" t="s">
        <v>610</v>
      </c>
    </row>
    <row r="2239" spans="1:12" hidden="1" x14ac:dyDescent="0.35">
      <c r="A2239" s="17">
        <v>1879569</v>
      </c>
      <c r="B2239" s="18" t="str">
        <f>"3328131805050005"</f>
        <v>3328131805050005</v>
      </c>
      <c r="C2239" s="18" t="s">
        <v>4480</v>
      </c>
      <c r="D2239" s="18" t="s">
        <v>10</v>
      </c>
      <c r="E2239" s="18" t="s">
        <v>11</v>
      </c>
      <c r="F2239" s="18" t="s">
        <v>18</v>
      </c>
      <c r="G2239" s="18" t="s">
        <v>19</v>
      </c>
      <c r="H2239" s="18" t="s">
        <v>4290</v>
      </c>
      <c r="I2239" s="19" t="s">
        <v>4303</v>
      </c>
      <c r="J2239" s="20" t="str">
        <f>VLOOKUP(B2239,baru!$B$2:$I$2271,4,FALSE)</f>
        <v>Khusus</v>
      </c>
      <c r="K2239" s="20" t="str">
        <f>VLOOKUP(B2239,baru!$B$2:$I$2271,5,FALSE)</f>
        <v>JAWA TENGAH</v>
      </c>
      <c r="L2239" s="20" t="str">
        <f>VLOOKUP(B2239,baru!$B$2:$I$2271,6,FALSE)</f>
        <v>BATANG</v>
      </c>
    </row>
    <row r="2240" spans="1:12" hidden="1" x14ac:dyDescent="0.35">
      <c r="A2240" s="13">
        <v>1875790</v>
      </c>
      <c r="B2240" s="14" t="str">
        <f>"3328131810920004"</f>
        <v>3328131810920004</v>
      </c>
      <c r="C2240" s="14" t="s">
        <v>4482</v>
      </c>
      <c r="D2240" s="14" t="s">
        <v>10</v>
      </c>
      <c r="E2240" s="14" t="s">
        <v>11</v>
      </c>
      <c r="F2240" s="14" t="s">
        <v>18</v>
      </c>
      <c r="G2240" s="14" t="s">
        <v>19</v>
      </c>
      <c r="H2240" s="14" t="s">
        <v>4290</v>
      </c>
      <c r="I2240" s="15" t="s">
        <v>344</v>
      </c>
      <c r="J2240" s="16" t="str">
        <f>VLOOKUP(B2240,baru!$B$2:$I$2271,4,FALSE)</f>
        <v>Reguler</v>
      </c>
      <c r="K2240" s="16" t="str">
        <f>VLOOKUP(B2240,baru!$B$2:$I$2271,5,FALSE)</f>
        <v>DKI JAKARTA</v>
      </c>
      <c r="L2240" s="16" t="str">
        <f>VLOOKUP(B2240,baru!$B$2:$I$2271,6,FALSE)</f>
        <v>KOTA JAKARTA SELATAN</v>
      </c>
    </row>
    <row r="2241" spans="1:12" hidden="1" x14ac:dyDescent="0.35">
      <c r="A2241" s="13">
        <v>1442766</v>
      </c>
      <c r="B2241" s="14" t="str">
        <f>"3328132005860009"</f>
        <v>3328132005860009</v>
      </c>
      <c r="C2241" s="14" t="s">
        <v>4485</v>
      </c>
      <c r="D2241" s="14" t="s">
        <v>10</v>
      </c>
      <c r="E2241" s="14" t="s">
        <v>11</v>
      </c>
      <c r="F2241" s="14" t="s">
        <v>18</v>
      </c>
      <c r="G2241" s="14" t="s">
        <v>19</v>
      </c>
      <c r="H2241" s="14" t="s">
        <v>4290</v>
      </c>
      <c r="I2241" s="15" t="s">
        <v>878</v>
      </c>
      <c r="J2241" s="16" t="str">
        <f>VLOOKUP(B2241,baru!$B$2:$I$2271,4,FALSE)</f>
        <v>Reguler</v>
      </c>
      <c r="K2241" s="16" t="str">
        <f>VLOOKUP(B2241,baru!$B$2:$I$2271,5,FALSE)</f>
        <v>JAWA TIMUR</v>
      </c>
      <c r="L2241" s="16" t="str">
        <f>VLOOKUP(B2241,baru!$B$2:$I$2271,6,FALSE)</f>
        <v>TRENGGALEK</v>
      </c>
    </row>
    <row r="2242" spans="1:12" hidden="1" x14ac:dyDescent="0.35">
      <c r="A2242" s="13">
        <v>1900856</v>
      </c>
      <c r="B2242" s="14" t="str">
        <f>"3328132101930002"</f>
        <v>3328132101930002</v>
      </c>
      <c r="C2242" s="14" t="s">
        <v>672</v>
      </c>
      <c r="D2242" s="14" t="s">
        <v>10</v>
      </c>
      <c r="E2242" s="14" t="s">
        <v>11</v>
      </c>
      <c r="F2242" s="14" t="s">
        <v>18</v>
      </c>
      <c r="G2242" s="14" t="s">
        <v>19</v>
      </c>
      <c r="H2242" s="14" t="s">
        <v>4290</v>
      </c>
      <c r="I2242" s="15" t="s">
        <v>4358</v>
      </c>
      <c r="J2242" s="16" t="str">
        <f>VLOOKUP(B2242,baru!$B$2:$I$2271,4,FALSE)</f>
        <v>Reguler</v>
      </c>
      <c r="K2242" s="16" t="str">
        <f>VLOOKUP(B2242,baru!$B$2:$I$2271,5,FALSE)</f>
        <v>JAWA TENGAH</v>
      </c>
      <c r="L2242" s="16" t="str">
        <f>VLOOKUP(B2242,baru!$B$2:$I$2271,6,FALSE)</f>
        <v>KOTA TEGAL</v>
      </c>
    </row>
    <row r="2243" spans="1:12" hidden="1" x14ac:dyDescent="0.35">
      <c r="A2243" s="6">
        <v>1295624</v>
      </c>
      <c r="B2243" s="7" t="str">
        <f>"3328132105900001"</f>
        <v>3328132105900001</v>
      </c>
      <c r="C2243" s="7" t="s">
        <v>4490</v>
      </c>
      <c r="D2243" s="7" t="s">
        <v>10</v>
      </c>
      <c r="E2243" s="7" t="s">
        <v>11</v>
      </c>
      <c r="F2243" s="7" t="s">
        <v>667</v>
      </c>
      <c r="G2243" s="7" t="s">
        <v>4491</v>
      </c>
      <c r="H2243" s="7" t="s">
        <v>4492</v>
      </c>
      <c r="I2243" s="8" t="s">
        <v>2066</v>
      </c>
    </row>
    <row r="2244" spans="1:12" hidden="1" x14ac:dyDescent="0.35">
      <c r="A2244" s="13">
        <v>1909058</v>
      </c>
      <c r="B2244" s="14" t="str">
        <f>"3328132107970005"</f>
        <v>3328132107970005</v>
      </c>
      <c r="C2244" s="14" t="s">
        <v>4493</v>
      </c>
      <c r="D2244" s="14" t="s">
        <v>10</v>
      </c>
      <c r="E2244" s="14" t="s">
        <v>11</v>
      </c>
      <c r="F2244" s="14" t="s">
        <v>18</v>
      </c>
      <c r="G2244" s="14" t="s">
        <v>19</v>
      </c>
      <c r="H2244" s="14" t="s">
        <v>4290</v>
      </c>
      <c r="I2244" s="15" t="s">
        <v>4475</v>
      </c>
      <c r="J2244" s="16" t="str">
        <f>VLOOKUP(B2244,baru!$B$2:$I$2271,4,FALSE)</f>
        <v>Reguler</v>
      </c>
      <c r="K2244" s="16" t="str">
        <f>VLOOKUP(B2244,baru!$B$2:$I$2271,5,FALSE)</f>
        <v>JAWA TENGAH</v>
      </c>
      <c r="L2244" s="16" t="str">
        <f>VLOOKUP(B2244,baru!$B$2:$I$2271,6,FALSE)</f>
        <v>KOTA TEGAL</v>
      </c>
    </row>
    <row r="2245" spans="1:12" x14ac:dyDescent="0.35">
      <c r="A2245" s="13">
        <v>1901962</v>
      </c>
      <c r="B2245" s="14" t="str">
        <f>"3328132203000001"</f>
        <v>3328132203000001</v>
      </c>
      <c r="C2245" s="14" t="s">
        <v>4494</v>
      </c>
      <c r="D2245" s="14" t="s">
        <v>189</v>
      </c>
      <c r="E2245" s="14" t="s">
        <v>11</v>
      </c>
      <c r="F2245" s="14" t="s">
        <v>18</v>
      </c>
      <c r="G2245" s="14" t="s">
        <v>19</v>
      </c>
      <c r="H2245" s="14" t="s">
        <v>4290</v>
      </c>
      <c r="I2245" s="15" t="s">
        <v>4358</v>
      </c>
      <c r="J2245" s="16" t="str">
        <f>VLOOKUP(B2245,baru!$B$2:$I$2271,4,FALSE)</f>
        <v>Reguler</v>
      </c>
      <c r="K2245" s="16" t="str">
        <f>VLOOKUP(B2245,baru!$B$2:$I$2271,5,FALSE)</f>
        <v>JAWA TENGAH</v>
      </c>
      <c r="L2245" s="16" t="str">
        <f>VLOOKUP(B2245,baru!$B$2:$I$2271,6,FALSE)</f>
        <v>KOTA TEGAL</v>
      </c>
    </row>
    <row r="2246" spans="1:12" hidden="1" x14ac:dyDescent="0.35">
      <c r="A2246" s="13">
        <v>1889915</v>
      </c>
      <c r="B2246" s="14" t="str">
        <f>"3328132210950005"</f>
        <v>3328132210950005</v>
      </c>
      <c r="C2246" s="14" t="s">
        <v>4495</v>
      </c>
      <c r="D2246" s="14" t="s">
        <v>10</v>
      </c>
      <c r="E2246" s="14" t="s">
        <v>11</v>
      </c>
      <c r="F2246" s="14" t="s">
        <v>18</v>
      </c>
      <c r="G2246" s="14" t="s">
        <v>19</v>
      </c>
      <c r="H2246" s="14" t="s">
        <v>4290</v>
      </c>
      <c r="I2246" s="15" t="s">
        <v>4315</v>
      </c>
      <c r="J2246" s="16" t="str">
        <f>VLOOKUP(B2246,baru!$B$2:$I$2271,4,FALSE)</f>
        <v>Reguler</v>
      </c>
      <c r="K2246" s="16" t="str">
        <f>VLOOKUP(B2246,baru!$B$2:$I$2271,5,FALSE)</f>
        <v>DKI JAKARTA</v>
      </c>
      <c r="L2246" s="16" t="str">
        <f>VLOOKUP(B2246,baru!$B$2:$I$2271,6,FALSE)</f>
        <v>KOTA JAKARTA BARAT</v>
      </c>
    </row>
    <row r="2247" spans="1:12" hidden="1" x14ac:dyDescent="0.35">
      <c r="A2247" s="6">
        <v>318116</v>
      </c>
      <c r="B2247" s="7" t="str">
        <f>"3328132307890002"</f>
        <v>3328132307890002</v>
      </c>
      <c r="C2247" s="7" t="s">
        <v>4497</v>
      </c>
      <c r="D2247" s="7" t="s">
        <v>10</v>
      </c>
      <c r="E2247" s="7" t="s">
        <v>11</v>
      </c>
      <c r="F2247" s="7" t="s">
        <v>91</v>
      </c>
      <c r="G2247" s="7" t="s">
        <v>92</v>
      </c>
      <c r="H2247" s="7" t="s">
        <v>237</v>
      </c>
      <c r="I2247" s="8" t="s">
        <v>4498</v>
      </c>
    </row>
    <row r="2248" spans="1:12" hidden="1" x14ac:dyDescent="0.35">
      <c r="A2248" s="6">
        <v>2110758</v>
      </c>
      <c r="B2248" s="7" t="str">
        <f>"3328132403010001"</f>
        <v>3328132403010001</v>
      </c>
      <c r="C2248" s="7" t="s">
        <v>4499</v>
      </c>
      <c r="D2248" s="7" t="s">
        <v>10</v>
      </c>
      <c r="E2248" s="7" t="s">
        <v>11</v>
      </c>
      <c r="F2248" s="7" t="s">
        <v>18</v>
      </c>
      <c r="G2248" s="7" t="s">
        <v>19</v>
      </c>
      <c r="H2248" s="7" t="s">
        <v>4290</v>
      </c>
      <c r="I2248" s="8" t="s">
        <v>4347</v>
      </c>
      <c r="J2248" t="e">
        <f>VLOOKUP(B2248,baru!$B$2:$I$2271,4,FALSE)</f>
        <v>#N/A</v>
      </c>
      <c r="K2248" t="e">
        <f>VLOOKUP(B2248,baru!$B$2:$I$2271,5,FALSE)</f>
        <v>#N/A</v>
      </c>
      <c r="L2248" t="e">
        <f>VLOOKUP(B2248,baru!$B$2:$I$2271,6,FALSE)</f>
        <v>#N/A</v>
      </c>
    </row>
    <row r="2249" spans="1:12" hidden="1" x14ac:dyDescent="0.35">
      <c r="A2249" s="6">
        <v>1351193</v>
      </c>
      <c r="B2249" s="7" t="str">
        <f>"3328132403010001"</f>
        <v>3328132403010001</v>
      </c>
      <c r="C2249" s="7" t="s">
        <v>4499</v>
      </c>
      <c r="D2249" s="7" t="s">
        <v>10</v>
      </c>
      <c r="E2249" s="7" t="s">
        <v>57</v>
      </c>
      <c r="F2249" s="7" t="s">
        <v>303</v>
      </c>
      <c r="G2249" s="7" t="s">
        <v>608</v>
      </c>
      <c r="H2249" s="7" t="s">
        <v>609</v>
      </c>
      <c r="I2249" s="8" t="s">
        <v>610</v>
      </c>
    </row>
    <row r="2250" spans="1:12" hidden="1" x14ac:dyDescent="0.35">
      <c r="A2250" s="13">
        <v>1904098</v>
      </c>
      <c r="B2250" s="14" t="str">
        <f>"3328132405890001"</f>
        <v>3328132405890001</v>
      </c>
      <c r="C2250" s="14" t="s">
        <v>4500</v>
      </c>
      <c r="D2250" s="14" t="s">
        <v>10</v>
      </c>
      <c r="E2250" s="14" t="s">
        <v>11</v>
      </c>
      <c r="F2250" s="14" t="s">
        <v>18</v>
      </c>
      <c r="G2250" s="14" t="s">
        <v>19</v>
      </c>
      <c r="H2250" s="14" t="s">
        <v>4290</v>
      </c>
      <c r="I2250" s="15" t="s">
        <v>4298</v>
      </c>
      <c r="J2250" s="16" t="str">
        <f>VLOOKUP(B2250,baru!$B$2:$I$2271,4,FALSE)</f>
        <v>Reguler</v>
      </c>
      <c r="K2250" s="16" t="str">
        <f>VLOOKUP(B2250,baru!$B$2:$I$2271,5,FALSE)</f>
        <v>JAWA TIMUR</v>
      </c>
      <c r="L2250" s="16" t="str">
        <f>VLOOKUP(B2250,baru!$B$2:$I$2271,6,FALSE)</f>
        <v>KEDIRI</v>
      </c>
    </row>
    <row r="2251" spans="1:12" hidden="1" x14ac:dyDescent="0.35">
      <c r="A2251" s="13">
        <v>2410418</v>
      </c>
      <c r="B2251" s="14" t="str">
        <f>"3328132409960003"</f>
        <v>3328132409960003</v>
      </c>
      <c r="C2251" s="14" t="s">
        <v>4501</v>
      </c>
      <c r="D2251" s="14" t="s">
        <v>10</v>
      </c>
      <c r="E2251" s="14" t="s">
        <v>11</v>
      </c>
      <c r="F2251" s="14" t="s">
        <v>18</v>
      </c>
      <c r="G2251" s="14" t="s">
        <v>19</v>
      </c>
      <c r="H2251" s="14" t="s">
        <v>4290</v>
      </c>
      <c r="I2251" s="15" t="s">
        <v>1381</v>
      </c>
      <c r="J2251" s="16" t="str">
        <f>VLOOKUP(B2251,baru!$B$2:$I$2271,4,FALSE)</f>
        <v>Reguler</v>
      </c>
      <c r="K2251" s="16" t="str">
        <f>VLOOKUP(B2251,baru!$B$2:$I$2271,5,FALSE)</f>
        <v>JAWA TENGAH</v>
      </c>
      <c r="L2251" s="16" t="str">
        <f>VLOOKUP(B2251,baru!$B$2:$I$2271,6,FALSE)</f>
        <v>BREBES</v>
      </c>
    </row>
    <row r="2252" spans="1:12" hidden="1" x14ac:dyDescent="0.35">
      <c r="A2252" s="13">
        <v>1888231</v>
      </c>
      <c r="B2252" s="14" t="str">
        <f>"3328132503850003"</f>
        <v>3328132503850003</v>
      </c>
      <c r="C2252" s="14" t="s">
        <v>4503</v>
      </c>
      <c r="D2252" s="14" t="s">
        <v>10</v>
      </c>
      <c r="E2252" s="14" t="s">
        <v>11</v>
      </c>
      <c r="F2252" s="14" t="s">
        <v>18</v>
      </c>
      <c r="G2252" s="14" t="s">
        <v>19</v>
      </c>
      <c r="H2252" s="14" t="s">
        <v>4290</v>
      </c>
      <c r="I2252" s="15" t="s">
        <v>4315</v>
      </c>
      <c r="J2252" s="16" t="str">
        <f>VLOOKUP(B2252,baru!$B$2:$I$2271,4,FALSE)</f>
        <v>Reguler</v>
      </c>
      <c r="K2252" s="16" t="str">
        <f>VLOOKUP(B2252,baru!$B$2:$I$2271,5,FALSE)</f>
        <v>DKI JAKARTA</v>
      </c>
      <c r="L2252" s="16" t="str">
        <f>VLOOKUP(B2252,baru!$B$2:$I$2271,6,FALSE)</f>
        <v>KOTA JAKARTA SELATAN</v>
      </c>
    </row>
    <row r="2253" spans="1:12" hidden="1" x14ac:dyDescent="0.35">
      <c r="A2253" s="13">
        <v>1887325</v>
      </c>
      <c r="B2253" s="14" t="str">
        <f>"3328132506960003"</f>
        <v>3328132506960003</v>
      </c>
      <c r="C2253" s="14" t="s">
        <v>4504</v>
      </c>
      <c r="D2253" s="14" t="s">
        <v>10</v>
      </c>
      <c r="E2253" s="14" t="s">
        <v>11</v>
      </c>
      <c r="F2253" s="14" t="s">
        <v>18</v>
      </c>
      <c r="G2253" s="14" t="s">
        <v>19</v>
      </c>
      <c r="H2253" s="14" t="s">
        <v>4290</v>
      </c>
      <c r="I2253" s="15" t="s">
        <v>4315</v>
      </c>
      <c r="J2253" s="16" t="str">
        <f>VLOOKUP(B2253,baru!$B$2:$I$2271,4,FALSE)</f>
        <v>Reguler</v>
      </c>
      <c r="K2253" s="16" t="str">
        <f>VLOOKUP(B2253,baru!$B$2:$I$2271,5,FALSE)</f>
        <v>JAWA TENGAH</v>
      </c>
      <c r="L2253" s="16" t="str">
        <f>VLOOKUP(B2253,baru!$B$2:$I$2271,6,FALSE)</f>
        <v>KOTA TEGAL</v>
      </c>
    </row>
    <row r="2254" spans="1:12" hidden="1" x14ac:dyDescent="0.35">
      <c r="A2254" s="13">
        <v>1905811</v>
      </c>
      <c r="B2254" s="14" t="str">
        <f>"3328132510800003"</f>
        <v>3328132510800003</v>
      </c>
      <c r="C2254" s="14" t="s">
        <v>4506</v>
      </c>
      <c r="D2254" s="14" t="s">
        <v>10</v>
      </c>
      <c r="E2254" s="14" t="s">
        <v>11</v>
      </c>
      <c r="F2254" s="14" t="s">
        <v>18</v>
      </c>
      <c r="G2254" s="14" t="s">
        <v>19</v>
      </c>
      <c r="H2254" s="14" t="s">
        <v>4290</v>
      </c>
      <c r="I2254" s="15" t="s">
        <v>4298</v>
      </c>
      <c r="J2254" s="16" t="str">
        <f>VLOOKUP(B2254,baru!$B$2:$I$2271,4,FALSE)</f>
        <v>Reguler</v>
      </c>
      <c r="K2254" s="16" t="str">
        <f>VLOOKUP(B2254,baru!$B$2:$I$2271,5,FALSE)</f>
        <v>JAWA TENGAH</v>
      </c>
      <c r="L2254" s="16" t="str">
        <f>VLOOKUP(B2254,baru!$B$2:$I$2271,6,FALSE)</f>
        <v>KOTA TEGAL</v>
      </c>
    </row>
    <row r="2255" spans="1:12" hidden="1" x14ac:dyDescent="0.35">
      <c r="A2255" s="13">
        <v>1943785</v>
      </c>
      <c r="B2255" s="14" t="str">
        <f>"3328132601930002"</f>
        <v>3328132601930002</v>
      </c>
      <c r="C2255" s="14" t="s">
        <v>4507</v>
      </c>
      <c r="D2255" s="14" t="s">
        <v>10</v>
      </c>
      <c r="E2255" s="14" t="s">
        <v>11</v>
      </c>
      <c r="F2255" s="14" t="s">
        <v>18</v>
      </c>
      <c r="G2255" s="14" t="s">
        <v>19</v>
      </c>
      <c r="H2255" s="14" t="s">
        <v>4290</v>
      </c>
      <c r="I2255" s="15" t="s">
        <v>4329</v>
      </c>
      <c r="J2255" s="16" t="str">
        <f>VLOOKUP(B2255,baru!$B$2:$I$2271,4,FALSE)</f>
        <v>Reguler</v>
      </c>
      <c r="K2255" s="16" t="str">
        <f>VLOOKUP(B2255,baru!$B$2:$I$2271,5,FALSE)</f>
        <v>JAWA TENGAH</v>
      </c>
      <c r="L2255" s="16" t="str">
        <f>VLOOKUP(B2255,baru!$B$2:$I$2271,6,FALSE)</f>
        <v>KENDAL</v>
      </c>
    </row>
    <row r="2256" spans="1:12" hidden="1" x14ac:dyDescent="0.35">
      <c r="A2256" s="13">
        <v>1439759</v>
      </c>
      <c r="B2256" s="14" t="str">
        <f>"3328132603690002"</f>
        <v>3328132603690002</v>
      </c>
      <c r="C2256" s="14" t="s">
        <v>4510</v>
      </c>
      <c r="D2256" s="14" t="s">
        <v>10</v>
      </c>
      <c r="E2256" s="14" t="s">
        <v>11</v>
      </c>
      <c r="F2256" s="14" t="s">
        <v>18</v>
      </c>
      <c r="G2256" s="14" t="s">
        <v>19</v>
      </c>
      <c r="H2256" s="14" t="s">
        <v>4290</v>
      </c>
      <c r="I2256" s="15" t="s">
        <v>878</v>
      </c>
      <c r="J2256" s="16" t="str">
        <f>VLOOKUP(B2256,baru!$B$2:$I$2271,4,FALSE)</f>
        <v>Reguler</v>
      </c>
      <c r="K2256" s="16" t="str">
        <f>VLOOKUP(B2256,baru!$B$2:$I$2271,5,FALSE)</f>
        <v>JAWA TENGAH</v>
      </c>
      <c r="L2256" s="16" t="str">
        <f>VLOOKUP(B2256,baru!$B$2:$I$2271,6,FALSE)</f>
        <v>BREBES</v>
      </c>
    </row>
    <row r="2257" spans="1:12" hidden="1" x14ac:dyDescent="0.35">
      <c r="A2257" s="6">
        <v>325856</v>
      </c>
      <c r="B2257" s="7" t="str">
        <f>"3328132705880001"</f>
        <v>3328132705880001</v>
      </c>
      <c r="C2257" s="7" t="s">
        <v>4511</v>
      </c>
      <c r="D2257" s="7" t="s">
        <v>10</v>
      </c>
      <c r="E2257" s="7" t="s">
        <v>11</v>
      </c>
      <c r="F2257" s="7" t="s">
        <v>18</v>
      </c>
      <c r="G2257" s="7" t="s">
        <v>268</v>
      </c>
      <c r="H2257" s="7" t="s">
        <v>269</v>
      </c>
      <c r="I2257" s="8" t="s">
        <v>4408</v>
      </c>
    </row>
    <row r="2258" spans="1:12" hidden="1" x14ac:dyDescent="0.35">
      <c r="A2258" s="6">
        <v>1940699</v>
      </c>
      <c r="B2258" s="7" t="str">
        <f>"3328132707020004"</f>
        <v>3328132707020004</v>
      </c>
      <c r="C2258" s="7" t="s">
        <v>4514</v>
      </c>
      <c r="D2258" s="7" t="s">
        <v>10</v>
      </c>
      <c r="E2258" s="7" t="s">
        <v>11</v>
      </c>
      <c r="F2258" s="7" t="s">
        <v>18</v>
      </c>
      <c r="G2258" s="7" t="s">
        <v>19</v>
      </c>
      <c r="H2258" s="7" t="s">
        <v>4290</v>
      </c>
      <c r="I2258" s="8" t="s">
        <v>4329</v>
      </c>
      <c r="J2258" t="e">
        <f>VLOOKUP(B2258,baru!$B$2:$I$2271,4,FALSE)</f>
        <v>#N/A</v>
      </c>
      <c r="K2258" t="e">
        <f>VLOOKUP(B2258,baru!$B$2:$I$2271,5,FALSE)</f>
        <v>#N/A</v>
      </c>
      <c r="L2258" t="e">
        <f>VLOOKUP(B2258,baru!$B$2:$I$2271,6,FALSE)</f>
        <v>#N/A</v>
      </c>
    </row>
    <row r="2259" spans="1:12" hidden="1" x14ac:dyDescent="0.35">
      <c r="A2259" s="6">
        <v>1351199</v>
      </c>
      <c r="B2259" s="7" t="str">
        <f>"3328132707020004"</f>
        <v>3328132707020004</v>
      </c>
      <c r="C2259" s="7" t="s">
        <v>4515</v>
      </c>
      <c r="D2259" s="7" t="s">
        <v>10</v>
      </c>
      <c r="E2259" s="7" t="s">
        <v>57</v>
      </c>
      <c r="F2259" s="7" t="s">
        <v>303</v>
      </c>
      <c r="G2259" s="7" t="s">
        <v>608</v>
      </c>
      <c r="H2259" s="7" t="s">
        <v>609</v>
      </c>
      <c r="I2259" s="8" t="s">
        <v>610</v>
      </c>
    </row>
    <row r="2260" spans="1:12" hidden="1" x14ac:dyDescent="0.35">
      <c r="A2260" s="13">
        <v>2110382</v>
      </c>
      <c r="B2260" s="14" t="str">
        <f>"3328132707990005"</f>
        <v>3328132707990005</v>
      </c>
      <c r="C2260" s="14" t="s">
        <v>4516</v>
      </c>
      <c r="D2260" s="14" t="s">
        <v>10</v>
      </c>
      <c r="E2260" s="14" t="s">
        <v>11</v>
      </c>
      <c r="F2260" s="14" t="s">
        <v>18</v>
      </c>
      <c r="G2260" s="14" t="s">
        <v>19</v>
      </c>
      <c r="H2260" s="14" t="s">
        <v>4290</v>
      </c>
      <c r="I2260" s="15" t="s">
        <v>4347</v>
      </c>
      <c r="J2260" s="16" t="str">
        <f>VLOOKUP(B2260,baru!$B$2:$I$2271,4,FALSE)</f>
        <v>Reguler</v>
      </c>
      <c r="K2260" s="16" t="str">
        <f>VLOOKUP(B2260,baru!$B$2:$I$2271,5,FALSE)</f>
        <v>JAWA TENGAH</v>
      </c>
      <c r="L2260" s="16" t="str">
        <f>VLOOKUP(B2260,baru!$B$2:$I$2271,6,FALSE)</f>
        <v>KOTA TEGAL</v>
      </c>
    </row>
    <row r="2261" spans="1:12" hidden="1" x14ac:dyDescent="0.35">
      <c r="A2261" s="13">
        <v>1893895</v>
      </c>
      <c r="B2261" s="14" t="str">
        <f>"3328132708730005"</f>
        <v>3328132708730005</v>
      </c>
      <c r="C2261" s="14" t="s">
        <v>4517</v>
      </c>
      <c r="D2261" s="14" t="s">
        <v>10</v>
      </c>
      <c r="E2261" s="14" t="s">
        <v>11</v>
      </c>
      <c r="F2261" s="14" t="s">
        <v>18</v>
      </c>
      <c r="G2261" s="14" t="s">
        <v>19</v>
      </c>
      <c r="H2261" s="14" t="s">
        <v>4290</v>
      </c>
      <c r="I2261" s="15" t="s">
        <v>4315</v>
      </c>
      <c r="J2261" s="16" t="str">
        <f>VLOOKUP(B2261,baru!$B$2:$I$2271,4,FALSE)</f>
        <v>Reguler</v>
      </c>
      <c r="K2261" s="16" t="str">
        <f>VLOOKUP(B2261,baru!$B$2:$I$2271,5,FALSE)</f>
        <v>JAWA TENGAH</v>
      </c>
      <c r="L2261" s="16" t="str">
        <f>VLOOKUP(B2261,baru!$B$2:$I$2271,6,FALSE)</f>
        <v>KOTA TEGAL</v>
      </c>
    </row>
    <row r="2262" spans="1:12" hidden="1" x14ac:dyDescent="0.35">
      <c r="A2262" s="17">
        <v>2108789</v>
      </c>
      <c r="B2262" s="18" t="str">
        <f>"3328132708890005"</f>
        <v>3328132708890005</v>
      </c>
      <c r="C2262" s="18" t="s">
        <v>4519</v>
      </c>
      <c r="D2262" s="18" t="s">
        <v>10</v>
      </c>
      <c r="E2262" s="18" t="s">
        <v>11</v>
      </c>
      <c r="F2262" s="18" t="s">
        <v>18</v>
      </c>
      <c r="G2262" s="18" t="s">
        <v>19</v>
      </c>
      <c r="H2262" s="18" t="s">
        <v>4290</v>
      </c>
      <c r="I2262" s="19" t="s">
        <v>4347</v>
      </c>
      <c r="J2262" s="20" t="str">
        <f>VLOOKUP(B2262,baru!$B$2:$I$2271,4,FALSE)</f>
        <v>Khusus</v>
      </c>
      <c r="K2262" s="20" t="str">
        <f>VLOOKUP(B2262,baru!$B$2:$I$2271,5,FALSE)</f>
        <v>JAWA TENGAH</v>
      </c>
      <c r="L2262" s="20" t="str">
        <f>VLOOKUP(B2262,baru!$B$2:$I$2271,6,FALSE)</f>
        <v>KOTA PEKALONGAN</v>
      </c>
    </row>
    <row r="2263" spans="1:12" hidden="1" x14ac:dyDescent="0.35">
      <c r="A2263" s="13">
        <v>1910045</v>
      </c>
      <c r="B2263" s="14" t="str">
        <f>"3328132801740005"</f>
        <v>3328132801740005</v>
      </c>
      <c r="C2263" s="14" t="s">
        <v>4521</v>
      </c>
      <c r="D2263" s="14" t="s">
        <v>10</v>
      </c>
      <c r="E2263" s="14" t="s">
        <v>11</v>
      </c>
      <c r="F2263" s="14" t="s">
        <v>18</v>
      </c>
      <c r="G2263" s="14" t="s">
        <v>19</v>
      </c>
      <c r="H2263" s="14" t="s">
        <v>4290</v>
      </c>
      <c r="I2263" s="15" t="s">
        <v>4475</v>
      </c>
      <c r="J2263" s="16" t="str">
        <f>VLOOKUP(B2263,baru!$B$2:$I$2271,4,FALSE)</f>
        <v>Reguler</v>
      </c>
      <c r="K2263" s="16" t="str">
        <f>VLOOKUP(B2263,baru!$B$2:$I$2271,5,FALSE)</f>
        <v>JAWA TENGAH</v>
      </c>
      <c r="L2263" s="16" t="str">
        <f>VLOOKUP(B2263,baru!$B$2:$I$2271,6,FALSE)</f>
        <v>PEMALANG</v>
      </c>
    </row>
    <row r="2264" spans="1:12" hidden="1" x14ac:dyDescent="0.35">
      <c r="A2264" s="13">
        <v>1439758</v>
      </c>
      <c r="B2264" s="14" t="str">
        <f>"3328132806020005"</f>
        <v>3328132806020005</v>
      </c>
      <c r="C2264" s="14" t="s">
        <v>4523</v>
      </c>
      <c r="D2264" s="14" t="s">
        <v>10</v>
      </c>
      <c r="E2264" s="14" t="s">
        <v>11</v>
      </c>
      <c r="F2264" s="14" t="s">
        <v>18</v>
      </c>
      <c r="G2264" s="14" t="s">
        <v>19</v>
      </c>
      <c r="H2264" s="14" t="s">
        <v>4290</v>
      </c>
      <c r="I2264" s="15" t="s">
        <v>878</v>
      </c>
      <c r="J2264" s="16" t="str">
        <f>VLOOKUP(B2264,baru!$B$2:$I$2271,4,FALSE)</f>
        <v>Reguler</v>
      </c>
      <c r="K2264" s="16" t="str">
        <f>VLOOKUP(B2264,baru!$B$2:$I$2271,5,FALSE)</f>
        <v>JAWA TENGAH</v>
      </c>
      <c r="L2264" s="16" t="str">
        <f>VLOOKUP(B2264,baru!$B$2:$I$2271,6,FALSE)</f>
        <v>BREBES</v>
      </c>
    </row>
    <row r="2265" spans="1:12" hidden="1" x14ac:dyDescent="0.35">
      <c r="A2265" s="6">
        <v>1745495</v>
      </c>
      <c r="B2265" s="7" t="str">
        <f>"3328132811030006"</f>
        <v>3328132811030006</v>
      </c>
      <c r="C2265" s="7" t="s">
        <v>4525</v>
      </c>
      <c r="D2265" s="7" t="s">
        <v>10</v>
      </c>
      <c r="E2265" s="7" t="s">
        <v>11</v>
      </c>
      <c r="F2265" s="7" t="s">
        <v>18</v>
      </c>
      <c r="G2265" s="7" t="s">
        <v>19</v>
      </c>
      <c r="H2265" s="7" t="s">
        <v>4290</v>
      </c>
      <c r="I2265" s="8" t="s">
        <v>4426</v>
      </c>
      <c r="J2265" t="e">
        <f>VLOOKUP(B2265,baru!$B$2:$I$2271,4,FALSE)</f>
        <v>#N/A</v>
      </c>
      <c r="K2265" t="e">
        <f>VLOOKUP(B2265,baru!$B$2:$I$2271,5,FALSE)</f>
        <v>#N/A</v>
      </c>
      <c r="L2265" t="e">
        <f>VLOOKUP(B2265,baru!$B$2:$I$2271,6,FALSE)</f>
        <v>#N/A</v>
      </c>
    </row>
    <row r="2266" spans="1:12" hidden="1" x14ac:dyDescent="0.35">
      <c r="A2266" s="6">
        <v>1351198</v>
      </c>
      <c r="B2266" s="7" t="str">
        <f>"3328132811030006"</f>
        <v>3328132811030006</v>
      </c>
      <c r="C2266" s="7" t="s">
        <v>4525</v>
      </c>
      <c r="D2266" s="7" t="s">
        <v>10</v>
      </c>
      <c r="E2266" s="7" t="s">
        <v>57</v>
      </c>
      <c r="F2266" s="7" t="s">
        <v>303</v>
      </c>
      <c r="G2266" s="7" t="s">
        <v>608</v>
      </c>
      <c r="H2266" s="7" t="s">
        <v>609</v>
      </c>
      <c r="I2266" s="8" t="s">
        <v>610</v>
      </c>
    </row>
    <row r="2267" spans="1:12" hidden="1" x14ac:dyDescent="0.35">
      <c r="A2267" s="13">
        <v>2109598</v>
      </c>
      <c r="B2267" s="14" t="str">
        <f>"3328133005960006"</f>
        <v>3328133005960006</v>
      </c>
      <c r="C2267" s="14" t="s">
        <v>4526</v>
      </c>
      <c r="D2267" s="14" t="s">
        <v>10</v>
      </c>
      <c r="E2267" s="14" t="s">
        <v>11</v>
      </c>
      <c r="F2267" s="14" t="s">
        <v>18</v>
      </c>
      <c r="G2267" s="14" t="s">
        <v>19</v>
      </c>
      <c r="H2267" s="14" t="s">
        <v>4290</v>
      </c>
      <c r="I2267" s="15" t="s">
        <v>4347</v>
      </c>
      <c r="J2267" s="16" t="str">
        <f>VLOOKUP(B2267,baru!$B$2:$I$2271,4,FALSE)</f>
        <v>Reguler</v>
      </c>
      <c r="K2267" s="16" t="str">
        <f>VLOOKUP(B2267,baru!$B$2:$I$2271,5,FALSE)</f>
        <v>JAWA TENGAH</v>
      </c>
      <c r="L2267" s="16" t="str">
        <f>VLOOKUP(B2267,baru!$B$2:$I$2271,6,FALSE)</f>
        <v>GROBOGAN</v>
      </c>
    </row>
    <row r="2268" spans="1:12" hidden="1" x14ac:dyDescent="0.35">
      <c r="A2268" s="13">
        <v>1744396</v>
      </c>
      <c r="B2268" s="14" t="str">
        <f>"3328133006830005"</f>
        <v>3328133006830005</v>
      </c>
      <c r="C2268" s="14" t="s">
        <v>2757</v>
      </c>
      <c r="D2268" s="14" t="s">
        <v>10</v>
      </c>
      <c r="E2268" s="14" t="s">
        <v>11</v>
      </c>
      <c r="F2268" s="14" t="s">
        <v>18</v>
      </c>
      <c r="G2268" s="14" t="s">
        <v>19</v>
      </c>
      <c r="H2268" s="14" t="s">
        <v>4290</v>
      </c>
      <c r="I2268" s="15" t="s">
        <v>4426</v>
      </c>
      <c r="J2268" s="16" t="str">
        <f>VLOOKUP(B2268,baru!$B$2:$I$2271,4,FALSE)</f>
        <v>Reguler</v>
      </c>
      <c r="K2268" s="16" t="str">
        <f>VLOOKUP(B2268,baru!$B$2:$I$2271,5,FALSE)</f>
        <v>DKI JAKARTA</v>
      </c>
      <c r="L2268" s="16" t="str">
        <f>VLOOKUP(B2268,baru!$B$2:$I$2271,6,FALSE)</f>
        <v>KOTA JAKARTA PUSAT</v>
      </c>
    </row>
    <row r="2269" spans="1:12" x14ac:dyDescent="0.35">
      <c r="A2269" s="13">
        <v>1844237</v>
      </c>
      <c r="B2269" s="14" t="str">
        <f>"3328133101890004"</f>
        <v>3328133101890004</v>
      </c>
      <c r="C2269" s="14" t="s">
        <v>4529</v>
      </c>
      <c r="D2269" s="14" t="s">
        <v>189</v>
      </c>
      <c r="E2269" s="14" t="s">
        <v>11</v>
      </c>
      <c r="F2269" s="14" t="s">
        <v>18</v>
      </c>
      <c r="G2269" s="14" t="s">
        <v>19</v>
      </c>
      <c r="H2269" s="14" t="s">
        <v>4290</v>
      </c>
      <c r="I2269" s="15" t="s">
        <v>4318</v>
      </c>
      <c r="J2269" s="16" t="str">
        <f>VLOOKUP(B2269,baru!$B$2:$I$2271,4,FALSE)</f>
        <v>Reguler</v>
      </c>
      <c r="K2269" s="16" t="str">
        <f>VLOOKUP(B2269,baru!$B$2:$I$2271,5,FALSE)</f>
        <v>JAWA TENGAH</v>
      </c>
      <c r="L2269" s="16" t="str">
        <f>VLOOKUP(B2269,baru!$B$2:$I$2271,6,FALSE)</f>
        <v>PEMALANG</v>
      </c>
    </row>
    <row r="2270" spans="1:12" hidden="1" x14ac:dyDescent="0.35">
      <c r="A2270" s="13">
        <v>1843701</v>
      </c>
      <c r="B2270" s="14" t="str">
        <f>"3328133108930004"</f>
        <v>3328133108930004</v>
      </c>
      <c r="C2270" s="14" t="s">
        <v>4530</v>
      </c>
      <c r="D2270" s="14" t="s">
        <v>10</v>
      </c>
      <c r="E2270" s="14" t="s">
        <v>11</v>
      </c>
      <c r="F2270" s="14" t="s">
        <v>18</v>
      </c>
      <c r="G2270" s="14" t="s">
        <v>19</v>
      </c>
      <c r="H2270" s="14" t="s">
        <v>4290</v>
      </c>
      <c r="I2270" s="15" t="s">
        <v>4318</v>
      </c>
      <c r="J2270" s="16" t="str">
        <f>VLOOKUP(B2270,baru!$B$2:$I$2271,4,FALSE)</f>
        <v>Reguler</v>
      </c>
      <c r="K2270" s="16" t="str">
        <f>VLOOKUP(B2270,baru!$B$2:$I$2271,5,FALSE)</f>
        <v>JAWA TENGAH</v>
      </c>
      <c r="L2270" s="16" t="str">
        <f>VLOOKUP(B2270,baru!$B$2:$I$2271,6,FALSE)</f>
        <v>KOTA TEGAL</v>
      </c>
    </row>
    <row r="2271" spans="1:12" hidden="1" x14ac:dyDescent="0.35">
      <c r="A2271" s="13">
        <v>2409275</v>
      </c>
      <c r="B2271" s="14" t="str">
        <f>"3328133112750041"</f>
        <v>3328133112750041</v>
      </c>
      <c r="C2271" s="14" t="s">
        <v>4532</v>
      </c>
      <c r="D2271" s="14" t="s">
        <v>10</v>
      </c>
      <c r="E2271" s="14" t="s">
        <v>11</v>
      </c>
      <c r="F2271" s="14" t="s">
        <v>18</v>
      </c>
      <c r="G2271" s="14" t="s">
        <v>19</v>
      </c>
      <c r="H2271" s="14" t="s">
        <v>4290</v>
      </c>
      <c r="I2271" s="15" t="s">
        <v>1381</v>
      </c>
      <c r="J2271" s="16" t="str">
        <f>VLOOKUP(B2271,baru!$B$2:$I$2271,4,FALSE)</f>
        <v>Reguler</v>
      </c>
      <c r="K2271" s="16" t="str">
        <f>VLOOKUP(B2271,baru!$B$2:$I$2271,5,FALSE)</f>
        <v>JAWA TENGAH</v>
      </c>
      <c r="L2271" s="16" t="str">
        <f>VLOOKUP(B2271,baru!$B$2:$I$2271,6,FALSE)</f>
        <v>KOTA SALATIGA</v>
      </c>
    </row>
    <row r="2272" spans="1:12" hidden="1" x14ac:dyDescent="0.35">
      <c r="A2272" s="13">
        <v>1900152</v>
      </c>
      <c r="B2272" s="14" t="str">
        <f>"3328134110840007"</f>
        <v>3328134110840007</v>
      </c>
      <c r="C2272" s="14" t="s">
        <v>4535</v>
      </c>
      <c r="D2272" s="14" t="s">
        <v>10</v>
      </c>
      <c r="E2272" s="14" t="s">
        <v>11</v>
      </c>
      <c r="F2272" s="14" t="s">
        <v>18</v>
      </c>
      <c r="G2272" s="14" t="s">
        <v>19</v>
      </c>
      <c r="H2272" s="14" t="s">
        <v>4290</v>
      </c>
      <c r="I2272" s="15" t="s">
        <v>4358</v>
      </c>
      <c r="J2272" s="16" t="str">
        <f>VLOOKUP(B2272,baru!$B$2:$I$2271,4,FALSE)</f>
        <v>Reguler</v>
      </c>
      <c r="K2272" s="16" t="str">
        <f>VLOOKUP(B2272,baru!$B$2:$I$2271,5,FALSE)</f>
        <v>JAWA TENGAH</v>
      </c>
      <c r="L2272" s="16" t="str">
        <f>VLOOKUP(B2272,baru!$B$2:$I$2271,6,FALSE)</f>
        <v>DEMAK</v>
      </c>
    </row>
    <row r="2273" spans="1:12" hidden="1" x14ac:dyDescent="0.35">
      <c r="A2273" s="13">
        <v>1476028</v>
      </c>
      <c r="B2273" s="14" t="str">
        <f>"3328134201900005"</f>
        <v>3328134201900005</v>
      </c>
      <c r="C2273" s="14" t="s">
        <v>4538</v>
      </c>
      <c r="D2273" s="14" t="s">
        <v>10</v>
      </c>
      <c r="E2273" s="14" t="s">
        <v>11</v>
      </c>
      <c r="F2273" s="14" t="s">
        <v>18</v>
      </c>
      <c r="G2273" s="14" t="s">
        <v>19</v>
      </c>
      <c r="H2273" s="14" t="s">
        <v>4290</v>
      </c>
      <c r="I2273" s="15" t="s">
        <v>4436</v>
      </c>
      <c r="J2273" s="16" t="str">
        <f>VLOOKUP(B2273,baru!$B$2:$I$2271,4,FALSE)</f>
        <v>Reguler</v>
      </c>
      <c r="K2273" s="16" t="str">
        <f>VLOOKUP(B2273,baru!$B$2:$I$2271,5,FALSE)</f>
        <v>JAWA BARAT</v>
      </c>
      <c r="L2273" s="16" t="str">
        <f>VLOOKUP(B2273,baru!$B$2:$I$2271,6,FALSE)</f>
        <v>KARAWANG</v>
      </c>
    </row>
    <row r="2274" spans="1:12" hidden="1" x14ac:dyDescent="0.35">
      <c r="A2274" s="6">
        <v>353617</v>
      </c>
      <c r="B2274" s="7" t="str">
        <f>"3328134302980003"</f>
        <v>3328134302980003</v>
      </c>
      <c r="C2274" s="7" t="s">
        <v>4541</v>
      </c>
      <c r="D2274" s="7" t="s">
        <v>10</v>
      </c>
      <c r="E2274" s="7" t="s">
        <v>11</v>
      </c>
      <c r="F2274" s="7" t="s">
        <v>18</v>
      </c>
      <c r="G2274" s="7" t="s">
        <v>268</v>
      </c>
      <c r="H2274" s="7" t="s">
        <v>269</v>
      </c>
      <c r="I2274" s="8" t="s">
        <v>270</v>
      </c>
    </row>
    <row r="2275" spans="1:12" x14ac:dyDescent="0.35">
      <c r="A2275" s="13">
        <v>1843117</v>
      </c>
      <c r="B2275" s="14" t="str">
        <f>"3328134401030002"</f>
        <v>3328134401030002</v>
      </c>
      <c r="C2275" s="14" t="s">
        <v>4543</v>
      </c>
      <c r="D2275" s="14" t="s">
        <v>189</v>
      </c>
      <c r="E2275" s="14" t="s">
        <v>11</v>
      </c>
      <c r="F2275" s="14" t="s">
        <v>18</v>
      </c>
      <c r="G2275" s="14" t="s">
        <v>19</v>
      </c>
      <c r="H2275" s="14" t="s">
        <v>4290</v>
      </c>
      <c r="I2275" s="15" t="s">
        <v>4318</v>
      </c>
      <c r="J2275" s="16" t="str">
        <f>VLOOKUP(B2275,baru!$B$2:$I$2271,4,FALSE)</f>
        <v>Reguler</v>
      </c>
      <c r="K2275" s="16" t="str">
        <f>VLOOKUP(B2275,baru!$B$2:$I$2271,5,FALSE)</f>
        <v>JAWA TENGAH</v>
      </c>
      <c r="L2275" s="16" t="str">
        <f>VLOOKUP(B2275,baru!$B$2:$I$2271,6,FALSE)</f>
        <v>BREBES</v>
      </c>
    </row>
    <row r="2276" spans="1:12" hidden="1" x14ac:dyDescent="0.35">
      <c r="A2276" s="6">
        <v>366866</v>
      </c>
      <c r="B2276" s="7" t="str">
        <f>"3328134402060003"</f>
        <v>3328134402060003</v>
      </c>
      <c r="C2276" s="7" t="s">
        <v>4544</v>
      </c>
      <c r="D2276" s="7" t="s">
        <v>10</v>
      </c>
      <c r="E2276" s="7" t="s">
        <v>11</v>
      </c>
      <c r="F2276" s="7" t="s">
        <v>18</v>
      </c>
      <c r="G2276" s="7" t="s">
        <v>268</v>
      </c>
      <c r="H2276" s="7" t="s">
        <v>269</v>
      </c>
      <c r="I2276" s="8" t="s">
        <v>996</v>
      </c>
    </row>
    <row r="2277" spans="1:12" hidden="1" x14ac:dyDescent="0.35">
      <c r="A2277" s="6">
        <v>732845</v>
      </c>
      <c r="B2277" s="7" t="str">
        <f>"3328134504890005"</f>
        <v>3328134504890005</v>
      </c>
      <c r="C2277" s="7" t="s">
        <v>4546</v>
      </c>
      <c r="D2277" s="7" t="s">
        <v>10</v>
      </c>
      <c r="E2277" s="7" t="s">
        <v>11</v>
      </c>
      <c r="F2277" s="7" t="s">
        <v>50</v>
      </c>
      <c r="G2277" s="7" t="s">
        <v>86</v>
      </c>
      <c r="H2277" s="7" t="s">
        <v>530</v>
      </c>
      <c r="I2277" s="8" t="s">
        <v>534</v>
      </c>
    </row>
    <row r="2278" spans="1:12" hidden="1" x14ac:dyDescent="0.35">
      <c r="A2278" s="13">
        <v>1439760</v>
      </c>
      <c r="B2278" s="14" t="str">
        <f>"3328134510970002"</f>
        <v>3328134510970002</v>
      </c>
      <c r="C2278" s="14" t="s">
        <v>4547</v>
      </c>
      <c r="D2278" s="14" t="s">
        <v>10</v>
      </c>
      <c r="E2278" s="14" t="s">
        <v>11</v>
      </c>
      <c r="F2278" s="14" t="s">
        <v>18</v>
      </c>
      <c r="G2278" s="14" t="s">
        <v>19</v>
      </c>
      <c r="H2278" s="14" t="s">
        <v>4290</v>
      </c>
      <c r="I2278" s="15" t="s">
        <v>878</v>
      </c>
      <c r="J2278" s="16" t="str">
        <f>VLOOKUP(B2278,baru!$B$2:$I$2271,4,FALSE)</f>
        <v>Reguler</v>
      </c>
      <c r="K2278" s="16" t="str">
        <f>VLOOKUP(B2278,baru!$B$2:$I$2271,5,FALSE)</f>
        <v>JAWA TENGAH</v>
      </c>
      <c r="L2278" s="16" t="str">
        <f>VLOOKUP(B2278,baru!$B$2:$I$2271,6,FALSE)</f>
        <v>BREBES</v>
      </c>
    </row>
    <row r="2279" spans="1:12" hidden="1" x14ac:dyDescent="0.35">
      <c r="A2279" s="13">
        <v>1888230</v>
      </c>
      <c r="B2279" s="14" t="str">
        <f>"3328134605900003"</f>
        <v>3328134605900003</v>
      </c>
      <c r="C2279" s="14" t="s">
        <v>2973</v>
      </c>
      <c r="D2279" s="14" t="s">
        <v>10</v>
      </c>
      <c r="E2279" s="14" t="s">
        <v>11</v>
      </c>
      <c r="F2279" s="14" t="s">
        <v>18</v>
      </c>
      <c r="G2279" s="14" t="s">
        <v>19</v>
      </c>
      <c r="H2279" s="14" t="s">
        <v>4290</v>
      </c>
      <c r="I2279" s="15" t="s">
        <v>4315</v>
      </c>
      <c r="J2279" s="16" t="str">
        <f>VLOOKUP(B2279,baru!$B$2:$I$2271,4,FALSE)</f>
        <v>Reguler</v>
      </c>
      <c r="K2279" s="16" t="str">
        <f>VLOOKUP(B2279,baru!$B$2:$I$2271,5,FALSE)</f>
        <v>DKI JAKARTA</v>
      </c>
      <c r="L2279" s="16" t="str">
        <f>VLOOKUP(B2279,baru!$B$2:$I$2271,6,FALSE)</f>
        <v>KOTA JAKARTA SELATAN</v>
      </c>
    </row>
    <row r="2280" spans="1:12" hidden="1" x14ac:dyDescent="0.35">
      <c r="A2280" s="6">
        <v>2257137</v>
      </c>
      <c r="B2280" s="7" t="str">
        <f>"3328134606610003"</f>
        <v>3328134606610003</v>
      </c>
      <c r="C2280" s="7" t="s">
        <v>4548</v>
      </c>
      <c r="D2280" s="7" t="s">
        <v>10</v>
      </c>
      <c r="E2280" s="7" t="s">
        <v>11</v>
      </c>
      <c r="F2280" s="7" t="s">
        <v>67</v>
      </c>
      <c r="G2280" s="7" t="s">
        <v>512</v>
      </c>
      <c r="H2280" s="7" t="s">
        <v>330</v>
      </c>
      <c r="I2280" s="8" t="s">
        <v>4402</v>
      </c>
    </row>
    <row r="2281" spans="1:12" hidden="1" x14ac:dyDescent="0.35">
      <c r="A2281" s="6">
        <v>296408</v>
      </c>
      <c r="B2281" s="7" t="str">
        <f>"3328134702010001"</f>
        <v>3328134702010001</v>
      </c>
      <c r="C2281" s="7" t="s">
        <v>4550</v>
      </c>
      <c r="D2281" s="7" t="s">
        <v>10</v>
      </c>
      <c r="E2281" s="7" t="s">
        <v>11</v>
      </c>
      <c r="F2281" s="7" t="s">
        <v>18</v>
      </c>
      <c r="G2281" s="7" t="s">
        <v>268</v>
      </c>
      <c r="H2281" s="7" t="s">
        <v>277</v>
      </c>
      <c r="I2281" s="8" t="s">
        <v>2762</v>
      </c>
    </row>
    <row r="2282" spans="1:12" hidden="1" x14ac:dyDescent="0.35">
      <c r="A2282" s="13">
        <v>2150529</v>
      </c>
      <c r="B2282" s="14" t="str">
        <f>"3328134705010003"</f>
        <v>3328134705010003</v>
      </c>
      <c r="C2282" s="14" t="s">
        <v>4551</v>
      </c>
      <c r="D2282" s="14" t="s">
        <v>10</v>
      </c>
      <c r="E2282" s="14" t="s">
        <v>11</v>
      </c>
      <c r="F2282" s="14" t="s">
        <v>18</v>
      </c>
      <c r="G2282" s="14" t="s">
        <v>19</v>
      </c>
      <c r="H2282" s="14" t="s">
        <v>4290</v>
      </c>
      <c r="I2282" s="15" t="s">
        <v>4290</v>
      </c>
      <c r="J2282" s="16" t="str">
        <f>VLOOKUP(B2282,baru!$B$2:$I$2271,4,FALSE)</f>
        <v>Reguler</v>
      </c>
      <c r="K2282" s="16" t="str">
        <f>VLOOKUP(B2282,baru!$B$2:$I$2271,5,FALSE)</f>
        <v>JAWA TENGAH</v>
      </c>
      <c r="L2282" s="16" t="str">
        <f>VLOOKUP(B2282,baru!$B$2:$I$2271,6,FALSE)</f>
        <v>KOTA TEGAL</v>
      </c>
    </row>
    <row r="2283" spans="1:12" hidden="1" x14ac:dyDescent="0.35">
      <c r="A2283" s="6">
        <v>257671</v>
      </c>
      <c r="B2283" s="7" t="str">
        <f>"3328134706030003"</f>
        <v>3328134706030003</v>
      </c>
      <c r="C2283" s="7" t="s">
        <v>4552</v>
      </c>
      <c r="D2283" s="7" t="s">
        <v>10</v>
      </c>
      <c r="E2283" s="7" t="s">
        <v>11</v>
      </c>
      <c r="F2283" s="7" t="s">
        <v>18</v>
      </c>
      <c r="G2283" s="7" t="s">
        <v>268</v>
      </c>
      <c r="H2283" s="7" t="s">
        <v>371</v>
      </c>
      <c r="I2283" s="8" t="s">
        <v>497</v>
      </c>
    </row>
    <row r="2284" spans="1:12" hidden="1" x14ac:dyDescent="0.35">
      <c r="A2284" s="6">
        <v>194196</v>
      </c>
      <c r="B2284" s="7" t="str">
        <f>"3328134711000002"</f>
        <v>3328134711000002</v>
      </c>
      <c r="C2284" s="7" t="s">
        <v>4554</v>
      </c>
      <c r="D2284" s="7" t="s">
        <v>10</v>
      </c>
      <c r="E2284" s="7" t="s">
        <v>11</v>
      </c>
      <c r="F2284" s="7" t="s">
        <v>91</v>
      </c>
      <c r="G2284" s="7" t="s">
        <v>101</v>
      </c>
      <c r="H2284" s="7" t="s">
        <v>4555</v>
      </c>
      <c r="I2284" s="8" t="s">
        <v>4556</v>
      </c>
    </row>
    <row r="2285" spans="1:12" hidden="1" x14ac:dyDescent="0.35">
      <c r="A2285" s="6">
        <v>1442217</v>
      </c>
      <c r="B2285" s="7" t="str">
        <f>"3328134804020004"</f>
        <v>3328134804020004</v>
      </c>
      <c r="C2285" s="7" t="s">
        <v>4557</v>
      </c>
      <c r="D2285" s="7" t="s">
        <v>10</v>
      </c>
      <c r="E2285" s="7" t="s">
        <v>11</v>
      </c>
      <c r="F2285" s="7" t="s">
        <v>18</v>
      </c>
      <c r="G2285" s="7" t="s">
        <v>19</v>
      </c>
      <c r="H2285" s="7" t="s">
        <v>4290</v>
      </c>
      <c r="I2285" s="8" t="s">
        <v>878</v>
      </c>
      <c r="J2285" t="e">
        <f>VLOOKUP(B2285,baru!$B$2:$I$2271,4,FALSE)</f>
        <v>#N/A</v>
      </c>
      <c r="K2285" t="e">
        <f>VLOOKUP(B2285,baru!$B$2:$I$2271,5,FALSE)</f>
        <v>#N/A</v>
      </c>
      <c r="L2285" t="e">
        <f>VLOOKUP(B2285,baru!$B$2:$I$2271,6,FALSE)</f>
        <v>#N/A</v>
      </c>
    </row>
    <row r="2286" spans="1:12" hidden="1" x14ac:dyDescent="0.35">
      <c r="A2286" s="6">
        <v>1352895</v>
      </c>
      <c r="B2286" s="7" t="str">
        <f>"3328134804020004"</f>
        <v>3328134804020004</v>
      </c>
      <c r="C2286" s="7" t="s">
        <v>4558</v>
      </c>
      <c r="D2286" s="7" t="s">
        <v>10</v>
      </c>
      <c r="E2286" s="7" t="s">
        <v>57</v>
      </c>
      <c r="F2286" s="7" t="s">
        <v>303</v>
      </c>
      <c r="G2286" s="7" t="s">
        <v>608</v>
      </c>
      <c r="H2286" s="7" t="s">
        <v>609</v>
      </c>
      <c r="I2286" s="8" t="s">
        <v>610</v>
      </c>
    </row>
    <row r="2287" spans="1:12" hidden="1" x14ac:dyDescent="0.35">
      <c r="A2287" s="6">
        <v>1907406</v>
      </c>
      <c r="B2287" s="7" t="str">
        <f>"3328134807040003"</f>
        <v>3328134807040003</v>
      </c>
      <c r="C2287" s="7" t="s">
        <v>4559</v>
      </c>
      <c r="D2287" s="7" t="s">
        <v>10</v>
      </c>
      <c r="E2287" s="7" t="s">
        <v>11</v>
      </c>
      <c r="F2287" s="7" t="s">
        <v>18</v>
      </c>
      <c r="G2287" s="7" t="s">
        <v>19</v>
      </c>
      <c r="H2287" s="7" t="s">
        <v>4290</v>
      </c>
      <c r="I2287" s="8" t="s">
        <v>4298</v>
      </c>
      <c r="J2287" t="e">
        <f>VLOOKUP(B2287,baru!$B$2:$I$2271,4,FALSE)</f>
        <v>#N/A</v>
      </c>
      <c r="K2287" t="e">
        <f>VLOOKUP(B2287,baru!$B$2:$I$2271,5,FALSE)</f>
        <v>#N/A</v>
      </c>
      <c r="L2287" t="e">
        <f>VLOOKUP(B2287,baru!$B$2:$I$2271,6,FALSE)</f>
        <v>#N/A</v>
      </c>
    </row>
    <row r="2288" spans="1:12" hidden="1" x14ac:dyDescent="0.35">
      <c r="A2288" s="6">
        <v>762645</v>
      </c>
      <c r="B2288" s="7" t="str">
        <f>"3328134807040003"</f>
        <v>3328134807040003</v>
      </c>
      <c r="C2288" s="7" t="s">
        <v>4560</v>
      </c>
      <c r="D2288" s="7" t="s">
        <v>10</v>
      </c>
      <c r="E2288" s="7" t="s">
        <v>57</v>
      </c>
      <c r="F2288" s="7" t="s">
        <v>379</v>
      </c>
      <c r="G2288" s="7" t="s">
        <v>711</v>
      </c>
      <c r="H2288" s="7" t="s">
        <v>718</v>
      </c>
      <c r="I2288" s="8" t="s">
        <v>719</v>
      </c>
    </row>
    <row r="2289" spans="1:12" hidden="1" x14ac:dyDescent="0.35">
      <c r="A2289" s="6">
        <v>554076</v>
      </c>
      <c r="B2289" s="7" t="str">
        <f>"3328134905910004"</f>
        <v>3328134905910004</v>
      </c>
      <c r="C2289" s="7" t="s">
        <v>4561</v>
      </c>
      <c r="D2289" s="7" t="s">
        <v>10</v>
      </c>
      <c r="E2289" s="7" t="s">
        <v>11</v>
      </c>
      <c r="F2289" s="7" t="s">
        <v>67</v>
      </c>
      <c r="G2289" s="7" t="s">
        <v>696</v>
      </c>
      <c r="H2289" s="7" t="s">
        <v>375</v>
      </c>
      <c r="I2289" s="8" t="s">
        <v>1477</v>
      </c>
    </row>
    <row r="2290" spans="1:12" hidden="1" x14ac:dyDescent="0.35">
      <c r="A2290" s="6">
        <v>1559920</v>
      </c>
      <c r="B2290" s="7" t="str">
        <f>"3328134908010006"</f>
        <v>3328134908010006</v>
      </c>
      <c r="C2290" s="7" t="s">
        <v>4562</v>
      </c>
      <c r="D2290" s="7" t="s">
        <v>10</v>
      </c>
      <c r="E2290" s="7" t="s">
        <v>11</v>
      </c>
      <c r="F2290" s="7" t="s">
        <v>91</v>
      </c>
      <c r="G2290" s="7" t="s">
        <v>320</v>
      </c>
      <c r="H2290" s="7" t="s">
        <v>2523</v>
      </c>
      <c r="I2290" s="8" t="s">
        <v>4563</v>
      </c>
    </row>
    <row r="2291" spans="1:12" hidden="1" x14ac:dyDescent="0.35">
      <c r="A2291" s="13">
        <v>1942568</v>
      </c>
      <c r="B2291" s="14" t="str">
        <f>"3328134912960001"</f>
        <v>3328134912960001</v>
      </c>
      <c r="C2291" s="14" t="s">
        <v>4564</v>
      </c>
      <c r="D2291" s="14" t="s">
        <v>10</v>
      </c>
      <c r="E2291" s="14" t="s">
        <v>11</v>
      </c>
      <c r="F2291" s="14" t="s">
        <v>18</v>
      </c>
      <c r="G2291" s="14" t="s">
        <v>19</v>
      </c>
      <c r="H2291" s="14" t="s">
        <v>4290</v>
      </c>
      <c r="I2291" s="15" t="s">
        <v>4329</v>
      </c>
      <c r="J2291" s="16" t="str">
        <f>VLOOKUP(B2291,baru!$B$2:$I$2271,4,FALSE)</f>
        <v>Reguler</v>
      </c>
      <c r="K2291" s="16" t="str">
        <f>VLOOKUP(B2291,baru!$B$2:$I$2271,5,FALSE)</f>
        <v>JAWA TENGAH</v>
      </c>
      <c r="L2291" s="16" t="str">
        <f>VLOOKUP(B2291,baru!$B$2:$I$2271,6,FALSE)</f>
        <v>KOTA TEGAL</v>
      </c>
    </row>
    <row r="2292" spans="1:12" hidden="1" x14ac:dyDescent="0.35">
      <c r="A2292" s="13">
        <v>1884859</v>
      </c>
      <c r="B2292" s="14" t="str">
        <f>"3328135012830003"</f>
        <v>3328135012830003</v>
      </c>
      <c r="C2292" s="14" t="s">
        <v>4565</v>
      </c>
      <c r="D2292" s="14" t="s">
        <v>10</v>
      </c>
      <c r="E2292" s="14" t="s">
        <v>11</v>
      </c>
      <c r="F2292" s="14" t="s">
        <v>18</v>
      </c>
      <c r="G2292" s="14" t="s">
        <v>19</v>
      </c>
      <c r="H2292" s="14" t="s">
        <v>4290</v>
      </c>
      <c r="I2292" s="15" t="s">
        <v>4303</v>
      </c>
      <c r="J2292" s="16" t="str">
        <f>VLOOKUP(B2292,baru!$B$2:$I$2271,4,FALSE)</f>
        <v>Reguler</v>
      </c>
      <c r="K2292" s="16" t="str">
        <f>VLOOKUP(B2292,baru!$B$2:$I$2271,5,FALSE)</f>
        <v>JAWA TIMUR</v>
      </c>
      <c r="L2292" s="16" t="str">
        <f>VLOOKUP(B2292,baru!$B$2:$I$2271,6,FALSE)</f>
        <v>BANYUWANGI</v>
      </c>
    </row>
    <row r="2293" spans="1:12" hidden="1" x14ac:dyDescent="0.35">
      <c r="A2293" s="6">
        <v>914332</v>
      </c>
      <c r="B2293" s="7" t="str">
        <f>"3328135104850001"</f>
        <v>3328135104850001</v>
      </c>
      <c r="C2293" s="7" t="s">
        <v>4568</v>
      </c>
      <c r="D2293" s="7" t="s">
        <v>10</v>
      </c>
      <c r="E2293" s="7" t="s">
        <v>11</v>
      </c>
      <c r="F2293" s="7" t="s">
        <v>50</v>
      </c>
      <c r="G2293" s="7" t="s">
        <v>86</v>
      </c>
      <c r="H2293" s="7" t="s">
        <v>530</v>
      </c>
      <c r="I2293" s="8" t="s">
        <v>537</v>
      </c>
    </row>
    <row r="2294" spans="1:12" hidden="1" x14ac:dyDescent="0.35">
      <c r="A2294" s="6">
        <v>1476241</v>
      </c>
      <c r="B2294" s="7" t="str">
        <f>"3328135106770003"</f>
        <v>3328135106770003</v>
      </c>
      <c r="C2294" s="7" t="s">
        <v>4569</v>
      </c>
      <c r="D2294" s="7" t="s">
        <v>10</v>
      </c>
      <c r="E2294" s="7" t="s">
        <v>11</v>
      </c>
      <c r="F2294" s="7" t="s">
        <v>18</v>
      </c>
      <c r="G2294" s="7" t="s">
        <v>19</v>
      </c>
      <c r="H2294" s="7" t="s">
        <v>4290</v>
      </c>
      <c r="I2294" s="8" t="s">
        <v>4436</v>
      </c>
      <c r="J2294" t="e">
        <f>VLOOKUP(B2294,baru!$B$2:$I$2271,4,FALSE)</f>
        <v>#N/A</v>
      </c>
      <c r="K2294" t="e">
        <f>VLOOKUP(B2294,baru!$B$2:$I$2271,5,FALSE)</f>
        <v>#N/A</v>
      </c>
      <c r="L2294" t="e">
        <f>VLOOKUP(B2294,baru!$B$2:$I$2271,6,FALSE)</f>
        <v>#N/A</v>
      </c>
    </row>
    <row r="2295" spans="1:12" hidden="1" x14ac:dyDescent="0.35">
      <c r="A2295" s="6">
        <v>1352173</v>
      </c>
      <c r="B2295" s="7" t="str">
        <f>"3328135106770003"</f>
        <v>3328135106770003</v>
      </c>
      <c r="C2295" s="7" t="s">
        <v>4570</v>
      </c>
      <c r="D2295" s="7" t="s">
        <v>10</v>
      </c>
      <c r="E2295" s="7" t="s">
        <v>57</v>
      </c>
      <c r="F2295" s="7" t="s">
        <v>303</v>
      </c>
      <c r="G2295" s="7" t="s">
        <v>608</v>
      </c>
      <c r="H2295" s="7" t="s">
        <v>609</v>
      </c>
      <c r="I2295" s="8" t="s">
        <v>610</v>
      </c>
    </row>
    <row r="2296" spans="1:12" hidden="1" x14ac:dyDescent="0.35">
      <c r="A2296" s="13">
        <v>1477217</v>
      </c>
      <c r="B2296" s="14" t="str">
        <f>"3328135110950004"</f>
        <v>3328135110950004</v>
      </c>
      <c r="C2296" s="14" t="s">
        <v>4571</v>
      </c>
      <c r="D2296" s="14" t="s">
        <v>10</v>
      </c>
      <c r="E2296" s="14" t="s">
        <v>11</v>
      </c>
      <c r="F2296" s="14" t="s">
        <v>18</v>
      </c>
      <c r="G2296" s="14" t="s">
        <v>19</v>
      </c>
      <c r="H2296" s="14" t="s">
        <v>4290</v>
      </c>
      <c r="I2296" s="15" t="s">
        <v>4436</v>
      </c>
      <c r="J2296" s="16" t="str">
        <f>VLOOKUP(B2296,baru!$B$2:$I$2271,4,FALSE)</f>
        <v>Reguler</v>
      </c>
      <c r="K2296" s="16" t="str">
        <f>VLOOKUP(B2296,baru!$B$2:$I$2271,5,FALSE)</f>
        <v>JAWA TENGAH</v>
      </c>
      <c r="L2296" s="16" t="str">
        <f>VLOOKUP(B2296,baru!$B$2:$I$2271,6,FALSE)</f>
        <v>KOTA TEGAL</v>
      </c>
    </row>
    <row r="2297" spans="1:12" hidden="1" x14ac:dyDescent="0.35">
      <c r="A2297" s="13">
        <v>1907704</v>
      </c>
      <c r="B2297" s="14" t="str">
        <f>"3328135305970002"</f>
        <v>3328135305970002</v>
      </c>
      <c r="C2297" s="14" t="s">
        <v>4572</v>
      </c>
      <c r="D2297" s="14" t="s">
        <v>10</v>
      </c>
      <c r="E2297" s="14" t="s">
        <v>11</v>
      </c>
      <c r="F2297" s="14" t="s">
        <v>18</v>
      </c>
      <c r="G2297" s="14" t="s">
        <v>19</v>
      </c>
      <c r="H2297" s="14" t="s">
        <v>4290</v>
      </c>
      <c r="I2297" s="15" t="s">
        <v>4298</v>
      </c>
      <c r="J2297" s="16" t="str">
        <f>VLOOKUP(B2297,baru!$B$2:$I$2271,4,FALSE)</f>
        <v>Reguler</v>
      </c>
      <c r="K2297" s="16" t="str">
        <f>VLOOKUP(B2297,baru!$B$2:$I$2271,5,FALSE)</f>
        <v>DKI JAKARTA</v>
      </c>
      <c r="L2297" s="16" t="str">
        <f>VLOOKUP(B2297,baru!$B$2:$I$2271,6,FALSE)</f>
        <v>KOTA JAKARTA BARAT</v>
      </c>
    </row>
    <row r="2298" spans="1:12" hidden="1" x14ac:dyDescent="0.35">
      <c r="A2298" s="13">
        <v>1880757</v>
      </c>
      <c r="B2298" s="14" t="str">
        <f>"3328135402850004"</f>
        <v>3328135402850004</v>
      </c>
      <c r="C2298" s="14" t="s">
        <v>4574</v>
      </c>
      <c r="D2298" s="14" t="s">
        <v>10</v>
      </c>
      <c r="E2298" s="14" t="s">
        <v>11</v>
      </c>
      <c r="F2298" s="14" t="s">
        <v>18</v>
      </c>
      <c r="G2298" s="14" t="s">
        <v>19</v>
      </c>
      <c r="H2298" s="14" t="s">
        <v>4290</v>
      </c>
      <c r="I2298" s="15" t="s">
        <v>4303</v>
      </c>
      <c r="J2298" s="16" t="str">
        <f>VLOOKUP(B2298,baru!$B$2:$I$2271,4,FALSE)</f>
        <v>Reguler</v>
      </c>
      <c r="K2298" s="16" t="str">
        <f>VLOOKUP(B2298,baru!$B$2:$I$2271,5,FALSE)</f>
        <v>JAWA TENGAH</v>
      </c>
      <c r="L2298" s="16" t="str">
        <f>VLOOKUP(B2298,baru!$B$2:$I$2271,6,FALSE)</f>
        <v>PURWOREJO</v>
      </c>
    </row>
    <row r="2299" spans="1:12" hidden="1" x14ac:dyDescent="0.35">
      <c r="A2299" s="13">
        <v>1479131</v>
      </c>
      <c r="B2299" s="14" t="str">
        <f>"3328135411940009"</f>
        <v>3328135411940009</v>
      </c>
      <c r="C2299" s="14" t="s">
        <v>4577</v>
      </c>
      <c r="D2299" s="14" t="s">
        <v>10</v>
      </c>
      <c r="E2299" s="14" t="s">
        <v>11</v>
      </c>
      <c r="F2299" s="14" t="s">
        <v>18</v>
      </c>
      <c r="G2299" s="14" t="s">
        <v>19</v>
      </c>
      <c r="H2299" s="14" t="s">
        <v>4290</v>
      </c>
      <c r="I2299" s="15" t="s">
        <v>4436</v>
      </c>
      <c r="J2299" s="16" t="str">
        <f>VLOOKUP(B2299,baru!$B$2:$I$2271,4,FALSE)</f>
        <v>Reguler</v>
      </c>
      <c r="K2299" s="16" t="str">
        <f>VLOOKUP(B2299,baru!$B$2:$I$2271,5,FALSE)</f>
        <v>JAWA TENGAH</v>
      </c>
      <c r="L2299" s="16" t="str">
        <f>VLOOKUP(B2299,baru!$B$2:$I$2271,6,FALSE)</f>
        <v>KOTA TEGAL</v>
      </c>
    </row>
    <row r="2300" spans="1:12" hidden="1" x14ac:dyDescent="0.35">
      <c r="A2300" s="6">
        <v>269008</v>
      </c>
      <c r="B2300" s="7" t="str">
        <f>"3328135505700001"</f>
        <v>3328135505700001</v>
      </c>
      <c r="C2300" s="7" t="s">
        <v>4578</v>
      </c>
      <c r="D2300" s="7" t="s">
        <v>10</v>
      </c>
      <c r="E2300" s="7" t="s">
        <v>11</v>
      </c>
      <c r="F2300" s="7" t="s">
        <v>91</v>
      </c>
      <c r="G2300" s="7" t="s">
        <v>155</v>
      </c>
      <c r="H2300" s="7" t="s">
        <v>4579</v>
      </c>
      <c r="I2300" s="8" t="s">
        <v>4580</v>
      </c>
    </row>
    <row r="2301" spans="1:12" hidden="1" x14ac:dyDescent="0.35">
      <c r="A2301" s="13">
        <v>1905812</v>
      </c>
      <c r="B2301" s="14" t="str">
        <f>"3328135506880006"</f>
        <v>3328135506880006</v>
      </c>
      <c r="C2301" s="14" t="s">
        <v>4581</v>
      </c>
      <c r="D2301" s="14" t="s">
        <v>10</v>
      </c>
      <c r="E2301" s="14" t="s">
        <v>11</v>
      </c>
      <c r="F2301" s="14" t="s">
        <v>18</v>
      </c>
      <c r="G2301" s="14" t="s">
        <v>19</v>
      </c>
      <c r="H2301" s="14" t="s">
        <v>4290</v>
      </c>
      <c r="I2301" s="15" t="s">
        <v>4298</v>
      </c>
      <c r="J2301" s="16" t="str">
        <f>VLOOKUP(B2301,baru!$B$2:$I$2271,4,FALSE)</f>
        <v>Reguler</v>
      </c>
      <c r="K2301" s="16" t="str">
        <f>VLOOKUP(B2301,baru!$B$2:$I$2271,5,FALSE)</f>
        <v>JAWA TENGAH</v>
      </c>
      <c r="L2301" s="16" t="str">
        <f>VLOOKUP(B2301,baru!$B$2:$I$2271,6,FALSE)</f>
        <v>KOTA TEGAL</v>
      </c>
    </row>
    <row r="2302" spans="1:12" hidden="1" x14ac:dyDescent="0.35">
      <c r="A2302" s="13">
        <v>1877069</v>
      </c>
      <c r="B2302" s="14" t="str">
        <f>"3328135507920005"</f>
        <v>3328135507920005</v>
      </c>
      <c r="C2302" s="14" t="s">
        <v>4582</v>
      </c>
      <c r="D2302" s="14" t="s">
        <v>10</v>
      </c>
      <c r="E2302" s="14" t="s">
        <v>11</v>
      </c>
      <c r="F2302" s="14" t="s">
        <v>18</v>
      </c>
      <c r="G2302" s="14" t="s">
        <v>19</v>
      </c>
      <c r="H2302" s="14" t="s">
        <v>4290</v>
      </c>
      <c r="I2302" s="15" t="s">
        <v>344</v>
      </c>
      <c r="J2302" s="16" t="str">
        <f>VLOOKUP(B2302,baru!$B$2:$I$2271,4,FALSE)</f>
        <v>Reguler</v>
      </c>
      <c r="K2302" s="16" t="str">
        <f>VLOOKUP(B2302,baru!$B$2:$I$2271,5,FALSE)</f>
        <v>JAWA TENGAH</v>
      </c>
      <c r="L2302" s="16" t="str">
        <f>VLOOKUP(B2302,baru!$B$2:$I$2271,6,FALSE)</f>
        <v>PURWOREJO</v>
      </c>
    </row>
    <row r="2303" spans="1:12" x14ac:dyDescent="0.35">
      <c r="A2303" s="13">
        <v>1898979</v>
      </c>
      <c r="B2303" s="14" t="str">
        <f>"3328135604980003"</f>
        <v>3328135604980003</v>
      </c>
      <c r="C2303" s="14" t="s">
        <v>4584</v>
      </c>
      <c r="D2303" s="14" t="s">
        <v>189</v>
      </c>
      <c r="E2303" s="14" t="s">
        <v>11</v>
      </c>
      <c r="F2303" s="14" t="s">
        <v>18</v>
      </c>
      <c r="G2303" s="14" t="s">
        <v>19</v>
      </c>
      <c r="H2303" s="14" t="s">
        <v>4290</v>
      </c>
      <c r="I2303" s="15" t="s">
        <v>4358</v>
      </c>
      <c r="J2303" s="16" t="str">
        <f>VLOOKUP(B2303,baru!$B$2:$I$2271,4,FALSE)</f>
        <v>Reguler</v>
      </c>
      <c r="K2303" s="16" t="str">
        <f>VLOOKUP(B2303,baru!$B$2:$I$2271,5,FALSE)</f>
        <v>JAWA TENGAH</v>
      </c>
      <c r="L2303" s="16" t="str">
        <f>VLOOKUP(B2303,baru!$B$2:$I$2271,6,FALSE)</f>
        <v>KOTA TEGAL</v>
      </c>
    </row>
    <row r="2304" spans="1:12" hidden="1" x14ac:dyDescent="0.35">
      <c r="A2304" s="13">
        <v>1901030</v>
      </c>
      <c r="B2304" s="14" t="str">
        <f>"3328135608970001"</f>
        <v>3328135608970001</v>
      </c>
      <c r="C2304" s="14" t="s">
        <v>4585</v>
      </c>
      <c r="D2304" s="14" t="s">
        <v>10</v>
      </c>
      <c r="E2304" s="14" t="s">
        <v>11</v>
      </c>
      <c r="F2304" s="14" t="s">
        <v>18</v>
      </c>
      <c r="G2304" s="14" t="s">
        <v>19</v>
      </c>
      <c r="H2304" s="14" t="s">
        <v>4290</v>
      </c>
      <c r="I2304" s="15" t="s">
        <v>4358</v>
      </c>
      <c r="J2304" s="16" t="str">
        <f>VLOOKUP(B2304,baru!$B$2:$I$2271,4,FALSE)</f>
        <v>Reguler</v>
      </c>
      <c r="K2304" s="16" t="str">
        <f>VLOOKUP(B2304,baru!$B$2:$I$2271,5,FALSE)</f>
        <v>JAWA TENGAH</v>
      </c>
      <c r="L2304" s="16" t="str">
        <f>VLOOKUP(B2304,baru!$B$2:$I$2271,6,FALSE)</f>
        <v>KOTA TEGAL</v>
      </c>
    </row>
    <row r="2305" spans="1:12" hidden="1" x14ac:dyDescent="0.35">
      <c r="A2305" s="6">
        <v>369519</v>
      </c>
      <c r="B2305" s="7" t="str">
        <f>"3328135701670002"</f>
        <v>3328135701670002</v>
      </c>
      <c r="C2305" s="7" t="s">
        <v>4586</v>
      </c>
      <c r="D2305" s="7" t="s">
        <v>10</v>
      </c>
      <c r="E2305" s="7" t="s">
        <v>11</v>
      </c>
      <c r="F2305" s="7" t="s">
        <v>18</v>
      </c>
      <c r="G2305" s="7" t="s">
        <v>268</v>
      </c>
      <c r="H2305" s="7" t="s">
        <v>269</v>
      </c>
      <c r="I2305" s="8" t="s">
        <v>996</v>
      </c>
    </row>
    <row r="2306" spans="1:12" hidden="1" x14ac:dyDescent="0.35">
      <c r="A2306" s="6">
        <v>214658</v>
      </c>
      <c r="B2306" s="7" t="str">
        <f>"3328135702910003"</f>
        <v>3328135702910003</v>
      </c>
      <c r="C2306" s="7" t="s">
        <v>4588</v>
      </c>
      <c r="D2306" s="7" t="s">
        <v>10</v>
      </c>
      <c r="E2306" s="7" t="s">
        <v>11</v>
      </c>
      <c r="F2306" s="7" t="s">
        <v>18</v>
      </c>
      <c r="G2306" s="7" t="s">
        <v>268</v>
      </c>
      <c r="H2306" s="7" t="s">
        <v>371</v>
      </c>
      <c r="I2306" s="8" t="s">
        <v>2772</v>
      </c>
    </row>
    <row r="2307" spans="1:12" hidden="1" x14ac:dyDescent="0.35">
      <c r="A2307" s="6">
        <v>1790618</v>
      </c>
      <c r="B2307" s="7" t="str">
        <f>"3328135705970005"</f>
        <v>3328135705970005</v>
      </c>
      <c r="C2307" s="7" t="s">
        <v>4589</v>
      </c>
      <c r="D2307" s="7" t="s">
        <v>10</v>
      </c>
      <c r="E2307" s="7" t="s">
        <v>11</v>
      </c>
      <c r="F2307" s="7" t="s">
        <v>67</v>
      </c>
      <c r="G2307" s="7" t="s">
        <v>791</v>
      </c>
      <c r="H2307" s="7" t="s">
        <v>4590</v>
      </c>
      <c r="I2307" s="8" t="s">
        <v>4590</v>
      </c>
    </row>
    <row r="2308" spans="1:12" hidden="1" x14ac:dyDescent="0.35">
      <c r="A2308" s="13">
        <v>1940874</v>
      </c>
      <c r="B2308" s="14" t="str">
        <f>"3328135707840003"</f>
        <v>3328135707840003</v>
      </c>
      <c r="C2308" s="14" t="s">
        <v>4592</v>
      </c>
      <c r="D2308" s="14" t="s">
        <v>10</v>
      </c>
      <c r="E2308" s="14" t="s">
        <v>11</v>
      </c>
      <c r="F2308" s="14" t="s">
        <v>18</v>
      </c>
      <c r="G2308" s="14" t="s">
        <v>19</v>
      </c>
      <c r="H2308" s="14" t="s">
        <v>4290</v>
      </c>
      <c r="I2308" s="15" t="s">
        <v>4329</v>
      </c>
      <c r="J2308" s="16" t="str">
        <f>VLOOKUP(B2308,baru!$B$2:$I$2271,4,FALSE)</f>
        <v>Reguler</v>
      </c>
      <c r="K2308" s="16" t="str">
        <f>VLOOKUP(B2308,baru!$B$2:$I$2271,5,FALSE)</f>
        <v>JAWA TENGAH</v>
      </c>
      <c r="L2308" s="16" t="str">
        <f>VLOOKUP(B2308,baru!$B$2:$I$2271,6,FALSE)</f>
        <v>BREBES</v>
      </c>
    </row>
    <row r="2309" spans="1:12" hidden="1" x14ac:dyDescent="0.35">
      <c r="A2309" s="13">
        <v>1904626</v>
      </c>
      <c r="B2309" s="14" t="str">
        <f>"3328135709640002"</f>
        <v>3328135709640002</v>
      </c>
      <c r="C2309" s="14" t="s">
        <v>4594</v>
      </c>
      <c r="D2309" s="14" t="s">
        <v>10</v>
      </c>
      <c r="E2309" s="14" t="s">
        <v>11</v>
      </c>
      <c r="F2309" s="14" t="s">
        <v>18</v>
      </c>
      <c r="G2309" s="14" t="s">
        <v>19</v>
      </c>
      <c r="H2309" s="14" t="s">
        <v>4290</v>
      </c>
      <c r="I2309" s="15" t="s">
        <v>4298</v>
      </c>
      <c r="J2309" s="16" t="str">
        <f>VLOOKUP(B2309,baru!$B$2:$I$2271,4,FALSE)</f>
        <v>Reguler</v>
      </c>
      <c r="K2309" s="16" t="str">
        <f>VLOOKUP(B2309,baru!$B$2:$I$2271,5,FALSE)</f>
        <v>DKI JAKARTA</v>
      </c>
      <c r="L2309" s="16" t="str">
        <f>VLOOKUP(B2309,baru!$B$2:$I$2271,6,FALSE)</f>
        <v>KOTA JAKARTA TIMUR</v>
      </c>
    </row>
    <row r="2310" spans="1:12" hidden="1" x14ac:dyDescent="0.35">
      <c r="A2310" s="13">
        <v>1941848</v>
      </c>
      <c r="B2310" s="14" t="str">
        <f>"3328135710880003"</f>
        <v>3328135710880003</v>
      </c>
      <c r="C2310" s="14" t="s">
        <v>4595</v>
      </c>
      <c r="D2310" s="14" t="s">
        <v>10</v>
      </c>
      <c r="E2310" s="14" t="s">
        <v>11</v>
      </c>
      <c r="F2310" s="14" t="s">
        <v>18</v>
      </c>
      <c r="G2310" s="14" t="s">
        <v>19</v>
      </c>
      <c r="H2310" s="14" t="s">
        <v>4290</v>
      </c>
      <c r="I2310" s="15" t="s">
        <v>4329</v>
      </c>
      <c r="J2310" s="16" t="str">
        <f>VLOOKUP(B2310,baru!$B$2:$I$2271,4,FALSE)</f>
        <v>Reguler</v>
      </c>
      <c r="K2310" s="16" t="str">
        <f>VLOOKUP(B2310,baru!$B$2:$I$2271,5,FALSE)</f>
        <v>JAWA TENGAH</v>
      </c>
      <c r="L2310" s="16" t="str">
        <f>VLOOKUP(B2310,baru!$B$2:$I$2271,6,FALSE)</f>
        <v>CILACAP</v>
      </c>
    </row>
    <row r="2311" spans="1:12" hidden="1" x14ac:dyDescent="0.35">
      <c r="A2311" s="6">
        <v>1901343</v>
      </c>
      <c r="B2311" s="7" t="str">
        <f>"3328135801030001"</f>
        <v>3328135801030001</v>
      </c>
      <c r="C2311" s="7" t="s">
        <v>4599</v>
      </c>
      <c r="D2311" s="7" t="s">
        <v>10</v>
      </c>
      <c r="E2311" s="7" t="s">
        <v>11</v>
      </c>
      <c r="F2311" s="7" t="s">
        <v>18</v>
      </c>
      <c r="G2311" s="7" t="s">
        <v>19</v>
      </c>
      <c r="H2311" s="7" t="s">
        <v>4290</v>
      </c>
      <c r="I2311" s="8" t="s">
        <v>4358</v>
      </c>
      <c r="J2311" t="e">
        <f>VLOOKUP(B2311,baru!$B$2:$I$2271,4,FALSE)</f>
        <v>#N/A</v>
      </c>
      <c r="K2311" t="e">
        <f>VLOOKUP(B2311,baru!$B$2:$I$2271,5,FALSE)</f>
        <v>#N/A</v>
      </c>
      <c r="L2311" t="e">
        <f>VLOOKUP(B2311,baru!$B$2:$I$2271,6,FALSE)</f>
        <v>#N/A</v>
      </c>
    </row>
    <row r="2312" spans="1:12" hidden="1" x14ac:dyDescent="0.35">
      <c r="A2312" s="6">
        <v>1352898</v>
      </c>
      <c r="B2312" s="7" t="str">
        <f>"3328135801030001"</f>
        <v>3328135801030001</v>
      </c>
      <c r="C2312" s="7" t="s">
        <v>4600</v>
      </c>
      <c r="D2312" s="7" t="s">
        <v>10</v>
      </c>
      <c r="E2312" s="7" t="s">
        <v>57</v>
      </c>
      <c r="F2312" s="7" t="s">
        <v>303</v>
      </c>
      <c r="G2312" s="7" t="s">
        <v>608</v>
      </c>
      <c r="H2312" s="7" t="s">
        <v>609</v>
      </c>
      <c r="I2312" s="8" t="s">
        <v>610</v>
      </c>
    </row>
    <row r="2313" spans="1:12" hidden="1" x14ac:dyDescent="0.35">
      <c r="A2313" s="13">
        <v>1885427</v>
      </c>
      <c r="B2313" s="14" t="str">
        <f>"3328135906030002"</f>
        <v>3328135906030002</v>
      </c>
      <c r="C2313" s="14" t="s">
        <v>4601</v>
      </c>
      <c r="D2313" s="14" t="s">
        <v>10</v>
      </c>
      <c r="E2313" s="14" t="s">
        <v>11</v>
      </c>
      <c r="F2313" s="14" t="s">
        <v>18</v>
      </c>
      <c r="G2313" s="14" t="s">
        <v>19</v>
      </c>
      <c r="H2313" s="14" t="s">
        <v>4290</v>
      </c>
      <c r="I2313" s="15" t="s">
        <v>4303</v>
      </c>
      <c r="J2313" s="16" t="str">
        <f>VLOOKUP(B2313,baru!$B$2:$I$2271,4,FALSE)</f>
        <v>Reguler</v>
      </c>
      <c r="K2313" s="16" t="str">
        <f>VLOOKUP(B2313,baru!$B$2:$I$2271,5,FALSE)</f>
        <v>DKI JAKARTA</v>
      </c>
      <c r="L2313" s="16" t="str">
        <f>VLOOKUP(B2313,baru!$B$2:$I$2271,6,FALSE)</f>
        <v>KOTA JAKARTA SELATAN</v>
      </c>
    </row>
    <row r="2314" spans="1:12" hidden="1" x14ac:dyDescent="0.35">
      <c r="A2314" s="13">
        <v>2087716</v>
      </c>
      <c r="B2314" s="14" t="str">
        <f>"3328135911860009"</f>
        <v>3328135911860009</v>
      </c>
      <c r="C2314" s="14" t="s">
        <v>4602</v>
      </c>
      <c r="D2314" s="14" t="s">
        <v>10</v>
      </c>
      <c r="E2314" s="14" t="s">
        <v>11</v>
      </c>
      <c r="F2314" s="14" t="s">
        <v>18</v>
      </c>
      <c r="G2314" s="14" t="s">
        <v>19</v>
      </c>
      <c r="H2314" s="14" t="s">
        <v>4290</v>
      </c>
      <c r="I2314" s="15" t="s">
        <v>4309</v>
      </c>
      <c r="J2314" s="16" t="str">
        <f>VLOOKUP(B2314,baru!$B$2:$I$2271,4,FALSE)</f>
        <v>Reguler</v>
      </c>
      <c r="K2314" s="16" t="str">
        <f>VLOOKUP(B2314,baru!$B$2:$I$2271,5,FALSE)</f>
        <v>JAWA TIMUR</v>
      </c>
      <c r="L2314" s="16" t="str">
        <f>VLOOKUP(B2314,baru!$B$2:$I$2271,6,FALSE)</f>
        <v>BANYUWANGI</v>
      </c>
    </row>
    <row r="2315" spans="1:12" x14ac:dyDescent="0.35">
      <c r="A2315" s="13">
        <v>1897528</v>
      </c>
      <c r="B2315" s="14" t="str">
        <f>"3328136011910002"</f>
        <v>3328136011910002</v>
      </c>
      <c r="C2315" s="14" t="s">
        <v>4605</v>
      </c>
      <c r="D2315" s="14" t="s">
        <v>189</v>
      </c>
      <c r="E2315" s="14" t="s">
        <v>11</v>
      </c>
      <c r="F2315" s="14" t="s">
        <v>18</v>
      </c>
      <c r="G2315" s="14" t="s">
        <v>19</v>
      </c>
      <c r="H2315" s="14" t="s">
        <v>4290</v>
      </c>
      <c r="I2315" s="15" t="s">
        <v>4606</v>
      </c>
      <c r="J2315" s="16" t="str">
        <f>VLOOKUP(B2315,baru!$B$2:$I$2271,4,FALSE)</f>
        <v>Reguler</v>
      </c>
      <c r="K2315" s="16" t="str">
        <f>VLOOKUP(B2315,baru!$B$2:$I$2271,5,FALSE)</f>
        <v>JAWA TENGAH</v>
      </c>
      <c r="L2315" s="16" t="str">
        <f>VLOOKUP(B2315,baru!$B$2:$I$2271,6,FALSE)</f>
        <v>BATANG</v>
      </c>
    </row>
    <row r="2316" spans="1:12" hidden="1" x14ac:dyDescent="0.35">
      <c r="A2316" s="13">
        <v>2464906</v>
      </c>
      <c r="B2316" s="14" t="str">
        <f>"3328136104970003"</f>
        <v>3328136104970003</v>
      </c>
      <c r="C2316" s="14" t="s">
        <v>4609</v>
      </c>
      <c r="D2316" s="14" t="s">
        <v>10</v>
      </c>
      <c r="E2316" s="14" t="s">
        <v>11</v>
      </c>
      <c r="F2316" s="14" t="s">
        <v>18</v>
      </c>
      <c r="G2316" s="14" t="s">
        <v>19</v>
      </c>
      <c r="H2316" s="14" t="s">
        <v>4290</v>
      </c>
      <c r="I2316" s="15" t="s">
        <v>2513</v>
      </c>
      <c r="J2316" s="16" t="str">
        <f>VLOOKUP(B2316,baru!$B$2:$I$2271,4,FALSE)</f>
        <v>Reguler</v>
      </c>
      <c r="K2316" s="16" t="str">
        <f>VLOOKUP(B2316,baru!$B$2:$I$2271,5,FALSE)</f>
        <v>JAWA TENGAH</v>
      </c>
      <c r="L2316" s="16" t="str">
        <f>VLOOKUP(B2316,baru!$B$2:$I$2271,6,FALSE)</f>
        <v>KOTA TEGAL</v>
      </c>
    </row>
    <row r="2317" spans="1:12" hidden="1" x14ac:dyDescent="0.35">
      <c r="A2317" s="13">
        <v>2514284</v>
      </c>
      <c r="B2317" s="14" t="str">
        <f>"3328136205850001"</f>
        <v>3328136205850001</v>
      </c>
      <c r="C2317" s="14" t="s">
        <v>4610</v>
      </c>
      <c r="D2317" s="14" t="s">
        <v>10</v>
      </c>
      <c r="E2317" s="14" t="s">
        <v>11</v>
      </c>
      <c r="F2317" s="14" t="s">
        <v>18</v>
      </c>
      <c r="G2317" s="14" t="s">
        <v>19</v>
      </c>
      <c r="H2317" s="14" t="s">
        <v>4290</v>
      </c>
      <c r="I2317" s="15" t="s">
        <v>4513</v>
      </c>
      <c r="J2317" s="16" t="str">
        <f>VLOOKUP(B2317,baru!$B$2:$I$2271,4,FALSE)</f>
        <v>Reguler</v>
      </c>
      <c r="K2317" s="16" t="str">
        <f>VLOOKUP(B2317,baru!$B$2:$I$2271,5,FALSE)</f>
        <v>KALIMANTAN UTARA</v>
      </c>
      <c r="L2317" s="16" t="str">
        <f>VLOOKUP(B2317,baru!$B$2:$I$2271,6,FALSE)</f>
        <v>BULUNGAN</v>
      </c>
    </row>
    <row r="2318" spans="1:12" hidden="1" x14ac:dyDescent="0.35">
      <c r="A2318" s="6">
        <v>1392353</v>
      </c>
      <c r="B2318" s="7" t="str">
        <f>"3328136302020006"</f>
        <v>3328136302020006</v>
      </c>
      <c r="C2318" s="7" t="s">
        <v>4615</v>
      </c>
      <c r="D2318" s="7" t="s">
        <v>10</v>
      </c>
      <c r="E2318" s="7" t="s">
        <v>57</v>
      </c>
      <c r="F2318" s="7" t="s">
        <v>303</v>
      </c>
      <c r="G2318" s="7" t="s">
        <v>608</v>
      </c>
      <c r="H2318" s="7" t="s">
        <v>1089</v>
      </c>
      <c r="I2318" s="8" t="s">
        <v>4616</v>
      </c>
    </row>
    <row r="2319" spans="1:12" hidden="1" x14ac:dyDescent="0.35">
      <c r="A2319" s="6">
        <v>381030</v>
      </c>
      <c r="B2319" s="7" t="str">
        <f>"3328136302910002"</f>
        <v>3328136302910002</v>
      </c>
      <c r="C2319" s="7" t="s">
        <v>4617</v>
      </c>
      <c r="D2319" s="7" t="s">
        <v>10</v>
      </c>
      <c r="E2319" s="7" t="s">
        <v>11</v>
      </c>
      <c r="F2319" s="7" t="s">
        <v>18</v>
      </c>
      <c r="G2319" s="7" t="s">
        <v>268</v>
      </c>
      <c r="H2319" s="7" t="s">
        <v>448</v>
      </c>
      <c r="I2319" s="8" t="s">
        <v>449</v>
      </c>
    </row>
    <row r="2320" spans="1:12" hidden="1" x14ac:dyDescent="0.35">
      <c r="A2320" s="6">
        <v>1018730</v>
      </c>
      <c r="B2320" s="7" t="str">
        <f>"3328136307890001"</f>
        <v>3328136307890001</v>
      </c>
      <c r="C2320" s="7" t="s">
        <v>4618</v>
      </c>
      <c r="D2320" s="7" t="s">
        <v>10</v>
      </c>
      <c r="E2320" s="7" t="s">
        <v>11</v>
      </c>
      <c r="F2320" s="7" t="s">
        <v>18</v>
      </c>
      <c r="G2320" s="7" t="s">
        <v>264</v>
      </c>
      <c r="H2320" s="7" t="s">
        <v>264</v>
      </c>
      <c r="I2320" s="8" t="s">
        <v>4619</v>
      </c>
    </row>
    <row r="2321" spans="1:12" hidden="1" x14ac:dyDescent="0.35">
      <c r="A2321" s="6">
        <v>269007</v>
      </c>
      <c r="B2321" s="7" t="str">
        <f>"3328136309010003"</f>
        <v>3328136309010003</v>
      </c>
      <c r="C2321" s="7" t="s">
        <v>4620</v>
      </c>
      <c r="D2321" s="7" t="s">
        <v>10</v>
      </c>
      <c r="E2321" s="7" t="s">
        <v>11</v>
      </c>
      <c r="F2321" s="7" t="s">
        <v>91</v>
      </c>
      <c r="G2321" s="7" t="s">
        <v>155</v>
      </c>
      <c r="H2321" s="7" t="s">
        <v>4579</v>
      </c>
      <c r="I2321" s="8" t="s">
        <v>4580</v>
      </c>
    </row>
    <row r="2322" spans="1:12" hidden="1" x14ac:dyDescent="0.35">
      <c r="A2322" s="13">
        <v>2109393</v>
      </c>
      <c r="B2322" s="14" t="str">
        <f>"3328136309960004"</f>
        <v>3328136309960004</v>
      </c>
      <c r="C2322" s="14" t="s">
        <v>4621</v>
      </c>
      <c r="D2322" s="14" t="s">
        <v>10</v>
      </c>
      <c r="E2322" s="14" t="s">
        <v>11</v>
      </c>
      <c r="F2322" s="14" t="s">
        <v>18</v>
      </c>
      <c r="G2322" s="14" t="s">
        <v>19</v>
      </c>
      <c r="H2322" s="14" t="s">
        <v>4290</v>
      </c>
      <c r="I2322" s="15" t="s">
        <v>4347</v>
      </c>
      <c r="J2322" s="16" t="str">
        <f>VLOOKUP(B2322,baru!$B$2:$I$2271,4,FALSE)</f>
        <v>Reguler</v>
      </c>
      <c r="K2322" s="16" t="str">
        <f>VLOOKUP(B2322,baru!$B$2:$I$2271,5,FALSE)</f>
        <v>JAWA TENGAH</v>
      </c>
      <c r="L2322" s="16" t="str">
        <f>VLOOKUP(B2322,baru!$B$2:$I$2271,6,FALSE)</f>
        <v>KEBUMEN</v>
      </c>
    </row>
    <row r="2323" spans="1:12" hidden="1" x14ac:dyDescent="0.35">
      <c r="A2323" s="6">
        <v>296409</v>
      </c>
      <c r="B2323" s="7" t="str">
        <f>"3328136312770002"</f>
        <v>3328136312770002</v>
      </c>
      <c r="C2323" s="7" t="s">
        <v>4622</v>
      </c>
      <c r="D2323" s="7" t="s">
        <v>10</v>
      </c>
      <c r="E2323" s="7" t="s">
        <v>11</v>
      </c>
      <c r="F2323" s="7" t="s">
        <v>18</v>
      </c>
      <c r="G2323" s="7" t="s">
        <v>268</v>
      </c>
      <c r="H2323" s="7" t="s">
        <v>277</v>
      </c>
      <c r="I2323" s="8" t="s">
        <v>2762</v>
      </c>
    </row>
    <row r="2324" spans="1:12" hidden="1" x14ac:dyDescent="0.35">
      <c r="A2324" s="6">
        <v>325857</v>
      </c>
      <c r="B2324" s="7" t="str">
        <f>"3328136404880004"</f>
        <v>3328136404880004</v>
      </c>
      <c r="C2324" s="7" t="s">
        <v>4574</v>
      </c>
      <c r="D2324" s="7" t="s">
        <v>10</v>
      </c>
      <c r="E2324" s="7" t="s">
        <v>11</v>
      </c>
      <c r="F2324" s="7" t="s">
        <v>18</v>
      </c>
      <c r="G2324" s="7" t="s">
        <v>268</v>
      </c>
      <c r="H2324" s="7" t="s">
        <v>269</v>
      </c>
      <c r="I2324" s="8" t="s">
        <v>4408</v>
      </c>
    </row>
    <row r="2325" spans="1:12" hidden="1" x14ac:dyDescent="0.35">
      <c r="A2325" s="6">
        <v>1897421</v>
      </c>
      <c r="B2325" s="7" t="str">
        <f>"3328136412030001"</f>
        <v>3328136412030001</v>
      </c>
      <c r="C2325" s="7" t="s">
        <v>4623</v>
      </c>
      <c r="D2325" s="7" t="s">
        <v>10</v>
      </c>
      <c r="E2325" s="7" t="s">
        <v>11</v>
      </c>
      <c r="F2325" s="7" t="s">
        <v>18</v>
      </c>
      <c r="G2325" s="7" t="s">
        <v>19</v>
      </c>
      <c r="H2325" s="7" t="s">
        <v>4290</v>
      </c>
      <c r="I2325" s="8" t="s">
        <v>4606</v>
      </c>
      <c r="J2325" t="e">
        <f>VLOOKUP(B2325,baru!$B$2:$I$2271,4,FALSE)</f>
        <v>#N/A</v>
      </c>
      <c r="K2325" t="e">
        <f>VLOOKUP(B2325,baru!$B$2:$I$2271,5,FALSE)</f>
        <v>#N/A</v>
      </c>
      <c r="L2325" t="e">
        <f>VLOOKUP(B2325,baru!$B$2:$I$2271,6,FALSE)</f>
        <v>#N/A</v>
      </c>
    </row>
    <row r="2326" spans="1:12" hidden="1" x14ac:dyDescent="0.35">
      <c r="A2326" s="6">
        <v>1352896</v>
      </c>
      <c r="B2326" s="7" t="str">
        <f>"3328136412030001"</f>
        <v>3328136412030001</v>
      </c>
      <c r="C2326" s="7" t="s">
        <v>4623</v>
      </c>
      <c r="D2326" s="7" t="s">
        <v>10</v>
      </c>
      <c r="E2326" s="7" t="s">
        <v>57</v>
      </c>
      <c r="F2326" s="7" t="s">
        <v>303</v>
      </c>
      <c r="G2326" s="7" t="s">
        <v>608</v>
      </c>
      <c r="H2326" s="7" t="s">
        <v>609</v>
      </c>
      <c r="I2326" s="8" t="s">
        <v>610</v>
      </c>
    </row>
    <row r="2327" spans="1:12" hidden="1" x14ac:dyDescent="0.35">
      <c r="A2327" s="13">
        <v>1911141</v>
      </c>
      <c r="B2327" s="14" t="str">
        <f>"3328136606940002"</f>
        <v>3328136606940002</v>
      </c>
      <c r="C2327" s="14" t="s">
        <v>4624</v>
      </c>
      <c r="D2327" s="14" t="s">
        <v>10</v>
      </c>
      <c r="E2327" s="14" t="s">
        <v>11</v>
      </c>
      <c r="F2327" s="14" t="s">
        <v>18</v>
      </c>
      <c r="G2327" s="14" t="s">
        <v>19</v>
      </c>
      <c r="H2327" s="14" t="s">
        <v>4290</v>
      </c>
      <c r="I2327" s="15" t="s">
        <v>4475</v>
      </c>
      <c r="J2327" s="16" t="str">
        <f>VLOOKUP(B2327,baru!$B$2:$I$2271,4,FALSE)</f>
        <v>Reguler</v>
      </c>
      <c r="K2327" s="16" t="str">
        <f>VLOOKUP(B2327,baru!$B$2:$I$2271,5,FALSE)</f>
        <v>JAWA TENGAH</v>
      </c>
      <c r="L2327" s="16" t="str">
        <f>VLOOKUP(B2327,baru!$B$2:$I$2271,6,FALSE)</f>
        <v>KOTA TEGAL</v>
      </c>
    </row>
    <row r="2328" spans="1:12" hidden="1" x14ac:dyDescent="0.35">
      <c r="A2328" s="13">
        <v>2409758</v>
      </c>
      <c r="B2328" s="14" t="str">
        <f>"3328136612850001"</f>
        <v>3328136612850001</v>
      </c>
      <c r="C2328" s="14" t="s">
        <v>4626</v>
      </c>
      <c r="D2328" s="14" t="s">
        <v>10</v>
      </c>
      <c r="E2328" s="14" t="s">
        <v>11</v>
      </c>
      <c r="F2328" s="14" t="s">
        <v>18</v>
      </c>
      <c r="G2328" s="14" t="s">
        <v>19</v>
      </c>
      <c r="H2328" s="14" t="s">
        <v>4290</v>
      </c>
      <c r="I2328" s="15" t="s">
        <v>1381</v>
      </c>
      <c r="J2328" s="16" t="str">
        <f>VLOOKUP(B2328,baru!$B$2:$I$2271,4,FALSE)</f>
        <v>Reguler</v>
      </c>
      <c r="K2328" s="16" t="str">
        <f>VLOOKUP(B2328,baru!$B$2:$I$2271,5,FALSE)</f>
        <v>DKI JAKARTA</v>
      </c>
      <c r="L2328" s="16" t="str">
        <f>VLOOKUP(B2328,baru!$B$2:$I$2271,6,FALSE)</f>
        <v>KOTA JAKARTA BARAT</v>
      </c>
    </row>
    <row r="2329" spans="1:12" hidden="1" x14ac:dyDescent="0.35">
      <c r="A2329" s="6">
        <v>2409657</v>
      </c>
      <c r="B2329" s="7" t="str">
        <f>"3328136804030001"</f>
        <v>3328136804030001</v>
      </c>
      <c r="C2329" s="7" t="s">
        <v>4627</v>
      </c>
      <c r="D2329" s="7" t="s">
        <v>10</v>
      </c>
      <c r="E2329" s="7" t="s">
        <v>11</v>
      </c>
      <c r="F2329" s="7" t="s">
        <v>18</v>
      </c>
      <c r="G2329" s="7" t="s">
        <v>19</v>
      </c>
      <c r="H2329" s="7" t="s">
        <v>4290</v>
      </c>
      <c r="I2329" s="8" t="s">
        <v>1381</v>
      </c>
      <c r="J2329" t="e">
        <f>VLOOKUP(B2329,baru!$B$2:$I$2271,4,FALSE)</f>
        <v>#N/A</v>
      </c>
      <c r="K2329" t="e">
        <f>VLOOKUP(B2329,baru!$B$2:$I$2271,5,FALSE)</f>
        <v>#N/A</v>
      </c>
      <c r="L2329" t="e">
        <f>VLOOKUP(B2329,baru!$B$2:$I$2271,6,FALSE)</f>
        <v>#N/A</v>
      </c>
    </row>
    <row r="2330" spans="1:12" hidden="1" x14ac:dyDescent="0.35">
      <c r="A2330" s="6">
        <v>1352897</v>
      </c>
      <c r="B2330" s="7" t="str">
        <f>"3328136804030001"</f>
        <v>3328136804030001</v>
      </c>
      <c r="C2330" s="7" t="s">
        <v>4627</v>
      </c>
      <c r="D2330" s="7" t="s">
        <v>10</v>
      </c>
      <c r="E2330" s="7" t="s">
        <v>57</v>
      </c>
      <c r="F2330" s="7" t="s">
        <v>303</v>
      </c>
      <c r="G2330" s="7" t="s">
        <v>608</v>
      </c>
      <c r="H2330" s="7" t="s">
        <v>609</v>
      </c>
      <c r="I2330" s="8" t="s">
        <v>610</v>
      </c>
    </row>
    <row r="2331" spans="1:12" hidden="1" x14ac:dyDescent="0.35">
      <c r="A2331" s="13">
        <v>1744464</v>
      </c>
      <c r="B2331" s="14" t="str">
        <f>"3328136805920003"</f>
        <v>3328136805920003</v>
      </c>
      <c r="C2331" s="14" t="s">
        <v>4628</v>
      </c>
      <c r="D2331" s="14" t="s">
        <v>10</v>
      </c>
      <c r="E2331" s="14" t="s">
        <v>11</v>
      </c>
      <c r="F2331" s="14" t="s">
        <v>18</v>
      </c>
      <c r="G2331" s="14" t="s">
        <v>19</v>
      </c>
      <c r="H2331" s="14" t="s">
        <v>4290</v>
      </c>
      <c r="I2331" s="15" t="s">
        <v>4426</v>
      </c>
      <c r="J2331" s="16" t="str">
        <f>VLOOKUP(B2331,baru!$B$2:$I$2271,4,FALSE)</f>
        <v>Reguler</v>
      </c>
      <c r="K2331" s="16" t="str">
        <f>VLOOKUP(B2331,baru!$B$2:$I$2271,5,FALSE)</f>
        <v>DKI JAKARTA</v>
      </c>
      <c r="L2331" s="16" t="str">
        <f>VLOOKUP(B2331,baru!$B$2:$I$2271,6,FALSE)</f>
        <v>KOTA JAKARTA TIMUR</v>
      </c>
    </row>
    <row r="2332" spans="1:12" x14ac:dyDescent="0.35">
      <c r="A2332" s="13">
        <v>1898908</v>
      </c>
      <c r="B2332" s="14" t="str">
        <f>"3328136812960004"</f>
        <v>3328136812960004</v>
      </c>
      <c r="C2332" s="14" t="s">
        <v>4629</v>
      </c>
      <c r="D2332" s="14" t="s">
        <v>189</v>
      </c>
      <c r="E2332" s="14" t="s">
        <v>11</v>
      </c>
      <c r="F2332" s="14" t="s">
        <v>18</v>
      </c>
      <c r="G2332" s="14" t="s">
        <v>19</v>
      </c>
      <c r="H2332" s="14" t="s">
        <v>4290</v>
      </c>
      <c r="I2332" s="15" t="s">
        <v>4358</v>
      </c>
      <c r="J2332" s="16" t="str">
        <f>VLOOKUP(B2332,baru!$B$2:$I$2271,4,FALSE)</f>
        <v>Reguler</v>
      </c>
      <c r="K2332" s="16" t="str">
        <f>VLOOKUP(B2332,baru!$B$2:$I$2271,5,FALSE)</f>
        <v>JAWA TENGAH</v>
      </c>
      <c r="L2332" s="16" t="str">
        <f>VLOOKUP(B2332,baru!$B$2:$I$2271,6,FALSE)</f>
        <v>BREBES</v>
      </c>
    </row>
    <row r="2333" spans="1:12" hidden="1" x14ac:dyDescent="0.35">
      <c r="A2333" s="6">
        <v>1858136</v>
      </c>
      <c r="B2333" s="7" t="str">
        <f>"3328136906840006"</f>
        <v>3328136906840006</v>
      </c>
      <c r="C2333" s="7" t="s">
        <v>153</v>
      </c>
      <c r="D2333" s="7" t="s">
        <v>10</v>
      </c>
      <c r="E2333" s="7" t="s">
        <v>11</v>
      </c>
      <c r="F2333" s="7" t="s">
        <v>50</v>
      </c>
      <c r="G2333" s="7" t="s">
        <v>58</v>
      </c>
      <c r="H2333" s="7" t="s">
        <v>97</v>
      </c>
      <c r="I2333" s="8" t="s">
        <v>342</v>
      </c>
    </row>
    <row r="2334" spans="1:12" hidden="1" x14ac:dyDescent="0.35">
      <c r="A2334" s="6">
        <v>213496</v>
      </c>
      <c r="B2334" s="7" t="str">
        <f>"3328137011920004"</f>
        <v>3328137011920004</v>
      </c>
      <c r="C2334" s="7" t="s">
        <v>4631</v>
      </c>
      <c r="D2334" s="7" t="s">
        <v>10</v>
      </c>
      <c r="E2334" s="7" t="s">
        <v>11</v>
      </c>
      <c r="F2334" s="7" t="s">
        <v>18</v>
      </c>
      <c r="G2334" s="7" t="s">
        <v>268</v>
      </c>
      <c r="H2334" s="7" t="s">
        <v>371</v>
      </c>
      <c r="I2334" s="8" t="s">
        <v>2772</v>
      </c>
    </row>
    <row r="2335" spans="1:12" hidden="1" x14ac:dyDescent="0.35">
      <c r="A2335" s="6">
        <v>2083802</v>
      </c>
      <c r="B2335" s="7" t="str">
        <f>"3328137107030001"</f>
        <v>3328137107030001</v>
      </c>
      <c r="C2335" s="7" t="s">
        <v>4632</v>
      </c>
      <c r="D2335" s="7" t="s">
        <v>10</v>
      </c>
      <c r="E2335" s="7" t="s">
        <v>11</v>
      </c>
      <c r="F2335" s="7" t="s">
        <v>18</v>
      </c>
      <c r="G2335" s="7" t="s">
        <v>19</v>
      </c>
      <c r="H2335" s="7" t="s">
        <v>4290</v>
      </c>
      <c r="I2335" s="8" t="s">
        <v>4309</v>
      </c>
      <c r="J2335" t="e">
        <f>VLOOKUP(B2335,baru!$B$2:$I$2271,4,FALSE)</f>
        <v>#N/A</v>
      </c>
      <c r="K2335" t="e">
        <f>VLOOKUP(B2335,baru!$B$2:$I$2271,5,FALSE)</f>
        <v>#N/A</v>
      </c>
      <c r="L2335" t="e">
        <f>VLOOKUP(B2335,baru!$B$2:$I$2271,6,FALSE)</f>
        <v>#N/A</v>
      </c>
    </row>
    <row r="2336" spans="1:12" hidden="1" x14ac:dyDescent="0.35">
      <c r="A2336" s="6">
        <v>1352899</v>
      </c>
      <c r="B2336" s="7" t="str">
        <f>"3328137107030001"</f>
        <v>3328137107030001</v>
      </c>
      <c r="C2336" s="7" t="s">
        <v>4632</v>
      </c>
      <c r="D2336" s="7" t="s">
        <v>10</v>
      </c>
      <c r="E2336" s="7" t="s">
        <v>57</v>
      </c>
      <c r="F2336" s="7" t="s">
        <v>303</v>
      </c>
      <c r="G2336" s="7" t="s">
        <v>608</v>
      </c>
      <c r="H2336" s="7" t="s">
        <v>609</v>
      </c>
      <c r="I2336" s="8" t="s">
        <v>610</v>
      </c>
    </row>
    <row r="2337" spans="1:12" hidden="1" x14ac:dyDescent="0.35">
      <c r="A2337" s="6">
        <v>2408492</v>
      </c>
      <c r="B2337" s="7" t="str">
        <f>"3328152610010012"</f>
        <v>3328152610010012</v>
      </c>
      <c r="C2337" s="7" t="s">
        <v>4633</v>
      </c>
      <c r="D2337" s="7" t="s">
        <v>10</v>
      </c>
      <c r="E2337" s="7" t="s">
        <v>11</v>
      </c>
      <c r="F2337" s="7" t="s">
        <v>18</v>
      </c>
      <c r="G2337" s="7" t="s">
        <v>19</v>
      </c>
      <c r="H2337" s="7" t="s">
        <v>4290</v>
      </c>
      <c r="I2337" s="8" t="s">
        <v>1381</v>
      </c>
      <c r="J2337" t="e">
        <f>VLOOKUP(B2337,baru!$B$2:$I$2271,4,FALSE)</f>
        <v>#N/A</v>
      </c>
      <c r="K2337" t="e">
        <f>VLOOKUP(B2337,baru!$B$2:$I$2271,5,FALSE)</f>
        <v>#N/A</v>
      </c>
      <c r="L2337" t="e">
        <f>VLOOKUP(B2337,baru!$B$2:$I$2271,6,FALSE)</f>
        <v>#N/A</v>
      </c>
    </row>
    <row r="2338" spans="1:12" hidden="1" x14ac:dyDescent="0.35">
      <c r="A2338" s="6">
        <v>423825</v>
      </c>
      <c r="B2338" s="7" t="str">
        <f>"3328152610010012"</f>
        <v>3328152610010012</v>
      </c>
      <c r="C2338" s="7" t="s">
        <v>4634</v>
      </c>
      <c r="D2338" s="7" t="s">
        <v>10</v>
      </c>
      <c r="E2338" s="7" t="s">
        <v>57</v>
      </c>
      <c r="F2338" s="7" t="s">
        <v>18</v>
      </c>
      <c r="G2338" s="7" t="s">
        <v>268</v>
      </c>
      <c r="H2338" s="7" t="s">
        <v>277</v>
      </c>
      <c r="I2338" s="8" t="s">
        <v>278</v>
      </c>
    </row>
    <row r="2339" spans="1:12" hidden="1" x14ac:dyDescent="0.35">
      <c r="A2339" s="13">
        <v>1442602</v>
      </c>
      <c r="B2339" s="14" t="str">
        <f>"3329034505870007"</f>
        <v>3329034505870007</v>
      </c>
      <c r="C2339" s="14" t="s">
        <v>4635</v>
      </c>
      <c r="D2339" s="14" t="s">
        <v>10</v>
      </c>
      <c r="E2339" s="14" t="s">
        <v>11</v>
      </c>
      <c r="F2339" s="14" t="s">
        <v>18</v>
      </c>
      <c r="G2339" s="14" t="s">
        <v>19</v>
      </c>
      <c r="H2339" s="14" t="s">
        <v>4290</v>
      </c>
      <c r="I2339" s="15" t="s">
        <v>878</v>
      </c>
      <c r="J2339" s="16" t="str">
        <f>VLOOKUP(B2339,baru!$B$2:$I$2271,4,FALSE)</f>
        <v>Reguler</v>
      </c>
      <c r="K2339" s="16" t="str">
        <f>VLOOKUP(B2339,baru!$B$2:$I$2271,5,FALSE)</f>
        <v>JAWA TENGAH</v>
      </c>
      <c r="L2339" s="16" t="str">
        <f>VLOOKUP(B2339,baru!$B$2:$I$2271,6,FALSE)</f>
        <v>BREBES</v>
      </c>
    </row>
    <row r="2340" spans="1:12" hidden="1" x14ac:dyDescent="0.35">
      <c r="A2340" s="6">
        <v>1185994</v>
      </c>
      <c r="B2340" s="7" t="str">
        <f>"3329040712840001"</f>
        <v>3329040712840001</v>
      </c>
      <c r="C2340" s="7" t="s">
        <v>4636</v>
      </c>
      <c r="D2340" s="7" t="s">
        <v>10</v>
      </c>
      <c r="E2340" s="7" t="s">
        <v>11</v>
      </c>
      <c r="F2340" s="7" t="s">
        <v>18</v>
      </c>
      <c r="G2340" s="7" t="s">
        <v>264</v>
      </c>
      <c r="H2340" s="7" t="s">
        <v>396</v>
      </c>
      <c r="I2340" s="8" t="s">
        <v>844</v>
      </c>
    </row>
    <row r="2341" spans="1:12" hidden="1" x14ac:dyDescent="0.35">
      <c r="A2341" s="6">
        <v>1319852</v>
      </c>
      <c r="B2341" s="7" t="str">
        <f>"3329051001930001"</f>
        <v>3329051001930001</v>
      </c>
      <c r="C2341" s="7" t="s">
        <v>4637</v>
      </c>
      <c r="D2341" s="7" t="s">
        <v>10</v>
      </c>
      <c r="E2341" s="7" t="s">
        <v>11</v>
      </c>
      <c r="F2341" s="7" t="s">
        <v>18</v>
      </c>
      <c r="G2341" s="7" t="s">
        <v>264</v>
      </c>
      <c r="H2341" s="7" t="s">
        <v>289</v>
      </c>
      <c r="I2341" s="8" t="s">
        <v>290</v>
      </c>
    </row>
    <row r="2342" spans="1:12" hidden="1" x14ac:dyDescent="0.35">
      <c r="A2342" s="6">
        <v>637703</v>
      </c>
      <c r="B2342" s="7" t="str">
        <f>"3329081208890017"</f>
        <v>3329081208890017</v>
      </c>
      <c r="C2342" s="7" t="s">
        <v>4638</v>
      </c>
      <c r="D2342" s="7" t="s">
        <v>10</v>
      </c>
      <c r="E2342" s="7" t="s">
        <v>11</v>
      </c>
      <c r="F2342" s="7" t="s">
        <v>18</v>
      </c>
      <c r="G2342" s="7" t="s">
        <v>264</v>
      </c>
      <c r="H2342" s="7" t="s">
        <v>248</v>
      </c>
      <c r="I2342" s="8" t="s">
        <v>4639</v>
      </c>
    </row>
    <row r="2343" spans="1:12" hidden="1" x14ac:dyDescent="0.35">
      <c r="A2343" s="13">
        <v>1941781</v>
      </c>
      <c r="B2343" s="14" t="str">
        <f>"3329081507650002"</f>
        <v>3329081507650002</v>
      </c>
      <c r="C2343" s="14" t="s">
        <v>4640</v>
      </c>
      <c r="D2343" s="14" t="s">
        <v>10</v>
      </c>
      <c r="E2343" s="14" t="s">
        <v>11</v>
      </c>
      <c r="F2343" s="14" t="s">
        <v>18</v>
      </c>
      <c r="G2343" s="14" t="s">
        <v>19</v>
      </c>
      <c r="H2343" s="14" t="s">
        <v>4290</v>
      </c>
      <c r="I2343" s="15" t="s">
        <v>4329</v>
      </c>
      <c r="J2343" s="16" t="str">
        <f>VLOOKUP(B2343,baru!$B$2:$I$2271,4,FALSE)</f>
        <v>Reguler</v>
      </c>
      <c r="K2343" s="16" t="str">
        <f>VLOOKUP(B2343,baru!$B$2:$I$2271,5,FALSE)</f>
        <v>JAWA TENGAH</v>
      </c>
      <c r="L2343" s="16" t="str">
        <f>VLOOKUP(B2343,baru!$B$2:$I$2271,6,FALSE)</f>
        <v>BREBES</v>
      </c>
    </row>
    <row r="2344" spans="1:12" hidden="1" x14ac:dyDescent="0.35">
      <c r="A2344" s="13">
        <v>1940873</v>
      </c>
      <c r="B2344" s="14" t="str">
        <f>"3329082804840013"</f>
        <v>3329082804840013</v>
      </c>
      <c r="C2344" s="14" t="s">
        <v>4641</v>
      </c>
      <c r="D2344" s="14" t="s">
        <v>10</v>
      </c>
      <c r="E2344" s="14" t="s">
        <v>11</v>
      </c>
      <c r="F2344" s="14" t="s">
        <v>18</v>
      </c>
      <c r="G2344" s="14" t="s">
        <v>19</v>
      </c>
      <c r="H2344" s="14" t="s">
        <v>4290</v>
      </c>
      <c r="I2344" s="15" t="s">
        <v>4329</v>
      </c>
      <c r="J2344" s="16" t="str">
        <f>VLOOKUP(B2344,baru!$B$2:$I$2271,4,FALSE)</f>
        <v>Reguler</v>
      </c>
      <c r="K2344" s="16" t="str">
        <f>VLOOKUP(B2344,baru!$B$2:$I$2271,5,FALSE)</f>
        <v>JAWA TENGAH</v>
      </c>
      <c r="L2344" s="16" t="str">
        <f>VLOOKUP(B2344,baru!$B$2:$I$2271,6,FALSE)</f>
        <v>BREBES</v>
      </c>
    </row>
    <row r="2345" spans="1:12" hidden="1" x14ac:dyDescent="0.35">
      <c r="A2345" s="6">
        <v>865678</v>
      </c>
      <c r="B2345" s="7" t="str">
        <f>"3329086610020004"</f>
        <v>3329086610020004</v>
      </c>
      <c r="C2345" s="7" t="s">
        <v>4643</v>
      </c>
      <c r="D2345" s="7" t="s">
        <v>10</v>
      </c>
      <c r="E2345" s="7" t="s">
        <v>11</v>
      </c>
      <c r="F2345" s="7" t="s">
        <v>18</v>
      </c>
      <c r="G2345" s="7" t="s">
        <v>264</v>
      </c>
      <c r="H2345" s="7" t="s">
        <v>248</v>
      </c>
      <c r="I2345" s="8" t="s">
        <v>992</v>
      </c>
    </row>
    <row r="2346" spans="1:12" hidden="1" x14ac:dyDescent="0.35">
      <c r="A2346" s="6">
        <v>835814</v>
      </c>
      <c r="B2346" s="7" t="str">
        <f>"3329096508960006"</f>
        <v>3329096508960006</v>
      </c>
      <c r="C2346" s="7" t="s">
        <v>4645</v>
      </c>
      <c r="D2346" s="7" t="s">
        <v>10</v>
      </c>
      <c r="E2346" s="7" t="s">
        <v>11</v>
      </c>
      <c r="F2346" s="7" t="s">
        <v>18</v>
      </c>
      <c r="G2346" s="7" t="s">
        <v>264</v>
      </c>
      <c r="H2346" s="7" t="s">
        <v>264</v>
      </c>
      <c r="I2346" s="8" t="s">
        <v>264</v>
      </c>
    </row>
    <row r="2347" spans="1:12" hidden="1" x14ac:dyDescent="0.35">
      <c r="A2347" s="13">
        <v>1879716</v>
      </c>
      <c r="B2347" s="14" t="str">
        <f>"3329100302760004"</f>
        <v>3329100302760004</v>
      </c>
      <c r="C2347" s="14" t="s">
        <v>4007</v>
      </c>
      <c r="D2347" s="14" t="s">
        <v>10</v>
      </c>
      <c r="E2347" s="14" t="s">
        <v>11</v>
      </c>
      <c r="F2347" s="14" t="s">
        <v>18</v>
      </c>
      <c r="G2347" s="14" t="s">
        <v>19</v>
      </c>
      <c r="H2347" s="14" t="s">
        <v>4290</v>
      </c>
      <c r="I2347" s="15" t="s">
        <v>4303</v>
      </c>
      <c r="J2347" s="16" t="str">
        <f>VLOOKUP(B2347,baru!$B$2:$I$2271,4,FALSE)</f>
        <v>Reguler</v>
      </c>
      <c r="K2347" s="16" t="str">
        <f>VLOOKUP(B2347,baru!$B$2:$I$2271,5,FALSE)</f>
        <v>JAWA TENGAH</v>
      </c>
      <c r="L2347" s="16" t="str">
        <f>VLOOKUP(B2347,baru!$B$2:$I$2271,6,FALSE)</f>
        <v>BREBES</v>
      </c>
    </row>
    <row r="2348" spans="1:12" hidden="1" x14ac:dyDescent="0.35">
      <c r="A2348" s="6">
        <v>1440720</v>
      </c>
      <c r="B2348" s="7" t="str">
        <f>"3329104307990005"</f>
        <v>3329104307990005</v>
      </c>
      <c r="C2348" s="7" t="s">
        <v>4648</v>
      </c>
      <c r="D2348" s="7" t="s">
        <v>10</v>
      </c>
      <c r="E2348" s="7" t="s">
        <v>11</v>
      </c>
      <c r="F2348" s="7" t="s">
        <v>18</v>
      </c>
      <c r="G2348" s="7" t="s">
        <v>264</v>
      </c>
      <c r="H2348" s="7" t="s">
        <v>273</v>
      </c>
      <c r="I2348" s="8" t="s">
        <v>875</v>
      </c>
    </row>
    <row r="2349" spans="1:12" hidden="1" x14ac:dyDescent="0.35">
      <c r="A2349" s="13">
        <v>1884655</v>
      </c>
      <c r="B2349" s="14" t="str">
        <f>"3329143112830080"</f>
        <v>3329143112830080</v>
      </c>
      <c r="C2349" s="14" t="s">
        <v>3088</v>
      </c>
      <c r="D2349" s="14" t="s">
        <v>10</v>
      </c>
      <c r="E2349" s="14" t="s">
        <v>11</v>
      </c>
      <c r="F2349" s="14" t="s">
        <v>18</v>
      </c>
      <c r="G2349" s="14" t="s">
        <v>19</v>
      </c>
      <c r="H2349" s="14" t="s">
        <v>4290</v>
      </c>
      <c r="I2349" s="15" t="s">
        <v>4303</v>
      </c>
      <c r="J2349" s="16" t="str">
        <f>VLOOKUP(B2349,baru!$B$2:$I$2271,4,FALSE)</f>
        <v>Reguler</v>
      </c>
      <c r="K2349" s="16" t="str">
        <f>VLOOKUP(B2349,baru!$B$2:$I$2271,5,FALSE)</f>
        <v>JAWA TENGAH</v>
      </c>
      <c r="L2349" s="16" t="str">
        <f>VLOOKUP(B2349,baru!$B$2:$I$2271,6,FALSE)</f>
        <v>BREBES</v>
      </c>
    </row>
    <row r="2350" spans="1:12" hidden="1" x14ac:dyDescent="0.35">
      <c r="A2350" s="6">
        <v>648285</v>
      </c>
      <c r="B2350" s="7" t="str">
        <f>"3329145701020006"</f>
        <v>3329145701020006</v>
      </c>
      <c r="C2350" s="7" t="s">
        <v>4651</v>
      </c>
      <c r="D2350" s="7" t="s">
        <v>10</v>
      </c>
      <c r="E2350" s="7" t="s">
        <v>11</v>
      </c>
      <c r="F2350" s="7" t="s">
        <v>18</v>
      </c>
      <c r="G2350" s="7" t="s">
        <v>264</v>
      </c>
      <c r="H2350" s="7" t="s">
        <v>248</v>
      </c>
      <c r="I2350" s="8" t="s">
        <v>3414</v>
      </c>
    </row>
    <row r="2351" spans="1:12" hidden="1" x14ac:dyDescent="0.35">
      <c r="A2351" s="13">
        <v>2409274</v>
      </c>
      <c r="B2351" s="14" t="str">
        <f>"3374106305800001"</f>
        <v>3374106305800001</v>
      </c>
      <c r="C2351" s="14" t="s">
        <v>4652</v>
      </c>
      <c r="D2351" s="14" t="s">
        <v>10</v>
      </c>
      <c r="E2351" s="14" t="s">
        <v>11</v>
      </c>
      <c r="F2351" s="14" t="s">
        <v>18</v>
      </c>
      <c r="G2351" s="14" t="s">
        <v>19</v>
      </c>
      <c r="H2351" s="14" t="s">
        <v>4290</v>
      </c>
      <c r="I2351" s="15" t="s">
        <v>1381</v>
      </c>
      <c r="J2351" s="16" t="str">
        <f>VLOOKUP(B2351,baru!$B$2:$I$2271,4,FALSE)</f>
        <v>Reguler</v>
      </c>
      <c r="K2351" s="16" t="str">
        <f>VLOOKUP(B2351,baru!$B$2:$I$2271,5,FALSE)</f>
        <v>JAWA TENGAH</v>
      </c>
      <c r="L2351" s="16" t="str">
        <f>VLOOKUP(B2351,baru!$B$2:$I$2271,6,FALSE)</f>
        <v>KOTA SALATIGA</v>
      </c>
    </row>
    <row r="2352" spans="1:12" hidden="1" x14ac:dyDescent="0.35">
      <c r="A2352" s="13">
        <v>2515451</v>
      </c>
      <c r="B2352" s="14" t="str">
        <f>"3376014710010003"</f>
        <v>3376014710010003</v>
      </c>
      <c r="C2352" s="14" t="s">
        <v>4653</v>
      </c>
      <c r="D2352" s="14" t="s">
        <v>10</v>
      </c>
      <c r="E2352" s="14" t="s">
        <v>11</v>
      </c>
      <c r="F2352" s="14" t="s">
        <v>18</v>
      </c>
      <c r="G2352" s="14" t="s">
        <v>19</v>
      </c>
      <c r="H2352" s="14" t="s">
        <v>4290</v>
      </c>
      <c r="I2352" s="15" t="s">
        <v>4513</v>
      </c>
      <c r="J2352" s="16" t="str">
        <f>VLOOKUP(B2352,baru!$B$2:$I$2271,4,FALSE)</f>
        <v>Reguler</v>
      </c>
      <c r="K2352" s="16" t="str">
        <f>VLOOKUP(B2352,baru!$B$2:$I$2271,5,FALSE)</f>
        <v>JAWA TENGAH</v>
      </c>
      <c r="L2352" s="16" t="str">
        <f>VLOOKUP(B2352,baru!$B$2:$I$2271,6,FALSE)</f>
        <v>KOTA TEGAL</v>
      </c>
    </row>
    <row r="2353" spans="1:12" hidden="1" x14ac:dyDescent="0.35">
      <c r="A2353" s="6">
        <v>3654598</v>
      </c>
      <c r="B2353" s="7" t="str">
        <f>"3376015606060002"</f>
        <v>3376015606060002</v>
      </c>
      <c r="C2353" s="7" t="s">
        <v>4655</v>
      </c>
      <c r="D2353" s="7" t="s">
        <v>10</v>
      </c>
      <c r="E2353" s="7" t="s">
        <v>11</v>
      </c>
      <c r="F2353" s="7" t="s">
        <v>91</v>
      </c>
      <c r="G2353" s="7" t="s">
        <v>650</v>
      </c>
      <c r="H2353" s="7" t="s">
        <v>2282</v>
      </c>
      <c r="I2353" s="8" t="s">
        <v>4656</v>
      </c>
    </row>
    <row r="2354" spans="1:12" hidden="1" x14ac:dyDescent="0.35">
      <c r="A2354" s="6">
        <v>302450</v>
      </c>
      <c r="B2354" s="7" t="str">
        <f>"3376015906950001"</f>
        <v>3376015906950001</v>
      </c>
      <c r="C2354" s="7" t="s">
        <v>4657</v>
      </c>
      <c r="D2354" s="7" t="s">
        <v>10</v>
      </c>
      <c r="E2354" s="7" t="s">
        <v>11</v>
      </c>
      <c r="F2354" s="7" t="s">
        <v>18</v>
      </c>
      <c r="G2354" s="7" t="s">
        <v>268</v>
      </c>
      <c r="H2354" s="7" t="s">
        <v>277</v>
      </c>
      <c r="I2354" s="8" t="s">
        <v>2762</v>
      </c>
    </row>
    <row r="2355" spans="1:12" x14ac:dyDescent="0.35">
      <c r="A2355" s="6">
        <v>274309</v>
      </c>
      <c r="B2355" s="7" t="str">
        <f>"3376016710990002"</f>
        <v>3376016710990002</v>
      </c>
      <c r="C2355" s="7" t="s">
        <v>4658</v>
      </c>
      <c r="D2355" s="7" t="s">
        <v>189</v>
      </c>
      <c r="E2355" s="7" t="s">
        <v>11</v>
      </c>
      <c r="F2355" s="7" t="s">
        <v>18</v>
      </c>
      <c r="G2355" s="7" t="s">
        <v>268</v>
      </c>
      <c r="H2355" s="7" t="s">
        <v>277</v>
      </c>
      <c r="I2355" s="8" t="s">
        <v>3326</v>
      </c>
    </row>
    <row r="2356" spans="1:12" hidden="1" x14ac:dyDescent="0.35">
      <c r="A2356" s="6">
        <v>213495</v>
      </c>
      <c r="B2356" s="7" t="str">
        <f>"3376021212910003"</f>
        <v>3376021212910003</v>
      </c>
      <c r="C2356" s="7" t="s">
        <v>4659</v>
      </c>
      <c r="D2356" s="7" t="s">
        <v>10</v>
      </c>
      <c r="E2356" s="7" t="s">
        <v>11</v>
      </c>
      <c r="F2356" s="7" t="s">
        <v>18</v>
      </c>
      <c r="G2356" s="7" t="s">
        <v>268</v>
      </c>
      <c r="H2356" s="7" t="s">
        <v>371</v>
      </c>
      <c r="I2356" s="8" t="s">
        <v>2772</v>
      </c>
    </row>
    <row r="2357" spans="1:12" hidden="1" x14ac:dyDescent="0.35">
      <c r="A2357" s="6">
        <v>227691</v>
      </c>
      <c r="B2357" s="7" t="str">
        <f>"3376022005900001"</f>
        <v>3376022005900001</v>
      </c>
      <c r="C2357" s="7" t="s">
        <v>4660</v>
      </c>
      <c r="D2357" s="7" t="s">
        <v>10</v>
      </c>
      <c r="E2357" s="7" t="s">
        <v>11</v>
      </c>
      <c r="F2357" s="7" t="s">
        <v>18</v>
      </c>
      <c r="G2357" s="7" t="s">
        <v>268</v>
      </c>
      <c r="H2357" s="7" t="s">
        <v>371</v>
      </c>
      <c r="I2357" s="8" t="s">
        <v>2346</v>
      </c>
    </row>
    <row r="2358" spans="1:12" hidden="1" x14ac:dyDescent="0.35">
      <c r="A2358" s="6">
        <v>266101</v>
      </c>
      <c r="B2358" s="7" t="str">
        <f>"3376022105960007"</f>
        <v>3376022105960007</v>
      </c>
      <c r="C2358" s="7" t="s">
        <v>4661</v>
      </c>
      <c r="D2358" s="7" t="s">
        <v>10</v>
      </c>
      <c r="E2358" s="7" t="s">
        <v>11</v>
      </c>
      <c r="F2358" s="7" t="s">
        <v>18</v>
      </c>
      <c r="G2358" s="7" t="s">
        <v>268</v>
      </c>
      <c r="H2358" s="7" t="s">
        <v>371</v>
      </c>
      <c r="I2358" s="8" t="s">
        <v>497</v>
      </c>
    </row>
    <row r="2359" spans="1:12" hidden="1" x14ac:dyDescent="0.35">
      <c r="A2359" s="6">
        <v>251613</v>
      </c>
      <c r="B2359" s="7" t="str">
        <f>"3376024707900003"</f>
        <v>3376024707900003</v>
      </c>
      <c r="C2359" s="7" t="s">
        <v>4662</v>
      </c>
      <c r="D2359" s="7" t="s">
        <v>10</v>
      </c>
      <c r="E2359" s="7" t="s">
        <v>11</v>
      </c>
      <c r="F2359" s="7" t="s">
        <v>18</v>
      </c>
      <c r="G2359" s="7" t="s">
        <v>268</v>
      </c>
      <c r="H2359" s="7" t="s">
        <v>371</v>
      </c>
      <c r="I2359" s="8" t="s">
        <v>497</v>
      </c>
    </row>
    <row r="2360" spans="1:12" hidden="1" x14ac:dyDescent="0.35">
      <c r="A2360" s="6">
        <v>2110663</v>
      </c>
      <c r="B2360" s="7" t="str">
        <f>"3376030112800001"</f>
        <v>3376030112800001</v>
      </c>
      <c r="C2360" s="7" t="s">
        <v>350</v>
      </c>
      <c r="D2360" s="7" t="s">
        <v>10</v>
      </c>
      <c r="E2360" s="7" t="s">
        <v>11</v>
      </c>
      <c r="F2360" s="7" t="s">
        <v>18</v>
      </c>
      <c r="G2360" s="7" t="s">
        <v>19</v>
      </c>
      <c r="H2360" s="7" t="s">
        <v>4290</v>
      </c>
      <c r="I2360" s="8" t="s">
        <v>4347</v>
      </c>
      <c r="J2360" t="e">
        <f>VLOOKUP(B2360,baru!$B$2:$I$2271,4,FALSE)</f>
        <v>#N/A</v>
      </c>
      <c r="K2360" t="e">
        <f>VLOOKUP(B2360,baru!$B$2:$I$2271,5,FALSE)</f>
        <v>#N/A</v>
      </c>
      <c r="L2360" t="e">
        <f>VLOOKUP(B2360,baru!$B$2:$I$2271,6,FALSE)</f>
        <v>#N/A</v>
      </c>
    </row>
    <row r="2361" spans="1:12" hidden="1" x14ac:dyDescent="0.35">
      <c r="A2361" s="6">
        <v>423808</v>
      </c>
      <c r="B2361" s="7" t="str">
        <f>"3376030112800001"</f>
        <v>3376030112800001</v>
      </c>
      <c r="C2361" s="7" t="s">
        <v>4663</v>
      </c>
      <c r="D2361" s="7" t="s">
        <v>10</v>
      </c>
      <c r="E2361" s="7" t="s">
        <v>57</v>
      </c>
      <c r="F2361" s="7" t="s">
        <v>18</v>
      </c>
      <c r="G2361" s="7" t="s">
        <v>268</v>
      </c>
      <c r="H2361" s="7" t="s">
        <v>277</v>
      </c>
      <c r="I2361" s="8" t="s">
        <v>278</v>
      </c>
    </row>
    <row r="2362" spans="1:12" hidden="1" x14ac:dyDescent="0.35">
      <c r="A2362" s="13">
        <v>1911140</v>
      </c>
      <c r="B2362" s="14" t="str">
        <f>"3376030204940001"</f>
        <v>3376030204940001</v>
      </c>
      <c r="C2362" s="14" t="s">
        <v>4664</v>
      </c>
      <c r="D2362" s="14" t="s">
        <v>10</v>
      </c>
      <c r="E2362" s="14" t="s">
        <v>11</v>
      </c>
      <c r="F2362" s="14" t="s">
        <v>18</v>
      </c>
      <c r="G2362" s="14" t="s">
        <v>19</v>
      </c>
      <c r="H2362" s="14" t="s">
        <v>4290</v>
      </c>
      <c r="I2362" s="15" t="s">
        <v>4475</v>
      </c>
      <c r="J2362" s="16" t="str">
        <f>VLOOKUP(B2362,baru!$B$2:$I$2271,4,FALSE)</f>
        <v>Reguler</v>
      </c>
      <c r="K2362" s="16" t="str">
        <f>VLOOKUP(B2362,baru!$B$2:$I$2271,5,FALSE)</f>
        <v>JAWA TENGAH</v>
      </c>
      <c r="L2362" s="16" t="str">
        <f>VLOOKUP(B2362,baru!$B$2:$I$2271,6,FALSE)</f>
        <v>KOTA TEGAL</v>
      </c>
    </row>
    <row r="2363" spans="1:12" hidden="1" x14ac:dyDescent="0.35">
      <c r="A2363" s="6">
        <v>346143</v>
      </c>
      <c r="B2363" s="7" t="str">
        <f>"3376030410000001"</f>
        <v>3376030410000001</v>
      </c>
      <c r="C2363" s="7" t="s">
        <v>4666</v>
      </c>
      <c r="D2363" s="7" t="s">
        <v>10</v>
      </c>
      <c r="E2363" s="7" t="s">
        <v>11</v>
      </c>
      <c r="F2363" s="7" t="s">
        <v>18</v>
      </c>
      <c r="G2363" s="7" t="s">
        <v>268</v>
      </c>
      <c r="H2363" s="7" t="s">
        <v>269</v>
      </c>
      <c r="I2363" s="8" t="s">
        <v>3140</v>
      </c>
    </row>
    <row r="2364" spans="1:12" hidden="1" x14ac:dyDescent="0.35">
      <c r="A2364" s="6">
        <v>282157</v>
      </c>
      <c r="B2364" s="7" t="str">
        <f>"3376031511710001"</f>
        <v>3376031511710001</v>
      </c>
      <c r="C2364" s="7" t="s">
        <v>4667</v>
      </c>
      <c r="D2364" s="7" t="s">
        <v>10</v>
      </c>
      <c r="E2364" s="7" t="s">
        <v>11</v>
      </c>
      <c r="F2364" s="7" t="s">
        <v>18</v>
      </c>
      <c r="G2364" s="7" t="s">
        <v>268</v>
      </c>
      <c r="H2364" s="7" t="s">
        <v>277</v>
      </c>
      <c r="I2364" s="8" t="s">
        <v>884</v>
      </c>
    </row>
    <row r="2365" spans="1:12" hidden="1" x14ac:dyDescent="0.35">
      <c r="A2365" s="6">
        <v>1195751</v>
      </c>
      <c r="B2365" s="7" t="str">
        <f>"3376031610770001"</f>
        <v>3376031610770001</v>
      </c>
      <c r="C2365" s="7" t="s">
        <v>4669</v>
      </c>
      <c r="D2365" s="7" t="s">
        <v>10</v>
      </c>
      <c r="E2365" s="7" t="s">
        <v>11</v>
      </c>
      <c r="F2365" s="7" t="s">
        <v>18</v>
      </c>
      <c r="G2365" s="7" t="s">
        <v>733</v>
      </c>
      <c r="H2365" s="7" t="s">
        <v>1127</v>
      </c>
      <c r="I2365" s="8" t="s">
        <v>4670</v>
      </c>
    </row>
    <row r="2366" spans="1:12" hidden="1" x14ac:dyDescent="0.35">
      <c r="A2366" s="13">
        <v>1482073</v>
      </c>
      <c r="B2366" s="14" t="str">
        <f>"3376034202980001"</f>
        <v>3376034202980001</v>
      </c>
      <c r="C2366" s="14" t="s">
        <v>4672</v>
      </c>
      <c r="D2366" s="14" t="s">
        <v>10</v>
      </c>
      <c r="E2366" s="14" t="s">
        <v>11</v>
      </c>
      <c r="F2366" s="14" t="s">
        <v>18</v>
      </c>
      <c r="G2366" s="14" t="s">
        <v>19</v>
      </c>
      <c r="H2366" s="14" t="s">
        <v>4290</v>
      </c>
      <c r="I2366" s="15" t="s">
        <v>4436</v>
      </c>
      <c r="J2366" s="16" t="str">
        <f>VLOOKUP(B2366,baru!$B$2:$I$2271,4,FALSE)</f>
        <v>Reguler</v>
      </c>
      <c r="K2366" s="16" t="str">
        <f>VLOOKUP(B2366,baru!$B$2:$I$2271,5,FALSE)</f>
        <v>JAWA TENGAH</v>
      </c>
      <c r="L2366" s="16" t="str">
        <f>VLOOKUP(B2366,baru!$B$2:$I$2271,6,FALSE)</f>
        <v>BREBES</v>
      </c>
    </row>
    <row r="2367" spans="1:12" x14ac:dyDescent="0.35">
      <c r="A2367" s="6">
        <v>365516</v>
      </c>
      <c r="B2367" s="7" t="str">
        <f>"3376034301050001"</f>
        <v>3376034301050001</v>
      </c>
      <c r="C2367" s="7" t="s">
        <v>4673</v>
      </c>
      <c r="D2367" s="7" t="s">
        <v>189</v>
      </c>
      <c r="E2367" s="7" t="s">
        <v>11</v>
      </c>
      <c r="F2367" s="7" t="s">
        <v>18</v>
      </c>
      <c r="G2367" s="7" t="s">
        <v>268</v>
      </c>
      <c r="H2367" s="7" t="s">
        <v>269</v>
      </c>
      <c r="I2367" s="8" t="s">
        <v>996</v>
      </c>
    </row>
    <row r="2368" spans="1:12" hidden="1" x14ac:dyDescent="0.35">
      <c r="A2368" s="13">
        <v>1482072</v>
      </c>
      <c r="B2368" s="14" t="str">
        <f>"3376035306030002"</f>
        <v>3376035306030002</v>
      </c>
      <c r="C2368" s="14" t="s">
        <v>4675</v>
      </c>
      <c r="D2368" s="14" t="s">
        <v>10</v>
      </c>
      <c r="E2368" s="14" t="s">
        <v>11</v>
      </c>
      <c r="F2368" s="14" t="s">
        <v>18</v>
      </c>
      <c r="G2368" s="14" t="s">
        <v>19</v>
      </c>
      <c r="H2368" s="14" t="s">
        <v>4290</v>
      </c>
      <c r="I2368" s="15" t="s">
        <v>4436</v>
      </c>
      <c r="J2368" s="16" t="str">
        <f>VLOOKUP(B2368,baru!$B$2:$I$2271,4,FALSE)</f>
        <v>Reguler</v>
      </c>
      <c r="K2368" s="16" t="str">
        <f>VLOOKUP(B2368,baru!$B$2:$I$2271,5,FALSE)</f>
        <v>JAWA TENGAH</v>
      </c>
      <c r="L2368" s="16" t="str">
        <f>VLOOKUP(B2368,baru!$B$2:$I$2271,6,FALSE)</f>
        <v>BREBES</v>
      </c>
    </row>
    <row r="2369" spans="1:12" hidden="1" x14ac:dyDescent="0.35">
      <c r="A2369" s="6">
        <v>307465</v>
      </c>
      <c r="B2369" s="7" t="str">
        <f>"3376036303960001"</f>
        <v>3376036303960001</v>
      </c>
      <c r="C2369" s="7" t="s">
        <v>4676</v>
      </c>
      <c r="D2369" s="7" t="s">
        <v>10</v>
      </c>
      <c r="E2369" s="7" t="s">
        <v>11</v>
      </c>
      <c r="F2369" s="7" t="s">
        <v>18</v>
      </c>
      <c r="G2369" s="7" t="s">
        <v>268</v>
      </c>
      <c r="H2369" s="7" t="s">
        <v>269</v>
      </c>
      <c r="I2369" s="8" t="s">
        <v>4250</v>
      </c>
    </row>
    <row r="2370" spans="1:12" hidden="1" x14ac:dyDescent="0.35">
      <c r="A2370" s="13">
        <v>1902212</v>
      </c>
      <c r="B2370" s="14" t="str">
        <f>"3376036406840003"</f>
        <v>3376036406840003</v>
      </c>
      <c r="C2370" s="14" t="s">
        <v>2608</v>
      </c>
      <c r="D2370" s="14" t="s">
        <v>10</v>
      </c>
      <c r="E2370" s="14" t="s">
        <v>11</v>
      </c>
      <c r="F2370" s="14" t="s">
        <v>18</v>
      </c>
      <c r="G2370" s="14" t="s">
        <v>19</v>
      </c>
      <c r="H2370" s="14" t="s">
        <v>4290</v>
      </c>
      <c r="I2370" s="15" t="s">
        <v>4358</v>
      </c>
      <c r="J2370" s="16" t="str">
        <f>VLOOKUP(B2370,baru!$B$2:$I$2271,4,FALSE)</f>
        <v>Reguler</v>
      </c>
      <c r="K2370" s="16" t="str">
        <f>VLOOKUP(B2370,baru!$B$2:$I$2271,5,FALSE)</f>
        <v>JAWA TENGAH</v>
      </c>
      <c r="L2370" s="16" t="str">
        <f>VLOOKUP(B2370,baru!$B$2:$I$2271,6,FALSE)</f>
        <v>KOTA TEGAL</v>
      </c>
    </row>
    <row r="2371" spans="1:12" hidden="1" x14ac:dyDescent="0.35">
      <c r="A2371" s="6">
        <v>347368</v>
      </c>
      <c r="B2371" s="7" t="str">
        <f>"3376036503950005"</f>
        <v>3376036503950005</v>
      </c>
      <c r="C2371" s="7" t="s">
        <v>4678</v>
      </c>
      <c r="D2371" s="7" t="s">
        <v>10</v>
      </c>
      <c r="E2371" s="7" t="s">
        <v>11</v>
      </c>
      <c r="F2371" s="7" t="s">
        <v>18</v>
      </c>
      <c r="G2371" s="7" t="s">
        <v>268</v>
      </c>
      <c r="H2371" s="7" t="s">
        <v>269</v>
      </c>
      <c r="I2371" s="8" t="s">
        <v>3140</v>
      </c>
    </row>
    <row r="2372" spans="1:12" hidden="1" x14ac:dyDescent="0.35">
      <c r="A2372" s="6">
        <v>363261</v>
      </c>
      <c r="B2372" s="7" t="str">
        <f>"3376036504820002"</f>
        <v>3376036504820002</v>
      </c>
      <c r="C2372" s="7" t="s">
        <v>4679</v>
      </c>
      <c r="D2372" s="7" t="s">
        <v>10</v>
      </c>
      <c r="E2372" s="7" t="s">
        <v>11</v>
      </c>
      <c r="F2372" s="7" t="s">
        <v>18</v>
      </c>
      <c r="G2372" s="7" t="s">
        <v>268</v>
      </c>
      <c r="H2372" s="7" t="s">
        <v>269</v>
      </c>
      <c r="I2372" s="8" t="s">
        <v>996</v>
      </c>
    </row>
    <row r="2373" spans="1:12" hidden="1" x14ac:dyDescent="0.35">
      <c r="A2373" s="13">
        <v>1482074</v>
      </c>
      <c r="B2373" s="14" t="str">
        <f>"3376036808690003"</f>
        <v>3376036808690003</v>
      </c>
      <c r="C2373" s="14" t="s">
        <v>4680</v>
      </c>
      <c r="D2373" s="14" t="s">
        <v>10</v>
      </c>
      <c r="E2373" s="14" t="s">
        <v>11</v>
      </c>
      <c r="F2373" s="14" t="s">
        <v>18</v>
      </c>
      <c r="G2373" s="14" t="s">
        <v>19</v>
      </c>
      <c r="H2373" s="14" t="s">
        <v>4290</v>
      </c>
      <c r="I2373" s="15" t="s">
        <v>4436</v>
      </c>
      <c r="J2373" s="16" t="str">
        <f>VLOOKUP(B2373,baru!$B$2:$I$2271,4,FALSE)</f>
        <v>Reguler</v>
      </c>
      <c r="K2373" s="16" t="str">
        <f>VLOOKUP(B2373,baru!$B$2:$I$2271,5,FALSE)</f>
        <v>JAWA TENGAH</v>
      </c>
      <c r="L2373" s="16" t="str">
        <f>VLOOKUP(B2373,baru!$B$2:$I$2271,6,FALSE)</f>
        <v>BREBES</v>
      </c>
    </row>
    <row r="2374" spans="1:12" hidden="1" x14ac:dyDescent="0.35">
      <c r="A2374" s="6">
        <v>390959</v>
      </c>
      <c r="B2374" s="7" t="str">
        <f>"3376040904950002"</f>
        <v>3376040904950002</v>
      </c>
      <c r="C2374" s="7" t="s">
        <v>4681</v>
      </c>
      <c r="D2374" s="7" t="s">
        <v>10</v>
      </c>
      <c r="E2374" s="7" t="s">
        <v>11</v>
      </c>
      <c r="F2374" s="7" t="s">
        <v>18</v>
      </c>
      <c r="G2374" s="7" t="s">
        <v>268</v>
      </c>
      <c r="H2374" s="7" t="s">
        <v>448</v>
      </c>
      <c r="I2374" s="8" t="s">
        <v>3897</v>
      </c>
    </row>
    <row r="2375" spans="1:12" hidden="1" x14ac:dyDescent="0.35">
      <c r="A2375" s="13">
        <v>2150528</v>
      </c>
      <c r="B2375" s="14" t="str">
        <f>"3376041708910004"</f>
        <v>3376041708910004</v>
      </c>
      <c r="C2375" s="14" t="s">
        <v>2926</v>
      </c>
      <c r="D2375" s="14" t="s">
        <v>10</v>
      </c>
      <c r="E2375" s="14" t="s">
        <v>11</v>
      </c>
      <c r="F2375" s="14" t="s">
        <v>18</v>
      </c>
      <c r="G2375" s="14" t="s">
        <v>19</v>
      </c>
      <c r="H2375" s="14" t="s">
        <v>4290</v>
      </c>
      <c r="I2375" s="15" t="s">
        <v>4290</v>
      </c>
      <c r="J2375" s="16" t="str">
        <f>VLOOKUP(B2375,baru!$B$2:$I$2271,4,FALSE)</f>
        <v>Reguler</v>
      </c>
      <c r="K2375" s="16" t="str">
        <f>VLOOKUP(B2375,baru!$B$2:$I$2271,5,FALSE)</f>
        <v>JAWA TENGAH</v>
      </c>
      <c r="L2375" s="16" t="str">
        <f>VLOOKUP(B2375,baru!$B$2:$I$2271,6,FALSE)</f>
        <v>KOTA TEGAL</v>
      </c>
    </row>
    <row r="2376" spans="1:12" hidden="1" x14ac:dyDescent="0.35">
      <c r="A2376" s="6">
        <v>374458</v>
      </c>
      <c r="B2376" s="7" t="str">
        <f>"3376045004880001"</f>
        <v>3376045004880001</v>
      </c>
      <c r="C2376" s="7" t="s">
        <v>4683</v>
      </c>
      <c r="D2376" s="7" t="s">
        <v>10</v>
      </c>
      <c r="E2376" s="7" t="s">
        <v>11</v>
      </c>
      <c r="F2376" s="7" t="s">
        <v>18</v>
      </c>
      <c r="G2376" s="7" t="s">
        <v>268</v>
      </c>
      <c r="H2376" s="7" t="s">
        <v>448</v>
      </c>
      <c r="I2376" s="8" t="s">
        <v>2101</v>
      </c>
    </row>
    <row r="2377" spans="1:12" hidden="1" x14ac:dyDescent="0.35">
      <c r="A2377" s="6">
        <v>628474</v>
      </c>
      <c r="B2377" s="7" t="str">
        <f>"3525102711970001"</f>
        <v>3525102711970001</v>
      </c>
      <c r="C2377" s="7" t="s">
        <v>4684</v>
      </c>
      <c r="D2377" s="7" t="s">
        <v>10</v>
      </c>
      <c r="E2377" s="7" t="s">
        <v>11</v>
      </c>
      <c r="F2377" s="7" t="s">
        <v>303</v>
      </c>
      <c r="G2377" s="7" t="s">
        <v>4685</v>
      </c>
      <c r="H2377" s="7" t="s">
        <v>4686</v>
      </c>
      <c r="I2377" s="8" t="s">
        <v>4687</v>
      </c>
    </row>
    <row r="2378" spans="1:12" hidden="1" x14ac:dyDescent="0.35">
      <c r="A2378" s="6">
        <v>805864</v>
      </c>
      <c r="B2378" s="7" t="str">
        <f>"3673052007750001"</f>
        <v>3673052007750001</v>
      </c>
      <c r="C2378" s="7" t="s">
        <v>4688</v>
      </c>
      <c r="D2378" s="7" t="s">
        <v>10</v>
      </c>
      <c r="E2378" s="7" t="s">
        <v>11</v>
      </c>
      <c r="F2378" s="7" t="s">
        <v>67</v>
      </c>
      <c r="G2378" s="7" t="s">
        <v>696</v>
      </c>
      <c r="H2378" s="7" t="s">
        <v>4689</v>
      </c>
      <c r="I2378" s="8" t="s">
        <v>4690</v>
      </c>
    </row>
    <row r="2379" spans="1:12" hidden="1" x14ac:dyDescent="0.35">
      <c r="A2379" s="6">
        <v>122883</v>
      </c>
      <c r="B2379" s="7" t="str">
        <f>"8102101005820002"</f>
        <v>8102101005820002</v>
      </c>
      <c r="C2379" s="7" t="s">
        <v>4023</v>
      </c>
      <c r="D2379" s="7" t="s">
        <v>10</v>
      </c>
      <c r="E2379" s="7" t="s">
        <v>11</v>
      </c>
      <c r="F2379" s="7" t="s">
        <v>1374</v>
      </c>
      <c r="G2379" s="7" t="s">
        <v>2551</v>
      </c>
      <c r="H2379" s="7" t="s">
        <v>2552</v>
      </c>
      <c r="I2379" s="8" t="s">
        <v>3319</v>
      </c>
    </row>
    <row r="2380" spans="1:12" hidden="1" x14ac:dyDescent="0.35">
      <c r="A2380" s="6">
        <v>432873</v>
      </c>
      <c r="B2380" s="7" t="str">
        <f>"9171026310720001"</f>
        <v>9171026310720001</v>
      </c>
      <c r="C2380" s="7" t="s">
        <v>4692</v>
      </c>
      <c r="D2380" s="7" t="s">
        <v>10</v>
      </c>
      <c r="E2380" s="7" t="s">
        <v>11</v>
      </c>
      <c r="F2380" s="7" t="s">
        <v>783</v>
      </c>
      <c r="G2380" s="7" t="s">
        <v>1112</v>
      </c>
      <c r="H2380" s="7" t="s">
        <v>3651</v>
      </c>
      <c r="I2380" s="8" t="s">
        <v>4693</v>
      </c>
    </row>
    <row r="2381" spans="1:12" hidden="1" x14ac:dyDescent="0.35">
      <c r="A2381" s="6">
        <v>107246</v>
      </c>
      <c r="B2381" s="7" t="str">
        <f>"1209132104950004"</f>
        <v>1209132104950004</v>
      </c>
      <c r="C2381" s="7" t="s">
        <v>4694</v>
      </c>
      <c r="D2381" s="7" t="s">
        <v>10</v>
      </c>
      <c r="E2381" s="7" t="s">
        <v>11</v>
      </c>
      <c r="F2381" s="7" t="s">
        <v>667</v>
      </c>
      <c r="G2381" s="7" t="s">
        <v>668</v>
      </c>
      <c r="H2381" s="7" t="s">
        <v>4695</v>
      </c>
      <c r="I2381" s="8" t="s">
        <v>4696</v>
      </c>
    </row>
    <row r="2382" spans="1:12" hidden="1" x14ac:dyDescent="0.35">
      <c r="A2382" s="6">
        <v>107245</v>
      </c>
      <c r="B2382" s="7" t="str">
        <f>"1209136106750002"</f>
        <v>1209136106750002</v>
      </c>
      <c r="C2382" s="7" t="s">
        <v>4698</v>
      </c>
      <c r="D2382" s="7" t="s">
        <v>10</v>
      </c>
      <c r="E2382" s="7" t="s">
        <v>11</v>
      </c>
      <c r="F2382" s="7" t="s">
        <v>667</v>
      </c>
      <c r="G2382" s="7" t="s">
        <v>668</v>
      </c>
      <c r="H2382" s="7" t="s">
        <v>4695</v>
      </c>
      <c r="I2382" s="8" t="s">
        <v>4696</v>
      </c>
    </row>
    <row r="2383" spans="1:12" hidden="1" x14ac:dyDescent="0.35">
      <c r="A2383" s="6">
        <v>107244</v>
      </c>
      <c r="B2383" s="7" t="str">
        <f>"1209136308990004"</f>
        <v>1209136308990004</v>
      </c>
      <c r="C2383" s="7" t="s">
        <v>4699</v>
      </c>
      <c r="D2383" s="7" t="s">
        <v>10</v>
      </c>
      <c r="E2383" s="7" t="s">
        <v>11</v>
      </c>
      <c r="F2383" s="7" t="s">
        <v>667</v>
      </c>
      <c r="G2383" s="7" t="s">
        <v>668</v>
      </c>
      <c r="H2383" s="7" t="s">
        <v>4695</v>
      </c>
      <c r="I2383" s="8" t="s">
        <v>4696</v>
      </c>
    </row>
    <row r="2384" spans="1:12" hidden="1" x14ac:dyDescent="0.35">
      <c r="A2384" s="6">
        <v>30746</v>
      </c>
      <c r="B2384" s="7" t="str">
        <f>"1406022006940005"</f>
        <v>1406022006940005</v>
      </c>
      <c r="C2384" s="7" t="s">
        <v>4700</v>
      </c>
      <c r="D2384" s="7" t="s">
        <v>10</v>
      </c>
      <c r="E2384" s="7" t="s">
        <v>11</v>
      </c>
      <c r="F2384" s="7" t="s">
        <v>228</v>
      </c>
      <c r="G2384" s="7" t="s">
        <v>2142</v>
      </c>
      <c r="H2384" s="7" t="s">
        <v>4701</v>
      </c>
      <c r="I2384" s="8" t="s">
        <v>4702</v>
      </c>
    </row>
    <row r="2385" spans="1:9" hidden="1" x14ac:dyDescent="0.35">
      <c r="A2385" s="6">
        <v>365351</v>
      </c>
      <c r="B2385" s="7" t="str">
        <f>"1406090407830006"</f>
        <v>1406090407830006</v>
      </c>
      <c r="C2385" s="7" t="s">
        <v>4704</v>
      </c>
      <c r="D2385" s="7" t="s">
        <v>10</v>
      </c>
      <c r="E2385" s="7" t="s">
        <v>11</v>
      </c>
      <c r="F2385" s="7" t="s">
        <v>228</v>
      </c>
      <c r="G2385" s="7" t="s">
        <v>2142</v>
      </c>
      <c r="H2385" s="7" t="s">
        <v>4705</v>
      </c>
      <c r="I2385" s="8" t="s">
        <v>4706</v>
      </c>
    </row>
    <row r="2386" spans="1:9" hidden="1" x14ac:dyDescent="0.35">
      <c r="A2386" s="6">
        <v>198599</v>
      </c>
      <c r="B2386" s="7" t="str">
        <f>"1806032804980003"</f>
        <v>1806032804980003</v>
      </c>
      <c r="C2386" s="7" t="s">
        <v>4709</v>
      </c>
      <c r="D2386" s="7" t="s">
        <v>10</v>
      </c>
      <c r="E2386" s="7" t="s">
        <v>11</v>
      </c>
      <c r="F2386" s="7" t="s">
        <v>44</v>
      </c>
      <c r="G2386" s="7" t="s">
        <v>45</v>
      </c>
      <c r="H2386" s="7" t="s">
        <v>392</v>
      </c>
      <c r="I2386" s="8" t="s">
        <v>4710</v>
      </c>
    </row>
    <row r="2387" spans="1:9" hidden="1" x14ac:dyDescent="0.35">
      <c r="A2387" s="6">
        <v>219055</v>
      </c>
      <c r="B2387" s="7" t="str">
        <f>"3171046911900001"</f>
        <v>3171046911900001</v>
      </c>
      <c r="C2387" s="7" t="s">
        <v>4712</v>
      </c>
      <c r="D2387" s="7" t="s">
        <v>10</v>
      </c>
      <c r="E2387" s="7" t="s">
        <v>11</v>
      </c>
      <c r="F2387" s="7" t="s">
        <v>50</v>
      </c>
      <c r="G2387" s="7" t="s">
        <v>280</v>
      </c>
      <c r="H2387" s="7" t="s">
        <v>2179</v>
      </c>
      <c r="I2387" s="8" t="s">
        <v>266</v>
      </c>
    </row>
    <row r="2388" spans="1:9" hidden="1" x14ac:dyDescent="0.35">
      <c r="A2388" s="6">
        <v>601491</v>
      </c>
      <c r="B2388" s="7" t="str">
        <f>"3171080808750009"</f>
        <v>3171080808750009</v>
      </c>
      <c r="C2388" s="7" t="s">
        <v>4713</v>
      </c>
      <c r="D2388" s="7" t="s">
        <v>10</v>
      </c>
      <c r="E2388" s="7" t="s">
        <v>11</v>
      </c>
      <c r="F2388" s="7" t="s">
        <v>50</v>
      </c>
      <c r="G2388" s="7" t="s">
        <v>280</v>
      </c>
      <c r="H2388" s="7" t="s">
        <v>2507</v>
      </c>
      <c r="I2388" s="8" t="s">
        <v>3162</v>
      </c>
    </row>
    <row r="2389" spans="1:9" hidden="1" x14ac:dyDescent="0.35">
      <c r="A2389" s="6">
        <v>605068</v>
      </c>
      <c r="B2389" s="7" t="str">
        <f>"3171082003580005"</f>
        <v>3171082003580005</v>
      </c>
      <c r="C2389" s="7" t="s">
        <v>4715</v>
      </c>
      <c r="D2389" s="7" t="s">
        <v>10</v>
      </c>
      <c r="E2389" s="7" t="s">
        <v>11</v>
      </c>
      <c r="F2389" s="7" t="s">
        <v>50</v>
      </c>
      <c r="G2389" s="7" t="s">
        <v>280</v>
      </c>
      <c r="H2389" s="7" t="s">
        <v>2507</v>
      </c>
      <c r="I2389" s="8" t="s">
        <v>3162</v>
      </c>
    </row>
    <row r="2390" spans="1:9" hidden="1" x14ac:dyDescent="0.35">
      <c r="A2390" s="6">
        <v>595906</v>
      </c>
      <c r="B2390" s="7" t="str">
        <f>"3171082008670004"</f>
        <v>3171082008670004</v>
      </c>
      <c r="C2390" s="7" t="s">
        <v>4717</v>
      </c>
      <c r="D2390" s="7" t="s">
        <v>10</v>
      </c>
      <c r="E2390" s="7" t="s">
        <v>11</v>
      </c>
      <c r="F2390" s="7" t="s">
        <v>50</v>
      </c>
      <c r="G2390" s="7" t="s">
        <v>280</v>
      </c>
      <c r="H2390" s="7" t="s">
        <v>2507</v>
      </c>
      <c r="I2390" s="8" t="s">
        <v>3162</v>
      </c>
    </row>
    <row r="2391" spans="1:9" hidden="1" x14ac:dyDescent="0.35">
      <c r="A2391" s="6">
        <v>1089067</v>
      </c>
      <c r="B2391" s="7" t="str">
        <f>"3172015408870003"</f>
        <v>3172015408870003</v>
      </c>
      <c r="C2391" s="7" t="s">
        <v>4718</v>
      </c>
      <c r="D2391" s="7" t="s">
        <v>10</v>
      </c>
      <c r="E2391" s="7" t="s">
        <v>11</v>
      </c>
      <c r="F2391" s="7" t="s">
        <v>50</v>
      </c>
      <c r="G2391" s="7" t="s">
        <v>51</v>
      </c>
      <c r="H2391" s="7" t="s">
        <v>52</v>
      </c>
      <c r="I2391" s="8" t="s">
        <v>52</v>
      </c>
    </row>
    <row r="2392" spans="1:9" hidden="1" x14ac:dyDescent="0.35">
      <c r="A2392" s="6">
        <v>1089016</v>
      </c>
      <c r="B2392" s="7" t="str">
        <f>"3172015703580004"</f>
        <v>3172015703580004</v>
      </c>
      <c r="C2392" s="7" t="s">
        <v>4720</v>
      </c>
      <c r="D2392" s="7" t="s">
        <v>10</v>
      </c>
      <c r="E2392" s="7" t="s">
        <v>11</v>
      </c>
      <c r="F2392" s="7" t="s">
        <v>50</v>
      </c>
      <c r="G2392" s="7" t="s">
        <v>51</v>
      </c>
      <c r="H2392" s="7" t="s">
        <v>52</v>
      </c>
      <c r="I2392" s="8" t="s">
        <v>52</v>
      </c>
    </row>
    <row r="2393" spans="1:9" hidden="1" x14ac:dyDescent="0.35">
      <c r="A2393" s="6">
        <v>150200</v>
      </c>
      <c r="B2393" s="7" t="str">
        <f>"3172023112470016"</f>
        <v>3172023112470016</v>
      </c>
      <c r="C2393" s="7" t="s">
        <v>4721</v>
      </c>
      <c r="D2393" s="7" t="s">
        <v>10</v>
      </c>
      <c r="E2393" s="7" t="s">
        <v>11</v>
      </c>
      <c r="F2393" s="7" t="s">
        <v>50</v>
      </c>
      <c r="G2393" s="7" t="s">
        <v>51</v>
      </c>
      <c r="H2393" s="7" t="s">
        <v>62</v>
      </c>
      <c r="I2393" s="8" t="s">
        <v>63</v>
      </c>
    </row>
    <row r="2394" spans="1:9" hidden="1" x14ac:dyDescent="0.35">
      <c r="A2394" s="6">
        <v>1322373</v>
      </c>
      <c r="B2394" s="7" t="str">
        <f>"3172035707030012"</f>
        <v>3172035707030012</v>
      </c>
      <c r="C2394" s="7" t="s">
        <v>4723</v>
      </c>
      <c r="D2394" s="7" t="s">
        <v>10</v>
      </c>
      <c r="E2394" s="7" t="s">
        <v>11</v>
      </c>
      <c r="F2394" s="7" t="s">
        <v>50</v>
      </c>
      <c r="G2394" s="7" t="s">
        <v>51</v>
      </c>
      <c r="H2394" s="7" t="s">
        <v>284</v>
      </c>
      <c r="I2394" s="8" t="s">
        <v>285</v>
      </c>
    </row>
    <row r="2395" spans="1:9" hidden="1" x14ac:dyDescent="0.35">
      <c r="A2395" s="6">
        <v>94159</v>
      </c>
      <c r="B2395" s="7" t="str">
        <f>"3172041307780013"</f>
        <v>3172041307780013</v>
      </c>
      <c r="C2395" s="7" t="s">
        <v>4725</v>
      </c>
      <c r="D2395" s="7" t="s">
        <v>10</v>
      </c>
      <c r="E2395" s="7" t="s">
        <v>11</v>
      </c>
      <c r="F2395" s="7" t="s">
        <v>50</v>
      </c>
      <c r="G2395" s="7" t="s">
        <v>51</v>
      </c>
      <c r="H2395" s="7" t="s">
        <v>78</v>
      </c>
      <c r="I2395" s="8" t="s">
        <v>78</v>
      </c>
    </row>
    <row r="2396" spans="1:9" hidden="1" x14ac:dyDescent="0.35">
      <c r="A2396" s="6">
        <v>1104523</v>
      </c>
      <c r="B2396" s="7" t="str">
        <f>"3173010608780024"</f>
        <v>3173010608780024</v>
      </c>
      <c r="C2396" s="7" t="s">
        <v>4727</v>
      </c>
      <c r="D2396" s="7" t="s">
        <v>10</v>
      </c>
      <c r="E2396" s="7" t="s">
        <v>11</v>
      </c>
      <c r="F2396" s="7" t="s">
        <v>50</v>
      </c>
      <c r="G2396" s="7" t="s">
        <v>86</v>
      </c>
      <c r="H2396" s="7" t="s">
        <v>1268</v>
      </c>
      <c r="I2396" s="8" t="s">
        <v>2503</v>
      </c>
    </row>
    <row r="2397" spans="1:9" hidden="1" x14ac:dyDescent="0.35">
      <c r="A2397" s="6">
        <v>757001</v>
      </c>
      <c r="B2397" s="7" t="str">
        <f>"3173016102061005"</f>
        <v>3173016102061005</v>
      </c>
      <c r="C2397" s="7" t="s">
        <v>4729</v>
      </c>
      <c r="D2397" s="7" t="s">
        <v>10</v>
      </c>
      <c r="E2397" s="7" t="s">
        <v>11</v>
      </c>
      <c r="F2397" s="7" t="s">
        <v>50</v>
      </c>
      <c r="G2397" s="7" t="s">
        <v>280</v>
      </c>
      <c r="H2397" s="7" t="s">
        <v>402</v>
      </c>
      <c r="I2397" s="8" t="s">
        <v>4730</v>
      </c>
    </row>
    <row r="2398" spans="1:9" hidden="1" x14ac:dyDescent="0.35">
      <c r="A2398" s="6">
        <v>158652</v>
      </c>
      <c r="B2398" s="7" t="str">
        <f>"3173022505860015"</f>
        <v>3173022505860015</v>
      </c>
      <c r="C2398" s="7" t="s">
        <v>4732</v>
      </c>
      <c r="D2398" s="7" t="s">
        <v>10</v>
      </c>
      <c r="E2398" s="7" t="s">
        <v>11</v>
      </c>
      <c r="F2398" s="7" t="s">
        <v>50</v>
      </c>
      <c r="G2398" s="7" t="s">
        <v>86</v>
      </c>
      <c r="H2398" s="7" t="s">
        <v>205</v>
      </c>
      <c r="I2398" s="8" t="s">
        <v>1952</v>
      </c>
    </row>
    <row r="2399" spans="1:9" hidden="1" x14ac:dyDescent="0.35">
      <c r="A2399" s="6">
        <v>158651</v>
      </c>
      <c r="B2399" s="7" t="str">
        <f>"3173026003910001"</f>
        <v>3173026003910001</v>
      </c>
      <c r="C2399" s="7" t="s">
        <v>4733</v>
      </c>
      <c r="D2399" s="7" t="s">
        <v>10</v>
      </c>
      <c r="E2399" s="7" t="s">
        <v>11</v>
      </c>
      <c r="F2399" s="7" t="s">
        <v>50</v>
      </c>
      <c r="G2399" s="7" t="s">
        <v>86</v>
      </c>
      <c r="H2399" s="7" t="s">
        <v>205</v>
      </c>
      <c r="I2399" s="8" t="s">
        <v>1952</v>
      </c>
    </row>
    <row r="2400" spans="1:9" hidden="1" x14ac:dyDescent="0.35">
      <c r="A2400" s="6">
        <v>574557</v>
      </c>
      <c r="B2400" s="7" t="str">
        <f>"3173031002900003"</f>
        <v>3173031002900003</v>
      </c>
      <c r="C2400" s="7" t="s">
        <v>4734</v>
      </c>
      <c r="D2400" s="7" t="s">
        <v>10</v>
      </c>
      <c r="E2400" s="7" t="s">
        <v>11</v>
      </c>
      <c r="F2400" s="7" t="s">
        <v>50</v>
      </c>
      <c r="G2400" s="7" t="s">
        <v>86</v>
      </c>
      <c r="H2400" s="7" t="s">
        <v>1463</v>
      </c>
      <c r="I2400" s="8" t="s">
        <v>2210</v>
      </c>
    </row>
    <row r="2401" spans="1:12" hidden="1" x14ac:dyDescent="0.35">
      <c r="A2401" s="6">
        <v>35149</v>
      </c>
      <c r="B2401" s="7" t="str">
        <f>"3173071502730006"</f>
        <v>3173071502730006</v>
      </c>
      <c r="C2401" s="7" t="s">
        <v>4736</v>
      </c>
      <c r="D2401" s="7" t="s">
        <v>10</v>
      </c>
      <c r="E2401" s="7" t="s">
        <v>11</v>
      </c>
      <c r="F2401" s="7" t="s">
        <v>50</v>
      </c>
      <c r="G2401" s="7" t="s">
        <v>86</v>
      </c>
      <c r="H2401" s="7" t="s">
        <v>925</v>
      </c>
      <c r="I2401" s="8" t="s">
        <v>4737</v>
      </c>
    </row>
    <row r="2402" spans="1:12" hidden="1" x14ac:dyDescent="0.35">
      <c r="A2402" s="6">
        <v>961081</v>
      </c>
      <c r="B2402" s="7" t="str">
        <f>"3173080112751001"</f>
        <v>3173080112751001</v>
      </c>
      <c r="C2402" s="7" t="s">
        <v>4739</v>
      </c>
      <c r="D2402" s="7" t="s">
        <v>10</v>
      </c>
      <c r="E2402" s="7" t="s">
        <v>11</v>
      </c>
      <c r="F2402" s="7" t="s">
        <v>50</v>
      </c>
      <c r="G2402" s="7" t="s">
        <v>86</v>
      </c>
      <c r="H2402" s="7" t="s">
        <v>530</v>
      </c>
      <c r="I2402" s="8" t="s">
        <v>531</v>
      </c>
    </row>
    <row r="2403" spans="1:12" hidden="1" x14ac:dyDescent="0.35">
      <c r="A2403" s="6">
        <v>961086</v>
      </c>
      <c r="B2403" s="7" t="str">
        <f>"3173085707041001"</f>
        <v>3173085707041001</v>
      </c>
      <c r="C2403" s="7" t="s">
        <v>4741</v>
      </c>
      <c r="D2403" s="7" t="s">
        <v>10</v>
      </c>
      <c r="E2403" s="7" t="s">
        <v>11</v>
      </c>
      <c r="F2403" s="7" t="s">
        <v>50</v>
      </c>
      <c r="G2403" s="7" t="s">
        <v>86</v>
      </c>
      <c r="H2403" s="7" t="s">
        <v>530</v>
      </c>
      <c r="I2403" s="8" t="s">
        <v>531</v>
      </c>
    </row>
    <row r="2404" spans="1:12" hidden="1" x14ac:dyDescent="0.35">
      <c r="A2404" s="6">
        <v>961078</v>
      </c>
      <c r="B2404" s="7" t="str">
        <f>"3173086610851003"</f>
        <v>3173086610851003</v>
      </c>
      <c r="C2404" s="7" t="s">
        <v>4743</v>
      </c>
      <c r="D2404" s="7" t="s">
        <v>10</v>
      </c>
      <c r="E2404" s="7" t="s">
        <v>11</v>
      </c>
      <c r="F2404" s="7" t="s">
        <v>50</v>
      </c>
      <c r="G2404" s="7" t="s">
        <v>86</v>
      </c>
      <c r="H2404" s="7" t="s">
        <v>530</v>
      </c>
      <c r="I2404" s="8" t="s">
        <v>531</v>
      </c>
    </row>
    <row r="2405" spans="1:12" hidden="1" x14ac:dyDescent="0.35">
      <c r="A2405" s="6">
        <v>1779962</v>
      </c>
      <c r="B2405" s="7" t="str">
        <f>"3174032410910003"</f>
        <v>3174032410910003</v>
      </c>
      <c r="C2405" s="7" t="s">
        <v>4745</v>
      </c>
      <c r="D2405" s="7" t="s">
        <v>10</v>
      </c>
      <c r="E2405" s="7" t="s">
        <v>11</v>
      </c>
      <c r="F2405" s="7" t="s">
        <v>50</v>
      </c>
      <c r="G2405" s="7" t="s">
        <v>72</v>
      </c>
      <c r="H2405" s="7" t="s">
        <v>1172</v>
      </c>
      <c r="I2405" s="8" t="s">
        <v>2228</v>
      </c>
    </row>
    <row r="2406" spans="1:12" hidden="1" x14ac:dyDescent="0.35">
      <c r="A2406" s="6">
        <v>1111640</v>
      </c>
      <c r="B2406" s="7" t="str">
        <f>"3174062007900004"</f>
        <v>3174062007900004</v>
      </c>
      <c r="C2406" s="7" t="s">
        <v>565</v>
      </c>
      <c r="D2406" s="7" t="s">
        <v>10</v>
      </c>
      <c r="E2406" s="7" t="s">
        <v>11</v>
      </c>
      <c r="F2406" s="7" t="s">
        <v>50</v>
      </c>
      <c r="G2406" s="7" t="s">
        <v>72</v>
      </c>
      <c r="H2406" s="7" t="s">
        <v>1093</v>
      </c>
      <c r="I2406" s="8" t="s">
        <v>4307</v>
      </c>
    </row>
    <row r="2407" spans="1:12" hidden="1" x14ac:dyDescent="0.35">
      <c r="A2407" s="6">
        <v>1339403</v>
      </c>
      <c r="B2407" s="7" t="str">
        <f>"3174070505690003"</f>
        <v>3174070505690003</v>
      </c>
      <c r="C2407" s="7" t="s">
        <v>4746</v>
      </c>
      <c r="D2407" s="7" t="s">
        <v>10</v>
      </c>
      <c r="E2407" s="7" t="s">
        <v>11</v>
      </c>
      <c r="F2407" s="7" t="s">
        <v>50</v>
      </c>
      <c r="G2407" s="7" t="s">
        <v>72</v>
      </c>
      <c r="H2407" s="7" t="s">
        <v>73</v>
      </c>
      <c r="I2407" s="8" t="s">
        <v>1957</v>
      </c>
    </row>
    <row r="2408" spans="1:12" hidden="1" x14ac:dyDescent="0.35">
      <c r="A2408" s="6">
        <v>793507</v>
      </c>
      <c r="B2408" s="7" t="str">
        <f>"3174072307870004"</f>
        <v>3174072307870004</v>
      </c>
      <c r="C2408" s="7" t="s">
        <v>4747</v>
      </c>
      <c r="D2408" s="7" t="s">
        <v>10</v>
      </c>
      <c r="E2408" s="7" t="s">
        <v>11</v>
      </c>
      <c r="F2408" s="7" t="s">
        <v>50</v>
      </c>
      <c r="G2408" s="7" t="s">
        <v>72</v>
      </c>
      <c r="H2408" s="7" t="s">
        <v>73</v>
      </c>
      <c r="I2408" s="8" t="s">
        <v>74</v>
      </c>
    </row>
    <row r="2409" spans="1:12" hidden="1" x14ac:dyDescent="0.35">
      <c r="A2409" s="6">
        <v>1089068</v>
      </c>
      <c r="B2409" s="7" t="str">
        <f>"3175020305710013"</f>
        <v>3175020305710013</v>
      </c>
      <c r="C2409" s="7" t="s">
        <v>4749</v>
      </c>
      <c r="D2409" s="7" t="s">
        <v>10</v>
      </c>
      <c r="E2409" s="7" t="s">
        <v>11</v>
      </c>
      <c r="F2409" s="7" t="s">
        <v>50</v>
      </c>
      <c r="G2409" s="7" t="s">
        <v>51</v>
      </c>
      <c r="H2409" s="7" t="s">
        <v>52</v>
      </c>
      <c r="I2409" s="8" t="s">
        <v>52</v>
      </c>
    </row>
    <row r="2410" spans="1:12" hidden="1" x14ac:dyDescent="0.35">
      <c r="A2410" s="6">
        <v>2226946</v>
      </c>
      <c r="B2410" s="7" t="str">
        <f>"3175065807050008"</f>
        <v>3175065807050008</v>
      </c>
      <c r="C2410" s="7" t="s">
        <v>4750</v>
      </c>
      <c r="D2410" s="7" t="s">
        <v>10</v>
      </c>
      <c r="E2410" s="7" t="s">
        <v>11</v>
      </c>
      <c r="F2410" s="7" t="s">
        <v>50</v>
      </c>
      <c r="G2410" s="7" t="s">
        <v>58</v>
      </c>
      <c r="H2410" s="7" t="s">
        <v>417</v>
      </c>
      <c r="I2410" s="8" t="s">
        <v>418</v>
      </c>
    </row>
    <row r="2411" spans="1:12" x14ac:dyDescent="0.35">
      <c r="A2411" s="6">
        <v>1874960</v>
      </c>
      <c r="B2411" s="7" t="str">
        <f>"3175065807050008"</f>
        <v>3175065807050008</v>
      </c>
      <c r="C2411" s="7" t="s">
        <v>4751</v>
      </c>
      <c r="D2411" s="7" t="s">
        <v>189</v>
      </c>
      <c r="E2411" s="7" t="s">
        <v>11</v>
      </c>
      <c r="F2411" s="7" t="s">
        <v>18</v>
      </c>
      <c r="G2411" s="7" t="s">
        <v>19</v>
      </c>
      <c r="H2411" s="7" t="s">
        <v>3565</v>
      </c>
      <c r="I2411" s="8" t="s">
        <v>4752</v>
      </c>
      <c r="J2411" t="e">
        <f>VLOOKUP(B2411,baru!$B$2:$I$2271,4,FALSE)</f>
        <v>#N/A</v>
      </c>
      <c r="K2411" t="e">
        <f>VLOOKUP(B2411,baru!$B$2:$I$2271,5,FALSE)</f>
        <v>#N/A</v>
      </c>
      <c r="L2411" t="e">
        <f>VLOOKUP(B2411,baru!$B$2:$I$2271,6,FALSE)</f>
        <v>#N/A</v>
      </c>
    </row>
    <row r="2412" spans="1:12" hidden="1" x14ac:dyDescent="0.35">
      <c r="A2412" s="13">
        <v>1517895</v>
      </c>
      <c r="B2412" s="14" t="str">
        <f>"3201016407850013"</f>
        <v>3201016407850013</v>
      </c>
      <c r="C2412" s="14" t="s">
        <v>4753</v>
      </c>
      <c r="D2412" s="14" t="s">
        <v>10</v>
      </c>
      <c r="E2412" s="14" t="s">
        <v>11</v>
      </c>
      <c r="F2412" s="14" t="s">
        <v>18</v>
      </c>
      <c r="G2412" s="14" t="s">
        <v>19</v>
      </c>
      <c r="H2412" s="14" t="s">
        <v>4754</v>
      </c>
      <c r="I2412" s="15" t="s">
        <v>4755</v>
      </c>
      <c r="J2412" s="16" t="str">
        <f>VLOOKUP(B2412,baru!$B$2:$I$2271,4,FALSE)</f>
        <v>Reguler</v>
      </c>
      <c r="K2412" s="16" t="str">
        <f>VLOOKUP(B2412,baru!$B$2:$I$2271,5,FALSE)</f>
        <v>JAWA TENGAH</v>
      </c>
      <c r="L2412" s="16" t="str">
        <f>VLOOKUP(B2412,baru!$B$2:$I$2271,6,FALSE)</f>
        <v>TEGAL</v>
      </c>
    </row>
    <row r="2413" spans="1:12" hidden="1" x14ac:dyDescent="0.35">
      <c r="A2413" s="6">
        <v>523977</v>
      </c>
      <c r="B2413" s="7" t="str">
        <f>"3201021104850015"</f>
        <v>3201021104850015</v>
      </c>
      <c r="C2413" s="7" t="s">
        <v>4757</v>
      </c>
      <c r="D2413" s="7" t="s">
        <v>10</v>
      </c>
      <c r="E2413" s="7" t="s">
        <v>11</v>
      </c>
      <c r="F2413" s="7" t="s">
        <v>91</v>
      </c>
      <c r="G2413" s="7" t="s">
        <v>650</v>
      </c>
      <c r="H2413" s="7" t="s">
        <v>1752</v>
      </c>
      <c r="I2413" s="8" t="s">
        <v>4758</v>
      </c>
    </row>
    <row r="2414" spans="1:12" hidden="1" x14ac:dyDescent="0.35">
      <c r="A2414" s="6">
        <v>523973</v>
      </c>
      <c r="B2414" s="7" t="str">
        <f>"3201024608870008"</f>
        <v>3201024608870008</v>
      </c>
      <c r="C2414" s="7" t="s">
        <v>4759</v>
      </c>
      <c r="D2414" s="7" t="s">
        <v>10</v>
      </c>
      <c r="E2414" s="7" t="s">
        <v>11</v>
      </c>
      <c r="F2414" s="7" t="s">
        <v>91</v>
      </c>
      <c r="G2414" s="7" t="s">
        <v>650</v>
      </c>
      <c r="H2414" s="7" t="s">
        <v>1752</v>
      </c>
      <c r="I2414" s="8" t="s">
        <v>4758</v>
      </c>
    </row>
    <row r="2415" spans="1:12" hidden="1" x14ac:dyDescent="0.35">
      <c r="A2415" s="6">
        <v>696921</v>
      </c>
      <c r="B2415" s="7" t="str">
        <f>"3201122309540002"</f>
        <v>3201122309540002</v>
      </c>
      <c r="C2415" s="7" t="s">
        <v>4760</v>
      </c>
      <c r="D2415" s="7" t="s">
        <v>10</v>
      </c>
      <c r="E2415" s="7" t="s">
        <v>11</v>
      </c>
      <c r="F2415" s="7" t="s">
        <v>50</v>
      </c>
      <c r="G2415" s="7" t="s">
        <v>51</v>
      </c>
      <c r="H2415" s="7" t="s">
        <v>62</v>
      </c>
      <c r="I2415" s="8" t="s">
        <v>62</v>
      </c>
    </row>
    <row r="2416" spans="1:12" hidden="1" x14ac:dyDescent="0.35">
      <c r="A2416" s="6">
        <v>720097</v>
      </c>
      <c r="B2416" s="7" t="str">
        <f>"3208076303980003"</f>
        <v>3208076303980003</v>
      </c>
      <c r="C2416" s="7" t="s">
        <v>4761</v>
      </c>
      <c r="D2416" s="7" t="s">
        <v>10</v>
      </c>
      <c r="E2416" s="7" t="s">
        <v>11</v>
      </c>
      <c r="F2416" s="7" t="s">
        <v>91</v>
      </c>
      <c r="G2416" s="7" t="s">
        <v>109</v>
      </c>
      <c r="H2416" s="7" t="s">
        <v>110</v>
      </c>
      <c r="I2416" s="8" t="s">
        <v>4762</v>
      </c>
    </row>
    <row r="2417" spans="1:12" hidden="1" x14ac:dyDescent="0.35">
      <c r="A2417" s="6">
        <v>225394</v>
      </c>
      <c r="B2417" s="7" t="str">
        <f>"3209250607920003"</f>
        <v>3209250607920003</v>
      </c>
      <c r="C2417" s="7" t="s">
        <v>4763</v>
      </c>
      <c r="D2417" s="7" t="s">
        <v>10</v>
      </c>
      <c r="E2417" s="7" t="s">
        <v>11</v>
      </c>
      <c r="F2417" s="7" t="s">
        <v>91</v>
      </c>
      <c r="G2417" s="7" t="s">
        <v>985</v>
      </c>
      <c r="H2417" s="7" t="s">
        <v>4764</v>
      </c>
      <c r="I2417" s="8" t="s">
        <v>1381</v>
      </c>
    </row>
    <row r="2418" spans="1:12" hidden="1" x14ac:dyDescent="0.35">
      <c r="A2418" s="6">
        <v>1808076</v>
      </c>
      <c r="B2418" s="7" t="str">
        <f>"3209281412990001"</f>
        <v>3209281412990001</v>
      </c>
      <c r="C2418" s="7" t="s">
        <v>4766</v>
      </c>
      <c r="D2418" s="7" t="s">
        <v>10</v>
      </c>
      <c r="E2418" s="7" t="s">
        <v>11</v>
      </c>
      <c r="F2418" s="7" t="s">
        <v>91</v>
      </c>
      <c r="G2418" s="7" t="s">
        <v>985</v>
      </c>
      <c r="H2418" s="7" t="s">
        <v>4767</v>
      </c>
      <c r="I2418" s="8" t="s">
        <v>4768</v>
      </c>
    </row>
    <row r="2419" spans="1:12" hidden="1" x14ac:dyDescent="0.35">
      <c r="A2419" s="13">
        <v>1727547</v>
      </c>
      <c r="B2419" s="14" t="str">
        <f>"3211032405550001"</f>
        <v>3211032405550001</v>
      </c>
      <c r="C2419" s="14" t="s">
        <v>4770</v>
      </c>
      <c r="D2419" s="14" t="s">
        <v>10</v>
      </c>
      <c r="E2419" s="14" t="s">
        <v>11</v>
      </c>
      <c r="F2419" s="14" t="s">
        <v>18</v>
      </c>
      <c r="G2419" s="14" t="s">
        <v>19</v>
      </c>
      <c r="H2419" s="14" t="s">
        <v>3565</v>
      </c>
      <c r="I2419" s="15" t="s">
        <v>4771</v>
      </c>
      <c r="J2419" s="16" t="str">
        <f>VLOOKUP(B2419,baru!$B$2:$I$2271,4,FALSE)</f>
        <v>Reguler</v>
      </c>
      <c r="K2419" s="16" t="str">
        <f>VLOOKUP(B2419,baru!$B$2:$I$2271,5,FALSE)</f>
        <v>JAWA BARAT</v>
      </c>
      <c r="L2419" s="16" t="str">
        <f>VLOOKUP(B2419,baru!$B$2:$I$2271,6,FALSE)</f>
        <v>SUMEDANG</v>
      </c>
    </row>
    <row r="2420" spans="1:12" x14ac:dyDescent="0.35">
      <c r="A2420" s="13">
        <v>1891452</v>
      </c>
      <c r="B2420" s="14" t="str">
        <f>"3211084803910011"</f>
        <v>3211084803910011</v>
      </c>
      <c r="C2420" s="14" t="s">
        <v>4774</v>
      </c>
      <c r="D2420" s="14" t="s">
        <v>189</v>
      </c>
      <c r="E2420" s="14" t="s">
        <v>11</v>
      </c>
      <c r="F2420" s="14" t="s">
        <v>18</v>
      </c>
      <c r="G2420" s="14" t="s">
        <v>19</v>
      </c>
      <c r="H2420" s="14" t="s">
        <v>3565</v>
      </c>
      <c r="I2420" s="15" t="s">
        <v>4775</v>
      </c>
      <c r="J2420" s="16" t="str">
        <f>VLOOKUP(B2420,baru!$B$2:$I$2271,4,FALSE)</f>
        <v>Reguler</v>
      </c>
      <c r="K2420" s="16" t="str">
        <f>VLOOKUP(B2420,baru!$B$2:$I$2271,5,FALSE)</f>
        <v>JAWA BARAT</v>
      </c>
      <c r="L2420" s="16" t="str">
        <f>VLOOKUP(B2420,baru!$B$2:$I$2271,6,FALSE)</f>
        <v>SUMEDANG</v>
      </c>
    </row>
    <row r="2421" spans="1:12" hidden="1" x14ac:dyDescent="0.35">
      <c r="A2421" s="6">
        <v>1632018</v>
      </c>
      <c r="B2421" s="7" t="str">
        <f>"3211183012520002"</f>
        <v>3211183012520002</v>
      </c>
      <c r="C2421" s="7" t="s">
        <v>4778</v>
      </c>
      <c r="D2421" s="7" t="s">
        <v>10</v>
      </c>
      <c r="E2421" s="7" t="s">
        <v>11</v>
      </c>
      <c r="F2421" s="7" t="s">
        <v>91</v>
      </c>
      <c r="G2421" s="7" t="s">
        <v>1763</v>
      </c>
      <c r="H2421" s="7" t="s">
        <v>4779</v>
      </c>
      <c r="I2421" s="8" t="s">
        <v>4780</v>
      </c>
    </row>
    <row r="2422" spans="1:12" hidden="1" x14ac:dyDescent="0.35">
      <c r="A2422" s="6">
        <v>1632019</v>
      </c>
      <c r="B2422" s="7" t="str">
        <f>"3211185511570006"</f>
        <v>3211185511570006</v>
      </c>
      <c r="C2422" s="7" t="s">
        <v>4781</v>
      </c>
      <c r="D2422" s="7" t="s">
        <v>10</v>
      </c>
      <c r="E2422" s="7" t="s">
        <v>11</v>
      </c>
      <c r="F2422" s="7" t="s">
        <v>91</v>
      </c>
      <c r="G2422" s="7" t="s">
        <v>1763</v>
      </c>
      <c r="H2422" s="7" t="s">
        <v>4779</v>
      </c>
      <c r="I2422" s="8" t="s">
        <v>4780</v>
      </c>
    </row>
    <row r="2423" spans="1:12" hidden="1" x14ac:dyDescent="0.35">
      <c r="A2423" s="6">
        <v>1527404</v>
      </c>
      <c r="B2423" s="7" t="str">
        <f>"3211230504740008"</f>
        <v>3211230504740008</v>
      </c>
      <c r="C2423" s="7" t="s">
        <v>4782</v>
      </c>
      <c r="D2423" s="7" t="s">
        <v>10</v>
      </c>
      <c r="E2423" s="7" t="s">
        <v>11</v>
      </c>
      <c r="F2423" s="7" t="s">
        <v>91</v>
      </c>
      <c r="G2423" s="7" t="s">
        <v>1763</v>
      </c>
      <c r="H2423" s="7" t="s">
        <v>138</v>
      </c>
      <c r="I2423" s="8" t="s">
        <v>4783</v>
      </c>
    </row>
    <row r="2424" spans="1:12" hidden="1" x14ac:dyDescent="0.35">
      <c r="A2424" s="6">
        <v>1527406</v>
      </c>
      <c r="B2424" s="7" t="str">
        <f>"3211231504970001"</f>
        <v>3211231504970001</v>
      </c>
      <c r="C2424" s="7" t="s">
        <v>4784</v>
      </c>
      <c r="D2424" s="7" t="s">
        <v>10</v>
      </c>
      <c r="E2424" s="7" t="s">
        <v>11</v>
      </c>
      <c r="F2424" s="7" t="s">
        <v>91</v>
      </c>
      <c r="G2424" s="7" t="s">
        <v>1763</v>
      </c>
      <c r="H2424" s="7" t="s">
        <v>138</v>
      </c>
      <c r="I2424" s="8" t="s">
        <v>4783</v>
      </c>
    </row>
    <row r="2425" spans="1:12" hidden="1" x14ac:dyDescent="0.35">
      <c r="A2425" s="6">
        <v>1527405</v>
      </c>
      <c r="B2425" s="7" t="str">
        <f>"3211232008030003"</f>
        <v>3211232008030003</v>
      </c>
      <c r="C2425" s="7" t="s">
        <v>4785</v>
      </c>
      <c r="D2425" s="7" t="s">
        <v>10</v>
      </c>
      <c r="E2425" s="7" t="s">
        <v>11</v>
      </c>
      <c r="F2425" s="7" t="s">
        <v>91</v>
      </c>
      <c r="G2425" s="7" t="s">
        <v>1763</v>
      </c>
      <c r="H2425" s="7" t="s">
        <v>138</v>
      </c>
      <c r="I2425" s="8" t="s">
        <v>4783</v>
      </c>
    </row>
    <row r="2426" spans="1:12" hidden="1" x14ac:dyDescent="0.35">
      <c r="A2426" s="6">
        <v>1527403</v>
      </c>
      <c r="B2426" s="7" t="str">
        <f>"3211235510770001"</f>
        <v>3211235510770001</v>
      </c>
      <c r="C2426" s="7" t="s">
        <v>4786</v>
      </c>
      <c r="D2426" s="7" t="s">
        <v>10</v>
      </c>
      <c r="E2426" s="7" t="s">
        <v>11</v>
      </c>
      <c r="F2426" s="7" t="s">
        <v>91</v>
      </c>
      <c r="G2426" s="7" t="s">
        <v>1763</v>
      </c>
      <c r="H2426" s="7" t="s">
        <v>138</v>
      </c>
      <c r="I2426" s="8" t="s">
        <v>4783</v>
      </c>
    </row>
    <row r="2427" spans="1:12" hidden="1" x14ac:dyDescent="0.35">
      <c r="A2427" s="6">
        <v>831498</v>
      </c>
      <c r="B2427" s="7" t="str">
        <f>"3212112311030001"</f>
        <v>3212112311030001</v>
      </c>
      <c r="C2427" s="7" t="s">
        <v>4787</v>
      </c>
      <c r="D2427" s="7" t="s">
        <v>10</v>
      </c>
      <c r="E2427" s="7" t="s">
        <v>11</v>
      </c>
      <c r="F2427" s="7" t="s">
        <v>91</v>
      </c>
      <c r="G2427" s="7" t="s">
        <v>114</v>
      </c>
      <c r="H2427" s="7" t="s">
        <v>4788</v>
      </c>
      <c r="I2427" s="8" t="s">
        <v>4789</v>
      </c>
    </row>
    <row r="2428" spans="1:12" hidden="1" x14ac:dyDescent="0.35">
      <c r="A2428" s="6">
        <v>1728164</v>
      </c>
      <c r="B2428" s="7" t="str">
        <f>"3216084301890002"</f>
        <v>3216084301890002</v>
      </c>
      <c r="C2428" s="7" t="s">
        <v>4791</v>
      </c>
      <c r="D2428" s="7" t="s">
        <v>10</v>
      </c>
      <c r="E2428" s="7" t="s">
        <v>11</v>
      </c>
      <c r="F2428" s="7" t="s">
        <v>91</v>
      </c>
      <c r="G2428" s="7" t="s">
        <v>92</v>
      </c>
      <c r="H2428" s="7" t="s">
        <v>105</v>
      </c>
      <c r="I2428" s="8" t="s">
        <v>3694</v>
      </c>
    </row>
    <row r="2429" spans="1:12" hidden="1" x14ac:dyDescent="0.35">
      <c r="A2429" s="6">
        <v>357569</v>
      </c>
      <c r="B2429" s="7" t="str">
        <f>"3275024407720015"</f>
        <v>3275024407720015</v>
      </c>
      <c r="C2429" s="7" t="s">
        <v>4793</v>
      </c>
      <c r="D2429" s="7" t="s">
        <v>10</v>
      </c>
      <c r="E2429" s="7" t="s">
        <v>11</v>
      </c>
      <c r="F2429" s="7" t="s">
        <v>91</v>
      </c>
      <c r="G2429" s="7" t="s">
        <v>159</v>
      </c>
      <c r="H2429" s="7" t="s">
        <v>1288</v>
      </c>
      <c r="I2429" s="8" t="s">
        <v>2918</v>
      </c>
    </row>
    <row r="2430" spans="1:12" hidden="1" x14ac:dyDescent="0.35">
      <c r="A2430" s="6">
        <v>67768</v>
      </c>
      <c r="B2430" s="7" t="str">
        <f>"3275031709840034"</f>
        <v>3275031709840034</v>
      </c>
      <c r="C2430" s="7" t="s">
        <v>4794</v>
      </c>
      <c r="D2430" s="7" t="s">
        <v>10</v>
      </c>
      <c r="E2430" s="7" t="s">
        <v>11</v>
      </c>
      <c r="F2430" s="7" t="s">
        <v>91</v>
      </c>
      <c r="G2430" s="7" t="s">
        <v>159</v>
      </c>
      <c r="H2430" s="7" t="s">
        <v>1828</v>
      </c>
      <c r="I2430" s="8" t="s">
        <v>3707</v>
      </c>
    </row>
    <row r="2431" spans="1:12" hidden="1" x14ac:dyDescent="0.35">
      <c r="A2431" s="13">
        <v>1947247</v>
      </c>
      <c r="B2431" s="14" t="str">
        <f>"3305051908930001"</f>
        <v>3305051908930001</v>
      </c>
      <c r="C2431" s="14" t="s">
        <v>4796</v>
      </c>
      <c r="D2431" s="14" t="s">
        <v>10</v>
      </c>
      <c r="E2431" s="14" t="s">
        <v>11</v>
      </c>
      <c r="F2431" s="14" t="s">
        <v>18</v>
      </c>
      <c r="G2431" s="14" t="s">
        <v>19</v>
      </c>
      <c r="H2431" s="14" t="s">
        <v>3565</v>
      </c>
      <c r="I2431" s="15" t="s">
        <v>4748</v>
      </c>
      <c r="J2431" s="16" t="str">
        <f>VLOOKUP(B2431,baru!$B$2:$I$2271,4,FALSE)</f>
        <v>Reguler</v>
      </c>
      <c r="K2431" s="16" t="str">
        <f>VLOOKUP(B2431,baru!$B$2:$I$2271,5,FALSE)</f>
        <v>JAWA TENGAH</v>
      </c>
      <c r="L2431" s="16" t="str">
        <f>VLOOKUP(B2431,baru!$B$2:$I$2271,6,FALSE)</f>
        <v>KEBUMEN</v>
      </c>
    </row>
    <row r="2432" spans="1:12" x14ac:dyDescent="0.35">
      <c r="A2432" s="6">
        <v>82610</v>
      </c>
      <c r="B2432" s="7" t="str">
        <f>"3314030311920001"</f>
        <v>3314030311920001</v>
      </c>
      <c r="C2432" s="7" t="s">
        <v>4799</v>
      </c>
      <c r="D2432" s="7" t="s">
        <v>189</v>
      </c>
      <c r="E2432" s="7" t="s">
        <v>11</v>
      </c>
      <c r="F2432" s="7" t="s">
        <v>18</v>
      </c>
      <c r="G2432" s="7" t="s">
        <v>3495</v>
      </c>
      <c r="H2432" s="7" t="s">
        <v>4800</v>
      </c>
      <c r="I2432" s="8" t="s">
        <v>4801</v>
      </c>
    </row>
    <row r="2433" spans="1:12" hidden="1" x14ac:dyDescent="0.35">
      <c r="A2433" s="6">
        <v>1045357</v>
      </c>
      <c r="B2433" s="7" t="str">
        <f>"3327101505840041"</f>
        <v>3327101505840041</v>
      </c>
      <c r="C2433" s="7" t="s">
        <v>4802</v>
      </c>
      <c r="D2433" s="7" t="s">
        <v>10</v>
      </c>
      <c r="E2433" s="7" t="s">
        <v>11</v>
      </c>
      <c r="F2433" s="7" t="s">
        <v>91</v>
      </c>
      <c r="G2433" s="7" t="s">
        <v>320</v>
      </c>
      <c r="H2433" s="7" t="s">
        <v>1319</v>
      </c>
      <c r="I2433" s="8" t="s">
        <v>3999</v>
      </c>
    </row>
    <row r="2434" spans="1:12" hidden="1" x14ac:dyDescent="0.35">
      <c r="A2434" s="6">
        <v>2226804</v>
      </c>
      <c r="B2434" s="7" t="str">
        <f>"3327102411780004"</f>
        <v>3327102411780004</v>
      </c>
      <c r="C2434" s="7" t="s">
        <v>4803</v>
      </c>
      <c r="D2434" s="7" t="s">
        <v>10</v>
      </c>
      <c r="E2434" s="7" t="s">
        <v>11</v>
      </c>
      <c r="F2434" s="7" t="s">
        <v>18</v>
      </c>
      <c r="G2434" s="7" t="s">
        <v>199</v>
      </c>
      <c r="H2434" s="7" t="s">
        <v>200</v>
      </c>
      <c r="I2434" s="8" t="s">
        <v>4804</v>
      </c>
    </row>
    <row r="2435" spans="1:12" hidden="1" x14ac:dyDescent="0.35">
      <c r="A2435" s="6">
        <v>27434</v>
      </c>
      <c r="B2435" s="7" t="str">
        <f>"3328095705930002"</f>
        <v>3328095705930002</v>
      </c>
      <c r="C2435" s="7" t="s">
        <v>4805</v>
      </c>
      <c r="D2435" s="7" t="s">
        <v>10</v>
      </c>
      <c r="E2435" s="7" t="s">
        <v>11</v>
      </c>
      <c r="F2435" s="7" t="s">
        <v>50</v>
      </c>
      <c r="G2435" s="7" t="s">
        <v>280</v>
      </c>
      <c r="H2435" s="7" t="s">
        <v>2179</v>
      </c>
      <c r="I2435" s="8" t="s">
        <v>4806</v>
      </c>
    </row>
    <row r="2436" spans="1:12" x14ac:dyDescent="0.35">
      <c r="A2436" s="6">
        <v>1790935</v>
      </c>
      <c r="B2436" s="7" t="str">
        <f>"3328095705930002"</f>
        <v>3328095705930002</v>
      </c>
      <c r="C2436" s="7" t="s">
        <v>4807</v>
      </c>
      <c r="D2436" s="7" t="s">
        <v>189</v>
      </c>
      <c r="E2436" s="7" t="s">
        <v>11</v>
      </c>
      <c r="F2436" s="7" t="s">
        <v>18</v>
      </c>
      <c r="G2436" s="7" t="s">
        <v>19</v>
      </c>
      <c r="H2436" s="7" t="s">
        <v>3565</v>
      </c>
      <c r="I2436" s="8" t="s">
        <v>4769</v>
      </c>
      <c r="J2436" t="e">
        <f>VLOOKUP(B2436,baru!$B$2:$I$2271,4,FALSE)</f>
        <v>#N/A</v>
      </c>
      <c r="K2436" t="e">
        <f>VLOOKUP(B2436,baru!$B$2:$I$2271,5,FALSE)</f>
        <v>#N/A</v>
      </c>
      <c r="L2436" t="e">
        <f>VLOOKUP(B2436,baru!$B$2:$I$2271,6,FALSE)</f>
        <v>#N/A</v>
      </c>
    </row>
    <row r="2437" spans="1:12" hidden="1" x14ac:dyDescent="0.35">
      <c r="A2437" s="6">
        <v>322590</v>
      </c>
      <c r="B2437" s="7" t="str">
        <f>"3328102504820002"</f>
        <v>3328102504820002</v>
      </c>
      <c r="C2437" s="7" t="s">
        <v>4808</v>
      </c>
      <c r="D2437" s="7" t="s">
        <v>10</v>
      </c>
      <c r="E2437" s="7" t="s">
        <v>11</v>
      </c>
      <c r="F2437" s="7" t="s">
        <v>18</v>
      </c>
      <c r="G2437" s="7" t="s">
        <v>268</v>
      </c>
      <c r="H2437" s="7" t="s">
        <v>277</v>
      </c>
      <c r="I2437" s="8" t="s">
        <v>278</v>
      </c>
    </row>
    <row r="2438" spans="1:12" hidden="1" x14ac:dyDescent="0.35">
      <c r="A2438" s="6">
        <v>544596</v>
      </c>
      <c r="B2438" s="7" t="str">
        <f>"3328112904970002"</f>
        <v>3328112904970002</v>
      </c>
      <c r="C2438" s="7" t="s">
        <v>4809</v>
      </c>
      <c r="D2438" s="7" t="s">
        <v>10</v>
      </c>
      <c r="E2438" s="7" t="s">
        <v>11</v>
      </c>
      <c r="F2438" s="7" t="s">
        <v>783</v>
      </c>
      <c r="G2438" s="7" t="s">
        <v>1112</v>
      </c>
      <c r="H2438" s="7" t="s">
        <v>1113</v>
      </c>
      <c r="I2438" s="8" t="s">
        <v>4810</v>
      </c>
    </row>
    <row r="2439" spans="1:12" hidden="1" x14ac:dyDescent="0.35">
      <c r="A2439" s="6">
        <v>353112</v>
      </c>
      <c r="B2439" s="7" t="str">
        <f>"3328117012920009"</f>
        <v>3328117012920009</v>
      </c>
      <c r="C2439" s="7" t="s">
        <v>4811</v>
      </c>
      <c r="D2439" s="7" t="s">
        <v>10</v>
      </c>
      <c r="E2439" s="7" t="s">
        <v>11</v>
      </c>
      <c r="F2439" s="7" t="s">
        <v>18</v>
      </c>
      <c r="G2439" s="7" t="s">
        <v>268</v>
      </c>
      <c r="H2439" s="7" t="s">
        <v>269</v>
      </c>
      <c r="I2439" s="8" t="s">
        <v>270</v>
      </c>
    </row>
    <row r="2440" spans="1:12" hidden="1" x14ac:dyDescent="0.35">
      <c r="A2440" s="6">
        <v>444838</v>
      </c>
      <c r="B2440" s="7" t="str">
        <f>"3328120810870004"</f>
        <v>3328120810870004</v>
      </c>
      <c r="C2440" s="7" t="s">
        <v>4812</v>
      </c>
      <c r="D2440" s="7" t="s">
        <v>10</v>
      </c>
      <c r="E2440" s="7" t="s">
        <v>11</v>
      </c>
      <c r="F2440" s="7" t="s">
        <v>18</v>
      </c>
      <c r="G2440" s="7" t="s">
        <v>264</v>
      </c>
      <c r="H2440" s="7" t="s">
        <v>477</v>
      </c>
      <c r="I2440" s="8" t="s">
        <v>3855</v>
      </c>
    </row>
    <row r="2441" spans="1:12" hidden="1" x14ac:dyDescent="0.35">
      <c r="A2441" s="13">
        <v>1704840</v>
      </c>
      <c r="B2441" s="14" t="str">
        <f>"3328121503830001"</f>
        <v>3328121503830001</v>
      </c>
      <c r="C2441" s="14" t="s">
        <v>4813</v>
      </c>
      <c r="D2441" s="14" t="s">
        <v>10</v>
      </c>
      <c r="E2441" s="14" t="s">
        <v>11</v>
      </c>
      <c r="F2441" s="14" t="s">
        <v>18</v>
      </c>
      <c r="G2441" s="14" t="s">
        <v>19</v>
      </c>
      <c r="H2441" s="14" t="s">
        <v>3565</v>
      </c>
      <c r="I2441" s="15" t="s">
        <v>4814</v>
      </c>
      <c r="J2441" s="16" t="str">
        <f>VLOOKUP(B2441,baru!$B$2:$I$2271,4,FALSE)</f>
        <v>Reguler</v>
      </c>
      <c r="K2441" s="16" t="str">
        <f>VLOOKUP(B2441,baru!$B$2:$I$2271,5,FALSE)</f>
        <v>JAWA TENGAH</v>
      </c>
      <c r="L2441" s="16" t="str">
        <f>VLOOKUP(B2441,baru!$B$2:$I$2271,6,FALSE)</f>
        <v>KUDUS</v>
      </c>
    </row>
    <row r="2442" spans="1:12" hidden="1" x14ac:dyDescent="0.35">
      <c r="A2442" s="6">
        <v>1201510</v>
      </c>
      <c r="B2442" s="7" t="str">
        <f>"3328140106610005"</f>
        <v>3328140106610005</v>
      </c>
      <c r="C2442" s="7" t="s">
        <v>4817</v>
      </c>
      <c r="D2442" s="7" t="s">
        <v>10</v>
      </c>
      <c r="E2442" s="7" t="s">
        <v>11</v>
      </c>
      <c r="F2442" s="7" t="s">
        <v>50</v>
      </c>
      <c r="G2442" s="7" t="s">
        <v>86</v>
      </c>
      <c r="H2442" s="7" t="s">
        <v>313</v>
      </c>
      <c r="I2442" s="8" t="s">
        <v>2219</v>
      </c>
    </row>
    <row r="2443" spans="1:12" hidden="1" x14ac:dyDescent="0.35">
      <c r="A2443" s="6">
        <v>2333842</v>
      </c>
      <c r="B2443" s="7" t="str">
        <f>"3328140307680001"</f>
        <v>3328140307680001</v>
      </c>
      <c r="C2443" s="7" t="s">
        <v>4818</v>
      </c>
      <c r="D2443" s="7" t="s">
        <v>10</v>
      </c>
      <c r="E2443" s="7" t="s">
        <v>11</v>
      </c>
      <c r="F2443" s="7" t="s">
        <v>50</v>
      </c>
      <c r="G2443" s="7" t="s">
        <v>58</v>
      </c>
      <c r="H2443" s="7" t="s">
        <v>417</v>
      </c>
      <c r="I2443" s="8" t="s">
        <v>59</v>
      </c>
    </row>
    <row r="2444" spans="1:12" hidden="1" x14ac:dyDescent="0.35">
      <c r="A2444" s="13">
        <v>1783043</v>
      </c>
      <c r="B2444" s="14" t="str">
        <f>"3328140308900004"</f>
        <v>3328140308900004</v>
      </c>
      <c r="C2444" s="14" t="s">
        <v>4820</v>
      </c>
      <c r="D2444" s="14" t="s">
        <v>10</v>
      </c>
      <c r="E2444" s="14" t="s">
        <v>11</v>
      </c>
      <c r="F2444" s="14" t="s">
        <v>18</v>
      </c>
      <c r="G2444" s="14" t="s">
        <v>19</v>
      </c>
      <c r="H2444" s="14" t="s">
        <v>3565</v>
      </c>
      <c r="I2444" s="15" t="s">
        <v>4156</v>
      </c>
      <c r="J2444" s="16" t="str">
        <f>VLOOKUP(B2444,baru!$B$2:$I$2271,4,FALSE)</f>
        <v>Reguler</v>
      </c>
      <c r="K2444" s="16" t="str">
        <f>VLOOKUP(B2444,baru!$B$2:$I$2271,5,FALSE)</f>
        <v>DKI JAKARTA</v>
      </c>
      <c r="L2444" s="16" t="str">
        <f>VLOOKUP(B2444,baru!$B$2:$I$2271,6,FALSE)</f>
        <v>KOTA JAKARTA BARAT</v>
      </c>
    </row>
    <row r="2445" spans="1:12" hidden="1" x14ac:dyDescent="0.35">
      <c r="A2445" s="6">
        <v>1920324</v>
      </c>
      <c r="B2445" s="7" t="str">
        <f>"3328140402020003"</f>
        <v>3328140402020003</v>
      </c>
      <c r="C2445" s="7" t="s">
        <v>4822</v>
      </c>
      <c r="D2445" s="7" t="s">
        <v>10</v>
      </c>
      <c r="E2445" s="7" t="s">
        <v>11</v>
      </c>
      <c r="F2445" s="7" t="s">
        <v>18</v>
      </c>
      <c r="G2445" s="7" t="s">
        <v>19</v>
      </c>
      <c r="H2445" s="7" t="s">
        <v>3565</v>
      </c>
      <c r="I2445" s="8" t="s">
        <v>4765</v>
      </c>
      <c r="J2445" t="e">
        <f>VLOOKUP(B2445,baru!$B$2:$I$2271,4,FALSE)</f>
        <v>#N/A</v>
      </c>
      <c r="K2445" t="e">
        <f>VLOOKUP(B2445,baru!$B$2:$I$2271,5,FALSE)</f>
        <v>#N/A</v>
      </c>
      <c r="L2445" t="e">
        <f>VLOOKUP(B2445,baru!$B$2:$I$2271,6,FALSE)</f>
        <v>#N/A</v>
      </c>
    </row>
    <row r="2446" spans="1:12" hidden="1" x14ac:dyDescent="0.35">
      <c r="A2446" s="6">
        <v>1350437</v>
      </c>
      <c r="B2446" s="7" t="str">
        <f>"3328140402020003"</f>
        <v>3328140402020003</v>
      </c>
      <c r="C2446" s="7" t="s">
        <v>4822</v>
      </c>
      <c r="D2446" s="7" t="s">
        <v>10</v>
      </c>
      <c r="E2446" s="7" t="s">
        <v>57</v>
      </c>
      <c r="F2446" s="7" t="s">
        <v>303</v>
      </c>
      <c r="G2446" s="7" t="s">
        <v>608</v>
      </c>
      <c r="H2446" s="7" t="s">
        <v>609</v>
      </c>
      <c r="I2446" s="8" t="s">
        <v>610</v>
      </c>
    </row>
    <row r="2447" spans="1:12" hidden="1" x14ac:dyDescent="0.35">
      <c r="A2447" s="6">
        <v>770703</v>
      </c>
      <c r="B2447" s="7" t="str">
        <f>"3328140503940005"</f>
        <v>3328140503940005</v>
      </c>
      <c r="C2447" s="7" t="s">
        <v>1292</v>
      </c>
      <c r="D2447" s="7" t="s">
        <v>10</v>
      </c>
      <c r="E2447" s="7" t="s">
        <v>11</v>
      </c>
      <c r="F2447" s="7" t="s">
        <v>50</v>
      </c>
      <c r="G2447" s="7" t="s">
        <v>51</v>
      </c>
      <c r="H2447" s="7" t="s">
        <v>284</v>
      </c>
      <c r="I2447" s="8" t="s">
        <v>284</v>
      </c>
    </row>
    <row r="2448" spans="1:12" hidden="1" x14ac:dyDescent="0.35">
      <c r="A2448" s="6">
        <v>757702</v>
      </c>
      <c r="B2448" s="7" t="str">
        <f>"3328140511750008"</f>
        <v>3328140511750008</v>
      </c>
      <c r="C2448" s="7" t="s">
        <v>4823</v>
      </c>
      <c r="D2448" s="7" t="s">
        <v>10</v>
      </c>
      <c r="E2448" s="7" t="s">
        <v>11</v>
      </c>
      <c r="F2448" s="7" t="s">
        <v>50</v>
      </c>
      <c r="G2448" s="7" t="s">
        <v>280</v>
      </c>
      <c r="H2448" s="7" t="s">
        <v>402</v>
      </c>
      <c r="I2448" s="8" t="s">
        <v>4730</v>
      </c>
    </row>
    <row r="2449" spans="1:12" hidden="1" x14ac:dyDescent="0.35">
      <c r="A2449" s="6">
        <v>1926833</v>
      </c>
      <c r="B2449" s="7" t="str">
        <f>"3328140601010001"</f>
        <v>3328140601010001</v>
      </c>
      <c r="C2449" s="7" t="s">
        <v>4824</v>
      </c>
      <c r="D2449" s="7" t="s">
        <v>10</v>
      </c>
      <c r="E2449" s="7" t="s">
        <v>11</v>
      </c>
      <c r="F2449" s="7" t="s">
        <v>18</v>
      </c>
      <c r="G2449" s="7" t="s">
        <v>19</v>
      </c>
      <c r="H2449" s="7" t="s">
        <v>3565</v>
      </c>
      <c r="I2449" s="8" t="s">
        <v>678</v>
      </c>
      <c r="J2449" t="e">
        <f>VLOOKUP(B2449,baru!$B$2:$I$2271,4,FALSE)</f>
        <v>#N/A</v>
      </c>
      <c r="K2449" t="e">
        <f>VLOOKUP(B2449,baru!$B$2:$I$2271,5,FALSE)</f>
        <v>#N/A</v>
      </c>
      <c r="L2449" t="e">
        <f>VLOOKUP(B2449,baru!$B$2:$I$2271,6,FALSE)</f>
        <v>#N/A</v>
      </c>
    </row>
    <row r="2450" spans="1:12" hidden="1" x14ac:dyDescent="0.35">
      <c r="A2450" s="6">
        <v>1350439</v>
      </c>
      <c r="B2450" s="7" t="str">
        <f>"3328140601010001"</f>
        <v>3328140601010001</v>
      </c>
      <c r="C2450" s="7" t="s">
        <v>4825</v>
      </c>
      <c r="D2450" s="7" t="s">
        <v>10</v>
      </c>
      <c r="E2450" s="7" t="s">
        <v>57</v>
      </c>
      <c r="F2450" s="7" t="s">
        <v>303</v>
      </c>
      <c r="G2450" s="7" t="s">
        <v>608</v>
      </c>
      <c r="H2450" s="7" t="s">
        <v>609</v>
      </c>
      <c r="I2450" s="8" t="s">
        <v>610</v>
      </c>
    </row>
    <row r="2451" spans="1:12" x14ac:dyDescent="0.35">
      <c r="A2451" s="6">
        <v>1804331</v>
      </c>
      <c r="B2451" s="7" t="str">
        <f>"3328140605020003"</f>
        <v>3328140605020003</v>
      </c>
      <c r="C2451" s="7" t="s">
        <v>4826</v>
      </c>
      <c r="D2451" s="7" t="s">
        <v>189</v>
      </c>
      <c r="E2451" s="7" t="s">
        <v>11</v>
      </c>
      <c r="F2451" s="7" t="s">
        <v>18</v>
      </c>
      <c r="G2451" s="7" t="s">
        <v>19</v>
      </c>
      <c r="H2451" s="7" t="s">
        <v>3565</v>
      </c>
      <c r="I2451" s="8" t="s">
        <v>4697</v>
      </c>
      <c r="J2451" t="e">
        <f>VLOOKUP(B2451,baru!$B$2:$I$2271,4,FALSE)</f>
        <v>#N/A</v>
      </c>
      <c r="K2451" t="e">
        <f>VLOOKUP(B2451,baru!$B$2:$I$2271,5,FALSE)</f>
        <v>#N/A</v>
      </c>
      <c r="L2451" t="e">
        <f>VLOOKUP(B2451,baru!$B$2:$I$2271,6,FALSE)</f>
        <v>#N/A</v>
      </c>
    </row>
    <row r="2452" spans="1:12" hidden="1" x14ac:dyDescent="0.35">
      <c r="A2452" s="6">
        <v>1350435</v>
      </c>
      <c r="B2452" s="7" t="str">
        <f>"3328140605020003"</f>
        <v>3328140605020003</v>
      </c>
      <c r="C2452" s="7" t="s">
        <v>4826</v>
      </c>
      <c r="D2452" s="7" t="s">
        <v>10</v>
      </c>
      <c r="E2452" s="7" t="s">
        <v>57</v>
      </c>
      <c r="F2452" s="7" t="s">
        <v>303</v>
      </c>
      <c r="G2452" s="7" t="s">
        <v>608</v>
      </c>
      <c r="H2452" s="7" t="s">
        <v>609</v>
      </c>
      <c r="I2452" s="8" t="s">
        <v>610</v>
      </c>
    </row>
    <row r="2453" spans="1:12" hidden="1" x14ac:dyDescent="0.35">
      <c r="A2453" s="6">
        <v>243521</v>
      </c>
      <c r="B2453" s="7" t="str">
        <f>"3328140709810004"</f>
        <v>3328140709810004</v>
      </c>
      <c r="C2453" s="7" t="s">
        <v>4827</v>
      </c>
      <c r="D2453" s="7" t="s">
        <v>10</v>
      </c>
      <c r="E2453" s="7" t="s">
        <v>11</v>
      </c>
      <c r="F2453" s="7" t="s">
        <v>18</v>
      </c>
      <c r="G2453" s="7" t="s">
        <v>268</v>
      </c>
      <c r="H2453" s="7" t="s">
        <v>371</v>
      </c>
      <c r="I2453" s="8" t="s">
        <v>372</v>
      </c>
    </row>
    <row r="2454" spans="1:12" hidden="1" x14ac:dyDescent="0.35">
      <c r="A2454" s="6">
        <v>659597</v>
      </c>
      <c r="B2454" s="7" t="str">
        <f>"3328140908670002"</f>
        <v>3328140908670002</v>
      </c>
      <c r="C2454" s="7" t="s">
        <v>4832</v>
      </c>
      <c r="D2454" s="7" t="s">
        <v>10</v>
      </c>
      <c r="E2454" s="7" t="s">
        <v>11</v>
      </c>
      <c r="F2454" s="7" t="s">
        <v>91</v>
      </c>
      <c r="G2454" s="7" t="s">
        <v>438</v>
      </c>
      <c r="H2454" s="7" t="s">
        <v>439</v>
      </c>
      <c r="I2454" s="8" t="s">
        <v>4833</v>
      </c>
    </row>
    <row r="2455" spans="1:12" hidden="1" x14ac:dyDescent="0.35">
      <c r="A2455" s="6">
        <v>616279</v>
      </c>
      <c r="B2455" s="7" t="str">
        <f>"3328141001690004"</f>
        <v>3328141001690004</v>
      </c>
      <c r="C2455" s="7" t="s">
        <v>4091</v>
      </c>
      <c r="D2455" s="7" t="s">
        <v>10</v>
      </c>
      <c r="E2455" s="7" t="s">
        <v>11</v>
      </c>
      <c r="F2455" s="7" t="s">
        <v>50</v>
      </c>
      <c r="G2455" s="7" t="s">
        <v>280</v>
      </c>
      <c r="H2455" s="7" t="s">
        <v>1121</v>
      </c>
      <c r="I2455" s="8" t="s">
        <v>4834</v>
      </c>
    </row>
    <row r="2456" spans="1:12" x14ac:dyDescent="0.35">
      <c r="A2456" s="6">
        <v>1817896</v>
      </c>
      <c r="B2456" s="7" t="str">
        <f>"3328141004060002"</f>
        <v>3328141004060002</v>
      </c>
      <c r="C2456" s="7" t="s">
        <v>4837</v>
      </c>
      <c r="D2456" s="7" t="s">
        <v>189</v>
      </c>
      <c r="E2456" s="7" t="s">
        <v>11</v>
      </c>
      <c r="F2456" s="7" t="s">
        <v>18</v>
      </c>
      <c r="G2456" s="7" t="s">
        <v>19</v>
      </c>
      <c r="H2456" s="7" t="s">
        <v>3565</v>
      </c>
      <c r="I2456" s="8" t="s">
        <v>4697</v>
      </c>
      <c r="J2456" t="e">
        <f>VLOOKUP(B2456,baru!$B$2:$I$2271,4,FALSE)</f>
        <v>#N/A</v>
      </c>
      <c r="K2456" t="e">
        <f>VLOOKUP(B2456,baru!$B$2:$I$2271,5,FALSE)</f>
        <v>#N/A</v>
      </c>
      <c r="L2456" t="e">
        <f>VLOOKUP(B2456,baru!$B$2:$I$2271,6,FALSE)</f>
        <v>#N/A</v>
      </c>
    </row>
    <row r="2457" spans="1:12" hidden="1" x14ac:dyDescent="0.35">
      <c r="A2457" s="6">
        <v>1350436</v>
      </c>
      <c r="B2457" s="7" t="str">
        <f>"3328141004060002"</f>
        <v>3328141004060002</v>
      </c>
      <c r="C2457" s="7" t="s">
        <v>4837</v>
      </c>
      <c r="D2457" s="7" t="s">
        <v>10</v>
      </c>
      <c r="E2457" s="7" t="s">
        <v>57</v>
      </c>
      <c r="F2457" s="7" t="s">
        <v>303</v>
      </c>
      <c r="G2457" s="7" t="s">
        <v>608</v>
      </c>
      <c r="H2457" s="7" t="s">
        <v>609</v>
      </c>
      <c r="I2457" s="8" t="s">
        <v>610</v>
      </c>
    </row>
    <row r="2458" spans="1:12" hidden="1" x14ac:dyDescent="0.35">
      <c r="A2458" s="6">
        <v>2013828</v>
      </c>
      <c r="B2458" s="7" t="str">
        <f>"3328141007720003"</f>
        <v>3328141007720003</v>
      </c>
      <c r="C2458" s="7" t="s">
        <v>4838</v>
      </c>
      <c r="D2458" s="7" t="s">
        <v>10</v>
      </c>
      <c r="E2458" s="7" t="s">
        <v>11</v>
      </c>
      <c r="F2458" s="7" t="s">
        <v>67</v>
      </c>
      <c r="G2458" s="7" t="s">
        <v>68</v>
      </c>
      <c r="H2458" s="7" t="s">
        <v>678</v>
      </c>
      <c r="I2458" s="8" t="s">
        <v>4839</v>
      </c>
    </row>
    <row r="2459" spans="1:12" hidden="1" x14ac:dyDescent="0.35">
      <c r="A2459" s="6">
        <v>1436554</v>
      </c>
      <c r="B2459" s="7" t="str">
        <f>"3328141102880003"</f>
        <v>3328141102880003</v>
      </c>
      <c r="C2459" s="7" t="s">
        <v>4840</v>
      </c>
      <c r="D2459" s="7" t="s">
        <v>10</v>
      </c>
      <c r="E2459" s="7" t="s">
        <v>11</v>
      </c>
      <c r="F2459" s="7" t="s">
        <v>67</v>
      </c>
      <c r="G2459" s="7" t="s">
        <v>68</v>
      </c>
      <c r="H2459" s="7" t="s">
        <v>2817</v>
      </c>
      <c r="I2459" s="8" t="s">
        <v>317</v>
      </c>
    </row>
    <row r="2460" spans="1:12" hidden="1" x14ac:dyDescent="0.35">
      <c r="A2460" s="13">
        <v>1919933</v>
      </c>
      <c r="B2460" s="14" t="str">
        <f>"3328141106780003"</f>
        <v>3328141106780003</v>
      </c>
      <c r="C2460" s="14" t="s">
        <v>4841</v>
      </c>
      <c r="D2460" s="14" t="s">
        <v>10</v>
      </c>
      <c r="E2460" s="14" t="s">
        <v>11</v>
      </c>
      <c r="F2460" s="14" t="s">
        <v>18</v>
      </c>
      <c r="G2460" s="14" t="s">
        <v>19</v>
      </c>
      <c r="H2460" s="14" t="s">
        <v>3565</v>
      </c>
      <c r="I2460" s="15" t="s">
        <v>4765</v>
      </c>
      <c r="J2460" s="16" t="str">
        <f>VLOOKUP(B2460,baru!$B$2:$I$2271,4,FALSE)</f>
        <v>Reguler</v>
      </c>
      <c r="K2460" s="16" t="str">
        <f>VLOOKUP(B2460,baru!$B$2:$I$2271,5,FALSE)</f>
        <v>JAWA TENGAH</v>
      </c>
      <c r="L2460" s="16" t="str">
        <f>VLOOKUP(B2460,baru!$B$2:$I$2271,6,FALSE)</f>
        <v>WONOGIRI</v>
      </c>
    </row>
    <row r="2461" spans="1:12" hidden="1" x14ac:dyDescent="0.35">
      <c r="A2461" s="6">
        <v>2503824</v>
      </c>
      <c r="B2461" s="7" t="str">
        <f>"3328141302950006"</f>
        <v>3328141302950006</v>
      </c>
      <c r="C2461" s="7" t="s">
        <v>4843</v>
      </c>
      <c r="D2461" s="7" t="s">
        <v>10</v>
      </c>
      <c r="E2461" s="7" t="s">
        <v>11</v>
      </c>
      <c r="F2461" s="7" t="s">
        <v>67</v>
      </c>
      <c r="G2461" s="7" t="s">
        <v>375</v>
      </c>
      <c r="H2461" s="7" t="s">
        <v>4411</v>
      </c>
      <c r="I2461" s="8" t="s">
        <v>4844</v>
      </c>
    </row>
    <row r="2462" spans="1:12" hidden="1" x14ac:dyDescent="0.35">
      <c r="A2462" s="6">
        <v>866971</v>
      </c>
      <c r="B2462" s="7" t="str">
        <f>"3328141402940001"</f>
        <v>3328141402940001</v>
      </c>
      <c r="C2462" s="7" t="s">
        <v>4845</v>
      </c>
      <c r="D2462" s="7" t="s">
        <v>10</v>
      </c>
      <c r="E2462" s="7" t="s">
        <v>11</v>
      </c>
      <c r="F2462" s="7" t="s">
        <v>50</v>
      </c>
      <c r="G2462" s="7" t="s">
        <v>72</v>
      </c>
      <c r="H2462" s="7" t="s">
        <v>73</v>
      </c>
      <c r="I2462" s="8" t="s">
        <v>800</v>
      </c>
    </row>
    <row r="2463" spans="1:12" x14ac:dyDescent="0.35">
      <c r="A2463" s="6">
        <v>1874759</v>
      </c>
      <c r="B2463" s="7" t="str">
        <f>"3328141402940001"</f>
        <v>3328141402940001</v>
      </c>
      <c r="C2463" s="7" t="s">
        <v>4845</v>
      </c>
      <c r="D2463" s="7" t="s">
        <v>189</v>
      </c>
      <c r="E2463" s="7" t="s">
        <v>11</v>
      </c>
      <c r="F2463" s="7" t="s">
        <v>18</v>
      </c>
      <c r="G2463" s="7" t="s">
        <v>19</v>
      </c>
      <c r="H2463" s="7" t="s">
        <v>3565</v>
      </c>
      <c r="I2463" s="8" t="s">
        <v>4752</v>
      </c>
      <c r="J2463" t="e">
        <f>VLOOKUP(B2463,baru!$B$2:$I$2271,4,FALSE)</f>
        <v>#N/A</v>
      </c>
      <c r="K2463" t="e">
        <f>VLOOKUP(B2463,baru!$B$2:$I$2271,5,FALSE)</f>
        <v>#N/A</v>
      </c>
      <c r="L2463" t="e">
        <f>VLOOKUP(B2463,baru!$B$2:$I$2271,6,FALSE)</f>
        <v>#N/A</v>
      </c>
    </row>
    <row r="2464" spans="1:12" hidden="1" x14ac:dyDescent="0.35">
      <c r="A2464" s="6">
        <v>1315754</v>
      </c>
      <c r="B2464" s="7" t="str">
        <f>"3328141405750004"</f>
        <v>3328141405750004</v>
      </c>
      <c r="C2464" s="7" t="s">
        <v>4846</v>
      </c>
      <c r="D2464" s="7" t="s">
        <v>10</v>
      </c>
      <c r="E2464" s="7" t="s">
        <v>11</v>
      </c>
      <c r="F2464" s="7" t="s">
        <v>50</v>
      </c>
      <c r="G2464" s="7" t="s">
        <v>86</v>
      </c>
      <c r="H2464" s="7" t="s">
        <v>1268</v>
      </c>
      <c r="I2464" s="8" t="s">
        <v>2203</v>
      </c>
    </row>
    <row r="2465" spans="1:12" x14ac:dyDescent="0.35">
      <c r="A2465" s="6">
        <v>1663455</v>
      </c>
      <c r="B2465" s="7" t="str">
        <f>"3328141409050004"</f>
        <v>3328141409050004</v>
      </c>
      <c r="C2465" s="7" t="s">
        <v>4847</v>
      </c>
      <c r="D2465" s="7" t="s">
        <v>189</v>
      </c>
      <c r="E2465" s="7" t="s">
        <v>11</v>
      </c>
      <c r="F2465" s="7" t="s">
        <v>18</v>
      </c>
      <c r="G2465" s="7" t="s">
        <v>19</v>
      </c>
      <c r="H2465" s="7" t="s">
        <v>3565</v>
      </c>
      <c r="I2465" s="8" t="s">
        <v>4708</v>
      </c>
      <c r="J2465" t="e">
        <f>VLOOKUP(B2465,baru!$B$2:$I$2271,4,FALSE)</f>
        <v>#N/A</v>
      </c>
      <c r="K2465" t="e">
        <f>VLOOKUP(B2465,baru!$B$2:$I$2271,5,FALSE)</f>
        <v>#N/A</v>
      </c>
      <c r="L2465" t="e">
        <f>VLOOKUP(B2465,baru!$B$2:$I$2271,6,FALSE)</f>
        <v>#N/A</v>
      </c>
    </row>
    <row r="2466" spans="1:12" hidden="1" x14ac:dyDescent="0.35">
      <c r="A2466" s="6">
        <v>1350434</v>
      </c>
      <c r="B2466" s="7" t="str">
        <f>"3328141409050004"</f>
        <v>3328141409050004</v>
      </c>
      <c r="C2466" s="7" t="s">
        <v>4848</v>
      </c>
      <c r="D2466" s="7" t="s">
        <v>10</v>
      </c>
      <c r="E2466" s="7" t="s">
        <v>57</v>
      </c>
      <c r="F2466" s="7" t="s">
        <v>303</v>
      </c>
      <c r="G2466" s="7" t="s">
        <v>608</v>
      </c>
      <c r="H2466" s="7" t="s">
        <v>609</v>
      </c>
      <c r="I2466" s="8" t="s">
        <v>610</v>
      </c>
    </row>
    <row r="2467" spans="1:12" hidden="1" x14ac:dyDescent="0.35">
      <c r="A2467" s="6">
        <v>154079</v>
      </c>
      <c r="B2467" s="7" t="str">
        <f>"3328141507560001"</f>
        <v>3328141507560001</v>
      </c>
      <c r="C2467" s="7" t="s">
        <v>4849</v>
      </c>
      <c r="D2467" s="7" t="s">
        <v>10</v>
      </c>
      <c r="E2467" s="7" t="s">
        <v>11</v>
      </c>
      <c r="F2467" s="7" t="s">
        <v>50</v>
      </c>
      <c r="G2467" s="7" t="s">
        <v>86</v>
      </c>
      <c r="H2467" s="7" t="s">
        <v>205</v>
      </c>
      <c r="I2467" s="8" t="s">
        <v>1952</v>
      </c>
    </row>
    <row r="2468" spans="1:12" hidden="1" x14ac:dyDescent="0.35">
      <c r="A2468" s="6">
        <v>1233670</v>
      </c>
      <c r="B2468" s="7" t="str">
        <f>"3328141508720001"</f>
        <v>3328141508720001</v>
      </c>
      <c r="C2468" s="7" t="s">
        <v>4850</v>
      </c>
      <c r="D2468" s="7" t="s">
        <v>10</v>
      </c>
      <c r="E2468" s="7" t="s">
        <v>11</v>
      </c>
      <c r="F2468" s="7" t="s">
        <v>18</v>
      </c>
      <c r="G2468" s="7" t="s">
        <v>264</v>
      </c>
      <c r="H2468" s="7" t="s">
        <v>248</v>
      </c>
      <c r="I2468" s="8" t="s">
        <v>868</v>
      </c>
    </row>
    <row r="2469" spans="1:12" hidden="1" x14ac:dyDescent="0.35">
      <c r="A2469" s="13">
        <v>1874141</v>
      </c>
      <c r="B2469" s="14" t="str">
        <f>"3328141510850004"</f>
        <v>3328141510850004</v>
      </c>
      <c r="C2469" s="14" t="s">
        <v>4851</v>
      </c>
      <c r="D2469" s="14" t="s">
        <v>10</v>
      </c>
      <c r="E2469" s="14" t="s">
        <v>11</v>
      </c>
      <c r="F2469" s="14" t="s">
        <v>18</v>
      </c>
      <c r="G2469" s="14" t="s">
        <v>19</v>
      </c>
      <c r="H2469" s="14" t="s">
        <v>3565</v>
      </c>
      <c r="I2469" s="15" t="s">
        <v>4752</v>
      </c>
      <c r="J2469" s="16" t="str">
        <f>VLOOKUP(B2469,baru!$B$2:$I$2271,4,FALSE)</f>
        <v>Reguler</v>
      </c>
      <c r="K2469" s="16" t="str">
        <f>VLOOKUP(B2469,baru!$B$2:$I$2271,5,FALSE)</f>
        <v>JAWA TENGAH</v>
      </c>
      <c r="L2469" s="16" t="str">
        <f>VLOOKUP(B2469,baru!$B$2:$I$2271,6,FALSE)</f>
        <v>PEKALONGAN</v>
      </c>
    </row>
    <row r="2470" spans="1:12" hidden="1" x14ac:dyDescent="0.35">
      <c r="A2470" s="6">
        <v>1800999</v>
      </c>
      <c r="B2470" s="7" t="str">
        <f>"3328141512990001"</f>
        <v>3328141512990001</v>
      </c>
      <c r="C2470" s="7" t="s">
        <v>4852</v>
      </c>
      <c r="D2470" s="7" t="s">
        <v>10</v>
      </c>
      <c r="E2470" s="7" t="s">
        <v>11</v>
      </c>
      <c r="F2470" s="7" t="s">
        <v>18</v>
      </c>
      <c r="G2470" s="7" t="s">
        <v>19</v>
      </c>
      <c r="H2470" s="7" t="s">
        <v>3565</v>
      </c>
      <c r="I2470" s="8" t="s">
        <v>4703</v>
      </c>
      <c r="J2470" t="e">
        <f>VLOOKUP(B2470,baru!$B$2:$I$2271,4,FALSE)</f>
        <v>#N/A</v>
      </c>
      <c r="K2470" t="e">
        <f>VLOOKUP(B2470,baru!$B$2:$I$2271,5,FALSE)</f>
        <v>#N/A</v>
      </c>
      <c r="L2470" t="e">
        <f>VLOOKUP(B2470,baru!$B$2:$I$2271,6,FALSE)</f>
        <v>#N/A</v>
      </c>
    </row>
    <row r="2471" spans="1:12" hidden="1" x14ac:dyDescent="0.35">
      <c r="A2471" s="6">
        <v>252397</v>
      </c>
      <c r="B2471" s="7" t="str">
        <f>"3328141512990001"</f>
        <v>3328141512990001</v>
      </c>
      <c r="C2471" s="7" t="s">
        <v>4852</v>
      </c>
      <c r="D2471" s="7" t="s">
        <v>10</v>
      </c>
      <c r="E2471" s="7" t="s">
        <v>57</v>
      </c>
      <c r="F2471" s="7" t="s">
        <v>521</v>
      </c>
      <c r="G2471" s="7" t="s">
        <v>657</v>
      </c>
      <c r="H2471" s="7" t="s">
        <v>658</v>
      </c>
      <c r="I2471" s="8" t="s">
        <v>3357</v>
      </c>
    </row>
    <row r="2472" spans="1:12" hidden="1" x14ac:dyDescent="0.35">
      <c r="A2472" s="6">
        <v>141845</v>
      </c>
      <c r="B2472" s="7" t="str">
        <f>"3328142402710002"</f>
        <v>3328142402710002</v>
      </c>
      <c r="C2472" s="7" t="s">
        <v>4853</v>
      </c>
      <c r="D2472" s="7" t="s">
        <v>10</v>
      </c>
      <c r="E2472" s="7" t="s">
        <v>11</v>
      </c>
      <c r="F2472" s="7" t="s">
        <v>50</v>
      </c>
      <c r="G2472" s="7" t="s">
        <v>72</v>
      </c>
      <c r="H2472" s="7" t="s">
        <v>1840</v>
      </c>
      <c r="I2472" s="8" t="s">
        <v>3787</v>
      </c>
    </row>
    <row r="2473" spans="1:12" x14ac:dyDescent="0.35">
      <c r="A2473" s="6">
        <v>1794040</v>
      </c>
      <c r="B2473" s="7" t="str">
        <f>"3328142503980007"</f>
        <v>3328142503980007</v>
      </c>
      <c r="C2473" s="7" t="s">
        <v>4854</v>
      </c>
      <c r="D2473" s="7" t="s">
        <v>189</v>
      </c>
      <c r="E2473" s="7" t="s">
        <v>11</v>
      </c>
      <c r="F2473" s="7" t="s">
        <v>18</v>
      </c>
      <c r="G2473" s="7" t="s">
        <v>19</v>
      </c>
      <c r="H2473" s="7" t="s">
        <v>3565</v>
      </c>
      <c r="I2473" s="8" t="s">
        <v>4769</v>
      </c>
      <c r="J2473" t="e">
        <f>VLOOKUP(B2473,baru!$B$2:$I$2271,4,FALSE)</f>
        <v>#N/A</v>
      </c>
      <c r="K2473" t="e">
        <f>VLOOKUP(B2473,baru!$B$2:$I$2271,5,FALSE)</f>
        <v>#N/A</v>
      </c>
      <c r="L2473" t="e">
        <f>VLOOKUP(B2473,baru!$B$2:$I$2271,6,FALSE)</f>
        <v>#N/A</v>
      </c>
    </row>
    <row r="2474" spans="1:12" hidden="1" x14ac:dyDescent="0.35">
      <c r="A2474" s="6">
        <v>2613995</v>
      </c>
      <c r="B2474" s="7" t="str">
        <f>"3328142503980007"</f>
        <v>3328142503980007</v>
      </c>
      <c r="C2474" s="7" t="s">
        <v>4855</v>
      </c>
      <c r="D2474" s="7" t="s">
        <v>10</v>
      </c>
      <c r="E2474" s="7" t="s">
        <v>57</v>
      </c>
      <c r="F2474" s="7" t="s">
        <v>18</v>
      </c>
      <c r="G2474" s="7" t="s">
        <v>1438</v>
      </c>
      <c r="H2474" s="7" t="s">
        <v>3511</v>
      </c>
      <c r="I2474" s="8" t="s">
        <v>3086</v>
      </c>
    </row>
    <row r="2475" spans="1:12" hidden="1" x14ac:dyDescent="0.35">
      <c r="A2475" s="6">
        <v>1313076</v>
      </c>
      <c r="B2475" s="7" t="str">
        <f>"3328142705950004"</f>
        <v>3328142705950004</v>
      </c>
      <c r="C2475" s="7" t="s">
        <v>4856</v>
      </c>
      <c r="D2475" s="7" t="s">
        <v>10</v>
      </c>
      <c r="E2475" s="7" t="s">
        <v>11</v>
      </c>
      <c r="F2475" s="7" t="s">
        <v>50</v>
      </c>
      <c r="G2475" s="7" t="s">
        <v>51</v>
      </c>
      <c r="H2475" s="7" t="s">
        <v>284</v>
      </c>
      <c r="I2475" s="8" t="s">
        <v>285</v>
      </c>
    </row>
    <row r="2476" spans="1:12" hidden="1" x14ac:dyDescent="0.35">
      <c r="A2476" s="6">
        <v>1055567</v>
      </c>
      <c r="B2476" s="7" t="str">
        <f>"3328142811000003"</f>
        <v>3328142811000003</v>
      </c>
      <c r="C2476" s="7" t="s">
        <v>4859</v>
      </c>
      <c r="D2476" s="7" t="s">
        <v>10</v>
      </c>
      <c r="E2476" s="7" t="s">
        <v>11</v>
      </c>
      <c r="F2476" s="7" t="s">
        <v>91</v>
      </c>
      <c r="G2476" s="7" t="s">
        <v>320</v>
      </c>
      <c r="H2476" s="7" t="s">
        <v>409</v>
      </c>
      <c r="I2476" s="8" t="s">
        <v>4860</v>
      </c>
    </row>
    <row r="2477" spans="1:12" hidden="1" x14ac:dyDescent="0.35">
      <c r="A2477" s="13">
        <v>1872117</v>
      </c>
      <c r="B2477" s="14" t="str">
        <f>"3328142903950004"</f>
        <v>3328142903950004</v>
      </c>
      <c r="C2477" s="14" t="s">
        <v>4861</v>
      </c>
      <c r="D2477" s="14" t="s">
        <v>10</v>
      </c>
      <c r="E2477" s="14" t="s">
        <v>11</v>
      </c>
      <c r="F2477" s="14" t="s">
        <v>18</v>
      </c>
      <c r="G2477" s="14" t="s">
        <v>19</v>
      </c>
      <c r="H2477" s="14" t="s">
        <v>3565</v>
      </c>
      <c r="I2477" s="15" t="s">
        <v>3565</v>
      </c>
      <c r="J2477" s="16" t="str">
        <f>VLOOKUP(B2477,baru!$B$2:$I$2271,4,FALSE)</f>
        <v>Reguler</v>
      </c>
      <c r="K2477" s="16" t="str">
        <f>VLOOKUP(B2477,baru!$B$2:$I$2271,5,FALSE)</f>
        <v>DKI JAKARTA</v>
      </c>
      <c r="L2477" s="16" t="str">
        <f>VLOOKUP(B2477,baru!$B$2:$I$2271,6,FALSE)</f>
        <v>KOTA JAKARTA BARAT</v>
      </c>
    </row>
    <row r="2478" spans="1:12" hidden="1" x14ac:dyDescent="0.35">
      <c r="A2478" s="6">
        <v>146727</v>
      </c>
      <c r="B2478" s="7" t="str">
        <f>"3328143009020001"</f>
        <v>3328143009020001</v>
      </c>
      <c r="C2478" s="7" t="s">
        <v>4866</v>
      </c>
      <c r="D2478" s="7" t="s">
        <v>10</v>
      </c>
      <c r="E2478" s="7" t="s">
        <v>11</v>
      </c>
      <c r="F2478" s="7" t="s">
        <v>1959</v>
      </c>
      <c r="G2478" s="7" t="s">
        <v>4867</v>
      </c>
      <c r="H2478" s="7" t="s">
        <v>4868</v>
      </c>
      <c r="I2478" s="8" t="s">
        <v>4869</v>
      </c>
    </row>
    <row r="2479" spans="1:12" hidden="1" x14ac:dyDescent="0.35">
      <c r="A2479" s="6">
        <v>1350440</v>
      </c>
      <c r="B2479" s="7" t="str">
        <f>"3328143108060001"</f>
        <v>3328143108060001</v>
      </c>
      <c r="C2479" s="7" t="s">
        <v>4870</v>
      </c>
      <c r="D2479" s="7" t="s">
        <v>10</v>
      </c>
      <c r="E2479" s="7" t="s">
        <v>57</v>
      </c>
      <c r="F2479" s="7" t="s">
        <v>303</v>
      </c>
      <c r="G2479" s="7" t="s">
        <v>608</v>
      </c>
      <c r="H2479" s="7" t="s">
        <v>609</v>
      </c>
      <c r="I2479" s="8" t="s">
        <v>610</v>
      </c>
    </row>
    <row r="2480" spans="1:12" x14ac:dyDescent="0.35">
      <c r="A2480" s="6">
        <v>1926834</v>
      </c>
      <c r="B2480" s="7" t="str">
        <f>"3328143108060001"</f>
        <v>3328143108060001</v>
      </c>
      <c r="C2480" s="7" t="s">
        <v>4871</v>
      </c>
      <c r="D2480" s="7" t="s">
        <v>189</v>
      </c>
      <c r="E2480" s="7" t="s">
        <v>11</v>
      </c>
      <c r="F2480" s="7" t="s">
        <v>18</v>
      </c>
      <c r="G2480" s="7" t="s">
        <v>19</v>
      </c>
      <c r="H2480" s="7" t="s">
        <v>3565</v>
      </c>
      <c r="I2480" s="8" t="s">
        <v>678</v>
      </c>
      <c r="J2480" t="e">
        <f>VLOOKUP(B2480,baru!$B$2:$I$2271,4,FALSE)</f>
        <v>#N/A</v>
      </c>
      <c r="K2480" t="e">
        <f>VLOOKUP(B2480,baru!$B$2:$I$2271,5,FALSE)</f>
        <v>#N/A</v>
      </c>
      <c r="L2480" t="e">
        <f>VLOOKUP(B2480,baru!$B$2:$I$2271,6,FALSE)</f>
        <v>#N/A</v>
      </c>
    </row>
    <row r="2481" spans="1:12" hidden="1" x14ac:dyDescent="0.35">
      <c r="A2481" s="6">
        <v>1127991</v>
      </c>
      <c r="B2481" s="7" t="str">
        <f>"3328144102870002"</f>
        <v>3328144102870002</v>
      </c>
      <c r="C2481" s="7" t="s">
        <v>4872</v>
      </c>
      <c r="D2481" s="7" t="s">
        <v>10</v>
      </c>
      <c r="E2481" s="7" t="s">
        <v>11</v>
      </c>
      <c r="F2481" s="7" t="s">
        <v>91</v>
      </c>
      <c r="G2481" s="7" t="s">
        <v>159</v>
      </c>
      <c r="H2481" s="7" t="s">
        <v>1828</v>
      </c>
      <c r="I2481" s="8" t="s">
        <v>3289</v>
      </c>
    </row>
    <row r="2482" spans="1:12" hidden="1" x14ac:dyDescent="0.35">
      <c r="A2482" s="6">
        <v>67770</v>
      </c>
      <c r="B2482" s="7" t="str">
        <f>"3328144104790003"</f>
        <v>3328144104790003</v>
      </c>
      <c r="C2482" s="7" t="s">
        <v>4874</v>
      </c>
      <c r="D2482" s="7" t="s">
        <v>10</v>
      </c>
      <c r="E2482" s="7" t="s">
        <v>11</v>
      </c>
      <c r="F2482" s="7" t="s">
        <v>91</v>
      </c>
      <c r="G2482" s="7" t="s">
        <v>159</v>
      </c>
      <c r="H2482" s="7" t="s">
        <v>1828</v>
      </c>
      <c r="I2482" s="8" t="s">
        <v>3707</v>
      </c>
    </row>
    <row r="2483" spans="1:12" hidden="1" x14ac:dyDescent="0.35">
      <c r="A2483" s="6">
        <v>600831</v>
      </c>
      <c r="B2483" s="7" t="str">
        <f>"3328144110060006"</f>
        <v>3328144110060006</v>
      </c>
      <c r="C2483" s="7" t="s">
        <v>4876</v>
      </c>
      <c r="D2483" s="7" t="s">
        <v>10</v>
      </c>
      <c r="E2483" s="7" t="s">
        <v>11</v>
      </c>
      <c r="F2483" s="7" t="s">
        <v>303</v>
      </c>
      <c r="G2483" s="7" t="s">
        <v>2791</v>
      </c>
      <c r="H2483" s="7" t="s">
        <v>2791</v>
      </c>
      <c r="I2483" s="8" t="s">
        <v>4877</v>
      </c>
    </row>
    <row r="2484" spans="1:12" hidden="1" x14ac:dyDescent="0.35">
      <c r="A2484" s="13">
        <v>1919934</v>
      </c>
      <c r="B2484" s="14" t="str">
        <f>"3328144112780001"</f>
        <v>3328144112780001</v>
      </c>
      <c r="C2484" s="14" t="s">
        <v>4878</v>
      </c>
      <c r="D2484" s="14" t="s">
        <v>10</v>
      </c>
      <c r="E2484" s="14" t="s">
        <v>11</v>
      </c>
      <c r="F2484" s="14" t="s">
        <v>18</v>
      </c>
      <c r="G2484" s="14" t="s">
        <v>19</v>
      </c>
      <c r="H2484" s="14" t="s">
        <v>3565</v>
      </c>
      <c r="I2484" s="15" t="s">
        <v>4765</v>
      </c>
      <c r="J2484" s="16" t="str">
        <f>VLOOKUP(B2484,baru!$B$2:$I$2271,4,FALSE)</f>
        <v>Reguler</v>
      </c>
      <c r="K2484" s="16" t="str">
        <f>VLOOKUP(B2484,baru!$B$2:$I$2271,5,FALSE)</f>
        <v>JAWA TENGAH</v>
      </c>
      <c r="L2484" s="16" t="str">
        <f>VLOOKUP(B2484,baru!$B$2:$I$2271,6,FALSE)</f>
        <v>WONOGIRI</v>
      </c>
    </row>
    <row r="2485" spans="1:12" hidden="1" x14ac:dyDescent="0.35">
      <c r="A2485" s="13">
        <v>1946845</v>
      </c>
      <c r="B2485" s="14" t="str">
        <f>"3328144212640003"</f>
        <v>3328144212640003</v>
      </c>
      <c r="C2485" s="14" t="s">
        <v>4879</v>
      </c>
      <c r="D2485" s="14" t="s">
        <v>10</v>
      </c>
      <c r="E2485" s="14" t="s">
        <v>11</v>
      </c>
      <c r="F2485" s="14" t="s">
        <v>18</v>
      </c>
      <c r="G2485" s="14" t="s">
        <v>19</v>
      </c>
      <c r="H2485" s="14" t="s">
        <v>3565</v>
      </c>
      <c r="I2485" s="15" t="s">
        <v>4748</v>
      </c>
      <c r="J2485" s="16" t="str">
        <f>VLOOKUP(B2485,baru!$B$2:$I$2271,4,FALSE)</f>
        <v>Reguler</v>
      </c>
      <c r="K2485" s="16" t="str">
        <f>VLOOKUP(B2485,baru!$B$2:$I$2271,5,FALSE)</f>
        <v>JAWA TENGAH</v>
      </c>
      <c r="L2485" s="16" t="str">
        <f>VLOOKUP(B2485,baru!$B$2:$I$2271,6,FALSE)</f>
        <v>BREBES</v>
      </c>
    </row>
    <row r="2486" spans="1:12" hidden="1" x14ac:dyDescent="0.35">
      <c r="A2486" s="6">
        <v>1169431</v>
      </c>
      <c r="B2486" s="7" t="str">
        <f>"3328144401880002"</f>
        <v>3328144401880002</v>
      </c>
      <c r="C2486" s="7" t="s">
        <v>4881</v>
      </c>
      <c r="D2486" s="7" t="s">
        <v>10</v>
      </c>
      <c r="E2486" s="7" t="s">
        <v>11</v>
      </c>
      <c r="F2486" s="7" t="s">
        <v>303</v>
      </c>
      <c r="G2486" s="7" t="s">
        <v>304</v>
      </c>
      <c r="H2486" s="7" t="s">
        <v>505</v>
      </c>
      <c r="I2486" s="8" t="s">
        <v>506</v>
      </c>
    </row>
    <row r="2487" spans="1:12" hidden="1" x14ac:dyDescent="0.35">
      <c r="A2487" s="6">
        <v>250255</v>
      </c>
      <c r="B2487" s="7" t="str">
        <f>"3328144403050004"</f>
        <v>3328144403050004</v>
      </c>
      <c r="C2487" s="7" t="s">
        <v>4882</v>
      </c>
      <c r="D2487" s="7" t="s">
        <v>10</v>
      </c>
      <c r="E2487" s="7" t="s">
        <v>11</v>
      </c>
      <c r="F2487" s="7" t="s">
        <v>18</v>
      </c>
      <c r="G2487" s="7" t="s">
        <v>268</v>
      </c>
      <c r="H2487" s="7" t="s">
        <v>371</v>
      </c>
      <c r="I2487" s="8" t="s">
        <v>497</v>
      </c>
    </row>
    <row r="2488" spans="1:12" hidden="1" x14ac:dyDescent="0.35">
      <c r="A2488" s="6">
        <v>1750051</v>
      </c>
      <c r="B2488" s="7" t="str">
        <f>"3328144411950003"</f>
        <v>3328144411950003</v>
      </c>
      <c r="C2488" s="7" t="s">
        <v>4884</v>
      </c>
      <c r="D2488" s="7" t="s">
        <v>10</v>
      </c>
      <c r="E2488" s="7" t="s">
        <v>11</v>
      </c>
      <c r="F2488" s="7" t="s">
        <v>50</v>
      </c>
      <c r="G2488" s="7" t="s">
        <v>86</v>
      </c>
      <c r="H2488" s="7" t="s">
        <v>445</v>
      </c>
      <c r="I2488" s="8" t="s">
        <v>446</v>
      </c>
    </row>
    <row r="2489" spans="1:12" hidden="1" x14ac:dyDescent="0.35">
      <c r="A2489" s="13">
        <v>1664709</v>
      </c>
      <c r="B2489" s="14" t="str">
        <f>"3328144606920004"</f>
        <v>3328144606920004</v>
      </c>
      <c r="C2489" s="14" t="s">
        <v>4885</v>
      </c>
      <c r="D2489" s="14" t="s">
        <v>10</v>
      </c>
      <c r="E2489" s="14" t="s">
        <v>11</v>
      </c>
      <c r="F2489" s="14" t="s">
        <v>18</v>
      </c>
      <c r="G2489" s="14" t="s">
        <v>19</v>
      </c>
      <c r="H2489" s="14" t="s">
        <v>3565</v>
      </c>
      <c r="I2489" s="15" t="s">
        <v>4708</v>
      </c>
      <c r="J2489" s="16" t="str">
        <f>VLOOKUP(B2489,baru!$B$2:$I$2271,4,FALSE)</f>
        <v>Reguler</v>
      </c>
      <c r="K2489" s="16" t="str">
        <f>VLOOKUP(B2489,baru!$B$2:$I$2271,5,FALSE)</f>
        <v>DKI JAKARTA</v>
      </c>
      <c r="L2489" s="16" t="str">
        <f>VLOOKUP(B2489,baru!$B$2:$I$2271,6,FALSE)</f>
        <v>KOTA JAKARTA TIMUR</v>
      </c>
    </row>
    <row r="2490" spans="1:12" hidden="1" x14ac:dyDescent="0.35">
      <c r="A2490" s="6">
        <v>1116585</v>
      </c>
      <c r="B2490" s="7" t="str">
        <f>"3328144709990003"</f>
        <v>3328144709990003</v>
      </c>
      <c r="C2490" s="7" t="s">
        <v>4886</v>
      </c>
      <c r="D2490" s="7" t="s">
        <v>10</v>
      </c>
      <c r="E2490" s="7" t="s">
        <v>11</v>
      </c>
      <c r="F2490" s="7" t="s">
        <v>67</v>
      </c>
      <c r="G2490" s="7" t="s">
        <v>68</v>
      </c>
      <c r="H2490" s="7" t="s">
        <v>4887</v>
      </c>
      <c r="I2490" s="8" t="s">
        <v>4888</v>
      </c>
    </row>
    <row r="2491" spans="1:12" hidden="1" x14ac:dyDescent="0.35">
      <c r="A2491" s="13">
        <v>1728887</v>
      </c>
      <c r="B2491" s="14" t="str">
        <f>"3328144803890010"</f>
        <v>3328144803890010</v>
      </c>
      <c r="C2491" s="14" t="s">
        <v>4889</v>
      </c>
      <c r="D2491" s="14" t="s">
        <v>10</v>
      </c>
      <c r="E2491" s="14" t="s">
        <v>11</v>
      </c>
      <c r="F2491" s="14" t="s">
        <v>18</v>
      </c>
      <c r="G2491" s="14" t="s">
        <v>19</v>
      </c>
      <c r="H2491" s="14" t="s">
        <v>3565</v>
      </c>
      <c r="I2491" s="15" t="s">
        <v>4771</v>
      </c>
      <c r="J2491" s="16" t="str">
        <f>VLOOKUP(B2491,baru!$B$2:$I$2271,4,FALSE)</f>
        <v>Reguler</v>
      </c>
      <c r="K2491" s="16" t="str">
        <f>VLOOKUP(B2491,baru!$B$2:$I$2271,5,FALSE)</f>
        <v>JAWA BARAT</v>
      </c>
      <c r="L2491" s="16" t="str">
        <f>VLOOKUP(B2491,baru!$B$2:$I$2271,6,FALSE)</f>
        <v>KARAWANG</v>
      </c>
    </row>
    <row r="2492" spans="1:12" hidden="1" x14ac:dyDescent="0.35">
      <c r="A2492" s="6">
        <v>1505831</v>
      </c>
      <c r="B2492" s="7" t="str">
        <f>"3328144810000002"</f>
        <v>3328144810000002</v>
      </c>
      <c r="C2492" s="7" t="s">
        <v>4891</v>
      </c>
      <c r="D2492" s="7" t="s">
        <v>10</v>
      </c>
      <c r="E2492" s="7" t="s">
        <v>11</v>
      </c>
      <c r="F2492" s="7" t="s">
        <v>91</v>
      </c>
      <c r="G2492" s="7" t="s">
        <v>159</v>
      </c>
      <c r="H2492" s="7" t="s">
        <v>160</v>
      </c>
      <c r="I2492" s="8" t="s">
        <v>980</v>
      </c>
    </row>
    <row r="2493" spans="1:12" hidden="1" x14ac:dyDescent="0.35">
      <c r="A2493" s="13">
        <v>1727683</v>
      </c>
      <c r="B2493" s="14" t="str">
        <f>"3328145101650001"</f>
        <v>3328145101650001</v>
      </c>
      <c r="C2493" s="14" t="s">
        <v>4892</v>
      </c>
      <c r="D2493" s="14" t="s">
        <v>10</v>
      </c>
      <c r="E2493" s="14" t="s">
        <v>11</v>
      </c>
      <c r="F2493" s="14" t="s">
        <v>18</v>
      </c>
      <c r="G2493" s="14" t="s">
        <v>19</v>
      </c>
      <c r="H2493" s="14" t="s">
        <v>3565</v>
      </c>
      <c r="I2493" s="15" t="s">
        <v>4771</v>
      </c>
      <c r="J2493" s="16" t="str">
        <f>VLOOKUP(B2493,baru!$B$2:$I$2271,4,FALSE)</f>
        <v>Reguler</v>
      </c>
      <c r="K2493" s="16" t="str">
        <f>VLOOKUP(B2493,baru!$B$2:$I$2271,5,FALSE)</f>
        <v>JAWA TENGAH</v>
      </c>
      <c r="L2493" s="16" t="str">
        <f>VLOOKUP(B2493,baru!$B$2:$I$2271,6,FALSE)</f>
        <v>TEGAL</v>
      </c>
    </row>
    <row r="2494" spans="1:12" x14ac:dyDescent="0.35">
      <c r="A2494" s="6">
        <v>1792784</v>
      </c>
      <c r="B2494" s="7" t="str">
        <f>"3328145504030005"</f>
        <v>3328145504030005</v>
      </c>
      <c r="C2494" s="7" t="s">
        <v>4894</v>
      </c>
      <c r="D2494" s="7" t="s">
        <v>189</v>
      </c>
      <c r="E2494" s="7" t="s">
        <v>11</v>
      </c>
      <c r="F2494" s="7" t="s">
        <v>18</v>
      </c>
      <c r="G2494" s="7" t="s">
        <v>19</v>
      </c>
      <c r="H2494" s="7" t="s">
        <v>3565</v>
      </c>
      <c r="I2494" s="8" t="s">
        <v>4769</v>
      </c>
      <c r="J2494" t="e">
        <f>VLOOKUP(B2494,baru!$B$2:$I$2271,4,FALSE)</f>
        <v>#N/A</v>
      </c>
      <c r="K2494" t="e">
        <f>VLOOKUP(B2494,baru!$B$2:$I$2271,5,FALSE)</f>
        <v>#N/A</v>
      </c>
      <c r="L2494" t="e">
        <f>VLOOKUP(B2494,baru!$B$2:$I$2271,6,FALSE)</f>
        <v>#N/A</v>
      </c>
    </row>
    <row r="2495" spans="1:12" hidden="1" x14ac:dyDescent="0.35">
      <c r="A2495" s="6">
        <v>1352917</v>
      </c>
      <c r="B2495" s="7" t="str">
        <f>"3328145504030005"</f>
        <v>3328145504030005</v>
      </c>
      <c r="C2495" s="7" t="s">
        <v>4895</v>
      </c>
      <c r="D2495" s="7" t="s">
        <v>10</v>
      </c>
      <c r="E2495" s="7" t="s">
        <v>57</v>
      </c>
      <c r="F2495" s="7" t="s">
        <v>303</v>
      </c>
      <c r="G2495" s="7" t="s">
        <v>608</v>
      </c>
      <c r="H2495" s="7" t="s">
        <v>609</v>
      </c>
      <c r="I2495" s="8" t="s">
        <v>610</v>
      </c>
    </row>
    <row r="2496" spans="1:12" hidden="1" x14ac:dyDescent="0.35">
      <c r="A2496" s="6">
        <v>321302</v>
      </c>
      <c r="B2496" s="7" t="str">
        <f>"3328145504930011"</f>
        <v>3328145504930011</v>
      </c>
      <c r="C2496" s="7" t="s">
        <v>4896</v>
      </c>
      <c r="D2496" s="7" t="s">
        <v>10</v>
      </c>
      <c r="E2496" s="7" t="s">
        <v>11</v>
      </c>
      <c r="F2496" s="7" t="s">
        <v>18</v>
      </c>
      <c r="G2496" s="7" t="s">
        <v>268</v>
      </c>
      <c r="H2496" s="7" t="s">
        <v>277</v>
      </c>
      <c r="I2496" s="8" t="s">
        <v>278</v>
      </c>
    </row>
    <row r="2497" spans="1:12" hidden="1" x14ac:dyDescent="0.35">
      <c r="A2497" s="6">
        <v>757703</v>
      </c>
      <c r="B2497" s="7" t="str">
        <f>"3328145709840005"</f>
        <v>3328145709840005</v>
      </c>
      <c r="C2497" s="7" t="s">
        <v>3965</v>
      </c>
      <c r="D2497" s="7" t="s">
        <v>10</v>
      </c>
      <c r="E2497" s="7" t="s">
        <v>11</v>
      </c>
      <c r="F2497" s="7" t="s">
        <v>50</v>
      </c>
      <c r="G2497" s="7" t="s">
        <v>280</v>
      </c>
      <c r="H2497" s="7" t="s">
        <v>402</v>
      </c>
      <c r="I2497" s="8" t="s">
        <v>4730</v>
      </c>
    </row>
    <row r="2498" spans="1:12" hidden="1" x14ac:dyDescent="0.35">
      <c r="A2498" s="6">
        <v>400109</v>
      </c>
      <c r="B2498" s="7" t="str">
        <f>"3328145910990006"</f>
        <v>3328145910990006</v>
      </c>
      <c r="C2498" s="7" t="s">
        <v>4897</v>
      </c>
      <c r="D2498" s="7" t="s">
        <v>10</v>
      </c>
      <c r="E2498" s="7" t="s">
        <v>11</v>
      </c>
      <c r="F2498" s="7" t="s">
        <v>18</v>
      </c>
      <c r="G2498" s="7" t="s">
        <v>268</v>
      </c>
      <c r="H2498" s="7" t="s">
        <v>448</v>
      </c>
      <c r="I2498" s="8" t="s">
        <v>448</v>
      </c>
    </row>
    <row r="2499" spans="1:12" hidden="1" x14ac:dyDescent="0.35">
      <c r="A2499" s="6">
        <v>982652</v>
      </c>
      <c r="B2499" s="7" t="str">
        <f>"3328146201050004"</f>
        <v>3328146201050004</v>
      </c>
      <c r="C2499" s="7" t="s">
        <v>4899</v>
      </c>
      <c r="D2499" s="7" t="s">
        <v>10</v>
      </c>
      <c r="E2499" s="7" t="s">
        <v>11</v>
      </c>
      <c r="F2499" s="7" t="s">
        <v>91</v>
      </c>
      <c r="G2499" s="7" t="s">
        <v>2364</v>
      </c>
      <c r="H2499" s="7" t="s">
        <v>4900</v>
      </c>
      <c r="I2499" s="8" t="s">
        <v>4901</v>
      </c>
    </row>
    <row r="2500" spans="1:12" hidden="1" x14ac:dyDescent="0.35">
      <c r="A2500" s="6">
        <v>1045360</v>
      </c>
      <c r="B2500" s="7" t="str">
        <f>"3328146207910003"</f>
        <v>3328146207910003</v>
      </c>
      <c r="C2500" s="7" t="s">
        <v>4902</v>
      </c>
      <c r="D2500" s="7" t="s">
        <v>10</v>
      </c>
      <c r="E2500" s="7" t="s">
        <v>11</v>
      </c>
      <c r="F2500" s="7" t="s">
        <v>91</v>
      </c>
      <c r="G2500" s="7" t="s">
        <v>320</v>
      </c>
      <c r="H2500" s="7" t="s">
        <v>1319</v>
      </c>
      <c r="I2500" s="8" t="s">
        <v>3999</v>
      </c>
    </row>
    <row r="2501" spans="1:12" hidden="1" x14ac:dyDescent="0.35">
      <c r="A2501" s="13">
        <v>1661764</v>
      </c>
      <c r="B2501" s="14" t="str">
        <f>"3328146304880007"</f>
        <v>3328146304880007</v>
      </c>
      <c r="C2501" s="14" t="s">
        <v>4903</v>
      </c>
      <c r="D2501" s="14" t="s">
        <v>10</v>
      </c>
      <c r="E2501" s="14" t="s">
        <v>11</v>
      </c>
      <c r="F2501" s="14" t="s">
        <v>18</v>
      </c>
      <c r="G2501" s="14" t="s">
        <v>19</v>
      </c>
      <c r="H2501" s="14" t="s">
        <v>3565</v>
      </c>
      <c r="I2501" s="15" t="s">
        <v>4708</v>
      </c>
      <c r="J2501" s="16" t="str">
        <f>VLOOKUP(B2501,baru!$B$2:$I$2271,4,FALSE)</f>
        <v>Reguler</v>
      </c>
      <c r="K2501" s="16" t="str">
        <f>VLOOKUP(B2501,baru!$B$2:$I$2271,5,FALSE)</f>
        <v>JAWA TIMUR</v>
      </c>
      <c r="L2501" s="16" t="str">
        <f>VLOOKUP(B2501,baru!$B$2:$I$2271,6,FALSE)</f>
        <v>BANYUWANGI</v>
      </c>
    </row>
    <row r="2502" spans="1:12" hidden="1" x14ac:dyDescent="0.35">
      <c r="A2502" s="6">
        <v>2141330</v>
      </c>
      <c r="B2502" s="7" t="str">
        <f>"3328146411950003"</f>
        <v>3328146411950003</v>
      </c>
      <c r="C2502" s="7" t="s">
        <v>3338</v>
      </c>
      <c r="D2502" s="7" t="s">
        <v>10</v>
      </c>
      <c r="E2502" s="7" t="s">
        <v>11</v>
      </c>
      <c r="F2502" s="7" t="s">
        <v>91</v>
      </c>
      <c r="G2502" s="7" t="s">
        <v>101</v>
      </c>
      <c r="H2502" s="7" t="s">
        <v>287</v>
      </c>
      <c r="I2502" s="8" t="s">
        <v>4906</v>
      </c>
    </row>
    <row r="2503" spans="1:12" hidden="1" x14ac:dyDescent="0.35">
      <c r="A2503" s="17">
        <v>1915210</v>
      </c>
      <c r="B2503" s="18" t="str">
        <f>"3328146512050001"</f>
        <v>3328146512050001</v>
      </c>
      <c r="C2503" s="18" t="s">
        <v>4907</v>
      </c>
      <c r="D2503" s="18" t="s">
        <v>10</v>
      </c>
      <c r="E2503" s="18" t="s">
        <v>11</v>
      </c>
      <c r="F2503" s="18" t="s">
        <v>18</v>
      </c>
      <c r="G2503" s="18" t="s">
        <v>19</v>
      </c>
      <c r="H2503" s="18" t="s">
        <v>3565</v>
      </c>
      <c r="I2503" s="19" t="s">
        <v>4719</v>
      </c>
      <c r="J2503" s="20" t="str">
        <f>VLOOKUP(B2503,baru!$B$2:$I$2271,4,FALSE)</f>
        <v>Khusus</v>
      </c>
      <c r="K2503" s="20" t="str">
        <f>VLOOKUP(B2503,baru!$B$2:$I$2271,5,FALSE)</f>
        <v>JAWA TENGAH</v>
      </c>
      <c r="L2503" s="20" t="str">
        <f>VLOOKUP(B2503,baru!$B$2:$I$2271,6,FALSE)</f>
        <v>BATANG</v>
      </c>
    </row>
    <row r="2504" spans="1:12" hidden="1" x14ac:dyDescent="0.35">
      <c r="A2504" s="6">
        <v>793506</v>
      </c>
      <c r="B2504" s="7" t="str">
        <f>"3328146707890002"</f>
        <v>3328146707890002</v>
      </c>
      <c r="C2504" s="7" t="s">
        <v>4909</v>
      </c>
      <c r="D2504" s="7" t="s">
        <v>10</v>
      </c>
      <c r="E2504" s="7" t="s">
        <v>11</v>
      </c>
      <c r="F2504" s="7" t="s">
        <v>50</v>
      </c>
      <c r="G2504" s="7" t="s">
        <v>72</v>
      </c>
      <c r="H2504" s="7" t="s">
        <v>73</v>
      </c>
      <c r="I2504" s="8" t="s">
        <v>74</v>
      </c>
    </row>
    <row r="2505" spans="1:12" hidden="1" x14ac:dyDescent="0.35">
      <c r="A2505" s="13">
        <v>1512361</v>
      </c>
      <c r="B2505" s="14" t="str">
        <f>"3328147112060003"</f>
        <v>3328147112060003</v>
      </c>
      <c r="C2505" s="14" t="s">
        <v>4910</v>
      </c>
      <c r="D2505" s="14" t="s">
        <v>10</v>
      </c>
      <c r="E2505" s="14" t="s">
        <v>11</v>
      </c>
      <c r="F2505" s="14" t="s">
        <v>18</v>
      </c>
      <c r="G2505" s="14" t="s">
        <v>19</v>
      </c>
      <c r="H2505" s="14" t="s">
        <v>4754</v>
      </c>
      <c r="I2505" s="15" t="s">
        <v>882</v>
      </c>
      <c r="J2505" s="16" t="str">
        <f>VLOOKUP(B2505,baru!$B$2:$I$2271,4,FALSE)</f>
        <v>Reguler</v>
      </c>
      <c r="K2505" s="16" t="str">
        <f>VLOOKUP(B2505,baru!$B$2:$I$2271,5,FALSE)</f>
        <v>JAWA TENGAH</v>
      </c>
      <c r="L2505" s="16" t="str">
        <f>VLOOKUP(B2505,baru!$B$2:$I$2271,6,FALSE)</f>
        <v>TEGAL</v>
      </c>
    </row>
    <row r="2506" spans="1:12" hidden="1" x14ac:dyDescent="0.35">
      <c r="A2506" s="6">
        <v>70033</v>
      </c>
      <c r="B2506" s="7" t="str">
        <f>"3328150102900006"</f>
        <v>3328150102900006</v>
      </c>
      <c r="C2506" s="7" t="s">
        <v>2317</v>
      </c>
      <c r="D2506" s="7" t="s">
        <v>10</v>
      </c>
      <c r="E2506" s="7" t="s">
        <v>11</v>
      </c>
      <c r="F2506" s="7" t="s">
        <v>228</v>
      </c>
      <c r="G2506" s="7" t="s">
        <v>4911</v>
      </c>
      <c r="H2506" s="7" t="s">
        <v>4912</v>
      </c>
      <c r="I2506" s="8" t="s">
        <v>4912</v>
      </c>
    </row>
    <row r="2507" spans="1:12" hidden="1" x14ac:dyDescent="0.35">
      <c r="A2507" s="13">
        <v>1914791</v>
      </c>
      <c r="B2507" s="14" t="str">
        <f>"3328150107910076"</f>
        <v>3328150107910076</v>
      </c>
      <c r="C2507" s="14" t="s">
        <v>4914</v>
      </c>
      <c r="D2507" s="14" t="s">
        <v>10</v>
      </c>
      <c r="E2507" s="14" t="s">
        <v>11</v>
      </c>
      <c r="F2507" s="14" t="s">
        <v>18</v>
      </c>
      <c r="G2507" s="14" t="s">
        <v>19</v>
      </c>
      <c r="H2507" s="14" t="s">
        <v>3565</v>
      </c>
      <c r="I2507" s="15" t="s">
        <v>4719</v>
      </c>
      <c r="J2507" s="16" t="str">
        <f>VLOOKUP(B2507,baru!$B$2:$I$2271,4,FALSE)</f>
        <v>Reguler</v>
      </c>
      <c r="K2507" s="16" t="str">
        <f>VLOOKUP(B2507,baru!$B$2:$I$2271,5,FALSE)</f>
        <v>JAWA TENGAH</v>
      </c>
      <c r="L2507" s="16" t="str">
        <f>VLOOKUP(B2507,baru!$B$2:$I$2271,6,FALSE)</f>
        <v>PEMALANG</v>
      </c>
    </row>
    <row r="2508" spans="1:12" hidden="1" x14ac:dyDescent="0.35">
      <c r="A2508" s="13">
        <v>1872631</v>
      </c>
      <c r="B2508" s="14" t="str">
        <f>"3328157112990010"</f>
        <v>3328157112990010</v>
      </c>
      <c r="C2508" s="14" t="s">
        <v>4917</v>
      </c>
      <c r="D2508" s="14" t="s">
        <v>10</v>
      </c>
      <c r="E2508" s="14" t="s">
        <v>11</v>
      </c>
      <c r="F2508" s="14" t="s">
        <v>18</v>
      </c>
      <c r="G2508" s="14" t="s">
        <v>19</v>
      </c>
      <c r="H2508" s="14" t="s">
        <v>3565</v>
      </c>
      <c r="I2508" s="15" t="s">
        <v>4752</v>
      </c>
      <c r="J2508" s="16" t="str">
        <f>VLOOKUP(B2508,baru!$B$2:$I$2271,4,FALSE)</f>
        <v>Reguler</v>
      </c>
      <c r="K2508" s="16" t="str">
        <f>VLOOKUP(B2508,baru!$B$2:$I$2271,5,FALSE)</f>
        <v>JAWA TIMUR</v>
      </c>
      <c r="L2508" s="16" t="str">
        <f>VLOOKUP(B2508,baru!$B$2:$I$2271,6,FALSE)</f>
        <v>BLITAR</v>
      </c>
    </row>
    <row r="2509" spans="1:12" hidden="1" x14ac:dyDescent="0.35">
      <c r="A2509" s="13">
        <v>1517896</v>
      </c>
      <c r="B2509" s="14" t="str">
        <f>"3328170710850004"</f>
        <v>3328170710850004</v>
      </c>
      <c r="C2509" s="14" t="s">
        <v>4920</v>
      </c>
      <c r="D2509" s="14" t="s">
        <v>10</v>
      </c>
      <c r="E2509" s="14" t="s">
        <v>11</v>
      </c>
      <c r="F2509" s="14" t="s">
        <v>18</v>
      </c>
      <c r="G2509" s="14" t="s">
        <v>19</v>
      </c>
      <c r="H2509" s="14" t="s">
        <v>4754</v>
      </c>
      <c r="I2509" s="15" t="s">
        <v>4755</v>
      </c>
      <c r="J2509" s="16" t="str">
        <f>VLOOKUP(B2509,baru!$B$2:$I$2271,4,FALSE)</f>
        <v>Reguler</v>
      </c>
      <c r="K2509" s="16" t="str">
        <f>VLOOKUP(B2509,baru!$B$2:$I$2271,5,FALSE)</f>
        <v>JAWA TENGAH</v>
      </c>
      <c r="L2509" s="16" t="str">
        <f>VLOOKUP(B2509,baru!$B$2:$I$2271,6,FALSE)</f>
        <v>TEGAL</v>
      </c>
    </row>
    <row r="2510" spans="1:12" hidden="1" x14ac:dyDescent="0.35">
      <c r="A2510" s="6">
        <v>1330166</v>
      </c>
      <c r="B2510" s="7" t="str">
        <f>"3329053007900001"</f>
        <v>3329053007900001</v>
      </c>
      <c r="C2510" s="7" t="s">
        <v>4922</v>
      </c>
      <c r="D2510" s="7" t="s">
        <v>10</v>
      </c>
      <c r="E2510" s="7" t="s">
        <v>11</v>
      </c>
      <c r="F2510" s="7" t="s">
        <v>18</v>
      </c>
      <c r="G2510" s="7" t="s">
        <v>264</v>
      </c>
      <c r="H2510" s="7" t="s">
        <v>289</v>
      </c>
      <c r="I2510" s="8" t="s">
        <v>929</v>
      </c>
    </row>
    <row r="2511" spans="1:12" hidden="1" x14ac:dyDescent="0.35">
      <c r="A2511" s="6">
        <v>1325533</v>
      </c>
      <c r="B2511" s="7" t="str">
        <f>"3329054103880001"</f>
        <v>3329054103880001</v>
      </c>
      <c r="C2511" s="7" t="s">
        <v>4923</v>
      </c>
      <c r="D2511" s="7" t="s">
        <v>10</v>
      </c>
      <c r="E2511" s="7" t="s">
        <v>11</v>
      </c>
      <c r="F2511" s="7" t="s">
        <v>18</v>
      </c>
      <c r="G2511" s="7" t="s">
        <v>264</v>
      </c>
      <c r="H2511" s="7" t="s">
        <v>289</v>
      </c>
      <c r="I2511" s="8" t="s">
        <v>929</v>
      </c>
    </row>
    <row r="2512" spans="1:12" hidden="1" x14ac:dyDescent="0.35">
      <c r="A2512" s="6">
        <v>1439039</v>
      </c>
      <c r="B2512" s="7" t="str">
        <f>"3329054510840001"</f>
        <v>3329054510840001</v>
      </c>
      <c r="C2512" s="7" t="s">
        <v>4924</v>
      </c>
      <c r="D2512" s="7" t="s">
        <v>10</v>
      </c>
      <c r="E2512" s="7" t="s">
        <v>11</v>
      </c>
      <c r="F2512" s="7" t="s">
        <v>18</v>
      </c>
      <c r="G2512" s="7" t="s">
        <v>264</v>
      </c>
      <c r="H2512" s="7" t="s">
        <v>289</v>
      </c>
      <c r="I2512" s="8" t="s">
        <v>3928</v>
      </c>
    </row>
    <row r="2513" spans="1:12" hidden="1" x14ac:dyDescent="0.35">
      <c r="A2513" s="6">
        <v>1300309</v>
      </c>
      <c r="B2513" s="7" t="str">
        <f>"3329070402850005"</f>
        <v>3329070402850005</v>
      </c>
      <c r="C2513" s="7" t="s">
        <v>4925</v>
      </c>
      <c r="D2513" s="7" t="s">
        <v>10</v>
      </c>
      <c r="E2513" s="7" t="s">
        <v>11</v>
      </c>
      <c r="F2513" s="7" t="s">
        <v>18</v>
      </c>
      <c r="G2513" s="7" t="s">
        <v>264</v>
      </c>
      <c r="H2513" s="7" t="s">
        <v>265</v>
      </c>
      <c r="I2513" s="8" t="s">
        <v>459</v>
      </c>
    </row>
    <row r="2514" spans="1:12" x14ac:dyDescent="0.35">
      <c r="A2514" s="6">
        <v>1795645</v>
      </c>
      <c r="B2514" s="7" t="str">
        <f>"3329070402850005"</f>
        <v>3329070402850005</v>
      </c>
      <c r="C2514" s="7" t="s">
        <v>4926</v>
      </c>
      <c r="D2514" s="7" t="s">
        <v>189</v>
      </c>
      <c r="E2514" s="7" t="s">
        <v>11</v>
      </c>
      <c r="F2514" s="7" t="s">
        <v>18</v>
      </c>
      <c r="G2514" s="7" t="s">
        <v>19</v>
      </c>
      <c r="H2514" s="7" t="s">
        <v>3565</v>
      </c>
      <c r="I2514" s="8" t="s">
        <v>4769</v>
      </c>
      <c r="J2514" t="e">
        <f>VLOOKUP(B2514,baru!$B$2:$I$2271,4,FALSE)</f>
        <v>#N/A</v>
      </c>
      <c r="K2514" t="e">
        <f>VLOOKUP(B2514,baru!$B$2:$I$2271,5,FALSE)</f>
        <v>#N/A</v>
      </c>
      <c r="L2514" t="e">
        <f>VLOOKUP(B2514,baru!$B$2:$I$2271,6,FALSE)</f>
        <v>#N/A</v>
      </c>
    </row>
    <row r="2515" spans="1:12" hidden="1" x14ac:dyDescent="0.35">
      <c r="A2515" s="13">
        <v>1889450</v>
      </c>
      <c r="B2515" s="14" t="str">
        <f>"3329071506950004"</f>
        <v>3329071506950004</v>
      </c>
      <c r="C2515" s="14" t="s">
        <v>4927</v>
      </c>
      <c r="D2515" s="14" t="s">
        <v>10</v>
      </c>
      <c r="E2515" s="14" t="s">
        <v>11</v>
      </c>
      <c r="F2515" s="14" t="s">
        <v>18</v>
      </c>
      <c r="G2515" s="14" t="s">
        <v>19</v>
      </c>
      <c r="H2515" s="14" t="s">
        <v>3565</v>
      </c>
      <c r="I2515" s="15" t="s">
        <v>4775</v>
      </c>
      <c r="J2515" s="16" t="str">
        <f>VLOOKUP(B2515,baru!$B$2:$I$2271,4,FALSE)</f>
        <v>Reguler</v>
      </c>
      <c r="K2515" s="16" t="str">
        <f>VLOOKUP(B2515,baru!$B$2:$I$2271,5,FALSE)</f>
        <v>JAWA TENGAH</v>
      </c>
      <c r="L2515" s="16" t="str">
        <f>VLOOKUP(B2515,baru!$B$2:$I$2271,6,FALSE)</f>
        <v>BREBES</v>
      </c>
    </row>
    <row r="2516" spans="1:12" hidden="1" x14ac:dyDescent="0.35">
      <c r="A2516" s="6">
        <v>1243970</v>
      </c>
      <c r="B2516" s="7" t="str">
        <f>"3329071912770002"</f>
        <v>3329071912770002</v>
      </c>
      <c r="C2516" s="7" t="s">
        <v>4929</v>
      </c>
      <c r="D2516" s="7" t="s">
        <v>10</v>
      </c>
      <c r="E2516" s="7" t="s">
        <v>11</v>
      </c>
      <c r="F2516" s="7" t="s">
        <v>18</v>
      </c>
      <c r="G2516" s="7" t="s">
        <v>264</v>
      </c>
      <c r="H2516" s="7" t="s">
        <v>265</v>
      </c>
      <c r="I2516" s="8" t="s">
        <v>1940</v>
      </c>
    </row>
    <row r="2517" spans="1:12" hidden="1" x14ac:dyDescent="0.35">
      <c r="A2517" s="13">
        <v>1919014</v>
      </c>
      <c r="B2517" s="14" t="str">
        <f>"3329082205860003"</f>
        <v>3329082205860003</v>
      </c>
      <c r="C2517" s="14" t="s">
        <v>2260</v>
      </c>
      <c r="D2517" s="14" t="s">
        <v>10</v>
      </c>
      <c r="E2517" s="14" t="s">
        <v>11</v>
      </c>
      <c r="F2517" s="14" t="s">
        <v>18</v>
      </c>
      <c r="G2517" s="14" t="s">
        <v>19</v>
      </c>
      <c r="H2517" s="14" t="s">
        <v>3565</v>
      </c>
      <c r="I2517" s="15" t="s">
        <v>4765</v>
      </c>
      <c r="J2517" s="16" t="str">
        <f>VLOOKUP(B2517,baru!$B$2:$I$2271,4,FALSE)</f>
        <v>Reguler</v>
      </c>
      <c r="K2517" s="16" t="str">
        <f>VLOOKUP(B2517,baru!$B$2:$I$2271,5,FALSE)</f>
        <v>JAWA TENGAH</v>
      </c>
      <c r="L2517" s="16" t="str">
        <f>VLOOKUP(B2517,baru!$B$2:$I$2271,6,FALSE)</f>
        <v>BREBES</v>
      </c>
    </row>
    <row r="2518" spans="1:12" hidden="1" x14ac:dyDescent="0.35">
      <c r="A2518" s="6">
        <v>1233671</v>
      </c>
      <c r="B2518" s="7" t="str">
        <f>"3329086406810001"</f>
        <v>3329086406810001</v>
      </c>
      <c r="C2518" s="7" t="s">
        <v>4931</v>
      </c>
      <c r="D2518" s="7" t="s">
        <v>10</v>
      </c>
      <c r="E2518" s="7" t="s">
        <v>11</v>
      </c>
      <c r="F2518" s="7" t="s">
        <v>18</v>
      </c>
      <c r="G2518" s="7" t="s">
        <v>264</v>
      </c>
      <c r="H2518" s="7" t="s">
        <v>248</v>
      </c>
      <c r="I2518" s="8" t="s">
        <v>868</v>
      </c>
    </row>
    <row r="2519" spans="1:12" hidden="1" x14ac:dyDescent="0.35">
      <c r="A2519" s="6">
        <v>642866</v>
      </c>
      <c r="B2519" s="7" t="str">
        <f>"3329096609940002"</f>
        <v>3329096609940002</v>
      </c>
      <c r="C2519" s="7" t="s">
        <v>4932</v>
      </c>
      <c r="D2519" s="7" t="s">
        <v>10</v>
      </c>
      <c r="E2519" s="7" t="s">
        <v>11</v>
      </c>
      <c r="F2519" s="7" t="s">
        <v>18</v>
      </c>
      <c r="G2519" s="7" t="s">
        <v>264</v>
      </c>
      <c r="H2519" s="7" t="s">
        <v>264</v>
      </c>
      <c r="I2519" s="8" t="s">
        <v>2982</v>
      </c>
    </row>
    <row r="2520" spans="1:12" hidden="1" x14ac:dyDescent="0.35">
      <c r="A2520" s="6">
        <v>1350628</v>
      </c>
      <c r="B2520" s="7" t="str">
        <f>"3329104101950003"</f>
        <v>3329104101950003</v>
      </c>
      <c r="C2520" s="7" t="s">
        <v>4934</v>
      </c>
      <c r="D2520" s="7" t="s">
        <v>10</v>
      </c>
      <c r="E2520" s="7" t="s">
        <v>11</v>
      </c>
      <c r="F2520" s="7" t="s">
        <v>18</v>
      </c>
      <c r="G2520" s="7" t="s">
        <v>264</v>
      </c>
      <c r="H2520" s="7" t="s">
        <v>273</v>
      </c>
      <c r="I2520" s="8" t="s">
        <v>4935</v>
      </c>
    </row>
    <row r="2521" spans="1:12" hidden="1" x14ac:dyDescent="0.35">
      <c r="A2521" s="6">
        <v>368819</v>
      </c>
      <c r="B2521" s="7" t="str">
        <f>"3329141010850018"</f>
        <v>3329141010850018</v>
      </c>
      <c r="C2521" s="7" t="s">
        <v>4936</v>
      </c>
      <c r="D2521" s="7" t="s">
        <v>10</v>
      </c>
      <c r="E2521" s="7" t="s">
        <v>11</v>
      </c>
      <c r="F2521" s="7" t="s">
        <v>18</v>
      </c>
      <c r="G2521" s="7" t="s">
        <v>264</v>
      </c>
      <c r="H2521" s="7" t="s">
        <v>477</v>
      </c>
      <c r="I2521" s="8" t="s">
        <v>1483</v>
      </c>
    </row>
    <row r="2522" spans="1:12" hidden="1" x14ac:dyDescent="0.35">
      <c r="A2522" s="6">
        <v>444837</v>
      </c>
      <c r="B2522" s="7" t="str">
        <f>"3329144610920009"</f>
        <v>3329144610920009</v>
      </c>
      <c r="C2522" s="7" t="s">
        <v>4938</v>
      </c>
      <c r="D2522" s="7" t="s">
        <v>10</v>
      </c>
      <c r="E2522" s="7" t="s">
        <v>11</v>
      </c>
      <c r="F2522" s="7" t="s">
        <v>18</v>
      </c>
      <c r="G2522" s="7" t="s">
        <v>264</v>
      </c>
      <c r="H2522" s="7" t="s">
        <v>477</v>
      </c>
      <c r="I2522" s="8" t="s">
        <v>3855</v>
      </c>
    </row>
    <row r="2523" spans="1:12" hidden="1" x14ac:dyDescent="0.35">
      <c r="A2523" s="6">
        <v>819884</v>
      </c>
      <c r="B2523" s="7" t="str">
        <f>"3329161709010009"</f>
        <v>3329161709010009</v>
      </c>
      <c r="C2523" s="7" t="s">
        <v>4939</v>
      </c>
      <c r="D2523" s="7" t="s">
        <v>10</v>
      </c>
      <c r="E2523" s="7" t="s">
        <v>11</v>
      </c>
      <c r="F2523" s="7" t="s">
        <v>18</v>
      </c>
      <c r="G2523" s="7" t="s">
        <v>264</v>
      </c>
      <c r="H2523" s="7" t="s">
        <v>344</v>
      </c>
      <c r="I2523" s="8" t="s">
        <v>345</v>
      </c>
    </row>
    <row r="2524" spans="1:12" x14ac:dyDescent="0.35">
      <c r="A2524" s="6">
        <v>1727759</v>
      </c>
      <c r="B2524" s="7" t="str">
        <f>"3374080903960003"</f>
        <v>3374080903960003</v>
      </c>
      <c r="C2524" s="7" t="s">
        <v>4940</v>
      </c>
      <c r="D2524" s="7" t="s">
        <v>189</v>
      </c>
      <c r="E2524" s="7" t="s">
        <v>11</v>
      </c>
      <c r="F2524" s="7" t="s">
        <v>18</v>
      </c>
      <c r="G2524" s="7" t="s">
        <v>1438</v>
      </c>
      <c r="H2524" s="7" t="s">
        <v>4941</v>
      </c>
      <c r="I2524" s="8" t="s">
        <v>4942</v>
      </c>
    </row>
    <row r="2525" spans="1:12" hidden="1" x14ac:dyDescent="0.35">
      <c r="A2525" s="6">
        <v>321540</v>
      </c>
      <c r="B2525" s="7" t="str">
        <f>"3376010901980001"</f>
        <v>3376010901980001</v>
      </c>
      <c r="C2525" s="7" t="s">
        <v>4943</v>
      </c>
      <c r="D2525" s="7" t="s">
        <v>10</v>
      </c>
      <c r="E2525" s="7" t="s">
        <v>11</v>
      </c>
      <c r="F2525" s="7" t="s">
        <v>18</v>
      </c>
      <c r="G2525" s="7" t="s">
        <v>268</v>
      </c>
      <c r="H2525" s="7" t="s">
        <v>277</v>
      </c>
      <c r="I2525" s="8" t="s">
        <v>278</v>
      </c>
    </row>
    <row r="2526" spans="1:12" x14ac:dyDescent="0.35">
      <c r="A2526" s="13">
        <v>1794108</v>
      </c>
      <c r="B2526" s="14" t="str">
        <f>"3376013007920002"</f>
        <v>3376013007920002</v>
      </c>
      <c r="C2526" s="14" t="s">
        <v>4944</v>
      </c>
      <c r="D2526" s="14" t="s">
        <v>189</v>
      </c>
      <c r="E2526" s="14" t="s">
        <v>11</v>
      </c>
      <c r="F2526" s="14" t="s">
        <v>18</v>
      </c>
      <c r="G2526" s="14" t="s">
        <v>19</v>
      </c>
      <c r="H2526" s="14" t="s">
        <v>3565</v>
      </c>
      <c r="I2526" s="15" t="s">
        <v>4769</v>
      </c>
      <c r="J2526" s="16" t="str">
        <f>VLOOKUP(B2526,baru!$B$2:$I$2271,4,FALSE)</f>
        <v>Reguler</v>
      </c>
      <c r="K2526" s="16" t="str">
        <f>VLOOKUP(B2526,baru!$B$2:$I$2271,5,FALSE)</f>
        <v>JAWA BARAT</v>
      </c>
      <c r="L2526" s="16" t="str">
        <f>VLOOKUP(B2526,baru!$B$2:$I$2271,6,FALSE)</f>
        <v>KARAWANG</v>
      </c>
    </row>
    <row r="2527" spans="1:12" hidden="1" x14ac:dyDescent="0.35">
      <c r="A2527" s="6">
        <v>301580</v>
      </c>
      <c r="B2527" s="7" t="str">
        <f>"3376015707870002"</f>
        <v>3376015707870002</v>
      </c>
      <c r="C2527" s="7" t="s">
        <v>4945</v>
      </c>
      <c r="D2527" s="7" t="s">
        <v>10</v>
      </c>
      <c r="E2527" s="7" t="s">
        <v>11</v>
      </c>
      <c r="F2527" s="7" t="s">
        <v>18</v>
      </c>
      <c r="G2527" s="7" t="s">
        <v>268</v>
      </c>
      <c r="H2527" s="7" t="s">
        <v>277</v>
      </c>
      <c r="I2527" s="8" t="s">
        <v>2762</v>
      </c>
    </row>
    <row r="2528" spans="1:12" hidden="1" x14ac:dyDescent="0.35">
      <c r="A2528" s="6">
        <v>1800218</v>
      </c>
      <c r="B2528" s="7" t="str">
        <f>"3376022707970004"</f>
        <v>3376022707970004</v>
      </c>
      <c r="C2528" s="7" t="s">
        <v>4947</v>
      </c>
      <c r="D2528" s="7" t="s">
        <v>10</v>
      </c>
      <c r="E2528" s="7" t="s">
        <v>11</v>
      </c>
      <c r="F2528" s="7" t="s">
        <v>18</v>
      </c>
      <c r="G2528" s="7" t="s">
        <v>19</v>
      </c>
      <c r="H2528" s="7" t="s">
        <v>3565</v>
      </c>
      <c r="I2528" s="8" t="s">
        <v>4703</v>
      </c>
      <c r="J2528" t="e">
        <f>VLOOKUP(B2528,baru!$B$2:$I$2271,4,FALSE)</f>
        <v>#N/A</v>
      </c>
      <c r="K2528" t="e">
        <f>VLOOKUP(B2528,baru!$B$2:$I$2271,5,FALSE)</f>
        <v>#N/A</v>
      </c>
      <c r="L2528" t="e">
        <f>VLOOKUP(B2528,baru!$B$2:$I$2271,6,FALSE)</f>
        <v>#N/A</v>
      </c>
    </row>
    <row r="2529" spans="1:12" hidden="1" x14ac:dyDescent="0.35">
      <c r="A2529" s="6">
        <v>423711</v>
      </c>
      <c r="B2529" s="7" t="str">
        <f>"3376022707970004"</f>
        <v>3376022707970004</v>
      </c>
      <c r="C2529" s="7" t="s">
        <v>4948</v>
      </c>
      <c r="D2529" s="7" t="s">
        <v>10</v>
      </c>
      <c r="E2529" s="7" t="s">
        <v>57</v>
      </c>
      <c r="F2529" s="7" t="s">
        <v>18</v>
      </c>
      <c r="G2529" s="7" t="s">
        <v>268</v>
      </c>
      <c r="H2529" s="7" t="s">
        <v>277</v>
      </c>
      <c r="I2529" s="8" t="s">
        <v>278</v>
      </c>
    </row>
    <row r="2530" spans="1:12" hidden="1" x14ac:dyDescent="0.35">
      <c r="A2530" s="6">
        <v>750011</v>
      </c>
      <c r="B2530" s="7" t="str">
        <f>"3376025608880001"</f>
        <v>3376025608880001</v>
      </c>
      <c r="C2530" s="7" t="s">
        <v>4949</v>
      </c>
      <c r="D2530" s="7" t="s">
        <v>10</v>
      </c>
      <c r="E2530" s="7" t="s">
        <v>11</v>
      </c>
      <c r="F2530" s="7" t="s">
        <v>18</v>
      </c>
      <c r="G2530" s="7" t="s">
        <v>385</v>
      </c>
      <c r="H2530" s="7" t="s">
        <v>4950</v>
      </c>
      <c r="I2530" s="8" t="s">
        <v>4950</v>
      </c>
    </row>
    <row r="2531" spans="1:12" hidden="1" x14ac:dyDescent="0.35">
      <c r="A2531" s="6">
        <v>210645</v>
      </c>
      <c r="B2531" s="7" t="str">
        <f>"3376025706970002"</f>
        <v>3376025706970002</v>
      </c>
      <c r="C2531" s="7" t="s">
        <v>4951</v>
      </c>
      <c r="D2531" s="7" t="s">
        <v>10</v>
      </c>
      <c r="E2531" s="7" t="s">
        <v>11</v>
      </c>
      <c r="F2531" s="7" t="s">
        <v>18</v>
      </c>
      <c r="G2531" s="7" t="s">
        <v>268</v>
      </c>
      <c r="H2531" s="7" t="s">
        <v>371</v>
      </c>
      <c r="I2531" s="8" t="s">
        <v>2772</v>
      </c>
    </row>
    <row r="2532" spans="1:12" x14ac:dyDescent="0.35">
      <c r="A2532" s="6">
        <v>308894</v>
      </c>
      <c r="B2532" s="7" t="str">
        <f>"3376030706970001"</f>
        <v>3376030706970001</v>
      </c>
      <c r="C2532" s="7" t="s">
        <v>4953</v>
      </c>
      <c r="D2532" s="7" t="s">
        <v>189</v>
      </c>
      <c r="E2532" s="7" t="s">
        <v>11</v>
      </c>
      <c r="F2532" s="7" t="s">
        <v>18</v>
      </c>
      <c r="G2532" s="7" t="s">
        <v>268</v>
      </c>
      <c r="H2532" s="7" t="s">
        <v>269</v>
      </c>
      <c r="I2532" s="8" t="s">
        <v>1398</v>
      </c>
    </row>
    <row r="2533" spans="1:12" hidden="1" x14ac:dyDescent="0.35">
      <c r="A2533" s="6">
        <v>351567</v>
      </c>
      <c r="B2533" s="7" t="str">
        <f>"3376031312040001"</f>
        <v>3376031312040001</v>
      </c>
      <c r="C2533" s="7" t="s">
        <v>4954</v>
      </c>
      <c r="D2533" s="7" t="s">
        <v>10</v>
      </c>
      <c r="E2533" s="7" t="s">
        <v>11</v>
      </c>
      <c r="F2533" s="7" t="s">
        <v>18</v>
      </c>
      <c r="G2533" s="7" t="s">
        <v>268</v>
      </c>
      <c r="H2533" s="7" t="s">
        <v>269</v>
      </c>
      <c r="I2533" s="8" t="s">
        <v>270</v>
      </c>
    </row>
    <row r="2534" spans="1:12" hidden="1" x14ac:dyDescent="0.35">
      <c r="A2534" s="13">
        <v>1918369</v>
      </c>
      <c r="B2534" s="14" t="str">
        <f>"3510034804920010"</f>
        <v>3510034804920010</v>
      </c>
      <c r="C2534" s="14" t="s">
        <v>4955</v>
      </c>
      <c r="D2534" s="14" t="s">
        <v>10</v>
      </c>
      <c r="E2534" s="14" t="s">
        <v>11</v>
      </c>
      <c r="F2534" s="14" t="s">
        <v>18</v>
      </c>
      <c r="G2534" s="14" t="s">
        <v>19</v>
      </c>
      <c r="H2534" s="14" t="s">
        <v>3565</v>
      </c>
      <c r="I2534" s="15" t="s">
        <v>4719</v>
      </c>
      <c r="J2534" s="16" t="str">
        <f>VLOOKUP(B2534,baru!$B$2:$I$2271,4,FALSE)</f>
        <v>Reguler</v>
      </c>
      <c r="K2534" s="16" t="str">
        <f>VLOOKUP(B2534,baru!$B$2:$I$2271,5,FALSE)</f>
        <v>JAWA TIMUR</v>
      </c>
      <c r="L2534" s="16" t="str">
        <f>VLOOKUP(B2534,baru!$B$2:$I$2271,6,FALSE)</f>
        <v>BANYUWANGI</v>
      </c>
    </row>
    <row r="2535" spans="1:12" hidden="1" x14ac:dyDescent="0.35">
      <c r="A2535" s="6">
        <v>227018</v>
      </c>
      <c r="B2535" s="7" t="str">
        <f>"3521111506770006"</f>
        <v>3521111506770006</v>
      </c>
      <c r="C2535" s="7" t="s">
        <v>4958</v>
      </c>
      <c r="D2535" s="7" t="s">
        <v>10</v>
      </c>
      <c r="E2535" s="7" t="s">
        <v>11</v>
      </c>
      <c r="F2535" s="7" t="s">
        <v>240</v>
      </c>
      <c r="G2535" s="7" t="s">
        <v>4959</v>
      </c>
      <c r="H2535" s="7" t="s">
        <v>4960</v>
      </c>
      <c r="I2535" s="8" t="s">
        <v>4961</v>
      </c>
    </row>
    <row r="2536" spans="1:12" hidden="1" x14ac:dyDescent="0.35">
      <c r="A2536" s="13">
        <v>1919796</v>
      </c>
      <c r="B2536" s="14" t="str">
        <f>"3577022211920002"</f>
        <v>3577022211920002</v>
      </c>
      <c r="C2536" s="14" t="s">
        <v>4962</v>
      </c>
      <c r="D2536" s="14" t="s">
        <v>10</v>
      </c>
      <c r="E2536" s="14" t="s">
        <v>11</v>
      </c>
      <c r="F2536" s="14" t="s">
        <v>18</v>
      </c>
      <c r="G2536" s="14" t="s">
        <v>19</v>
      </c>
      <c r="H2536" s="14" t="s">
        <v>3565</v>
      </c>
      <c r="I2536" s="15" t="s">
        <v>4765</v>
      </c>
      <c r="J2536" s="16" t="str">
        <f>VLOOKUP(B2536,baru!$B$2:$I$2271,4,FALSE)</f>
        <v>Reguler</v>
      </c>
      <c r="K2536" s="16" t="str">
        <f>VLOOKUP(B2536,baru!$B$2:$I$2271,5,FALSE)</f>
        <v>JAWA TIMUR</v>
      </c>
      <c r="L2536" s="16" t="str">
        <f>VLOOKUP(B2536,baru!$B$2:$I$2271,6,FALSE)</f>
        <v>KOTA MADIUN</v>
      </c>
    </row>
    <row r="2537" spans="1:12" hidden="1" x14ac:dyDescent="0.35">
      <c r="A2537" s="6">
        <v>1436119</v>
      </c>
      <c r="B2537" s="7" t="str">
        <f>"3674062404850019"</f>
        <v>3674062404850019</v>
      </c>
      <c r="C2537" s="7" t="s">
        <v>4966</v>
      </c>
      <c r="D2537" s="7" t="s">
        <v>10</v>
      </c>
      <c r="E2537" s="7" t="s">
        <v>11</v>
      </c>
      <c r="F2537" s="7" t="s">
        <v>67</v>
      </c>
      <c r="G2537" s="7" t="s">
        <v>68</v>
      </c>
      <c r="H2537" s="7" t="s">
        <v>2817</v>
      </c>
      <c r="I2537" s="8" t="s">
        <v>317</v>
      </c>
    </row>
    <row r="2538" spans="1:12" hidden="1" x14ac:dyDescent="0.35">
      <c r="A2538" s="6">
        <v>196175</v>
      </c>
      <c r="B2538" s="7" t="str">
        <f>"5310121504890003"</f>
        <v>5310121504890003</v>
      </c>
      <c r="C2538" s="7" t="s">
        <v>4967</v>
      </c>
      <c r="D2538" s="7" t="s">
        <v>10</v>
      </c>
      <c r="E2538" s="7" t="s">
        <v>11</v>
      </c>
      <c r="F2538" s="7" t="s">
        <v>2122</v>
      </c>
      <c r="G2538" s="7" t="s">
        <v>1841</v>
      </c>
      <c r="H2538" s="7" t="s">
        <v>4968</v>
      </c>
      <c r="I2538" s="8" t="s">
        <v>4969</v>
      </c>
    </row>
    <row r="2539" spans="1:12" hidden="1" x14ac:dyDescent="0.35">
      <c r="A2539" s="6">
        <v>738906</v>
      </c>
      <c r="B2539" s="7" t="str">
        <f>"1208115610000003"</f>
        <v>1208115610000003</v>
      </c>
      <c r="C2539" s="7" t="s">
        <v>4971</v>
      </c>
      <c r="D2539" s="7" t="s">
        <v>10</v>
      </c>
      <c r="E2539" s="7" t="s">
        <v>11</v>
      </c>
      <c r="F2539" s="7" t="s">
        <v>667</v>
      </c>
      <c r="G2539" s="7" t="s">
        <v>4972</v>
      </c>
      <c r="H2539" s="7" t="s">
        <v>4973</v>
      </c>
      <c r="I2539" s="8" t="s">
        <v>4974</v>
      </c>
    </row>
    <row r="2540" spans="1:12" hidden="1" x14ac:dyDescent="0.35">
      <c r="A2540" s="13">
        <v>1314739</v>
      </c>
      <c r="B2540" s="14" t="str">
        <f>"1671047112600089"</f>
        <v>1671047112600089</v>
      </c>
      <c r="C2540" s="14" t="s">
        <v>4977</v>
      </c>
      <c r="D2540" s="14" t="s">
        <v>10</v>
      </c>
      <c r="E2540" s="14" t="s">
        <v>11</v>
      </c>
      <c r="F2540" s="14" t="s">
        <v>18</v>
      </c>
      <c r="G2540" s="14" t="s">
        <v>19</v>
      </c>
      <c r="H2540" s="14" t="s">
        <v>266</v>
      </c>
      <c r="I2540" s="15" t="s">
        <v>1737</v>
      </c>
      <c r="J2540" s="16" t="str">
        <f>VLOOKUP(B2540,baru!$B$2:$I$2271,4,FALSE)</f>
        <v>Reguler</v>
      </c>
      <c r="K2540" s="16" t="str">
        <f>VLOOKUP(B2540,baru!$B$2:$I$2271,5,FALSE)</f>
        <v>SUMATERA SELATAN</v>
      </c>
      <c r="L2540" s="16" t="str">
        <f>VLOOKUP(B2540,baru!$B$2:$I$2271,6,FALSE)</f>
        <v>KOTA PALEMBANG</v>
      </c>
    </row>
    <row r="2541" spans="1:12" hidden="1" x14ac:dyDescent="0.35">
      <c r="A2541" s="6">
        <v>392297</v>
      </c>
      <c r="B2541" s="7" t="str">
        <f>"1802094909890003"</f>
        <v>1802094909890003</v>
      </c>
      <c r="C2541" s="7" t="s">
        <v>4981</v>
      </c>
      <c r="D2541" s="7" t="s">
        <v>10</v>
      </c>
      <c r="E2541" s="7" t="s">
        <v>11</v>
      </c>
      <c r="F2541" s="7" t="s">
        <v>44</v>
      </c>
      <c r="G2541" s="7" t="s">
        <v>1040</v>
      </c>
      <c r="H2541" s="7" t="s">
        <v>4982</v>
      </c>
      <c r="I2541" s="8" t="s">
        <v>4983</v>
      </c>
    </row>
    <row r="2542" spans="1:12" hidden="1" x14ac:dyDescent="0.35">
      <c r="A2542" s="6">
        <v>45989</v>
      </c>
      <c r="B2542" s="7" t="str">
        <f>"1901054610950001"</f>
        <v>1901054610950001</v>
      </c>
      <c r="C2542" s="7" t="s">
        <v>4986</v>
      </c>
      <c r="D2542" s="7" t="s">
        <v>10</v>
      </c>
      <c r="E2542" s="7" t="s">
        <v>11</v>
      </c>
      <c r="F2542" s="7" t="s">
        <v>225</v>
      </c>
      <c r="G2542" s="7" t="s">
        <v>226</v>
      </c>
      <c r="H2542" s="7" t="s">
        <v>4987</v>
      </c>
      <c r="I2542" s="8" t="s">
        <v>4988</v>
      </c>
    </row>
    <row r="2543" spans="1:12" hidden="1" x14ac:dyDescent="0.35">
      <c r="A2543" s="6">
        <v>506531</v>
      </c>
      <c r="B2543" s="7" t="str">
        <f>"3172021712970001"</f>
        <v>3172021712970001</v>
      </c>
      <c r="C2543" s="7" t="s">
        <v>4989</v>
      </c>
      <c r="D2543" s="7" t="s">
        <v>10</v>
      </c>
      <c r="E2543" s="7" t="s">
        <v>11</v>
      </c>
      <c r="F2543" s="7" t="s">
        <v>50</v>
      </c>
      <c r="G2543" s="7" t="s">
        <v>51</v>
      </c>
      <c r="H2543" s="7" t="s">
        <v>62</v>
      </c>
      <c r="I2543" s="8" t="s">
        <v>2193</v>
      </c>
    </row>
    <row r="2544" spans="1:12" hidden="1" x14ac:dyDescent="0.35">
      <c r="A2544" s="6">
        <v>1046589</v>
      </c>
      <c r="B2544" s="7" t="str">
        <f>"3172030707480006"</f>
        <v>3172030707480006</v>
      </c>
      <c r="C2544" s="7" t="s">
        <v>4991</v>
      </c>
      <c r="D2544" s="7" t="s">
        <v>10</v>
      </c>
      <c r="E2544" s="7" t="s">
        <v>11</v>
      </c>
      <c r="F2544" s="7" t="s">
        <v>50</v>
      </c>
      <c r="G2544" s="7" t="s">
        <v>51</v>
      </c>
      <c r="H2544" s="7" t="s">
        <v>284</v>
      </c>
      <c r="I2544" s="8" t="s">
        <v>4992</v>
      </c>
    </row>
    <row r="2545" spans="1:12" hidden="1" x14ac:dyDescent="0.35">
      <c r="A2545" s="6">
        <v>1014202</v>
      </c>
      <c r="B2545" s="7" t="str">
        <f>"3173061909810010"</f>
        <v>3173061909810010</v>
      </c>
      <c r="C2545" s="7" t="s">
        <v>4995</v>
      </c>
      <c r="D2545" s="7" t="s">
        <v>10</v>
      </c>
      <c r="E2545" s="7" t="s">
        <v>11</v>
      </c>
      <c r="F2545" s="7" t="s">
        <v>50</v>
      </c>
      <c r="G2545" s="7" t="s">
        <v>86</v>
      </c>
      <c r="H2545" s="7" t="s">
        <v>87</v>
      </c>
      <c r="I2545" s="8" t="s">
        <v>88</v>
      </c>
    </row>
    <row r="2546" spans="1:12" hidden="1" x14ac:dyDescent="0.35">
      <c r="A2546" s="6">
        <v>1361518</v>
      </c>
      <c r="B2546" s="7" t="str">
        <f>"3174071208800006"</f>
        <v>3174071208800006</v>
      </c>
      <c r="C2546" s="7" t="s">
        <v>4996</v>
      </c>
      <c r="D2546" s="7" t="s">
        <v>10</v>
      </c>
      <c r="E2546" s="7" t="s">
        <v>11</v>
      </c>
      <c r="F2546" s="7" t="s">
        <v>50</v>
      </c>
      <c r="G2546" s="7" t="s">
        <v>72</v>
      </c>
      <c r="H2546" s="7" t="s">
        <v>628</v>
      </c>
      <c r="I2546" s="8" t="s">
        <v>2252</v>
      </c>
    </row>
    <row r="2547" spans="1:12" hidden="1" x14ac:dyDescent="0.35">
      <c r="A2547" s="6">
        <v>188935</v>
      </c>
      <c r="B2547" s="7" t="str">
        <f>"3175030904750009"</f>
        <v>3175030904750009</v>
      </c>
      <c r="C2547" s="7" t="s">
        <v>4998</v>
      </c>
      <c r="D2547" s="7" t="s">
        <v>10</v>
      </c>
      <c r="E2547" s="7" t="s">
        <v>11</v>
      </c>
      <c r="F2547" s="7" t="s">
        <v>50</v>
      </c>
      <c r="G2547" s="7" t="s">
        <v>58</v>
      </c>
      <c r="H2547" s="7" t="s">
        <v>59</v>
      </c>
      <c r="I2547" s="8" t="s">
        <v>1368</v>
      </c>
    </row>
    <row r="2548" spans="1:12" hidden="1" x14ac:dyDescent="0.35">
      <c r="A2548" s="6">
        <v>188936</v>
      </c>
      <c r="B2548" s="7" t="str">
        <f>"3175035410740008"</f>
        <v>3175035410740008</v>
      </c>
      <c r="C2548" s="7" t="s">
        <v>5000</v>
      </c>
      <c r="D2548" s="7" t="s">
        <v>10</v>
      </c>
      <c r="E2548" s="7" t="s">
        <v>11</v>
      </c>
      <c r="F2548" s="7" t="s">
        <v>50</v>
      </c>
      <c r="G2548" s="7" t="s">
        <v>58</v>
      </c>
      <c r="H2548" s="7" t="s">
        <v>59</v>
      </c>
      <c r="I2548" s="8" t="s">
        <v>1368</v>
      </c>
    </row>
    <row r="2549" spans="1:12" hidden="1" x14ac:dyDescent="0.35">
      <c r="A2549" s="6">
        <v>1829131</v>
      </c>
      <c r="B2549" s="7" t="str">
        <f>"3202290907920009"</f>
        <v>3202290907920009</v>
      </c>
      <c r="C2549" s="7" t="s">
        <v>5002</v>
      </c>
      <c r="D2549" s="7" t="s">
        <v>10</v>
      </c>
      <c r="E2549" s="7" t="s">
        <v>11</v>
      </c>
      <c r="F2549" s="7" t="s">
        <v>91</v>
      </c>
      <c r="G2549" s="7" t="s">
        <v>101</v>
      </c>
      <c r="H2549" s="7" t="s">
        <v>5003</v>
      </c>
      <c r="I2549" s="8" t="s">
        <v>5004</v>
      </c>
    </row>
    <row r="2550" spans="1:12" hidden="1" x14ac:dyDescent="0.35">
      <c r="A2550" s="6">
        <v>457921</v>
      </c>
      <c r="B2550" s="7" t="str">
        <f>"3209032603900011"</f>
        <v>3209032603900011</v>
      </c>
      <c r="C2550" s="7" t="s">
        <v>5006</v>
      </c>
      <c r="D2550" s="7" t="s">
        <v>10</v>
      </c>
      <c r="E2550" s="7" t="s">
        <v>11</v>
      </c>
      <c r="F2550" s="7" t="s">
        <v>91</v>
      </c>
      <c r="G2550" s="7" t="s">
        <v>985</v>
      </c>
      <c r="H2550" s="7" t="s">
        <v>877</v>
      </c>
      <c r="I2550" s="8" t="s">
        <v>5007</v>
      </c>
    </row>
    <row r="2551" spans="1:12" hidden="1" x14ac:dyDescent="0.35">
      <c r="A2551" s="6">
        <v>1143225</v>
      </c>
      <c r="B2551" s="7" t="str">
        <f>"3273255408800003"</f>
        <v>3273255408800003</v>
      </c>
      <c r="C2551" s="7" t="s">
        <v>5008</v>
      </c>
      <c r="D2551" s="7" t="s">
        <v>10</v>
      </c>
      <c r="E2551" s="7" t="s">
        <v>11</v>
      </c>
      <c r="F2551" s="7" t="s">
        <v>91</v>
      </c>
      <c r="G2551" s="7" t="s">
        <v>149</v>
      </c>
      <c r="H2551" s="7" t="s">
        <v>5009</v>
      </c>
      <c r="I2551" s="8" t="s">
        <v>5010</v>
      </c>
    </row>
    <row r="2552" spans="1:12" hidden="1" x14ac:dyDescent="0.35">
      <c r="A2552" s="6">
        <v>393159</v>
      </c>
      <c r="B2552" s="7" t="str">
        <f>"3275070701070001"</f>
        <v>3275070701070001</v>
      </c>
      <c r="C2552" s="7" t="s">
        <v>5012</v>
      </c>
      <c r="D2552" s="7" t="s">
        <v>10</v>
      </c>
      <c r="E2552" s="7" t="s">
        <v>11</v>
      </c>
      <c r="F2552" s="7" t="s">
        <v>91</v>
      </c>
      <c r="G2552" s="7" t="s">
        <v>159</v>
      </c>
      <c r="H2552" s="7" t="s">
        <v>5013</v>
      </c>
      <c r="I2552" s="8" t="s">
        <v>5014</v>
      </c>
    </row>
    <row r="2553" spans="1:12" hidden="1" x14ac:dyDescent="0.35">
      <c r="A2553" s="6">
        <v>872412</v>
      </c>
      <c r="B2553" s="7" t="str">
        <f>"3303095409780003"</f>
        <v>3303095409780003</v>
      </c>
      <c r="C2553" s="7" t="s">
        <v>5015</v>
      </c>
      <c r="D2553" s="7" t="s">
        <v>10</v>
      </c>
      <c r="E2553" s="7" t="s">
        <v>11</v>
      </c>
      <c r="F2553" s="7" t="s">
        <v>18</v>
      </c>
      <c r="G2553" s="7" t="s">
        <v>1349</v>
      </c>
      <c r="H2553" s="7" t="s">
        <v>5016</v>
      </c>
      <c r="I2553" s="8" t="s">
        <v>5017</v>
      </c>
    </row>
    <row r="2554" spans="1:12" hidden="1" x14ac:dyDescent="0.35">
      <c r="A2554" s="6">
        <v>677334</v>
      </c>
      <c r="B2554" s="7" t="str">
        <f>"3310172608000002"</f>
        <v>3310172608000002</v>
      </c>
      <c r="C2554" s="7" t="s">
        <v>5018</v>
      </c>
      <c r="D2554" s="7" t="s">
        <v>10</v>
      </c>
      <c r="E2554" s="7" t="s">
        <v>11</v>
      </c>
      <c r="F2554" s="7" t="s">
        <v>18</v>
      </c>
      <c r="G2554" s="7" t="s">
        <v>385</v>
      </c>
      <c r="H2554" s="7" t="s">
        <v>5019</v>
      </c>
      <c r="I2554" s="8" t="s">
        <v>4207</v>
      </c>
    </row>
    <row r="2555" spans="1:12" hidden="1" x14ac:dyDescent="0.35">
      <c r="A2555" s="6">
        <v>617249</v>
      </c>
      <c r="B2555" s="7" t="str">
        <f>"3323025501920003"</f>
        <v>3323025501920003</v>
      </c>
      <c r="C2555" s="7" t="s">
        <v>5021</v>
      </c>
      <c r="D2555" s="7" t="s">
        <v>10</v>
      </c>
      <c r="E2555" s="7" t="s">
        <v>11</v>
      </c>
      <c r="F2555" s="7" t="s">
        <v>379</v>
      </c>
      <c r="G2555" s="7" t="s">
        <v>1206</v>
      </c>
      <c r="H2555" s="7" t="s">
        <v>4136</v>
      </c>
      <c r="I2555" s="8" t="s">
        <v>5022</v>
      </c>
    </row>
    <row r="2556" spans="1:12" x14ac:dyDescent="0.35">
      <c r="A2556" s="13">
        <v>1289751</v>
      </c>
      <c r="B2556" s="14" t="str">
        <f>"3327075410940001"</f>
        <v>3327075410940001</v>
      </c>
      <c r="C2556" s="14" t="s">
        <v>5024</v>
      </c>
      <c r="D2556" s="14" t="s">
        <v>189</v>
      </c>
      <c r="E2556" s="14" t="s">
        <v>11</v>
      </c>
      <c r="F2556" s="14" t="s">
        <v>18</v>
      </c>
      <c r="G2556" s="14" t="s">
        <v>19</v>
      </c>
      <c r="H2556" s="14" t="s">
        <v>266</v>
      </c>
      <c r="I2556" s="15" t="s">
        <v>4994</v>
      </c>
      <c r="J2556" s="16" t="str">
        <f>VLOOKUP(B2556,baru!$B$2:$I$2271,4,FALSE)</f>
        <v>Reguler</v>
      </c>
      <c r="K2556" s="16" t="str">
        <f>VLOOKUP(B2556,baru!$B$2:$I$2271,5,FALSE)</f>
        <v>JAWA TENGAH</v>
      </c>
      <c r="L2556" s="16" t="str">
        <f>VLOOKUP(B2556,baru!$B$2:$I$2271,6,FALSE)</f>
        <v>PEMALANG</v>
      </c>
    </row>
    <row r="2557" spans="1:12" hidden="1" x14ac:dyDescent="0.35">
      <c r="A2557" s="6">
        <v>2115345</v>
      </c>
      <c r="B2557" s="7" t="str">
        <f>"3327100101690178"</f>
        <v>3327100101690178</v>
      </c>
      <c r="C2557" s="7" t="s">
        <v>5025</v>
      </c>
      <c r="D2557" s="7" t="s">
        <v>10</v>
      </c>
      <c r="E2557" s="7" t="s">
        <v>11</v>
      </c>
      <c r="F2557" s="7" t="s">
        <v>18</v>
      </c>
      <c r="G2557" s="7" t="s">
        <v>199</v>
      </c>
      <c r="H2557" s="7" t="s">
        <v>200</v>
      </c>
      <c r="I2557" s="8" t="s">
        <v>5026</v>
      </c>
    </row>
    <row r="2558" spans="1:12" hidden="1" x14ac:dyDescent="0.35">
      <c r="A2558" s="6">
        <v>26513</v>
      </c>
      <c r="B2558" s="7" t="str">
        <f>"3328060606870013"</f>
        <v>3328060606870013</v>
      </c>
      <c r="C2558" s="7" t="s">
        <v>5027</v>
      </c>
      <c r="D2558" s="7" t="s">
        <v>10</v>
      </c>
      <c r="E2558" s="7" t="s">
        <v>11</v>
      </c>
      <c r="F2558" s="7" t="s">
        <v>2889</v>
      </c>
      <c r="G2558" s="7" t="s">
        <v>2890</v>
      </c>
      <c r="H2558" s="7" t="s">
        <v>5028</v>
      </c>
      <c r="I2558" s="8" t="s">
        <v>5029</v>
      </c>
    </row>
    <row r="2559" spans="1:12" hidden="1" x14ac:dyDescent="0.35">
      <c r="A2559" s="6">
        <v>53340</v>
      </c>
      <c r="B2559" s="7" t="str">
        <f>"3328111004790010"</f>
        <v>3328111004790010</v>
      </c>
      <c r="C2559" s="7" t="s">
        <v>5031</v>
      </c>
      <c r="D2559" s="7" t="s">
        <v>10</v>
      </c>
      <c r="E2559" s="7" t="s">
        <v>11</v>
      </c>
      <c r="F2559" s="7" t="s">
        <v>1374</v>
      </c>
      <c r="G2559" s="7" t="s">
        <v>1375</v>
      </c>
      <c r="H2559" s="7" t="s">
        <v>1376</v>
      </c>
      <c r="I2559" s="8" t="s">
        <v>1377</v>
      </c>
    </row>
    <row r="2560" spans="1:12" hidden="1" x14ac:dyDescent="0.35">
      <c r="A2560" s="6">
        <v>1648800</v>
      </c>
      <c r="B2560" s="7" t="str">
        <f>"3328131205870003"</f>
        <v>3328131205870003</v>
      </c>
      <c r="C2560" s="7" t="s">
        <v>5032</v>
      </c>
      <c r="D2560" s="7" t="s">
        <v>10</v>
      </c>
      <c r="E2560" s="7" t="s">
        <v>11</v>
      </c>
      <c r="F2560" s="7" t="s">
        <v>18</v>
      </c>
      <c r="G2560" s="7" t="s">
        <v>19</v>
      </c>
      <c r="H2560" s="7" t="s">
        <v>266</v>
      </c>
      <c r="I2560" s="8" t="s">
        <v>4976</v>
      </c>
      <c r="J2560" t="e">
        <f>VLOOKUP(B2560,baru!$B$2:$I$2271,4,FALSE)</f>
        <v>#N/A</v>
      </c>
      <c r="K2560" t="e">
        <f>VLOOKUP(B2560,baru!$B$2:$I$2271,5,FALSE)</f>
        <v>#N/A</v>
      </c>
      <c r="L2560" t="e">
        <f>VLOOKUP(B2560,baru!$B$2:$I$2271,6,FALSE)</f>
        <v>#N/A</v>
      </c>
    </row>
    <row r="2561" spans="1:12" hidden="1" x14ac:dyDescent="0.35">
      <c r="A2561" s="6">
        <v>269121</v>
      </c>
      <c r="B2561" s="7" t="str">
        <f>"3328131205870003"</f>
        <v>3328131205870003</v>
      </c>
      <c r="C2561" s="7" t="s">
        <v>5033</v>
      </c>
      <c r="D2561" s="7" t="s">
        <v>10</v>
      </c>
      <c r="E2561" s="7" t="s">
        <v>57</v>
      </c>
      <c r="F2561" s="7" t="s">
        <v>91</v>
      </c>
      <c r="G2561" s="7" t="s">
        <v>155</v>
      </c>
      <c r="H2561" s="7" t="s">
        <v>5034</v>
      </c>
      <c r="I2561" s="8" t="s">
        <v>5035</v>
      </c>
    </row>
    <row r="2562" spans="1:12" hidden="1" x14ac:dyDescent="0.35">
      <c r="A2562" s="6">
        <v>606111</v>
      </c>
      <c r="B2562" s="7" t="str">
        <f>"3328132803940014"</f>
        <v>3328132803940014</v>
      </c>
      <c r="C2562" s="7" t="s">
        <v>5036</v>
      </c>
      <c r="D2562" s="7" t="s">
        <v>10</v>
      </c>
      <c r="E2562" s="7" t="s">
        <v>11</v>
      </c>
      <c r="F2562" s="7" t="s">
        <v>91</v>
      </c>
      <c r="G2562" s="7" t="s">
        <v>3442</v>
      </c>
      <c r="H2562" s="7" t="s">
        <v>5037</v>
      </c>
      <c r="I2562" s="8" t="s">
        <v>5037</v>
      </c>
    </row>
    <row r="2563" spans="1:12" hidden="1" x14ac:dyDescent="0.35">
      <c r="A2563" s="6">
        <v>1279269</v>
      </c>
      <c r="B2563" s="7" t="str">
        <f>"3328141901980004"</f>
        <v>3328141901980004</v>
      </c>
      <c r="C2563" s="7" t="s">
        <v>5039</v>
      </c>
      <c r="D2563" s="7" t="s">
        <v>10</v>
      </c>
      <c r="E2563" s="7" t="s">
        <v>11</v>
      </c>
      <c r="F2563" s="7" t="s">
        <v>18</v>
      </c>
      <c r="G2563" s="7" t="s">
        <v>19</v>
      </c>
      <c r="H2563" s="7" t="s">
        <v>266</v>
      </c>
      <c r="I2563" s="8" t="s">
        <v>266</v>
      </c>
      <c r="J2563" t="e">
        <f>VLOOKUP(B2563,baru!$B$2:$I$2271,4,FALSE)</f>
        <v>#N/A</v>
      </c>
      <c r="K2563" t="e">
        <f>VLOOKUP(B2563,baru!$B$2:$I$2271,5,FALSE)</f>
        <v>#N/A</v>
      </c>
      <c r="L2563" t="e">
        <f>VLOOKUP(B2563,baru!$B$2:$I$2271,6,FALSE)</f>
        <v>#N/A</v>
      </c>
    </row>
    <row r="2564" spans="1:12" hidden="1" x14ac:dyDescent="0.35">
      <c r="A2564" s="6">
        <v>2662283</v>
      </c>
      <c r="B2564" s="7" t="str">
        <f>"3328141901980004"</f>
        <v>3328141901980004</v>
      </c>
      <c r="C2564" s="7" t="s">
        <v>5040</v>
      </c>
      <c r="D2564" s="7" t="s">
        <v>10</v>
      </c>
      <c r="E2564" s="7" t="s">
        <v>57</v>
      </c>
      <c r="F2564" s="7" t="s">
        <v>18</v>
      </c>
      <c r="G2564" s="7" t="s">
        <v>199</v>
      </c>
      <c r="H2564" s="7" t="s">
        <v>199</v>
      </c>
      <c r="I2564" s="8" t="s">
        <v>839</v>
      </c>
    </row>
    <row r="2565" spans="1:12" hidden="1" x14ac:dyDescent="0.35">
      <c r="A2565" s="6">
        <v>366483</v>
      </c>
      <c r="B2565" s="7" t="str">
        <f>"3328150111020007"</f>
        <v>3328150111020007</v>
      </c>
      <c r="C2565" s="7" t="s">
        <v>5041</v>
      </c>
      <c r="D2565" s="7" t="s">
        <v>10</v>
      </c>
      <c r="E2565" s="7" t="s">
        <v>11</v>
      </c>
      <c r="F2565" s="7" t="s">
        <v>18</v>
      </c>
      <c r="G2565" s="7" t="s">
        <v>268</v>
      </c>
      <c r="H2565" s="7" t="s">
        <v>269</v>
      </c>
      <c r="I2565" s="8" t="s">
        <v>996</v>
      </c>
    </row>
    <row r="2566" spans="1:12" hidden="1" x14ac:dyDescent="0.35">
      <c r="A2566" s="6">
        <v>1335091</v>
      </c>
      <c r="B2566" s="7" t="str">
        <f>"3328150205850006"</f>
        <v>3328150205850006</v>
      </c>
      <c r="C2566" s="7" t="s">
        <v>5043</v>
      </c>
      <c r="D2566" s="7" t="s">
        <v>10</v>
      </c>
      <c r="E2566" s="7" t="s">
        <v>11</v>
      </c>
      <c r="F2566" s="7" t="s">
        <v>18</v>
      </c>
      <c r="G2566" s="7" t="s">
        <v>19</v>
      </c>
      <c r="H2566" s="7" t="s">
        <v>266</v>
      </c>
      <c r="I2566" s="8" t="s">
        <v>5044</v>
      </c>
      <c r="J2566" t="e">
        <f>VLOOKUP(B2566,baru!$B$2:$I$2271,4,FALSE)</f>
        <v>#N/A</v>
      </c>
      <c r="K2566" t="e">
        <f>VLOOKUP(B2566,baru!$B$2:$I$2271,5,FALSE)</f>
        <v>#N/A</v>
      </c>
      <c r="L2566" t="e">
        <f>VLOOKUP(B2566,baru!$B$2:$I$2271,6,FALSE)</f>
        <v>#N/A</v>
      </c>
    </row>
    <row r="2567" spans="1:12" hidden="1" x14ac:dyDescent="0.35">
      <c r="A2567" s="6">
        <v>423871</v>
      </c>
      <c r="B2567" s="7" t="str">
        <f>"3328150205850006"</f>
        <v>3328150205850006</v>
      </c>
      <c r="C2567" s="7" t="s">
        <v>5045</v>
      </c>
      <c r="D2567" s="7" t="s">
        <v>10</v>
      </c>
      <c r="E2567" s="7" t="s">
        <v>57</v>
      </c>
      <c r="F2567" s="7" t="s">
        <v>18</v>
      </c>
      <c r="G2567" s="7" t="s">
        <v>268</v>
      </c>
      <c r="H2567" s="7" t="s">
        <v>277</v>
      </c>
      <c r="I2567" s="8" t="s">
        <v>278</v>
      </c>
    </row>
    <row r="2568" spans="1:12" hidden="1" x14ac:dyDescent="0.35">
      <c r="A2568" s="6">
        <v>1036648</v>
      </c>
      <c r="B2568" s="7" t="str">
        <f>"3328150212850005"</f>
        <v>3328150212850005</v>
      </c>
      <c r="C2568" s="7" t="s">
        <v>5046</v>
      </c>
      <c r="D2568" s="7" t="s">
        <v>10</v>
      </c>
      <c r="E2568" s="7" t="s">
        <v>11</v>
      </c>
      <c r="F2568" s="7" t="s">
        <v>91</v>
      </c>
      <c r="G2568" s="7" t="s">
        <v>159</v>
      </c>
      <c r="H2568" s="7" t="s">
        <v>1337</v>
      </c>
      <c r="I2568" s="8" t="s">
        <v>1338</v>
      </c>
    </row>
    <row r="2569" spans="1:12" hidden="1" x14ac:dyDescent="0.35">
      <c r="A2569" s="6">
        <v>1286210</v>
      </c>
      <c r="B2569" s="7" t="str">
        <f>"3328150305020004"</f>
        <v>3328150305020004</v>
      </c>
      <c r="C2569" s="7" t="s">
        <v>5047</v>
      </c>
      <c r="D2569" s="7" t="s">
        <v>10</v>
      </c>
      <c r="E2569" s="7" t="s">
        <v>11</v>
      </c>
      <c r="F2569" s="7" t="s">
        <v>18</v>
      </c>
      <c r="G2569" s="7" t="s">
        <v>19</v>
      </c>
      <c r="H2569" s="7" t="s">
        <v>266</v>
      </c>
      <c r="I2569" s="8" t="s">
        <v>5048</v>
      </c>
      <c r="J2569" t="e">
        <f>VLOOKUP(B2569,baru!$B$2:$I$2271,4,FALSE)</f>
        <v>#N/A</v>
      </c>
      <c r="K2569" t="e">
        <f>VLOOKUP(B2569,baru!$B$2:$I$2271,5,FALSE)</f>
        <v>#N/A</v>
      </c>
      <c r="L2569" t="e">
        <f>VLOOKUP(B2569,baru!$B$2:$I$2271,6,FALSE)</f>
        <v>#N/A</v>
      </c>
    </row>
    <row r="2570" spans="1:12" hidden="1" x14ac:dyDescent="0.35">
      <c r="A2570" s="6">
        <v>1350381</v>
      </c>
      <c r="B2570" s="7" t="str">
        <f>"3328150305020004"</f>
        <v>3328150305020004</v>
      </c>
      <c r="C2570" s="7" t="s">
        <v>5047</v>
      </c>
      <c r="D2570" s="7" t="s">
        <v>10</v>
      </c>
      <c r="E2570" s="7" t="s">
        <v>57</v>
      </c>
      <c r="F2570" s="7" t="s">
        <v>303</v>
      </c>
      <c r="G2570" s="7" t="s">
        <v>608</v>
      </c>
      <c r="H2570" s="7" t="s">
        <v>609</v>
      </c>
      <c r="I2570" s="8" t="s">
        <v>610</v>
      </c>
    </row>
    <row r="2571" spans="1:12" x14ac:dyDescent="0.35">
      <c r="A2571" s="6">
        <v>1329522</v>
      </c>
      <c r="B2571" s="7" t="str">
        <f>"3328150308830009"</f>
        <v>3328150308830009</v>
      </c>
      <c r="C2571" s="7" t="s">
        <v>5049</v>
      </c>
      <c r="D2571" s="7" t="s">
        <v>189</v>
      </c>
      <c r="E2571" s="7" t="s">
        <v>11</v>
      </c>
      <c r="F2571" s="7" t="s">
        <v>18</v>
      </c>
      <c r="G2571" s="7" t="s">
        <v>19</v>
      </c>
      <c r="H2571" s="7" t="s">
        <v>266</v>
      </c>
      <c r="I2571" s="8" t="s">
        <v>5050</v>
      </c>
      <c r="J2571" t="e">
        <f>VLOOKUP(B2571,baru!$B$2:$I$2271,4,FALSE)</f>
        <v>#N/A</v>
      </c>
      <c r="K2571" t="e">
        <f>VLOOKUP(B2571,baru!$B$2:$I$2271,5,FALSE)</f>
        <v>#N/A</v>
      </c>
      <c r="L2571" t="e">
        <f>VLOOKUP(B2571,baru!$B$2:$I$2271,6,FALSE)</f>
        <v>#N/A</v>
      </c>
    </row>
    <row r="2572" spans="1:12" hidden="1" x14ac:dyDescent="0.35">
      <c r="A2572" s="6">
        <v>2662148</v>
      </c>
      <c r="B2572" s="7" t="str">
        <f>"3328150308830009"</f>
        <v>3328150308830009</v>
      </c>
      <c r="C2572" s="7" t="s">
        <v>5049</v>
      </c>
      <c r="D2572" s="7" t="s">
        <v>10</v>
      </c>
      <c r="E2572" s="7" t="s">
        <v>57</v>
      </c>
      <c r="F2572" s="7" t="s">
        <v>18</v>
      </c>
      <c r="G2572" s="7" t="s">
        <v>199</v>
      </c>
      <c r="H2572" s="7" t="s">
        <v>208</v>
      </c>
      <c r="I2572" s="8" t="s">
        <v>209</v>
      </c>
    </row>
    <row r="2573" spans="1:12" hidden="1" x14ac:dyDescent="0.35">
      <c r="A2573" s="6">
        <v>205755</v>
      </c>
      <c r="B2573" s="7" t="str">
        <f>"3328150406050008"</f>
        <v>3328150406050008</v>
      </c>
      <c r="C2573" s="7" t="s">
        <v>5051</v>
      </c>
      <c r="D2573" s="7" t="s">
        <v>10</v>
      </c>
      <c r="E2573" s="7" t="s">
        <v>11</v>
      </c>
      <c r="F2573" s="7" t="s">
        <v>18</v>
      </c>
      <c r="G2573" s="7" t="s">
        <v>268</v>
      </c>
      <c r="H2573" s="7" t="s">
        <v>371</v>
      </c>
      <c r="I2573" s="8" t="s">
        <v>2769</v>
      </c>
    </row>
    <row r="2574" spans="1:12" hidden="1" x14ac:dyDescent="0.35">
      <c r="A2574" s="6">
        <v>268353</v>
      </c>
      <c r="B2574" s="7" t="str">
        <f>"3328150704040002"</f>
        <v>3328150704040002</v>
      </c>
      <c r="C2574" s="7" t="s">
        <v>5052</v>
      </c>
      <c r="D2574" s="7" t="s">
        <v>10</v>
      </c>
      <c r="E2574" s="7" t="s">
        <v>11</v>
      </c>
      <c r="F2574" s="7" t="s">
        <v>211</v>
      </c>
      <c r="G2574" s="7" t="s">
        <v>5053</v>
      </c>
      <c r="H2574" s="7" t="s">
        <v>5054</v>
      </c>
      <c r="I2574" s="8" t="s">
        <v>5055</v>
      </c>
    </row>
    <row r="2575" spans="1:12" hidden="1" x14ac:dyDescent="0.35">
      <c r="A2575" s="6">
        <v>1650776</v>
      </c>
      <c r="B2575" s="7" t="str">
        <f>"3328150708920002"</f>
        <v>3328150708920002</v>
      </c>
      <c r="C2575" s="7" t="s">
        <v>5057</v>
      </c>
      <c r="D2575" s="7" t="s">
        <v>10</v>
      </c>
      <c r="E2575" s="7" t="s">
        <v>11</v>
      </c>
      <c r="F2575" s="7" t="s">
        <v>18</v>
      </c>
      <c r="G2575" s="7" t="s">
        <v>19</v>
      </c>
      <c r="H2575" s="7" t="s">
        <v>266</v>
      </c>
      <c r="I2575" s="8" t="s">
        <v>4976</v>
      </c>
      <c r="J2575" t="e">
        <f>VLOOKUP(B2575,baru!$B$2:$I$2271,4,FALSE)</f>
        <v>#N/A</v>
      </c>
      <c r="K2575" t="e">
        <f>VLOOKUP(B2575,baru!$B$2:$I$2271,5,FALSE)</f>
        <v>#N/A</v>
      </c>
      <c r="L2575" t="e">
        <f>VLOOKUP(B2575,baru!$B$2:$I$2271,6,FALSE)</f>
        <v>#N/A</v>
      </c>
    </row>
    <row r="2576" spans="1:12" hidden="1" x14ac:dyDescent="0.35">
      <c r="A2576" s="6">
        <v>2662484</v>
      </c>
      <c r="B2576" s="7" t="str">
        <f>"3328150708920002"</f>
        <v>3328150708920002</v>
      </c>
      <c r="C2576" s="7" t="s">
        <v>5058</v>
      </c>
      <c r="D2576" s="7" t="s">
        <v>10</v>
      </c>
      <c r="E2576" s="7" t="s">
        <v>57</v>
      </c>
      <c r="F2576" s="7" t="s">
        <v>18</v>
      </c>
      <c r="G2576" s="7" t="s">
        <v>199</v>
      </c>
      <c r="H2576" s="7" t="s">
        <v>208</v>
      </c>
      <c r="I2576" s="8" t="s">
        <v>209</v>
      </c>
    </row>
    <row r="2577" spans="1:12" hidden="1" x14ac:dyDescent="0.35">
      <c r="A2577" s="6">
        <v>2063778</v>
      </c>
      <c r="B2577" s="7" t="str">
        <f>"3328150804880011"</f>
        <v>3328150804880011</v>
      </c>
      <c r="C2577" s="7" t="s">
        <v>5059</v>
      </c>
      <c r="D2577" s="7" t="s">
        <v>10</v>
      </c>
      <c r="E2577" s="7" t="s">
        <v>11</v>
      </c>
      <c r="F2577" s="7" t="s">
        <v>67</v>
      </c>
      <c r="G2577" s="7" t="s">
        <v>375</v>
      </c>
      <c r="H2577" s="7" t="s">
        <v>5060</v>
      </c>
      <c r="I2577" s="8" t="s">
        <v>5061</v>
      </c>
    </row>
    <row r="2578" spans="1:12" hidden="1" x14ac:dyDescent="0.35">
      <c r="A2578" s="6">
        <v>1519110</v>
      </c>
      <c r="B2578" s="7" t="str">
        <f>"3328150808880007"</f>
        <v>3328150808880007</v>
      </c>
      <c r="C2578" s="7" t="s">
        <v>4958</v>
      </c>
      <c r="D2578" s="7" t="s">
        <v>10</v>
      </c>
      <c r="E2578" s="7" t="s">
        <v>11</v>
      </c>
      <c r="F2578" s="7" t="s">
        <v>67</v>
      </c>
      <c r="G2578" s="7" t="s">
        <v>68</v>
      </c>
      <c r="H2578" s="7" t="s">
        <v>2955</v>
      </c>
      <c r="I2578" s="8" t="s">
        <v>776</v>
      </c>
    </row>
    <row r="2579" spans="1:12" hidden="1" x14ac:dyDescent="0.35">
      <c r="A2579" s="13">
        <v>1289295</v>
      </c>
      <c r="B2579" s="14" t="str">
        <f>"3328150907790005"</f>
        <v>3328150907790005</v>
      </c>
      <c r="C2579" s="14" t="s">
        <v>5062</v>
      </c>
      <c r="D2579" s="14" t="s">
        <v>10</v>
      </c>
      <c r="E2579" s="14" t="s">
        <v>11</v>
      </c>
      <c r="F2579" s="14" t="s">
        <v>18</v>
      </c>
      <c r="G2579" s="14" t="s">
        <v>19</v>
      </c>
      <c r="H2579" s="14" t="s">
        <v>266</v>
      </c>
      <c r="I2579" s="15" t="s">
        <v>4994</v>
      </c>
      <c r="J2579" s="16" t="str">
        <f>VLOOKUP(B2579,baru!$B$2:$I$2271,4,FALSE)</f>
        <v>Reguler</v>
      </c>
      <c r="K2579" s="16" t="str">
        <f>VLOOKUP(B2579,baru!$B$2:$I$2271,5,FALSE)</f>
        <v>JAWA TIMUR</v>
      </c>
      <c r="L2579" s="16" t="str">
        <f>VLOOKUP(B2579,baru!$B$2:$I$2271,6,FALSE)</f>
        <v>TRENGGALEK</v>
      </c>
    </row>
    <row r="2580" spans="1:12" hidden="1" x14ac:dyDescent="0.35">
      <c r="A2580" s="17">
        <v>1297368</v>
      </c>
      <c r="B2580" s="18" t="str">
        <f>"3328151509880004"</f>
        <v>3328151509880004</v>
      </c>
      <c r="C2580" s="18" t="s">
        <v>5066</v>
      </c>
      <c r="D2580" s="18" t="s">
        <v>10</v>
      </c>
      <c r="E2580" s="18" t="s">
        <v>11</v>
      </c>
      <c r="F2580" s="18" t="s">
        <v>18</v>
      </c>
      <c r="G2580" s="18" t="s">
        <v>19</v>
      </c>
      <c r="H2580" s="18" t="s">
        <v>266</v>
      </c>
      <c r="I2580" s="19" t="s">
        <v>5067</v>
      </c>
      <c r="J2580" s="20" t="str">
        <f>VLOOKUP(B2580,baru!$B$2:$I$2271,4,FALSE)</f>
        <v>Khusus</v>
      </c>
      <c r="K2580" s="20" t="str">
        <f>VLOOKUP(B2580,baru!$B$2:$I$2271,5,FALSE)</f>
        <v>PAPUA BARAT</v>
      </c>
      <c r="L2580" s="20" t="str">
        <f>VLOOKUP(B2580,baru!$B$2:$I$2271,6,FALSE)</f>
        <v>KAIMANA</v>
      </c>
    </row>
    <row r="2581" spans="1:12" hidden="1" x14ac:dyDescent="0.35">
      <c r="A2581" s="6">
        <v>1466898</v>
      </c>
      <c r="B2581" s="7" t="str">
        <f>"3328151512860009"</f>
        <v>3328151512860009</v>
      </c>
      <c r="C2581" s="7" t="s">
        <v>5070</v>
      </c>
      <c r="D2581" s="7" t="s">
        <v>10</v>
      </c>
      <c r="E2581" s="7" t="s">
        <v>11</v>
      </c>
      <c r="F2581" s="7" t="s">
        <v>50</v>
      </c>
      <c r="G2581" s="7" t="s">
        <v>58</v>
      </c>
      <c r="H2581" s="7" t="s">
        <v>417</v>
      </c>
      <c r="I2581" s="8" t="s">
        <v>1936</v>
      </c>
    </row>
    <row r="2582" spans="1:12" x14ac:dyDescent="0.35">
      <c r="A2582" s="6">
        <v>1419975</v>
      </c>
      <c r="B2582" s="7" t="str">
        <f>"3328151512860009"</f>
        <v>3328151512860009</v>
      </c>
      <c r="C2582" s="7" t="s">
        <v>5071</v>
      </c>
      <c r="D2582" s="7" t="s">
        <v>189</v>
      </c>
      <c r="E2582" s="7" t="s">
        <v>11</v>
      </c>
      <c r="F2582" s="7" t="s">
        <v>18</v>
      </c>
      <c r="G2582" s="7" t="s">
        <v>19</v>
      </c>
      <c r="H2582" s="7" t="s">
        <v>266</v>
      </c>
      <c r="I2582" s="8" t="s">
        <v>5072</v>
      </c>
      <c r="J2582" t="e">
        <f>VLOOKUP(B2582,baru!$B$2:$I$2271,4,FALSE)</f>
        <v>#N/A</v>
      </c>
      <c r="K2582" t="e">
        <f>VLOOKUP(B2582,baru!$B$2:$I$2271,5,FALSE)</f>
        <v>#N/A</v>
      </c>
      <c r="L2582" t="e">
        <f>VLOOKUP(B2582,baru!$B$2:$I$2271,6,FALSE)</f>
        <v>#N/A</v>
      </c>
    </row>
    <row r="2583" spans="1:12" hidden="1" x14ac:dyDescent="0.35">
      <c r="A2583" s="13">
        <v>1289519</v>
      </c>
      <c r="B2583" s="14" t="str">
        <f>"3328151602950004"</f>
        <v>3328151602950004</v>
      </c>
      <c r="C2583" s="14" t="s">
        <v>5073</v>
      </c>
      <c r="D2583" s="14" t="s">
        <v>10</v>
      </c>
      <c r="E2583" s="14" t="s">
        <v>11</v>
      </c>
      <c r="F2583" s="14" t="s">
        <v>18</v>
      </c>
      <c r="G2583" s="14" t="s">
        <v>19</v>
      </c>
      <c r="H2583" s="14" t="s">
        <v>266</v>
      </c>
      <c r="I2583" s="15" t="s">
        <v>4994</v>
      </c>
      <c r="J2583" s="16" t="str">
        <f>VLOOKUP(B2583,baru!$B$2:$I$2271,4,FALSE)</f>
        <v>Reguler</v>
      </c>
      <c r="K2583" s="16" t="str">
        <f>VLOOKUP(B2583,baru!$B$2:$I$2271,5,FALSE)</f>
        <v>JAWA TENGAH</v>
      </c>
      <c r="L2583" s="16" t="str">
        <f>VLOOKUP(B2583,baru!$B$2:$I$2271,6,FALSE)</f>
        <v>WONOGIRI</v>
      </c>
    </row>
    <row r="2584" spans="1:12" x14ac:dyDescent="0.35">
      <c r="A2584" s="13">
        <v>1289750</v>
      </c>
      <c r="B2584" s="14" t="str">
        <f>"3328151707880006"</f>
        <v>3328151707880006</v>
      </c>
      <c r="C2584" s="14" t="s">
        <v>5076</v>
      </c>
      <c r="D2584" s="14" t="s">
        <v>189</v>
      </c>
      <c r="E2584" s="14" t="s">
        <v>11</v>
      </c>
      <c r="F2584" s="14" t="s">
        <v>18</v>
      </c>
      <c r="G2584" s="14" t="s">
        <v>19</v>
      </c>
      <c r="H2584" s="14" t="s">
        <v>266</v>
      </c>
      <c r="I2584" s="15" t="s">
        <v>4994</v>
      </c>
      <c r="J2584" s="16" t="str">
        <f>VLOOKUP(B2584,baru!$B$2:$I$2271,4,FALSE)</f>
        <v>Reguler</v>
      </c>
      <c r="K2584" s="16" t="str">
        <f>VLOOKUP(B2584,baru!$B$2:$I$2271,5,FALSE)</f>
        <v>JAWA TENGAH</v>
      </c>
      <c r="L2584" s="16" t="str">
        <f>VLOOKUP(B2584,baru!$B$2:$I$2271,6,FALSE)</f>
        <v>PEMALANG</v>
      </c>
    </row>
    <row r="2585" spans="1:12" hidden="1" x14ac:dyDescent="0.35">
      <c r="A2585" s="6">
        <v>223367</v>
      </c>
      <c r="B2585" s="7" t="str">
        <f>"3328151709790005"</f>
        <v>3328151709790005</v>
      </c>
      <c r="C2585" s="7" t="s">
        <v>5077</v>
      </c>
      <c r="D2585" s="7" t="s">
        <v>10</v>
      </c>
      <c r="E2585" s="7" t="s">
        <v>11</v>
      </c>
      <c r="F2585" s="7" t="s">
        <v>667</v>
      </c>
      <c r="G2585" s="7" t="s">
        <v>5078</v>
      </c>
      <c r="H2585" s="7" t="s">
        <v>5079</v>
      </c>
      <c r="I2585" s="8" t="s">
        <v>5080</v>
      </c>
    </row>
    <row r="2586" spans="1:12" hidden="1" x14ac:dyDescent="0.35">
      <c r="A2586" s="6">
        <v>294738</v>
      </c>
      <c r="B2586" s="7" t="str">
        <f>"3328151803890009"</f>
        <v>3328151803890009</v>
      </c>
      <c r="C2586" s="7" t="s">
        <v>5081</v>
      </c>
      <c r="D2586" s="7" t="s">
        <v>10</v>
      </c>
      <c r="E2586" s="7" t="s">
        <v>11</v>
      </c>
      <c r="F2586" s="7" t="s">
        <v>303</v>
      </c>
      <c r="G2586" s="7" t="s">
        <v>3472</v>
      </c>
      <c r="H2586" s="7" t="s">
        <v>4566</v>
      </c>
      <c r="I2586" s="8" t="s">
        <v>5082</v>
      </c>
    </row>
    <row r="2587" spans="1:12" hidden="1" x14ac:dyDescent="0.35">
      <c r="A2587" s="6">
        <v>1335089</v>
      </c>
      <c r="B2587" s="7" t="str">
        <f>"3328151909000009"</f>
        <v>3328151909000009</v>
      </c>
      <c r="C2587" s="7" t="s">
        <v>5084</v>
      </c>
      <c r="D2587" s="7" t="s">
        <v>10</v>
      </c>
      <c r="E2587" s="7" t="s">
        <v>11</v>
      </c>
      <c r="F2587" s="7" t="s">
        <v>18</v>
      </c>
      <c r="G2587" s="7" t="s">
        <v>19</v>
      </c>
      <c r="H2587" s="7" t="s">
        <v>266</v>
      </c>
      <c r="I2587" s="8" t="s">
        <v>5044</v>
      </c>
      <c r="J2587" t="e">
        <f>VLOOKUP(B2587,baru!$B$2:$I$2271,4,FALSE)</f>
        <v>#N/A</v>
      </c>
      <c r="K2587" t="e">
        <f>VLOOKUP(B2587,baru!$B$2:$I$2271,5,FALSE)</f>
        <v>#N/A</v>
      </c>
      <c r="L2587" t="e">
        <f>VLOOKUP(B2587,baru!$B$2:$I$2271,6,FALSE)</f>
        <v>#N/A</v>
      </c>
    </row>
    <row r="2588" spans="1:12" hidden="1" x14ac:dyDescent="0.35">
      <c r="A2588" s="6">
        <v>423846</v>
      </c>
      <c r="B2588" s="7" t="str">
        <f>"3328151909000009"</f>
        <v>3328151909000009</v>
      </c>
      <c r="C2588" s="7" t="s">
        <v>5085</v>
      </c>
      <c r="D2588" s="7" t="s">
        <v>10</v>
      </c>
      <c r="E2588" s="7" t="s">
        <v>57</v>
      </c>
      <c r="F2588" s="7" t="s">
        <v>18</v>
      </c>
      <c r="G2588" s="7" t="s">
        <v>268</v>
      </c>
      <c r="H2588" s="7" t="s">
        <v>277</v>
      </c>
      <c r="I2588" s="8" t="s">
        <v>278</v>
      </c>
    </row>
    <row r="2589" spans="1:12" hidden="1" x14ac:dyDescent="0.35">
      <c r="A2589" s="6">
        <v>1335088</v>
      </c>
      <c r="B2589" s="7" t="str">
        <f>"3328152110600003"</f>
        <v>3328152110600003</v>
      </c>
      <c r="C2589" s="7" t="s">
        <v>5086</v>
      </c>
      <c r="D2589" s="7" t="s">
        <v>10</v>
      </c>
      <c r="E2589" s="7" t="s">
        <v>11</v>
      </c>
      <c r="F2589" s="7" t="s">
        <v>18</v>
      </c>
      <c r="G2589" s="7" t="s">
        <v>19</v>
      </c>
      <c r="H2589" s="7" t="s">
        <v>266</v>
      </c>
      <c r="I2589" s="8" t="s">
        <v>5044</v>
      </c>
      <c r="J2589" t="e">
        <f>VLOOKUP(B2589,baru!$B$2:$I$2271,4,FALSE)</f>
        <v>#N/A</v>
      </c>
      <c r="K2589" t="e">
        <f>VLOOKUP(B2589,baru!$B$2:$I$2271,5,FALSE)</f>
        <v>#N/A</v>
      </c>
      <c r="L2589" t="e">
        <f>VLOOKUP(B2589,baru!$B$2:$I$2271,6,FALSE)</f>
        <v>#N/A</v>
      </c>
    </row>
    <row r="2590" spans="1:12" hidden="1" x14ac:dyDescent="0.35">
      <c r="A2590" s="6">
        <v>423832</v>
      </c>
      <c r="B2590" s="7" t="str">
        <f>"3328152110600003"</f>
        <v>3328152110600003</v>
      </c>
      <c r="C2590" s="7" t="s">
        <v>5087</v>
      </c>
      <c r="D2590" s="7" t="s">
        <v>10</v>
      </c>
      <c r="E2590" s="7" t="s">
        <v>57</v>
      </c>
      <c r="F2590" s="7" t="s">
        <v>18</v>
      </c>
      <c r="G2590" s="7" t="s">
        <v>268</v>
      </c>
      <c r="H2590" s="7" t="s">
        <v>277</v>
      </c>
      <c r="I2590" s="8" t="s">
        <v>278</v>
      </c>
    </row>
    <row r="2591" spans="1:12" x14ac:dyDescent="0.35">
      <c r="A2591" s="13">
        <v>1334676</v>
      </c>
      <c r="B2591" s="14" t="str">
        <f>"3328152201950009"</f>
        <v>3328152201950009</v>
      </c>
      <c r="C2591" s="14" t="s">
        <v>5089</v>
      </c>
      <c r="D2591" s="14" t="s">
        <v>189</v>
      </c>
      <c r="E2591" s="14" t="s">
        <v>11</v>
      </c>
      <c r="F2591" s="14" t="s">
        <v>18</v>
      </c>
      <c r="G2591" s="14" t="s">
        <v>19</v>
      </c>
      <c r="H2591" s="14" t="s">
        <v>266</v>
      </c>
      <c r="I2591" s="15" t="s">
        <v>5044</v>
      </c>
      <c r="J2591" s="16" t="str">
        <f>VLOOKUP(B2591,baru!$B$2:$I$2271,4,FALSE)</f>
        <v>Reguler</v>
      </c>
      <c r="K2591" s="16" t="str">
        <f>VLOOKUP(B2591,baru!$B$2:$I$2271,5,FALSE)</f>
        <v>JAWA TENGAH</v>
      </c>
      <c r="L2591" s="16" t="str">
        <f>VLOOKUP(B2591,baru!$B$2:$I$2271,6,FALSE)</f>
        <v>KOTA TEGAL</v>
      </c>
    </row>
    <row r="2592" spans="1:12" hidden="1" x14ac:dyDescent="0.35">
      <c r="A2592" s="6">
        <v>291772</v>
      </c>
      <c r="B2592" s="7" t="str">
        <f>"3328152302060008"</f>
        <v>3328152302060008</v>
      </c>
      <c r="C2592" s="7" t="s">
        <v>5090</v>
      </c>
      <c r="D2592" s="7" t="s">
        <v>10</v>
      </c>
      <c r="E2592" s="7" t="s">
        <v>11</v>
      </c>
      <c r="F2592" s="7" t="s">
        <v>18</v>
      </c>
      <c r="G2592" s="7" t="s">
        <v>268</v>
      </c>
      <c r="H2592" s="7" t="s">
        <v>277</v>
      </c>
      <c r="I2592" s="8" t="s">
        <v>2762</v>
      </c>
    </row>
    <row r="2593" spans="1:12" hidden="1" x14ac:dyDescent="0.35">
      <c r="A2593" s="6">
        <v>254679</v>
      </c>
      <c r="B2593" s="7" t="str">
        <f>"3328152310030005"</f>
        <v>3328152310030005</v>
      </c>
      <c r="C2593" s="7" t="s">
        <v>5091</v>
      </c>
      <c r="D2593" s="7" t="s">
        <v>10</v>
      </c>
      <c r="E2593" s="7" t="s">
        <v>11</v>
      </c>
      <c r="F2593" s="7" t="s">
        <v>18</v>
      </c>
      <c r="G2593" s="7" t="s">
        <v>268</v>
      </c>
      <c r="H2593" s="7" t="s">
        <v>371</v>
      </c>
      <c r="I2593" s="8" t="s">
        <v>497</v>
      </c>
    </row>
    <row r="2594" spans="1:12" hidden="1" x14ac:dyDescent="0.35">
      <c r="A2594" s="6">
        <v>277951</v>
      </c>
      <c r="B2594" s="7" t="str">
        <f>"3328152407890006"</f>
        <v>3328152407890006</v>
      </c>
      <c r="C2594" s="7" t="s">
        <v>5093</v>
      </c>
      <c r="D2594" s="7" t="s">
        <v>10</v>
      </c>
      <c r="E2594" s="7" t="s">
        <v>11</v>
      </c>
      <c r="F2594" s="7" t="s">
        <v>18</v>
      </c>
      <c r="G2594" s="7" t="s">
        <v>268</v>
      </c>
      <c r="H2594" s="7" t="s">
        <v>277</v>
      </c>
      <c r="I2594" s="8" t="s">
        <v>3243</v>
      </c>
    </row>
    <row r="2595" spans="1:12" x14ac:dyDescent="0.35">
      <c r="A2595" s="6">
        <v>1291782</v>
      </c>
      <c r="B2595" s="7" t="str">
        <f>"3328152407890006"</f>
        <v>3328152407890006</v>
      </c>
      <c r="C2595" s="7" t="s">
        <v>1416</v>
      </c>
      <c r="D2595" s="7" t="s">
        <v>189</v>
      </c>
      <c r="E2595" s="7" t="s">
        <v>11</v>
      </c>
      <c r="F2595" s="7" t="s">
        <v>18</v>
      </c>
      <c r="G2595" s="7" t="s">
        <v>19</v>
      </c>
      <c r="H2595" s="7" t="s">
        <v>266</v>
      </c>
      <c r="I2595" s="8" t="s">
        <v>4990</v>
      </c>
      <c r="J2595" t="e">
        <f>VLOOKUP(B2595,baru!$B$2:$I$2271,4,FALSE)</f>
        <v>#N/A</v>
      </c>
      <c r="K2595" t="e">
        <f>VLOOKUP(B2595,baru!$B$2:$I$2271,5,FALSE)</f>
        <v>#N/A</v>
      </c>
      <c r="L2595" t="e">
        <f>VLOOKUP(B2595,baru!$B$2:$I$2271,6,FALSE)</f>
        <v>#N/A</v>
      </c>
    </row>
    <row r="2596" spans="1:12" hidden="1" x14ac:dyDescent="0.35">
      <c r="A2596" s="6">
        <v>366758</v>
      </c>
      <c r="B2596" s="7" t="str">
        <f>"3328152408000001"</f>
        <v>3328152408000001</v>
      </c>
      <c r="C2596" s="7" t="s">
        <v>5094</v>
      </c>
      <c r="D2596" s="7" t="s">
        <v>10</v>
      </c>
      <c r="E2596" s="7" t="s">
        <v>11</v>
      </c>
      <c r="F2596" s="7" t="s">
        <v>18</v>
      </c>
      <c r="G2596" s="7" t="s">
        <v>268</v>
      </c>
      <c r="H2596" s="7" t="s">
        <v>269</v>
      </c>
      <c r="I2596" s="8" t="s">
        <v>996</v>
      </c>
    </row>
    <row r="2597" spans="1:12" hidden="1" x14ac:dyDescent="0.35">
      <c r="A2597" s="6">
        <v>303681</v>
      </c>
      <c r="B2597" s="7" t="str">
        <f>"3328152411040008"</f>
        <v>3328152411040008</v>
      </c>
      <c r="C2597" s="7" t="s">
        <v>5096</v>
      </c>
      <c r="D2597" s="7" t="s">
        <v>10</v>
      </c>
      <c r="E2597" s="7" t="s">
        <v>11</v>
      </c>
      <c r="F2597" s="7" t="s">
        <v>18</v>
      </c>
      <c r="G2597" s="7" t="s">
        <v>268</v>
      </c>
      <c r="H2597" s="7" t="s">
        <v>277</v>
      </c>
      <c r="I2597" s="8" t="s">
        <v>2762</v>
      </c>
    </row>
    <row r="2598" spans="1:12" hidden="1" x14ac:dyDescent="0.35">
      <c r="A2598" s="6">
        <v>248642</v>
      </c>
      <c r="B2598" s="7" t="str">
        <f>"3328152811050005"</f>
        <v>3328152811050005</v>
      </c>
      <c r="C2598" s="7" t="s">
        <v>5099</v>
      </c>
      <c r="D2598" s="7" t="s">
        <v>10</v>
      </c>
      <c r="E2598" s="7" t="s">
        <v>11</v>
      </c>
      <c r="F2598" s="7" t="s">
        <v>18</v>
      </c>
      <c r="G2598" s="7" t="s">
        <v>268</v>
      </c>
      <c r="H2598" s="7" t="s">
        <v>371</v>
      </c>
      <c r="I2598" s="8" t="s">
        <v>497</v>
      </c>
    </row>
    <row r="2599" spans="1:12" hidden="1" x14ac:dyDescent="0.35">
      <c r="A2599" s="6">
        <v>283100</v>
      </c>
      <c r="B2599" s="7" t="str">
        <f>"3328152901030009"</f>
        <v>3328152901030009</v>
      </c>
      <c r="C2599" s="7" t="s">
        <v>5100</v>
      </c>
      <c r="D2599" s="7" t="s">
        <v>10</v>
      </c>
      <c r="E2599" s="7" t="s">
        <v>11</v>
      </c>
      <c r="F2599" s="7" t="s">
        <v>18</v>
      </c>
      <c r="G2599" s="7" t="s">
        <v>268</v>
      </c>
      <c r="H2599" s="7" t="s">
        <v>277</v>
      </c>
      <c r="I2599" s="8" t="s">
        <v>884</v>
      </c>
    </row>
    <row r="2600" spans="1:12" hidden="1" x14ac:dyDescent="0.35">
      <c r="A2600" s="6">
        <v>265629</v>
      </c>
      <c r="B2600" s="7" t="str">
        <f>"3328153004930002"</f>
        <v>3328153004930002</v>
      </c>
      <c r="C2600" s="7" t="s">
        <v>5101</v>
      </c>
      <c r="D2600" s="7" t="s">
        <v>10</v>
      </c>
      <c r="E2600" s="7" t="s">
        <v>11</v>
      </c>
      <c r="F2600" s="7" t="s">
        <v>18</v>
      </c>
      <c r="G2600" s="7" t="s">
        <v>268</v>
      </c>
      <c r="H2600" s="7" t="s">
        <v>371</v>
      </c>
      <c r="I2600" s="8" t="s">
        <v>497</v>
      </c>
    </row>
    <row r="2601" spans="1:12" hidden="1" x14ac:dyDescent="0.35">
      <c r="A2601" s="6">
        <v>1282949</v>
      </c>
      <c r="B2601" s="7" t="str">
        <f>"3328153101030003"</f>
        <v>3328153101030003</v>
      </c>
      <c r="C2601" s="7" t="s">
        <v>5102</v>
      </c>
      <c r="D2601" s="7" t="s">
        <v>10</v>
      </c>
      <c r="E2601" s="7" t="s">
        <v>11</v>
      </c>
      <c r="F2601" s="7" t="s">
        <v>91</v>
      </c>
      <c r="G2601" s="7" t="s">
        <v>159</v>
      </c>
      <c r="H2601" s="7" t="s">
        <v>3107</v>
      </c>
      <c r="I2601" s="8" t="s">
        <v>3107</v>
      </c>
    </row>
    <row r="2602" spans="1:12" hidden="1" x14ac:dyDescent="0.35">
      <c r="A2602" s="6">
        <v>1564624</v>
      </c>
      <c r="B2602" s="7" t="str">
        <f>"3328154107570206"</f>
        <v>3328154107570206</v>
      </c>
      <c r="C2602" s="7" t="s">
        <v>5103</v>
      </c>
      <c r="D2602" s="7" t="s">
        <v>10</v>
      </c>
      <c r="E2602" s="7" t="s">
        <v>11</v>
      </c>
      <c r="F2602" s="7" t="s">
        <v>91</v>
      </c>
      <c r="G2602" s="7" t="s">
        <v>92</v>
      </c>
      <c r="H2602" s="7" t="s">
        <v>128</v>
      </c>
      <c r="I2602" s="8" t="s">
        <v>5104</v>
      </c>
    </row>
    <row r="2603" spans="1:12" hidden="1" x14ac:dyDescent="0.35">
      <c r="A2603" s="6">
        <v>346035</v>
      </c>
      <c r="B2603" s="7" t="str">
        <f>"3328154107810058"</f>
        <v>3328154107810058</v>
      </c>
      <c r="C2603" s="7" t="s">
        <v>5107</v>
      </c>
      <c r="D2603" s="7" t="s">
        <v>10</v>
      </c>
      <c r="E2603" s="7" t="s">
        <v>11</v>
      </c>
      <c r="F2603" s="7" t="s">
        <v>18</v>
      </c>
      <c r="G2603" s="7" t="s">
        <v>268</v>
      </c>
      <c r="H2603" s="7" t="s">
        <v>269</v>
      </c>
      <c r="I2603" s="8" t="s">
        <v>3140</v>
      </c>
    </row>
    <row r="2604" spans="1:12" hidden="1" x14ac:dyDescent="0.35">
      <c r="A2604" s="6">
        <v>77839</v>
      </c>
      <c r="B2604" s="7" t="str">
        <f>"3328154109010004"</f>
        <v>3328154109010004</v>
      </c>
      <c r="C2604" s="7" t="s">
        <v>5108</v>
      </c>
      <c r="D2604" s="7" t="s">
        <v>10</v>
      </c>
      <c r="E2604" s="7" t="s">
        <v>11</v>
      </c>
      <c r="F2604" s="7" t="s">
        <v>2545</v>
      </c>
      <c r="G2604" s="7" t="s">
        <v>2546</v>
      </c>
      <c r="H2604" s="7" t="s">
        <v>5109</v>
      </c>
      <c r="I2604" s="8" t="s">
        <v>5110</v>
      </c>
    </row>
    <row r="2605" spans="1:12" hidden="1" x14ac:dyDescent="0.35">
      <c r="A2605" s="6">
        <v>2063779</v>
      </c>
      <c r="B2605" s="7" t="str">
        <f>"3328154205920007"</f>
        <v>3328154205920007</v>
      </c>
      <c r="C2605" s="7" t="s">
        <v>5111</v>
      </c>
      <c r="D2605" s="7" t="s">
        <v>10</v>
      </c>
      <c r="E2605" s="7" t="s">
        <v>11</v>
      </c>
      <c r="F2605" s="7" t="s">
        <v>67</v>
      </c>
      <c r="G2605" s="7" t="s">
        <v>375</v>
      </c>
      <c r="H2605" s="7" t="s">
        <v>5060</v>
      </c>
      <c r="I2605" s="8" t="s">
        <v>5061</v>
      </c>
    </row>
    <row r="2606" spans="1:12" hidden="1" x14ac:dyDescent="0.35">
      <c r="A2606" s="6">
        <v>26514</v>
      </c>
      <c r="B2606" s="7" t="str">
        <f>"3328154406900008"</f>
        <v>3328154406900008</v>
      </c>
      <c r="C2606" s="7" t="s">
        <v>5112</v>
      </c>
      <c r="D2606" s="7" t="s">
        <v>10</v>
      </c>
      <c r="E2606" s="7" t="s">
        <v>11</v>
      </c>
      <c r="F2606" s="7" t="s">
        <v>2889</v>
      </c>
      <c r="G2606" s="7" t="s">
        <v>2890</v>
      </c>
      <c r="H2606" s="7" t="s">
        <v>5028</v>
      </c>
      <c r="I2606" s="8" t="s">
        <v>5029</v>
      </c>
    </row>
    <row r="2607" spans="1:12" hidden="1" x14ac:dyDescent="0.35">
      <c r="A2607" s="6">
        <v>1415773</v>
      </c>
      <c r="B2607" s="7" t="str">
        <f>"3328154705000002"</f>
        <v>3328154705000002</v>
      </c>
      <c r="C2607" s="7" t="s">
        <v>5114</v>
      </c>
      <c r="D2607" s="7" t="s">
        <v>10</v>
      </c>
      <c r="E2607" s="7" t="s">
        <v>11</v>
      </c>
      <c r="F2607" s="7" t="s">
        <v>18</v>
      </c>
      <c r="G2607" s="7" t="s">
        <v>19</v>
      </c>
      <c r="H2607" s="7" t="s">
        <v>266</v>
      </c>
      <c r="I2607" s="8" t="s">
        <v>5072</v>
      </c>
      <c r="J2607" t="e">
        <f>VLOOKUP(B2607,baru!$B$2:$I$2271,4,FALSE)</f>
        <v>#N/A</v>
      </c>
      <c r="K2607" t="e">
        <f>VLOOKUP(B2607,baru!$B$2:$I$2271,5,FALSE)</f>
        <v>#N/A</v>
      </c>
      <c r="L2607" t="e">
        <f>VLOOKUP(B2607,baru!$B$2:$I$2271,6,FALSE)</f>
        <v>#N/A</v>
      </c>
    </row>
    <row r="2608" spans="1:12" hidden="1" x14ac:dyDescent="0.35">
      <c r="A2608" s="6">
        <v>1862383</v>
      </c>
      <c r="B2608" s="7" t="str">
        <f>"3328154705000002"</f>
        <v>3328154705000002</v>
      </c>
      <c r="C2608" s="7" t="s">
        <v>5114</v>
      </c>
      <c r="D2608" s="7" t="s">
        <v>10</v>
      </c>
      <c r="E2608" s="7" t="s">
        <v>57</v>
      </c>
      <c r="F2608" s="7" t="s">
        <v>18</v>
      </c>
      <c r="G2608" s="7" t="s">
        <v>733</v>
      </c>
      <c r="H2608" s="7" t="s">
        <v>733</v>
      </c>
      <c r="I2608" s="8" t="s">
        <v>734</v>
      </c>
    </row>
    <row r="2609" spans="1:12" hidden="1" x14ac:dyDescent="0.35">
      <c r="A2609" s="6">
        <v>1415775</v>
      </c>
      <c r="B2609" s="7" t="str">
        <f>"3328154705000003"</f>
        <v>3328154705000003</v>
      </c>
      <c r="C2609" s="7" t="s">
        <v>5115</v>
      </c>
      <c r="D2609" s="7" t="s">
        <v>10</v>
      </c>
      <c r="E2609" s="7" t="s">
        <v>11</v>
      </c>
      <c r="F2609" s="7" t="s">
        <v>18</v>
      </c>
      <c r="G2609" s="7" t="s">
        <v>19</v>
      </c>
      <c r="H2609" s="7" t="s">
        <v>266</v>
      </c>
      <c r="I2609" s="8" t="s">
        <v>5072</v>
      </c>
      <c r="J2609" t="e">
        <f>VLOOKUP(B2609,baru!$B$2:$I$2271,4,FALSE)</f>
        <v>#N/A</v>
      </c>
      <c r="K2609" t="e">
        <f>VLOOKUP(B2609,baru!$B$2:$I$2271,5,FALSE)</f>
        <v>#N/A</v>
      </c>
      <c r="L2609" t="e">
        <f>VLOOKUP(B2609,baru!$B$2:$I$2271,6,FALSE)</f>
        <v>#N/A</v>
      </c>
    </row>
    <row r="2610" spans="1:12" hidden="1" x14ac:dyDescent="0.35">
      <c r="A2610" s="6">
        <v>1862384</v>
      </c>
      <c r="B2610" s="7" t="str">
        <f>"3328154705000003"</f>
        <v>3328154705000003</v>
      </c>
      <c r="C2610" s="7" t="s">
        <v>5115</v>
      </c>
      <c r="D2610" s="7" t="s">
        <v>10</v>
      </c>
      <c r="E2610" s="7" t="s">
        <v>57</v>
      </c>
      <c r="F2610" s="7" t="s">
        <v>18</v>
      </c>
      <c r="G2610" s="7" t="s">
        <v>733</v>
      </c>
      <c r="H2610" s="7" t="s">
        <v>733</v>
      </c>
      <c r="I2610" s="8" t="s">
        <v>734</v>
      </c>
    </row>
    <row r="2611" spans="1:12" hidden="1" x14ac:dyDescent="0.35">
      <c r="A2611" s="6">
        <v>254464</v>
      </c>
      <c r="B2611" s="7" t="str">
        <f>"3328155005060012"</f>
        <v>3328155005060012</v>
      </c>
      <c r="C2611" s="7" t="s">
        <v>5116</v>
      </c>
      <c r="D2611" s="7" t="s">
        <v>10</v>
      </c>
      <c r="E2611" s="7" t="s">
        <v>11</v>
      </c>
      <c r="F2611" s="7" t="s">
        <v>18</v>
      </c>
      <c r="G2611" s="7" t="s">
        <v>268</v>
      </c>
      <c r="H2611" s="7" t="s">
        <v>371</v>
      </c>
      <c r="I2611" s="8" t="s">
        <v>497</v>
      </c>
    </row>
    <row r="2612" spans="1:12" x14ac:dyDescent="0.35">
      <c r="A2612" s="13">
        <v>1297605</v>
      </c>
      <c r="B2612" s="14" t="str">
        <f>"3328155005870009"</f>
        <v>3328155005870009</v>
      </c>
      <c r="C2612" s="14" t="s">
        <v>5119</v>
      </c>
      <c r="D2612" s="14" t="s">
        <v>189</v>
      </c>
      <c r="E2612" s="14" t="s">
        <v>11</v>
      </c>
      <c r="F2612" s="14" t="s">
        <v>18</v>
      </c>
      <c r="G2612" s="14" t="s">
        <v>19</v>
      </c>
      <c r="H2612" s="14" t="s">
        <v>266</v>
      </c>
      <c r="I2612" s="15" t="s">
        <v>5067</v>
      </c>
      <c r="J2612" s="16" t="str">
        <f>VLOOKUP(B2612,baru!$B$2:$I$2271,4,FALSE)</f>
        <v>Reguler</v>
      </c>
      <c r="K2612" s="16" t="str">
        <f>VLOOKUP(B2612,baru!$B$2:$I$2271,5,FALSE)</f>
        <v>JAWA TENGAH</v>
      </c>
      <c r="L2612" s="16" t="str">
        <f>VLOOKUP(B2612,baru!$B$2:$I$2271,6,FALSE)</f>
        <v>PATI</v>
      </c>
    </row>
    <row r="2613" spans="1:12" hidden="1" x14ac:dyDescent="0.35">
      <c r="A2613" s="6">
        <v>585510</v>
      </c>
      <c r="B2613" s="7" t="str">
        <f>"3328155202820005"</f>
        <v>3328155202820005</v>
      </c>
      <c r="C2613" s="7" t="s">
        <v>5120</v>
      </c>
      <c r="D2613" s="7" t="s">
        <v>10</v>
      </c>
      <c r="E2613" s="7" t="s">
        <v>11</v>
      </c>
      <c r="F2613" s="7" t="s">
        <v>379</v>
      </c>
      <c r="G2613" s="7" t="s">
        <v>1206</v>
      </c>
      <c r="H2613" s="7" t="s">
        <v>5121</v>
      </c>
      <c r="I2613" s="8" t="s">
        <v>5122</v>
      </c>
    </row>
    <row r="2614" spans="1:12" hidden="1" x14ac:dyDescent="0.35">
      <c r="A2614" s="6">
        <v>410338</v>
      </c>
      <c r="B2614" s="7" t="str">
        <f>"3328155406930002"</f>
        <v>3328155406930002</v>
      </c>
      <c r="C2614" s="7" t="s">
        <v>5124</v>
      </c>
      <c r="D2614" s="7" t="s">
        <v>10</v>
      </c>
      <c r="E2614" s="7" t="s">
        <v>11</v>
      </c>
      <c r="F2614" s="7" t="s">
        <v>18</v>
      </c>
      <c r="G2614" s="7" t="s">
        <v>268</v>
      </c>
      <c r="H2614" s="7" t="s">
        <v>448</v>
      </c>
      <c r="I2614" s="8" t="s">
        <v>448</v>
      </c>
    </row>
    <row r="2615" spans="1:12" hidden="1" x14ac:dyDescent="0.35">
      <c r="A2615" s="6">
        <v>978714</v>
      </c>
      <c r="B2615" s="7" t="str">
        <f>"3328155504940004"</f>
        <v>3328155504940004</v>
      </c>
      <c r="C2615" s="7" t="s">
        <v>5125</v>
      </c>
      <c r="D2615" s="7" t="s">
        <v>10</v>
      </c>
      <c r="E2615" s="7" t="s">
        <v>11</v>
      </c>
      <c r="F2615" s="7" t="s">
        <v>18</v>
      </c>
      <c r="G2615" s="7" t="s">
        <v>264</v>
      </c>
      <c r="H2615" s="7" t="s">
        <v>773</v>
      </c>
      <c r="I2615" s="8" t="s">
        <v>4079</v>
      </c>
    </row>
    <row r="2616" spans="1:12" hidden="1" x14ac:dyDescent="0.35">
      <c r="A2616" s="6">
        <v>246775</v>
      </c>
      <c r="B2616" s="7" t="str">
        <f>"3328155701060002"</f>
        <v>3328155701060002</v>
      </c>
      <c r="C2616" s="7" t="s">
        <v>5126</v>
      </c>
      <c r="D2616" s="7" t="s">
        <v>10</v>
      </c>
      <c r="E2616" s="7" t="s">
        <v>11</v>
      </c>
      <c r="F2616" s="7" t="s">
        <v>18</v>
      </c>
      <c r="G2616" s="7" t="s">
        <v>268</v>
      </c>
      <c r="H2616" s="7" t="s">
        <v>371</v>
      </c>
      <c r="I2616" s="8" t="s">
        <v>497</v>
      </c>
    </row>
    <row r="2617" spans="1:12" hidden="1" x14ac:dyDescent="0.35">
      <c r="A2617" s="6">
        <v>106160</v>
      </c>
      <c r="B2617" s="7" t="str">
        <f>"3328155807940004"</f>
        <v>3328155807940004</v>
      </c>
      <c r="C2617" s="7" t="s">
        <v>5127</v>
      </c>
      <c r="D2617" s="7" t="s">
        <v>10</v>
      </c>
      <c r="E2617" s="7" t="s">
        <v>11</v>
      </c>
      <c r="F2617" s="7" t="s">
        <v>5128</v>
      </c>
      <c r="G2617" s="7" t="s">
        <v>5129</v>
      </c>
      <c r="H2617" s="7" t="s">
        <v>5129</v>
      </c>
      <c r="I2617" s="8" t="s">
        <v>5130</v>
      </c>
    </row>
    <row r="2618" spans="1:12" hidden="1" x14ac:dyDescent="0.35">
      <c r="A2618" s="6">
        <v>555889</v>
      </c>
      <c r="B2618" s="7" t="str">
        <f>"3328155907850003"</f>
        <v>3328155907850003</v>
      </c>
      <c r="C2618" s="7" t="s">
        <v>5131</v>
      </c>
      <c r="D2618" s="7" t="s">
        <v>10</v>
      </c>
      <c r="E2618" s="7" t="s">
        <v>11</v>
      </c>
      <c r="F2618" s="7" t="s">
        <v>516</v>
      </c>
      <c r="G2618" s="7" t="s">
        <v>4321</v>
      </c>
      <c r="H2618" s="7" t="s">
        <v>4322</v>
      </c>
      <c r="I2618" s="8" t="s">
        <v>5132</v>
      </c>
    </row>
    <row r="2619" spans="1:12" hidden="1" x14ac:dyDescent="0.35">
      <c r="A2619" s="6">
        <v>399935</v>
      </c>
      <c r="B2619" s="7" t="str">
        <f>"3328156112900003"</f>
        <v>3328156112900003</v>
      </c>
      <c r="C2619" s="7" t="s">
        <v>5134</v>
      </c>
      <c r="D2619" s="7" t="s">
        <v>10</v>
      </c>
      <c r="E2619" s="7" t="s">
        <v>11</v>
      </c>
      <c r="F2619" s="7" t="s">
        <v>18</v>
      </c>
      <c r="G2619" s="7" t="s">
        <v>268</v>
      </c>
      <c r="H2619" s="7" t="s">
        <v>448</v>
      </c>
      <c r="I2619" s="8" t="s">
        <v>448</v>
      </c>
    </row>
    <row r="2620" spans="1:12" hidden="1" x14ac:dyDescent="0.35">
      <c r="A2620" s="6">
        <v>303234</v>
      </c>
      <c r="B2620" s="7" t="str">
        <f>"3328156602680003"</f>
        <v>3328156602680003</v>
      </c>
      <c r="C2620" s="7" t="s">
        <v>5135</v>
      </c>
      <c r="D2620" s="7" t="s">
        <v>10</v>
      </c>
      <c r="E2620" s="7" t="s">
        <v>11</v>
      </c>
      <c r="F2620" s="7" t="s">
        <v>18</v>
      </c>
      <c r="G2620" s="7" t="s">
        <v>268</v>
      </c>
      <c r="H2620" s="7" t="s">
        <v>277</v>
      </c>
      <c r="I2620" s="8" t="s">
        <v>2762</v>
      </c>
    </row>
    <row r="2621" spans="1:12" hidden="1" x14ac:dyDescent="0.35">
      <c r="A2621" s="13">
        <v>1642239</v>
      </c>
      <c r="B2621" s="14" t="str">
        <f>"3328156610830003"</f>
        <v>3328156610830003</v>
      </c>
      <c r="C2621" s="14" t="s">
        <v>5137</v>
      </c>
      <c r="D2621" s="14" t="s">
        <v>10</v>
      </c>
      <c r="E2621" s="14" t="s">
        <v>11</v>
      </c>
      <c r="F2621" s="14" t="s">
        <v>18</v>
      </c>
      <c r="G2621" s="14" t="s">
        <v>19</v>
      </c>
      <c r="H2621" s="14" t="s">
        <v>266</v>
      </c>
      <c r="I2621" s="15" t="s">
        <v>4976</v>
      </c>
      <c r="J2621" s="16" t="str">
        <f>VLOOKUP(B2621,baru!$B$2:$I$2271,4,FALSE)</f>
        <v>Reguler</v>
      </c>
      <c r="K2621" s="16" t="str">
        <f>VLOOKUP(B2621,baru!$B$2:$I$2271,5,FALSE)</f>
        <v>DAERAH ISTIMEWA YOGYAKARTA</v>
      </c>
      <c r="L2621" s="16" t="str">
        <f>VLOOKUP(B2621,baru!$B$2:$I$2271,6,FALSE)</f>
        <v>BANTUL</v>
      </c>
    </row>
    <row r="2622" spans="1:12" hidden="1" x14ac:dyDescent="0.35">
      <c r="A2622" s="6">
        <v>2821093</v>
      </c>
      <c r="B2622" s="7" t="str">
        <f>"3328157009930002"</f>
        <v>3328157009930002</v>
      </c>
      <c r="C2622" s="7" t="s">
        <v>5141</v>
      </c>
      <c r="D2622" s="7" t="s">
        <v>10</v>
      </c>
      <c r="E2622" s="7" t="s">
        <v>11</v>
      </c>
      <c r="F2622" s="7" t="s">
        <v>67</v>
      </c>
      <c r="G2622" s="7" t="s">
        <v>512</v>
      </c>
      <c r="H2622" s="7" t="s">
        <v>5142</v>
      </c>
      <c r="I2622" s="8" t="s">
        <v>5143</v>
      </c>
    </row>
    <row r="2623" spans="1:12" hidden="1" x14ac:dyDescent="0.35">
      <c r="A2623" s="6">
        <v>265630</v>
      </c>
      <c r="B2623" s="7" t="str">
        <f>"3328157010630004"</f>
        <v>3328157010630004</v>
      </c>
      <c r="C2623" s="7" t="s">
        <v>5144</v>
      </c>
      <c r="D2623" s="7" t="s">
        <v>10</v>
      </c>
      <c r="E2623" s="7" t="s">
        <v>11</v>
      </c>
      <c r="F2623" s="7" t="s">
        <v>18</v>
      </c>
      <c r="G2623" s="7" t="s">
        <v>268</v>
      </c>
      <c r="H2623" s="7" t="s">
        <v>371</v>
      </c>
      <c r="I2623" s="8" t="s">
        <v>497</v>
      </c>
    </row>
    <row r="2624" spans="1:12" hidden="1" x14ac:dyDescent="0.35">
      <c r="A2624" s="6">
        <v>1216001</v>
      </c>
      <c r="B2624" s="7" t="str">
        <f>"3329070609970003"</f>
        <v>3329070609970003</v>
      </c>
      <c r="C2624" s="7" t="s">
        <v>5145</v>
      </c>
      <c r="D2624" s="7" t="s">
        <v>10</v>
      </c>
      <c r="E2624" s="7" t="s">
        <v>11</v>
      </c>
      <c r="F2624" s="7" t="s">
        <v>18</v>
      </c>
      <c r="G2624" s="7" t="s">
        <v>264</v>
      </c>
      <c r="H2624" s="7" t="s">
        <v>265</v>
      </c>
      <c r="I2624" s="8" t="s">
        <v>863</v>
      </c>
    </row>
    <row r="2625" spans="1:12" x14ac:dyDescent="0.35">
      <c r="A2625" s="6">
        <v>1227917</v>
      </c>
      <c r="B2625" s="7" t="str">
        <f>"3329071109930002"</f>
        <v>3329071109930002</v>
      </c>
      <c r="C2625" s="7" t="s">
        <v>5147</v>
      </c>
      <c r="D2625" s="7" t="s">
        <v>189</v>
      </c>
      <c r="E2625" s="7" t="s">
        <v>11</v>
      </c>
      <c r="F2625" s="7" t="s">
        <v>18</v>
      </c>
      <c r="G2625" s="7" t="s">
        <v>264</v>
      </c>
      <c r="H2625" s="7" t="s">
        <v>265</v>
      </c>
      <c r="I2625" s="8" t="s">
        <v>3935</v>
      </c>
    </row>
    <row r="2626" spans="1:12" hidden="1" x14ac:dyDescent="0.35">
      <c r="A2626" s="6">
        <v>622342</v>
      </c>
      <c r="B2626" s="7" t="str">
        <f>"3329090202880004"</f>
        <v>3329090202880004</v>
      </c>
      <c r="C2626" s="7" t="s">
        <v>5148</v>
      </c>
      <c r="D2626" s="7" t="s">
        <v>10</v>
      </c>
      <c r="E2626" s="7" t="s">
        <v>11</v>
      </c>
      <c r="F2626" s="7" t="s">
        <v>18</v>
      </c>
      <c r="G2626" s="7" t="s">
        <v>264</v>
      </c>
      <c r="H2626" s="7" t="s">
        <v>264</v>
      </c>
      <c r="I2626" s="8" t="s">
        <v>5149</v>
      </c>
    </row>
    <row r="2627" spans="1:12" hidden="1" x14ac:dyDescent="0.35">
      <c r="A2627" s="6">
        <v>958756</v>
      </c>
      <c r="B2627" s="7" t="str">
        <f>"3329091305660006"</f>
        <v>3329091305660006</v>
      </c>
      <c r="C2627" s="7" t="s">
        <v>5150</v>
      </c>
      <c r="D2627" s="7" t="s">
        <v>10</v>
      </c>
      <c r="E2627" s="7" t="s">
        <v>11</v>
      </c>
      <c r="F2627" s="7" t="s">
        <v>18</v>
      </c>
      <c r="G2627" s="7" t="s">
        <v>264</v>
      </c>
      <c r="H2627" s="7" t="s">
        <v>264</v>
      </c>
      <c r="I2627" s="8" t="s">
        <v>2074</v>
      </c>
    </row>
    <row r="2628" spans="1:12" hidden="1" x14ac:dyDescent="0.35">
      <c r="A2628" s="6">
        <v>1166951</v>
      </c>
      <c r="B2628" s="7" t="str">
        <f>"3329092304990003"</f>
        <v>3329092304990003</v>
      </c>
      <c r="C2628" s="7" t="s">
        <v>5151</v>
      </c>
      <c r="D2628" s="7" t="s">
        <v>10</v>
      </c>
      <c r="E2628" s="7" t="s">
        <v>11</v>
      </c>
      <c r="F2628" s="7" t="s">
        <v>18</v>
      </c>
      <c r="G2628" s="7" t="s">
        <v>264</v>
      </c>
      <c r="H2628" s="7" t="s">
        <v>264</v>
      </c>
      <c r="I2628" s="8" t="s">
        <v>2591</v>
      </c>
    </row>
    <row r="2629" spans="1:12" hidden="1" x14ac:dyDescent="0.35">
      <c r="A2629" s="6">
        <v>978713</v>
      </c>
      <c r="B2629" s="7" t="str">
        <f>"3329130302830001"</f>
        <v>3329130302830001</v>
      </c>
      <c r="C2629" s="7" t="s">
        <v>5152</v>
      </c>
      <c r="D2629" s="7" t="s">
        <v>10</v>
      </c>
      <c r="E2629" s="7" t="s">
        <v>11</v>
      </c>
      <c r="F2629" s="7" t="s">
        <v>18</v>
      </c>
      <c r="G2629" s="7" t="s">
        <v>264</v>
      </c>
      <c r="H2629" s="7" t="s">
        <v>773</v>
      </c>
      <c r="I2629" s="8" t="s">
        <v>4079</v>
      </c>
    </row>
    <row r="2630" spans="1:12" hidden="1" x14ac:dyDescent="0.35">
      <c r="A2630" s="6">
        <v>88173</v>
      </c>
      <c r="B2630" s="7" t="str">
        <f>"3329145402910005"</f>
        <v>3329145402910005</v>
      </c>
      <c r="C2630" s="7" t="s">
        <v>1963</v>
      </c>
      <c r="D2630" s="7" t="s">
        <v>10</v>
      </c>
      <c r="E2630" s="7" t="s">
        <v>11</v>
      </c>
      <c r="F2630" s="7" t="s">
        <v>18</v>
      </c>
      <c r="G2630" s="7" t="s">
        <v>264</v>
      </c>
      <c r="H2630" s="7" t="s">
        <v>477</v>
      </c>
      <c r="I2630" s="8" t="s">
        <v>1639</v>
      </c>
    </row>
    <row r="2631" spans="1:12" hidden="1" x14ac:dyDescent="0.35">
      <c r="A2631" s="6">
        <v>662844</v>
      </c>
      <c r="B2631" s="7" t="str">
        <f>"3329162612810005"</f>
        <v>3329162612810005</v>
      </c>
      <c r="C2631" s="7" t="s">
        <v>5153</v>
      </c>
      <c r="D2631" s="7" t="s">
        <v>10</v>
      </c>
      <c r="E2631" s="7" t="s">
        <v>11</v>
      </c>
      <c r="F2631" s="7" t="s">
        <v>18</v>
      </c>
      <c r="G2631" s="7" t="s">
        <v>264</v>
      </c>
      <c r="H2631" s="7" t="s">
        <v>344</v>
      </c>
      <c r="I2631" s="8" t="s">
        <v>1944</v>
      </c>
    </row>
    <row r="2632" spans="1:12" hidden="1" x14ac:dyDescent="0.35">
      <c r="A2632" s="6">
        <v>2520641</v>
      </c>
      <c r="B2632" s="7" t="str">
        <f>"3374061906660003"</f>
        <v>3374061906660003</v>
      </c>
      <c r="C2632" s="7" t="s">
        <v>5154</v>
      </c>
      <c r="D2632" s="7" t="s">
        <v>10</v>
      </c>
      <c r="E2632" s="7" t="s">
        <v>11</v>
      </c>
      <c r="F2632" s="7" t="s">
        <v>18</v>
      </c>
      <c r="G2632" s="7" t="s">
        <v>1438</v>
      </c>
      <c r="H2632" s="7" t="s">
        <v>2738</v>
      </c>
      <c r="I2632" s="8" t="s">
        <v>2745</v>
      </c>
    </row>
    <row r="2633" spans="1:12" hidden="1" x14ac:dyDescent="0.35">
      <c r="A2633" s="6">
        <v>287183</v>
      </c>
      <c r="B2633" s="7" t="str">
        <f>"3376011008950001"</f>
        <v>3376011008950001</v>
      </c>
      <c r="C2633" s="7" t="s">
        <v>5155</v>
      </c>
      <c r="D2633" s="7" t="s">
        <v>10</v>
      </c>
      <c r="E2633" s="7" t="s">
        <v>11</v>
      </c>
      <c r="F2633" s="7" t="s">
        <v>18</v>
      </c>
      <c r="G2633" s="7" t="s">
        <v>268</v>
      </c>
      <c r="H2633" s="7" t="s">
        <v>277</v>
      </c>
      <c r="I2633" s="8" t="s">
        <v>2665</v>
      </c>
    </row>
    <row r="2634" spans="1:12" hidden="1" x14ac:dyDescent="0.35">
      <c r="A2634" s="6">
        <v>284020</v>
      </c>
      <c r="B2634" s="7" t="str">
        <f>"3376011511710001"</f>
        <v>3376011511710001</v>
      </c>
      <c r="C2634" s="7" t="s">
        <v>5156</v>
      </c>
      <c r="D2634" s="7" t="s">
        <v>10</v>
      </c>
      <c r="E2634" s="7" t="s">
        <v>11</v>
      </c>
      <c r="F2634" s="7" t="s">
        <v>18</v>
      </c>
      <c r="G2634" s="7" t="s">
        <v>268</v>
      </c>
      <c r="H2634" s="7" t="s">
        <v>277</v>
      </c>
      <c r="I2634" s="8" t="s">
        <v>884</v>
      </c>
    </row>
    <row r="2635" spans="1:12" hidden="1" x14ac:dyDescent="0.35">
      <c r="A2635" s="6">
        <v>341329</v>
      </c>
      <c r="B2635" s="7" t="str">
        <f>"3376012512710003"</f>
        <v>3376012512710003</v>
      </c>
      <c r="C2635" s="7" t="s">
        <v>5158</v>
      </c>
      <c r="D2635" s="7" t="s">
        <v>10</v>
      </c>
      <c r="E2635" s="7" t="s">
        <v>11</v>
      </c>
      <c r="F2635" s="7" t="s">
        <v>18</v>
      </c>
      <c r="G2635" s="7" t="s">
        <v>268</v>
      </c>
      <c r="H2635" s="7" t="s">
        <v>277</v>
      </c>
      <c r="I2635" s="8" t="s">
        <v>278</v>
      </c>
    </row>
    <row r="2636" spans="1:12" hidden="1" x14ac:dyDescent="0.35">
      <c r="A2636" s="6">
        <v>341331</v>
      </c>
      <c r="B2636" s="7" t="str">
        <f>"3376012803040004"</f>
        <v>3376012803040004</v>
      </c>
      <c r="C2636" s="7" t="s">
        <v>5160</v>
      </c>
      <c r="D2636" s="7" t="s">
        <v>10</v>
      </c>
      <c r="E2636" s="7" t="s">
        <v>11</v>
      </c>
      <c r="F2636" s="7" t="s">
        <v>18</v>
      </c>
      <c r="G2636" s="7" t="s">
        <v>268</v>
      </c>
      <c r="H2636" s="7" t="s">
        <v>277</v>
      </c>
      <c r="I2636" s="8" t="s">
        <v>278</v>
      </c>
    </row>
    <row r="2637" spans="1:12" hidden="1" x14ac:dyDescent="0.35">
      <c r="A2637" s="6">
        <v>295649</v>
      </c>
      <c r="B2637" s="7" t="str">
        <f>"3376016102570001"</f>
        <v>3376016102570001</v>
      </c>
      <c r="C2637" s="7" t="s">
        <v>5162</v>
      </c>
      <c r="D2637" s="7" t="s">
        <v>10</v>
      </c>
      <c r="E2637" s="7" t="s">
        <v>11</v>
      </c>
      <c r="F2637" s="7" t="s">
        <v>18</v>
      </c>
      <c r="G2637" s="7" t="s">
        <v>268</v>
      </c>
      <c r="H2637" s="7" t="s">
        <v>277</v>
      </c>
      <c r="I2637" s="8" t="s">
        <v>2762</v>
      </c>
    </row>
    <row r="2638" spans="1:12" hidden="1" x14ac:dyDescent="0.35">
      <c r="A2638" s="6">
        <v>1646368</v>
      </c>
      <c r="B2638" s="7" t="str">
        <f>"3376020105990001"</f>
        <v>3376020105990001</v>
      </c>
      <c r="C2638" s="7" t="s">
        <v>5163</v>
      </c>
      <c r="D2638" s="7" t="s">
        <v>10</v>
      </c>
      <c r="E2638" s="7" t="s">
        <v>11</v>
      </c>
      <c r="F2638" s="7" t="s">
        <v>18</v>
      </c>
      <c r="G2638" s="7" t="s">
        <v>19</v>
      </c>
      <c r="H2638" s="7" t="s">
        <v>266</v>
      </c>
      <c r="I2638" s="8" t="s">
        <v>4976</v>
      </c>
      <c r="J2638" t="e">
        <f>VLOOKUP(B2638,baru!$B$2:$I$2271,4,FALSE)</f>
        <v>#N/A</v>
      </c>
      <c r="K2638" t="e">
        <f>VLOOKUP(B2638,baru!$B$2:$I$2271,5,FALSE)</f>
        <v>#N/A</v>
      </c>
      <c r="L2638" t="e">
        <f>VLOOKUP(B2638,baru!$B$2:$I$2271,6,FALSE)</f>
        <v>#N/A</v>
      </c>
    </row>
    <row r="2639" spans="1:12" hidden="1" x14ac:dyDescent="0.35">
      <c r="A2639" s="6">
        <v>423784</v>
      </c>
      <c r="B2639" s="7" t="str">
        <f>"3376020105990001"</f>
        <v>3376020105990001</v>
      </c>
      <c r="C2639" s="7" t="s">
        <v>5164</v>
      </c>
      <c r="D2639" s="7" t="s">
        <v>10</v>
      </c>
      <c r="E2639" s="7" t="s">
        <v>57</v>
      </c>
      <c r="F2639" s="7" t="s">
        <v>18</v>
      </c>
      <c r="G2639" s="7" t="s">
        <v>268</v>
      </c>
      <c r="H2639" s="7" t="s">
        <v>277</v>
      </c>
      <c r="I2639" s="8" t="s">
        <v>278</v>
      </c>
    </row>
    <row r="2640" spans="1:12" hidden="1" x14ac:dyDescent="0.35">
      <c r="A2640" s="6">
        <v>255396</v>
      </c>
      <c r="B2640" s="7" t="str">
        <f>"3376020211590003"</f>
        <v>3376020211590003</v>
      </c>
      <c r="C2640" s="7" t="s">
        <v>5165</v>
      </c>
      <c r="D2640" s="7" t="s">
        <v>10</v>
      </c>
      <c r="E2640" s="7" t="s">
        <v>11</v>
      </c>
      <c r="F2640" s="7" t="s">
        <v>18</v>
      </c>
      <c r="G2640" s="7" t="s">
        <v>268</v>
      </c>
      <c r="H2640" s="7" t="s">
        <v>371</v>
      </c>
      <c r="I2640" s="8" t="s">
        <v>497</v>
      </c>
    </row>
    <row r="2641" spans="1:9" hidden="1" x14ac:dyDescent="0.35">
      <c r="A2641" s="6">
        <v>253773</v>
      </c>
      <c r="B2641" s="7" t="str">
        <f>"3376020611960004"</f>
        <v>3376020611960004</v>
      </c>
      <c r="C2641" s="7" t="s">
        <v>5166</v>
      </c>
      <c r="D2641" s="7" t="s">
        <v>10</v>
      </c>
      <c r="E2641" s="7" t="s">
        <v>11</v>
      </c>
      <c r="F2641" s="7" t="s">
        <v>18</v>
      </c>
      <c r="G2641" s="7" t="s">
        <v>268</v>
      </c>
      <c r="H2641" s="7" t="s">
        <v>371</v>
      </c>
      <c r="I2641" s="8" t="s">
        <v>497</v>
      </c>
    </row>
    <row r="2642" spans="1:9" hidden="1" x14ac:dyDescent="0.35">
      <c r="A2642" s="6">
        <v>248228</v>
      </c>
      <c r="B2642" s="7" t="str">
        <f>"3376021606810004"</f>
        <v>3376021606810004</v>
      </c>
      <c r="C2642" s="7" t="s">
        <v>5167</v>
      </c>
      <c r="D2642" s="7" t="s">
        <v>10</v>
      </c>
      <c r="E2642" s="7" t="s">
        <v>11</v>
      </c>
      <c r="F2642" s="7" t="s">
        <v>18</v>
      </c>
      <c r="G2642" s="7" t="s">
        <v>268</v>
      </c>
      <c r="H2642" s="7" t="s">
        <v>371</v>
      </c>
      <c r="I2642" s="8" t="s">
        <v>497</v>
      </c>
    </row>
    <row r="2643" spans="1:9" hidden="1" x14ac:dyDescent="0.35">
      <c r="A2643" s="6">
        <v>267195</v>
      </c>
      <c r="B2643" s="7" t="str">
        <f>"3376021705850001"</f>
        <v>3376021705850001</v>
      </c>
      <c r="C2643" s="7" t="s">
        <v>5169</v>
      </c>
      <c r="D2643" s="7" t="s">
        <v>10</v>
      </c>
      <c r="E2643" s="7" t="s">
        <v>11</v>
      </c>
      <c r="F2643" s="7" t="s">
        <v>18</v>
      </c>
      <c r="G2643" s="7" t="s">
        <v>268</v>
      </c>
      <c r="H2643" s="7" t="s">
        <v>371</v>
      </c>
      <c r="I2643" s="8" t="s">
        <v>497</v>
      </c>
    </row>
    <row r="2644" spans="1:9" hidden="1" x14ac:dyDescent="0.35">
      <c r="A2644" s="6">
        <v>217240</v>
      </c>
      <c r="B2644" s="7" t="str">
        <f>"3376022104990002"</f>
        <v>3376022104990002</v>
      </c>
      <c r="C2644" s="7" t="s">
        <v>5170</v>
      </c>
      <c r="D2644" s="7" t="s">
        <v>10</v>
      </c>
      <c r="E2644" s="7" t="s">
        <v>11</v>
      </c>
      <c r="F2644" s="7" t="s">
        <v>18</v>
      </c>
      <c r="G2644" s="7" t="s">
        <v>268</v>
      </c>
      <c r="H2644" s="7" t="s">
        <v>371</v>
      </c>
      <c r="I2644" s="8" t="s">
        <v>2772</v>
      </c>
    </row>
    <row r="2645" spans="1:9" hidden="1" x14ac:dyDescent="0.35">
      <c r="A2645" s="6">
        <v>368016</v>
      </c>
      <c r="B2645" s="7" t="str">
        <f>"3376022801050001"</f>
        <v>3376022801050001</v>
      </c>
      <c r="C2645" s="7" t="s">
        <v>5171</v>
      </c>
      <c r="D2645" s="7" t="s">
        <v>10</v>
      </c>
      <c r="E2645" s="7" t="s">
        <v>11</v>
      </c>
      <c r="F2645" s="7" t="s">
        <v>18</v>
      </c>
      <c r="G2645" s="7" t="s">
        <v>268</v>
      </c>
      <c r="H2645" s="7" t="s">
        <v>269</v>
      </c>
      <c r="I2645" s="8" t="s">
        <v>996</v>
      </c>
    </row>
    <row r="2646" spans="1:9" hidden="1" x14ac:dyDescent="0.35">
      <c r="A2646" s="6">
        <v>1118969</v>
      </c>
      <c r="B2646" s="7" t="str">
        <f>"3376024303580001"</f>
        <v>3376024303580001</v>
      </c>
      <c r="C2646" s="7" t="s">
        <v>5172</v>
      </c>
      <c r="D2646" s="7" t="s">
        <v>10</v>
      </c>
      <c r="E2646" s="7" t="s">
        <v>11</v>
      </c>
      <c r="F2646" s="7" t="s">
        <v>667</v>
      </c>
      <c r="G2646" s="7" t="s">
        <v>2153</v>
      </c>
      <c r="H2646" s="7" t="s">
        <v>5173</v>
      </c>
      <c r="I2646" s="8" t="s">
        <v>5174</v>
      </c>
    </row>
    <row r="2647" spans="1:9" hidden="1" x14ac:dyDescent="0.35">
      <c r="A2647" s="6">
        <v>248227</v>
      </c>
      <c r="B2647" s="7" t="str">
        <f>"3376026408040001"</f>
        <v>3376026408040001</v>
      </c>
      <c r="C2647" s="7" t="s">
        <v>5175</v>
      </c>
      <c r="D2647" s="7" t="s">
        <v>10</v>
      </c>
      <c r="E2647" s="7" t="s">
        <v>11</v>
      </c>
      <c r="F2647" s="7" t="s">
        <v>18</v>
      </c>
      <c r="G2647" s="7" t="s">
        <v>268</v>
      </c>
      <c r="H2647" s="7" t="s">
        <v>371</v>
      </c>
      <c r="I2647" s="8" t="s">
        <v>497</v>
      </c>
    </row>
    <row r="2648" spans="1:9" hidden="1" x14ac:dyDescent="0.35">
      <c r="A2648" s="6">
        <v>205761</v>
      </c>
      <c r="B2648" s="7" t="str">
        <f>"3376026410810002"</f>
        <v>3376026410810002</v>
      </c>
      <c r="C2648" s="7" t="s">
        <v>5177</v>
      </c>
      <c r="D2648" s="7" t="s">
        <v>10</v>
      </c>
      <c r="E2648" s="7" t="s">
        <v>11</v>
      </c>
      <c r="F2648" s="7" t="s">
        <v>18</v>
      </c>
      <c r="G2648" s="7" t="s">
        <v>268</v>
      </c>
      <c r="H2648" s="7" t="s">
        <v>371</v>
      </c>
      <c r="I2648" s="8" t="s">
        <v>2769</v>
      </c>
    </row>
    <row r="2649" spans="1:9" hidden="1" x14ac:dyDescent="0.35">
      <c r="A2649" s="6">
        <v>261373</v>
      </c>
      <c r="B2649" s="7" t="str">
        <f>"3376026509940003"</f>
        <v>3376026509940003</v>
      </c>
      <c r="C2649" s="7" t="s">
        <v>5178</v>
      </c>
      <c r="D2649" s="7" t="s">
        <v>10</v>
      </c>
      <c r="E2649" s="7" t="s">
        <v>11</v>
      </c>
      <c r="F2649" s="7" t="s">
        <v>18</v>
      </c>
      <c r="G2649" s="7" t="s">
        <v>268</v>
      </c>
      <c r="H2649" s="7" t="s">
        <v>371</v>
      </c>
      <c r="I2649" s="8" t="s">
        <v>497</v>
      </c>
    </row>
    <row r="2650" spans="1:9" hidden="1" x14ac:dyDescent="0.35">
      <c r="A2650" s="6">
        <v>255397</v>
      </c>
      <c r="B2650" s="7" t="str">
        <f>"3376026706660002"</f>
        <v>3376026706660002</v>
      </c>
      <c r="C2650" s="7" t="s">
        <v>391</v>
      </c>
      <c r="D2650" s="7" t="s">
        <v>10</v>
      </c>
      <c r="E2650" s="7" t="s">
        <v>11</v>
      </c>
      <c r="F2650" s="7" t="s">
        <v>18</v>
      </c>
      <c r="G2650" s="7" t="s">
        <v>268</v>
      </c>
      <c r="H2650" s="7" t="s">
        <v>371</v>
      </c>
      <c r="I2650" s="8" t="s">
        <v>497</v>
      </c>
    </row>
    <row r="2651" spans="1:9" hidden="1" x14ac:dyDescent="0.35">
      <c r="A2651" s="6">
        <v>368017</v>
      </c>
      <c r="B2651" s="7" t="str">
        <f>"3376026801050003"</f>
        <v>3376026801050003</v>
      </c>
      <c r="C2651" s="7" t="s">
        <v>5179</v>
      </c>
      <c r="D2651" s="7" t="s">
        <v>10</v>
      </c>
      <c r="E2651" s="7" t="s">
        <v>11</v>
      </c>
      <c r="F2651" s="7" t="s">
        <v>18</v>
      </c>
      <c r="G2651" s="7" t="s">
        <v>268</v>
      </c>
      <c r="H2651" s="7" t="s">
        <v>269</v>
      </c>
      <c r="I2651" s="8" t="s">
        <v>996</v>
      </c>
    </row>
    <row r="2652" spans="1:9" hidden="1" x14ac:dyDescent="0.35">
      <c r="A2652" s="6">
        <v>207705</v>
      </c>
      <c r="B2652" s="7" t="str">
        <f>"3376027006630002"</f>
        <v>3376027006630002</v>
      </c>
      <c r="C2652" s="7" t="s">
        <v>5180</v>
      </c>
      <c r="D2652" s="7" t="s">
        <v>10</v>
      </c>
      <c r="E2652" s="7" t="s">
        <v>11</v>
      </c>
      <c r="F2652" s="7" t="s">
        <v>18</v>
      </c>
      <c r="G2652" s="7" t="s">
        <v>268</v>
      </c>
      <c r="H2652" s="7" t="s">
        <v>371</v>
      </c>
      <c r="I2652" s="8" t="s">
        <v>2769</v>
      </c>
    </row>
    <row r="2653" spans="1:9" hidden="1" x14ac:dyDescent="0.35">
      <c r="A2653" s="6">
        <v>362164</v>
      </c>
      <c r="B2653" s="7" t="str">
        <f>"3376030704060002"</f>
        <v>3376030704060002</v>
      </c>
      <c r="C2653" s="7" t="s">
        <v>5182</v>
      </c>
      <c r="D2653" s="7" t="s">
        <v>10</v>
      </c>
      <c r="E2653" s="7" t="s">
        <v>11</v>
      </c>
      <c r="F2653" s="7" t="s">
        <v>18</v>
      </c>
      <c r="G2653" s="7" t="s">
        <v>268</v>
      </c>
      <c r="H2653" s="7" t="s">
        <v>269</v>
      </c>
      <c r="I2653" s="8" t="s">
        <v>996</v>
      </c>
    </row>
    <row r="2654" spans="1:9" hidden="1" x14ac:dyDescent="0.35">
      <c r="A2654" s="6">
        <v>348927</v>
      </c>
      <c r="B2654" s="7" t="str">
        <f>"3376031412500001"</f>
        <v>3376031412500001</v>
      </c>
      <c r="C2654" s="7" t="s">
        <v>2906</v>
      </c>
      <c r="D2654" s="7" t="s">
        <v>10</v>
      </c>
      <c r="E2654" s="7" t="s">
        <v>11</v>
      </c>
      <c r="F2654" s="7" t="s">
        <v>18</v>
      </c>
      <c r="G2654" s="7" t="s">
        <v>268</v>
      </c>
      <c r="H2654" s="7" t="s">
        <v>269</v>
      </c>
      <c r="I2654" s="8" t="s">
        <v>270</v>
      </c>
    </row>
    <row r="2655" spans="1:9" hidden="1" x14ac:dyDescent="0.35">
      <c r="A2655" s="6">
        <v>363724</v>
      </c>
      <c r="B2655" s="7" t="str">
        <f>"3376031603920001"</f>
        <v>3376031603920001</v>
      </c>
      <c r="C2655" s="7" t="s">
        <v>5183</v>
      </c>
      <c r="D2655" s="7" t="s">
        <v>10</v>
      </c>
      <c r="E2655" s="7" t="s">
        <v>11</v>
      </c>
      <c r="F2655" s="7" t="s">
        <v>18</v>
      </c>
      <c r="G2655" s="7" t="s">
        <v>268</v>
      </c>
      <c r="H2655" s="7" t="s">
        <v>269</v>
      </c>
      <c r="I2655" s="8" t="s">
        <v>996</v>
      </c>
    </row>
    <row r="2656" spans="1:9" hidden="1" x14ac:dyDescent="0.35">
      <c r="A2656" s="6">
        <v>1049474</v>
      </c>
      <c r="B2656" s="7" t="str">
        <f>"3514201805930001"</f>
        <v>3514201805930001</v>
      </c>
      <c r="C2656" s="7" t="s">
        <v>5184</v>
      </c>
      <c r="D2656" s="7" t="s">
        <v>10</v>
      </c>
      <c r="E2656" s="7" t="s">
        <v>11</v>
      </c>
      <c r="F2656" s="7" t="s">
        <v>303</v>
      </c>
      <c r="G2656" s="7" t="s">
        <v>3381</v>
      </c>
      <c r="H2656" s="7" t="s">
        <v>5185</v>
      </c>
      <c r="I2656" s="8" t="s">
        <v>5186</v>
      </c>
    </row>
    <row r="2657" spans="1:12" hidden="1" x14ac:dyDescent="0.35">
      <c r="A2657" s="6">
        <v>1049489</v>
      </c>
      <c r="B2657" s="7" t="str">
        <f>"3514216406950002"</f>
        <v>3514216406950002</v>
      </c>
      <c r="C2657" s="7" t="s">
        <v>3981</v>
      </c>
      <c r="D2657" s="7" t="s">
        <v>10</v>
      </c>
      <c r="E2657" s="7" t="s">
        <v>11</v>
      </c>
      <c r="F2657" s="7" t="s">
        <v>303</v>
      </c>
      <c r="G2657" s="7" t="s">
        <v>3381</v>
      </c>
      <c r="H2657" s="7" t="s">
        <v>5185</v>
      </c>
      <c r="I2657" s="8" t="s">
        <v>5186</v>
      </c>
    </row>
    <row r="2658" spans="1:12" hidden="1" x14ac:dyDescent="0.35">
      <c r="A2658" s="6">
        <v>410133</v>
      </c>
      <c r="B2658" s="7" t="str">
        <f>"5201130910010002"</f>
        <v>5201130910010002</v>
      </c>
      <c r="C2658" s="7" t="s">
        <v>5187</v>
      </c>
      <c r="D2658" s="7" t="s">
        <v>10</v>
      </c>
      <c r="E2658" s="7" t="s">
        <v>11</v>
      </c>
      <c r="F2658" s="7" t="s">
        <v>2820</v>
      </c>
      <c r="G2658" s="7" t="s">
        <v>2821</v>
      </c>
      <c r="H2658" s="7" t="s">
        <v>5188</v>
      </c>
      <c r="I2658" s="8" t="s">
        <v>5189</v>
      </c>
    </row>
    <row r="2659" spans="1:12" hidden="1" x14ac:dyDescent="0.35">
      <c r="A2659" s="6">
        <v>160083</v>
      </c>
      <c r="B2659" s="7" t="str">
        <f>"6471050612760005"</f>
        <v>6471050612760005</v>
      </c>
      <c r="C2659" s="7" t="s">
        <v>5190</v>
      </c>
      <c r="D2659" s="7" t="s">
        <v>10</v>
      </c>
      <c r="E2659" s="7" t="s">
        <v>11</v>
      </c>
      <c r="F2659" s="7" t="s">
        <v>232</v>
      </c>
      <c r="G2659" s="7" t="s">
        <v>233</v>
      </c>
      <c r="H2659" s="7" t="s">
        <v>2897</v>
      </c>
      <c r="I2659" s="8" t="s">
        <v>5191</v>
      </c>
    </row>
    <row r="2660" spans="1:12" hidden="1" x14ac:dyDescent="0.35">
      <c r="A2660" s="6">
        <v>160084</v>
      </c>
      <c r="B2660" s="7" t="str">
        <f>"6471055103030003"</f>
        <v>6471055103030003</v>
      </c>
      <c r="C2660" s="7" t="s">
        <v>5193</v>
      </c>
      <c r="D2660" s="7" t="s">
        <v>10</v>
      </c>
      <c r="E2660" s="7" t="s">
        <v>11</v>
      </c>
      <c r="F2660" s="7" t="s">
        <v>232</v>
      </c>
      <c r="G2660" s="7" t="s">
        <v>233</v>
      </c>
      <c r="H2660" s="7" t="s">
        <v>2897</v>
      </c>
      <c r="I2660" s="8" t="s">
        <v>5191</v>
      </c>
    </row>
    <row r="2661" spans="1:12" hidden="1" x14ac:dyDescent="0.35">
      <c r="A2661" s="6">
        <v>77840</v>
      </c>
      <c r="B2661" s="7" t="str">
        <f>"7313130603960001"</f>
        <v>7313130603960001</v>
      </c>
      <c r="C2661" s="7" t="s">
        <v>5195</v>
      </c>
      <c r="D2661" s="7" t="s">
        <v>10</v>
      </c>
      <c r="E2661" s="7" t="s">
        <v>11</v>
      </c>
      <c r="F2661" s="7" t="s">
        <v>2545</v>
      </c>
      <c r="G2661" s="7" t="s">
        <v>2546</v>
      </c>
      <c r="H2661" s="7" t="s">
        <v>5109</v>
      </c>
      <c r="I2661" s="8" t="s">
        <v>5110</v>
      </c>
    </row>
    <row r="2662" spans="1:12" hidden="1" x14ac:dyDescent="0.35">
      <c r="A2662" s="6">
        <v>427757</v>
      </c>
      <c r="B2662" s="7" t="str">
        <f>"9171022207940003"</f>
        <v>9171022207940003</v>
      </c>
      <c r="C2662" s="7" t="s">
        <v>5196</v>
      </c>
      <c r="D2662" s="7" t="s">
        <v>10</v>
      </c>
      <c r="E2662" s="7" t="s">
        <v>11</v>
      </c>
      <c r="F2662" s="7" t="s">
        <v>783</v>
      </c>
      <c r="G2662" s="7" t="s">
        <v>1112</v>
      </c>
      <c r="H2662" s="7" t="s">
        <v>3651</v>
      </c>
      <c r="I2662" s="8" t="s">
        <v>4693</v>
      </c>
    </row>
    <row r="2663" spans="1:12" hidden="1" x14ac:dyDescent="0.35">
      <c r="A2663" s="6">
        <v>427758</v>
      </c>
      <c r="B2663" s="7" t="str">
        <f>"9171022912630004"</f>
        <v>9171022912630004</v>
      </c>
      <c r="C2663" s="7" t="s">
        <v>2697</v>
      </c>
      <c r="D2663" s="7" t="s">
        <v>10</v>
      </c>
      <c r="E2663" s="7" t="s">
        <v>11</v>
      </c>
      <c r="F2663" s="7" t="s">
        <v>783</v>
      </c>
      <c r="G2663" s="7" t="s">
        <v>1112</v>
      </c>
      <c r="H2663" s="7" t="s">
        <v>3651</v>
      </c>
      <c r="I2663" s="8" t="s">
        <v>4693</v>
      </c>
    </row>
    <row r="2664" spans="1:12" hidden="1" x14ac:dyDescent="0.35">
      <c r="A2664" s="6">
        <v>427759</v>
      </c>
      <c r="B2664" s="7" t="str">
        <f>"9171026502660001"</f>
        <v>9171026502660001</v>
      </c>
      <c r="C2664" s="7" t="s">
        <v>5198</v>
      </c>
      <c r="D2664" s="7" t="s">
        <v>10</v>
      </c>
      <c r="E2664" s="7" t="s">
        <v>11</v>
      </c>
      <c r="F2664" s="7" t="s">
        <v>783</v>
      </c>
      <c r="G2664" s="7" t="s">
        <v>1112</v>
      </c>
      <c r="H2664" s="7" t="s">
        <v>3651</v>
      </c>
      <c r="I2664" s="8" t="s">
        <v>4693</v>
      </c>
    </row>
    <row r="2665" spans="1:12" hidden="1" x14ac:dyDescent="0.35">
      <c r="A2665" s="6">
        <v>324867</v>
      </c>
      <c r="B2665" s="7" t="str">
        <f>"9171030104520005"</f>
        <v>9171030104520005</v>
      </c>
      <c r="C2665" s="7" t="s">
        <v>5200</v>
      </c>
      <c r="D2665" s="7" t="s">
        <v>10</v>
      </c>
      <c r="E2665" s="7" t="s">
        <v>11</v>
      </c>
      <c r="F2665" s="7" t="s">
        <v>783</v>
      </c>
      <c r="G2665" s="7" t="s">
        <v>1112</v>
      </c>
      <c r="H2665" s="7" t="s">
        <v>5201</v>
      </c>
      <c r="I2665" s="8" t="s">
        <v>5202</v>
      </c>
    </row>
    <row r="2666" spans="1:12" hidden="1" x14ac:dyDescent="0.35">
      <c r="A2666" s="6">
        <v>238464</v>
      </c>
      <c r="B2666" s="7" t="str">
        <f>"1302102808960007"</f>
        <v>1302102808960007</v>
      </c>
      <c r="C2666" s="7" t="s">
        <v>5204</v>
      </c>
      <c r="D2666" s="7" t="s">
        <v>10</v>
      </c>
      <c r="E2666" s="7" t="s">
        <v>11</v>
      </c>
      <c r="F2666" s="7" t="s">
        <v>12</v>
      </c>
      <c r="G2666" s="7" t="s">
        <v>13</v>
      </c>
      <c r="H2666" s="7" t="s">
        <v>5205</v>
      </c>
      <c r="I2666" s="8" t="s">
        <v>5206</v>
      </c>
    </row>
    <row r="2667" spans="1:12" hidden="1" x14ac:dyDescent="0.35">
      <c r="A2667" s="13">
        <v>1811761</v>
      </c>
      <c r="B2667" s="14" t="str">
        <f>"1702070407920002"</f>
        <v>1702070407920002</v>
      </c>
      <c r="C2667" s="14" t="s">
        <v>5208</v>
      </c>
      <c r="D2667" s="14" t="s">
        <v>10</v>
      </c>
      <c r="E2667" s="14" t="s">
        <v>11</v>
      </c>
      <c r="F2667" s="14" t="s">
        <v>18</v>
      </c>
      <c r="G2667" s="14" t="s">
        <v>19</v>
      </c>
      <c r="H2667" s="14" t="s">
        <v>5207</v>
      </c>
      <c r="I2667" s="15" t="s">
        <v>933</v>
      </c>
      <c r="J2667" s="16" t="str">
        <f>VLOOKUP(B2667,baru!$B$2:$I$2271,4,FALSE)</f>
        <v>Reguler</v>
      </c>
      <c r="K2667" s="16" t="str">
        <f>VLOOKUP(B2667,baru!$B$2:$I$2271,5,FALSE)</f>
        <v>BENGKULU</v>
      </c>
      <c r="L2667" s="16" t="str">
        <f>VLOOKUP(B2667,baru!$B$2:$I$2271,6,FALSE)</f>
        <v>REJANG LEBONG</v>
      </c>
    </row>
    <row r="2668" spans="1:12" hidden="1" x14ac:dyDescent="0.35">
      <c r="A2668" s="6">
        <v>1121659</v>
      </c>
      <c r="B2668" s="7" t="str">
        <f>"1807036010990005"</f>
        <v>1807036010990005</v>
      </c>
      <c r="C2668" s="7" t="s">
        <v>5213</v>
      </c>
      <c r="D2668" s="7" t="s">
        <v>10</v>
      </c>
      <c r="E2668" s="7" t="s">
        <v>11</v>
      </c>
      <c r="F2668" s="7" t="s">
        <v>44</v>
      </c>
      <c r="G2668" s="7" t="s">
        <v>5214</v>
      </c>
      <c r="H2668" s="7" t="s">
        <v>5215</v>
      </c>
      <c r="I2668" s="8" t="s">
        <v>668</v>
      </c>
    </row>
    <row r="2669" spans="1:12" hidden="1" x14ac:dyDescent="0.35">
      <c r="A2669" s="6">
        <v>251369</v>
      </c>
      <c r="B2669" s="7" t="str">
        <f>"1807215912960002"</f>
        <v>1807215912960002</v>
      </c>
      <c r="C2669" s="7" t="s">
        <v>5218</v>
      </c>
      <c r="D2669" s="7" t="s">
        <v>10</v>
      </c>
      <c r="E2669" s="7" t="s">
        <v>11</v>
      </c>
      <c r="F2669" s="7" t="s">
        <v>18</v>
      </c>
      <c r="G2669" s="7" t="s">
        <v>268</v>
      </c>
      <c r="H2669" s="7" t="s">
        <v>371</v>
      </c>
      <c r="I2669" s="8" t="s">
        <v>497</v>
      </c>
    </row>
    <row r="2670" spans="1:12" hidden="1" x14ac:dyDescent="0.35">
      <c r="A2670" s="6">
        <v>70374</v>
      </c>
      <c r="B2670" s="7" t="str">
        <f>"1809054301980001"</f>
        <v>1809054301980001</v>
      </c>
      <c r="C2670" s="7" t="s">
        <v>5219</v>
      </c>
      <c r="D2670" s="7" t="s">
        <v>10</v>
      </c>
      <c r="E2670" s="7" t="s">
        <v>11</v>
      </c>
      <c r="F2670" s="7" t="s">
        <v>44</v>
      </c>
      <c r="G2670" s="7" t="s">
        <v>254</v>
      </c>
      <c r="H2670" s="7" t="s">
        <v>5220</v>
      </c>
      <c r="I2670" s="8" t="s">
        <v>5221</v>
      </c>
    </row>
    <row r="2671" spans="1:12" hidden="1" x14ac:dyDescent="0.35">
      <c r="A2671" s="6">
        <v>555764</v>
      </c>
      <c r="B2671" s="7" t="str">
        <f>"2171061006909006"</f>
        <v>2171061006909006</v>
      </c>
      <c r="C2671" s="7" t="s">
        <v>5224</v>
      </c>
      <c r="D2671" s="7" t="s">
        <v>10</v>
      </c>
      <c r="E2671" s="7" t="s">
        <v>11</v>
      </c>
      <c r="F2671" s="7" t="s">
        <v>18</v>
      </c>
      <c r="G2671" s="7" t="s">
        <v>264</v>
      </c>
      <c r="H2671" s="7" t="s">
        <v>877</v>
      </c>
      <c r="I2671" s="8" t="s">
        <v>3950</v>
      </c>
    </row>
    <row r="2672" spans="1:12" hidden="1" x14ac:dyDescent="0.35">
      <c r="A2672" s="6">
        <v>80441</v>
      </c>
      <c r="B2672" s="7" t="str">
        <f>"3171023112730012"</f>
        <v>3171023112730012</v>
      </c>
      <c r="C2672" s="7" t="s">
        <v>4728</v>
      </c>
      <c r="D2672" s="7" t="s">
        <v>10</v>
      </c>
      <c r="E2672" s="7" t="s">
        <v>11</v>
      </c>
      <c r="F2672" s="7" t="s">
        <v>50</v>
      </c>
      <c r="G2672" s="7" t="s">
        <v>280</v>
      </c>
      <c r="H2672" s="7" t="s">
        <v>455</v>
      </c>
      <c r="I2672" s="8" t="s">
        <v>456</v>
      </c>
    </row>
    <row r="2673" spans="1:12" hidden="1" x14ac:dyDescent="0.35">
      <c r="A2673" s="6">
        <v>586127</v>
      </c>
      <c r="B2673" s="7" t="str">
        <f>"3171081207750002"</f>
        <v>3171081207750002</v>
      </c>
      <c r="C2673" s="7" t="s">
        <v>5226</v>
      </c>
      <c r="D2673" s="7" t="s">
        <v>10</v>
      </c>
      <c r="E2673" s="7" t="s">
        <v>11</v>
      </c>
      <c r="F2673" s="7" t="s">
        <v>50</v>
      </c>
      <c r="G2673" s="7" t="s">
        <v>280</v>
      </c>
      <c r="H2673" s="7" t="s">
        <v>2507</v>
      </c>
      <c r="I2673" s="8" t="s">
        <v>3162</v>
      </c>
    </row>
    <row r="2674" spans="1:12" hidden="1" x14ac:dyDescent="0.35">
      <c r="A2674" s="6">
        <v>1105164</v>
      </c>
      <c r="B2674" s="7" t="str">
        <f>"3172015112980006"</f>
        <v>3172015112980006</v>
      </c>
      <c r="C2674" s="7" t="s">
        <v>5227</v>
      </c>
      <c r="D2674" s="7" t="s">
        <v>10</v>
      </c>
      <c r="E2674" s="7" t="s">
        <v>11</v>
      </c>
      <c r="F2674" s="7" t="s">
        <v>50</v>
      </c>
      <c r="G2674" s="7" t="s">
        <v>51</v>
      </c>
      <c r="H2674" s="7" t="s">
        <v>52</v>
      </c>
      <c r="I2674" s="8" t="s">
        <v>52</v>
      </c>
    </row>
    <row r="2675" spans="1:12" hidden="1" x14ac:dyDescent="0.35">
      <c r="A2675" s="13">
        <v>1816967</v>
      </c>
      <c r="B2675" s="14" t="str">
        <f>"3172040605830016"</f>
        <v>3172040605830016</v>
      </c>
      <c r="C2675" s="14" t="s">
        <v>5228</v>
      </c>
      <c r="D2675" s="14" t="s">
        <v>10</v>
      </c>
      <c r="E2675" s="14" t="s">
        <v>11</v>
      </c>
      <c r="F2675" s="14" t="s">
        <v>18</v>
      </c>
      <c r="G2675" s="14" t="s">
        <v>19</v>
      </c>
      <c r="H2675" s="14" t="s">
        <v>5207</v>
      </c>
      <c r="I2675" s="15" t="s">
        <v>933</v>
      </c>
      <c r="J2675" s="16" t="str">
        <f>VLOOKUP(B2675,baru!$B$2:$I$2271,4,FALSE)</f>
        <v>Reguler</v>
      </c>
      <c r="K2675" s="16" t="str">
        <f>VLOOKUP(B2675,baru!$B$2:$I$2271,5,FALSE)</f>
        <v>JAWA TENGAH</v>
      </c>
      <c r="L2675" s="16" t="str">
        <f>VLOOKUP(B2675,baru!$B$2:$I$2271,6,FALSE)</f>
        <v>BATANG</v>
      </c>
    </row>
    <row r="2676" spans="1:12" hidden="1" x14ac:dyDescent="0.35">
      <c r="A2676" s="6">
        <v>134419</v>
      </c>
      <c r="B2676" s="7" t="str">
        <f>"3173021307690007"</f>
        <v>3173021307690007</v>
      </c>
      <c r="C2676" s="7" t="s">
        <v>5231</v>
      </c>
      <c r="D2676" s="7" t="s">
        <v>10</v>
      </c>
      <c r="E2676" s="7" t="s">
        <v>11</v>
      </c>
      <c r="F2676" s="7" t="s">
        <v>50</v>
      </c>
      <c r="G2676" s="7" t="s">
        <v>86</v>
      </c>
      <c r="H2676" s="7" t="s">
        <v>205</v>
      </c>
      <c r="I2676" s="8" t="s">
        <v>5232</v>
      </c>
    </row>
    <row r="2677" spans="1:12" hidden="1" x14ac:dyDescent="0.35">
      <c r="A2677" s="6">
        <v>610983</v>
      </c>
      <c r="B2677" s="7" t="str">
        <f>"3173031006720016"</f>
        <v>3173031006720016</v>
      </c>
      <c r="C2677" s="7" t="s">
        <v>5233</v>
      </c>
      <c r="D2677" s="7" t="s">
        <v>10</v>
      </c>
      <c r="E2677" s="7" t="s">
        <v>11</v>
      </c>
      <c r="F2677" s="7" t="s">
        <v>50</v>
      </c>
      <c r="G2677" s="7" t="s">
        <v>86</v>
      </c>
      <c r="H2677" s="7" t="s">
        <v>1463</v>
      </c>
      <c r="I2677" s="8" t="s">
        <v>3175</v>
      </c>
    </row>
    <row r="2678" spans="1:12" hidden="1" x14ac:dyDescent="0.35">
      <c r="A2678" s="6">
        <v>631459</v>
      </c>
      <c r="B2678" s="7" t="str">
        <f>"3174100108060003"</f>
        <v>3174100108060003</v>
      </c>
      <c r="C2678" s="7" t="s">
        <v>5236</v>
      </c>
      <c r="D2678" s="7" t="s">
        <v>10</v>
      </c>
      <c r="E2678" s="7" t="s">
        <v>11</v>
      </c>
      <c r="F2678" s="7" t="s">
        <v>50</v>
      </c>
      <c r="G2678" s="7" t="s">
        <v>72</v>
      </c>
      <c r="H2678" s="7" t="s">
        <v>541</v>
      </c>
      <c r="I2678" s="8" t="s">
        <v>2869</v>
      </c>
    </row>
    <row r="2679" spans="1:12" hidden="1" x14ac:dyDescent="0.35">
      <c r="A2679" s="6">
        <v>1796844</v>
      </c>
      <c r="B2679" s="7" t="str">
        <f>"3175041409890008"</f>
        <v>3175041409890008</v>
      </c>
      <c r="C2679" s="7" t="s">
        <v>5240</v>
      </c>
      <c r="D2679" s="7" t="s">
        <v>10</v>
      </c>
      <c r="E2679" s="7" t="s">
        <v>11</v>
      </c>
      <c r="F2679" s="7" t="s">
        <v>50</v>
      </c>
      <c r="G2679" s="7" t="s">
        <v>58</v>
      </c>
      <c r="H2679" s="7" t="s">
        <v>97</v>
      </c>
      <c r="I2679" s="8" t="s">
        <v>97</v>
      </c>
    </row>
    <row r="2680" spans="1:12" hidden="1" x14ac:dyDescent="0.35">
      <c r="A2680" s="6">
        <v>271477</v>
      </c>
      <c r="B2680" s="7" t="str">
        <f>"3201252512740007"</f>
        <v>3201252512740007</v>
      </c>
      <c r="C2680" s="7" t="s">
        <v>1893</v>
      </c>
      <c r="D2680" s="7" t="s">
        <v>10</v>
      </c>
      <c r="E2680" s="7" t="s">
        <v>11</v>
      </c>
      <c r="F2680" s="7" t="s">
        <v>91</v>
      </c>
      <c r="G2680" s="7" t="s">
        <v>650</v>
      </c>
      <c r="H2680" s="7" t="s">
        <v>138</v>
      </c>
      <c r="I2680" s="8" t="s">
        <v>5241</v>
      </c>
    </row>
    <row r="2681" spans="1:12" hidden="1" x14ac:dyDescent="0.35">
      <c r="A2681" s="6">
        <v>269018</v>
      </c>
      <c r="B2681" s="7" t="str">
        <f>"3202136310050002"</f>
        <v>3202136310050002</v>
      </c>
      <c r="C2681" s="7" t="s">
        <v>5243</v>
      </c>
      <c r="D2681" s="7" t="s">
        <v>10</v>
      </c>
      <c r="E2681" s="7" t="s">
        <v>11</v>
      </c>
      <c r="F2681" s="7" t="s">
        <v>91</v>
      </c>
      <c r="G2681" s="7" t="s">
        <v>101</v>
      </c>
      <c r="H2681" s="7" t="s">
        <v>4555</v>
      </c>
      <c r="I2681" s="8" t="s">
        <v>5244</v>
      </c>
    </row>
    <row r="2682" spans="1:12" hidden="1" x14ac:dyDescent="0.35">
      <c r="A2682" s="6">
        <v>720953</v>
      </c>
      <c r="B2682" s="7" t="str">
        <f>"3204392808830007"</f>
        <v>3204392808830007</v>
      </c>
      <c r="C2682" s="7" t="s">
        <v>5246</v>
      </c>
      <c r="D2682" s="7" t="s">
        <v>10</v>
      </c>
      <c r="E2682" s="7" t="s">
        <v>11</v>
      </c>
      <c r="F2682" s="7" t="s">
        <v>91</v>
      </c>
      <c r="G2682" s="7" t="s">
        <v>1398</v>
      </c>
      <c r="H2682" s="7" t="s">
        <v>5247</v>
      </c>
      <c r="I2682" s="8" t="s">
        <v>5248</v>
      </c>
    </row>
    <row r="2683" spans="1:12" hidden="1" x14ac:dyDescent="0.35">
      <c r="A2683" s="6">
        <v>966699</v>
      </c>
      <c r="B2683" s="7" t="str">
        <f>"3209060501830005"</f>
        <v>3209060501830005</v>
      </c>
      <c r="C2683" s="7" t="s">
        <v>5250</v>
      </c>
      <c r="D2683" s="7" t="s">
        <v>10</v>
      </c>
      <c r="E2683" s="7" t="s">
        <v>11</v>
      </c>
      <c r="F2683" s="7" t="s">
        <v>91</v>
      </c>
      <c r="G2683" s="7" t="s">
        <v>985</v>
      </c>
      <c r="H2683" s="7" t="s">
        <v>1156</v>
      </c>
      <c r="I2683" s="8" t="s">
        <v>492</v>
      </c>
    </row>
    <row r="2684" spans="1:12" hidden="1" x14ac:dyDescent="0.35">
      <c r="A2684" s="6">
        <v>720584</v>
      </c>
      <c r="B2684" s="7" t="str">
        <f>"3212155008910002"</f>
        <v>3212155008910002</v>
      </c>
      <c r="C2684" s="7" t="s">
        <v>5252</v>
      </c>
      <c r="D2684" s="7" t="s">
        <v>10</v>
      </c>
      <c r="E2684" s="7" t="s">
        <v>11</v>
      </c>
      <c r="F2684" s="7" t="s">
        <v>91</v>
      </c>
      <c r="G2684" s="7" t="s">
        <v>114</v>
      </c>
      <c r="H2684" s="7" t="s">
        <v>114</v>
      </c>
      <c r="I2684" s="8" t="s">
        <v>5253</v>
      </c>
    </row>
    <row r="2685" spans="1:12" hidden="1" x14ac:dyDescent="0.35">
      <c r="A2685" s="6">
        <v>1915911</v>
      </c>
      <c r="B2685" s="7" t="str">
        <f>"3216016707950005"</f>
        <v>3216016707950005</v>
      </c>
      <c r="C2685" s="7" t="s">
        <v>5255</v>
      </c>
      <c r="D2685" s="7" t="s">
        <v>10</v>
      </c>
      <c r="E2685" s="7" t="s">
        <v>11</v>
      </c>
      <c r="F2685" s="7" t="s">
        <v>91</v>
      </c>
      <c r="G2685" s="7" t="s">
        <v>92</v>
      </c>
      <c r="H2685" s="7" t="s">
        <v>124</v>
      </c>
      <c r="I2685" s="8" t="s">
        <v>5256</v>
      </c>
    </row>
    <row r="2686" spans="1:12" hidden="1" x14ac:dyDescent="0.35">
      <c r="A2686" s="6">
        <v>752405</v>
      </c>
      <c r="B2686" s="7" t="str">
        <f>"3216091005880022"</f>
        <v>3216091005880022</v>
      </c>
      <c r="C2686" s="7" t="s">
        <v>5259</v>
      </c>
      <c r="D2686" s="7" t="s">
        <v>10</v>
      </c>
      <c r="E2686" s="7" t="s">
        <v>11</v>
      </c>
      <c r="F2686" s="7" t="s">
        <v>91</v>
      </c>
      <c r="G2686" s="7" t="s">
        <v>92</v>
      </c>
      <c r="H2686" s="7" t="s">
        <v>128</v>
      </c>
      <c r="I2686" s="8" t="s">
        <v>2947</v>
      </c>
    </row>
    <row r="2687" spans="1:12" hidden="1" x14ac:dyDescent="0.35">
      <c r="A2687" s="6">
        <v>752407</v>
      </c>
      <c r="B2687" s="7" t="str">
        <f>"3216095512840011"</f>
        <v>3216095512840011</v>
      </c>
      <c r="C2687" s="7" t="s">
        <v>5260</v>
      </c>
      <c r="D2687" s="7" t="s">
        <v>10</v>
      </c>
      <c r="E2687" s="7" t="s">
        <v>11</v>
      </c>
      <c r="F2687" s="7" t="s">
        <v>91</v>
      </c>
      <c r="G2687" s="7" t="s">
        <v>92</v>
      </c>
      <c r="H2687" s="7" t="s">
        <v>128</v>
      </c>
      <c r="I2687" s="8" t="s">
        <v>2947</v>
      </c>
    </row>
    <row r="2688" spans="1:12" hidden="1" x14ac:dyDescent="0.35">
      <c r="A2688" s="6">
        <v>654007</v>
      </c>
      <c r="B2688" s="7" t="str">
        <f>"3275053112040004"</f>
        <v>3275053112040004</v>
      </c>
      <c r="C2688" s="7" t="s">
        <v>5261</v>
      </c>
      <c r="D2688" s="7" t="s">
        <v>10</v>
      </c>
      <c r="E2688" s="7" t="s">
        <v>11</v>
      </c>
      <c r="F2688" s="7" t="s">
        <v>91</v>
      </c>
      <c r="G2688" s="7" t="s">
        <v>92</v>
      </c>
      <c r="H2688" s="7" t="s">
        <v>105</v>
      </c>
      <c r="I2688" s="8" t="s">
        <v>5262</v>
      </c>
    </row>
    <row r="2689" spans="1:12" hidden="1" x14ac:dyDescent="0.35">
      <c r="A2689" s="6">
        <v>654008</v>
      </c>
      <c r="B2689" s="7" t="str">
        <f>"3275056204830018"</f>
        <v>3275056204830018</v>
      </c>
      <c r="C2689" s="7" t="s">
        <v>5263</v>
      </c>
      <c r="D2689" s="7" t="s">
        <v>10</v>
      </c>
      <c r="E2689" s="7" t="s">
        <v>11</v>
      </c>
      <c r="F2689" s="7" t="s">
        <v>91</v>
      </c>
      <c r="G2689" s="7" t="s">
        <v>92</v>
      </c>
      <c r="H2689" s="7" t="s">
        <v>105</v>
      </c>
      <c r="I2689" s="8" t="s">
        <v>5262</v>
      </c>
    </row>
    <row r="2690" spans="1:12" hidden="1" x14ac:dyDescent="0.35">
      <c r="A2690" s="6">
        <v>397153</v>
      </c>
      <c r="B2690" s="7" t="str">
        <f>"3275092802800012"</f>
        <v>3275092802800012</v>
      </c>
      <c r="C2690" s="7" t="s">
        <v>5264</v>
      </c>
      <c r="D2690" s="7" t="s">
        <v>10</v>
      </c>
      <c r="E2690" s="7" t="s">
        <v>11</v>
      </c>
      <c r="F2690" s="7" t="s">
        <v>91</v>
      </c>
      <c r="G2690" s="7" t="s">
        <v>159</v>
      </c>
      <c r="H2690" s="7" t="s">
        <v>1170</v>
      </c>
      <c r="I2690" s="8" t="s">
        <v>5265</v>
      </c>
    </row>
    <row r="2691" spans="1:12" hidden="1" x14ac:dyDescent="0.35">
      <c r="A2691" s="6">
        <v>2058896</v>
      </c>
      <c r="B2691" s="7" t="str">
        <f>"3301062005010006"</f>
        <v>3301062005010006</v>
      </c>
      <c r="C2691" s="7" t="s">
        <v>5266</v>
      </c>
      <c r="D2691" s="7" t="s">
        <v>10</v>
      </c>
      <c r="E2691" s="7" t="s">
        <v>11</v>
      </c>
      <c r="F2691" s="7" t="s">
        <v>18</v>
      </c>
      <c r="G2691" s="7" t="s">
        <v>163</v>
      </c>
      <c r="H2691" s="7" t="s">
        <v>4597</v>
      </c>
      <c r="I2691" s="8" t="s">
        <v>5267</v>
      </c>
    </row>
    <row r="2692" spans="1:12" hidden="1" x14ac:dyDescent="0.35">
      <c r="A2692" s="6">
        <v>1898090</v>
      </c>
      <c r="B2692" s="7" t="str">
        <f>"3301070202800002"</f>
        <v>3301070202800002</v>
      </c>
      <c r="C2692" s="7" t="s">
        <v>1267</v>
      </c>
      <c r="D2692" s="7" t="s">
        <v>10</v>
      </c>
      <c r="E2692" s="7" t="s">
        <v>11</v>
      </c>
      <c r="F2692" s="7" t="s">
        <v>18</v>
      </c>
      <c r="G2692" s="7" t="s">
        <v>163</v>
      </c>
      <c r="H2692" s="7" t="s">
        <v>5269</v>
      </c>
      <c r="I2692" s="8" t="s">
        <v>5270</v>
      </c>
    </row>
    <row r="2693" spans="1:12" hidden="1" x14ac:dyDescent="0.35">
      <c r="A2693" s="13">
        <v>1392089</v>
      </c>
      <c r="B2693" s="14" t="str">
        <f>"3302130412880002"</f>
        <v>3302130412880002</v>
      </c>
      <c r="C2693" s="14" t="s">
        <v>5272</v>
      </c>
      <c r="D2693" s="14" t="s">
        <v>10</v>
      </c>
      <c r="E2693" s="14" t="s">
        <v>11</v>
      </c>
      <c r="F2693" s="14" t="s">
        <v>18</v>
      </c>
      <c r="G2693" s="14" t="s">
        <v>19</v>
      </c>
      <c r="H2693" s="14" t="s">
        <v>5207</v>
      </c>
      <c r="I2693" s="15" t="s">
        <v>5217</v>
      </c>
      <c r="J2693" s="16" t="str">
        <f>VLOOKUP(B2693,baru!$B$2:$I$2271,4,FALSE)</f>
        <v>Reguler</v>
      </c>
      <c r="K2693" s="16" t="str">
        <f>VLOOKUP(B2693,baru!$B$2:$I$2271,5,FALSE)</f>
        <v>JAWA TENGAH</v>
      </c>
      <c r="L2693" s="16" t="str">
        <f>VLOOKUP(B2693,baru!$B$2:$I$2271,6,FALSE)</f>
        <v>BANYUMAS</v>
      </c>
    </row>
    <row r="2694" spans="1:12" hidden="1" x14ac:dyDescent="0.35">
      <c r="A2694" s="6">
        <v>264050</v>
      </c>
      <c r="B2694" s="7" t="str">
        <f>"3304052901850005"</f>
        <v>3304052901850005</v>
      </c>
      <c r="C2694" s="7" t="s">
        <v>5273</v>
      </c>
      <c r="D2694" s="7" t="s">
        <v>10</v>
      </c>
      <c r="E2694" s="7" t="s">
        <v>11</v>
      </c>
      <c r="F2694" s="7" t="s">
        <v>18</v>
      </c>
      <c r="G2694" s="7" t="s">
        <v>951</v>
      </c>
      <c r="H2694" s="7" t="s">
        <v>2651</v>
      </c>
      <c r="I2694" s="8" t="s">
        <v>5274</v>
      </c>
    </row>
    <row r="2695" spans="1:12" hidden="1" x14ac:dyDescent="0.35">
      <c r="A2695" s="13">
        <v>1336027</v>
      </c>
      <c r="B2695" s="14" t="str">
        <f>"3305241804870001"</f>
        <v>3305241804870001</v>
      </c>
      <c r="C2695" s="14" t="s">
        <v>350</v>
      </c>
      <c r="D2695" s="14" t="s">
        <v>10</v>
      </c>
      <c r="E2695" s="14" t="s">
        <v>11</v>
      </c>
      <c r="F2695" s="14" t="s">
        <v>18</v>
      </c>
      <c r="G2695" s="14" t="s">
        <v>19</v>
      </c>
      <c r="H2695" s="14" t="s">
        <v>5207</v>
      </c>
      <c r="I2695" s="15" t="s">
        <v>5276</v>
      </c>
      <c r="J2695" s="16" t="str">
        <f>VLOOKUP(B2695,baru!$B$2:$I$2271,4,FALSE)</f>
        <v>Reguler</v>
      </c>
      <c r="K2695" s="16" t="str">
        <f>VLOOKUP(B2695,baru!$B$2:$I$2271,5,FALSE)</f>
        <v>JAWA BARAT</v>
      </c>
      <c r="L2695" s="16" t="str">
        <f>VLOOKUP(B2695,baru!$B$2:$I$2271,6,FALSE)</f>
        <v>KARAWANG</v>
      </c>
    </row>
    <row r="2696" spans="1:12" hidden="1" x14ac:dyDescent="0.35">
      <c r="A2696" s="13">
        <v>1371107</v>
      </c>
      <c r="B2696" s="14" t="str">
        <f>"3307093007930005"</f>
        <v>3307093007930005</v>
      </c>
      <c r="C2696" s="14" t="s">
        <v>5278</v>
      </c>
      <c r="D2696" s="14" t="s">
        <v>10</v>
      </c>
      <c r="E2696" s="14" t="s">
        <v>11</v>
      </c>
      <c r="F2696" s="14" t="s">
        <v>18</v>
      </c>
      <c r="G2696" s="14" t="s">
        <v>19</v>
      </c>
      <c r="H2696" s="14" t="s">
        <v>5207</v>
      </c>
      <c r="I2696" s="15" t="s">
        <v>5223</v>
      </c>
      <c r="J2696" s="16" t="str">
        <f>VLOOKUP(B2696,baru!$B$2:$I$2271,4,FALSE)</f>
        <v>Reguler</v>
      </c>
      <c r="K2696" s="16" t="str">
        <f>VLOOKUP(B2696,baru!$B$2:$I$2271,5,FALSE)</f>
        <v>JAWA TENGAH</v>
      </c>
      <c r="L2696" s="16" t="str">
        <f>VLOOKUP(B2696,baru!$B$2:$I$2271,6,FALSE)</f>
        <v>WONOSOBO</v>
      </c>
    </row>
    <row r="2697" spans="1:12" hidden="1" x14ac:dyDescent="0.35">
      <c r="A2697" s="13">
        <v>1373133</v>
      </c>
      <c r="B2697" s="14" t="str">
        <f>"3316026907010002"</f>
        <v>3316026907010002</v>
      </c>
      <c r="C2697" s="14" t="s">
        <v>5281</v>
      </c>
      <c r="D2697" s="14" t="s">
        <v>10</v>
      </c>
      <c r="E2697" s="14" t="s">
        <v>11</v>
      </c>
      <c r="F2697" s="14" t="s">
        <v>18</v>
      </c>
      <c r="G2697" s="14" t="s">
        <v>19</v>
      </c>
      <c r="H2697" s="14" t="s">
        <v>5207</v>
      </c>
      <c r="I2697" s="15" t="s">
        <v>5223</v>
      </c>
      <c r="J2697" s="16" t="str">
        <f>VLOOKUP(B2697,baru!$B$2:$I$2271,4,FALSE)</f>
        <v>Reguler</v>
      </c>
      <c r="K2697" s="16" t="str">
        <f>VLOOKUP(B2697,baru!$B$2:$I$2271,5,FALSE)</f>
        <v>JAWA TENGAH</v>
      </c>
      <c r="L2697" s="16" t="str">
        <f>VLOOKUP(B2697,baru!$B$2:$I$2271,6,FALSE)</f>
        <v>BLORA</v>
      </c>
    </row>
    <row r="2698" spans="1:12" hidden="1" x14ac:dyDescent="0.35">
      <c r="A2698" s="6">
        <v>532231</v>
      </c>
      <c r="B2698" s="7" t="str">
        <f>"3318212903880001"</f>
        <v>3318212903880001</v>
      </c>
      <c r="C2698" s="7" t="s">
        <v>5283</v>
      </c>
      <c r="D2698" s="7" t="s">
        <v>10</v>
      </c>
      <c r="E2698" s="7" t="s">
        <v>11</v>
      </c>
      <c r="F2698" s="7" t="s">
        <v>50</v>
      </c>
      <c r="G2698" s="7" t="s">
        <v>51</v>
      </c>
      <c r="H2698" s="7" t="s">
        <v>62</v>
      </c>
      <c r="I2698" s="8" t="s">
        <v>615</v>
      </c>
    </row>
    <row r="2699" spans="1:12" hidden="1" x14ac:dyDescent="0.35">
      <c r="A2699" s="6">
        <v>2586913</v>
      </c>
      <c r="B2699" s="7" t="str">
        <f>"3327051009910002"</f>
        <v>3327051009910002</v>
      </c>
      <c r="C2699" s="7" t="s">
        <v>5284</v>
      </c>
      <c r="D2699" s="7" t="s">
        <v>10</v>
      </c>
      <c r="E2699" s="7" t="s">
        <v>11</v>
      </c>
      <c r="F2699" s="7" t="s">
        <v>67</v>
      </c>
      <c r="G2699" s="7" t="s">
        <v>512</v>
      </c>
      <c r="H2699" s="7" t="s">
        <v>3643</v>
      </c>
      <c r="I2699" s="8" t="s">
        <v>5285</v>
      </c>
    </row>
    <row r="2700" spans="1:12" hidden="1" x14ac:dyDescent="0.35">
      <c r="A2700" s="6">
        <v>397184</v>
      </c>
      <c r="B2700" s="7" t="str">
        <f>"3328151311820004"</f>
        <v>3328151311820004</v>
      </c>
      <c r="C2700" s="7" t="s">
        <v>5287</v>
      </c>
      <c r="D2700" s="7" t="s">
        <v>10</v>
      </c>
      <c r="E2700" s="7" t="s">
        <v>11</v>
      </c>
      <c r="F2700" s="7" t="s">
        <v>91</v>
      </c>
      <c r="G2700" s="7" t="s">
        <v>320</v>
      </c>
      <c r="H2700" s="7" t="s">
        <v>664</v>
      </c>
      <c r="I2700" s="8" t="s">
        <v>3237</v>
      </c>
    </row>
    <row r="2701" spans="1:12" hidden="1" x14ac:dyDescent="0.35">
      <c r="A2701" s="6">
        <v>104916</v>
      </c>
      <c r="B2701" s="7" t="str">
        <f>"3328160101950007"</f>
        <v>3328160101950007</v>
      </c>
      <c r="C2701" s="7" t="s">
        <v>5288</v>
      </c>
      <c r="D2701" s="7" t="s">
        <v>10</v>
      </c>
      <c r="E2701" s="7" t="s">
        <v>11</v>
      </c>
      <c r="F2701" s="7" t="s">
        <v>18</v>
      </c>
      <c r="G2701" s="7" t="s">
        <v>2389</v>
      </c>
      <c r="H2701" s="7" t="s">
        <v>2597</v>
      </c>
      <c r="I2701" s="8" t="s">
        <v>5289</v>
      </c>
    </row>
    <row r="2702" spans="1:12" x14ac:dyDescent="0.35">
      <c r="A2702" s="6">
        <v>1389668</v>
      </c>
      <c r="B2702" s="7" t="str">
        <f>"3328160102070005"</f>
        <v>3328160102070005</v>
      </c>
      <c r="C2702" s="7" t="s">
        <v>5290</v>
      </c>
      <c r="D2702" s="7" t="s">
        <v>189</v>
      </c>
      <c r="E2702" s="7" t="s">
        <v>11</v>
      </c>
      <c r="F2702" s="7" t="s">
        <v>18</v>
      </c>
      <c r="G2702" s="7" t="s">
        <v>19</v>
      </c>
      <c r="H2702" s="7" t="s">
        <v>5207</v>
      </c>
      <c r="I2702" s="8" t="s">
        <v>5217</v>
      </c>
      <c r="J2702" t="e">
        <f>VLOOKUP(B2702,baru!$B$2:$I$2271,4,FALSE)</f>
        <v>#N/A</v>
      </c>
      <c r="K2702" t="e">
        <f>VLOOKUP(B2702,baru!$B$2:$I$2271,5,FALSE)</f>
        <v>#N/A</v>
      </c>
      <c r="L2702" t="e">
        <f>VLOOKUP(B2702,baru!$B$2:$I$2271,6,FALSE)</f>
        <v>#N/A</v>
      </c>
    </row>
    <row r="2703" spans="1:12" hidden="1" x14ac:dyDescent="0.35">
      <c r="A2703" s="6">
        <v>1862881</v>
      </c>
      <c r="B2703" s="7" t="str">
        <f>"3328160102070005"</f>
        <v>3328160102070005</v>
      </c>
      <c r="C2703" s="7" t="s">
        <v>5290</v>
      </c>
      <c r="D2703" s="7" t="s">
        <v>10</v>
      </c>
      <c r="E2703" s="7" t="s">
        <v>57</v>
      </c>
      <c r="F2703" s="7" t="s">
        <v>18</v>
      </c>
      <c r="G2703" s="7" t="s">
        <v>733</v>
      </c>
      <c r="H2703" s="7" t="s">
        <v>1127</v>
      </c>
      <c r="I2703" s="8" t="s">
        <v>1127</v>
      </c>
    </row>
    <row r="2704" spans="1:12" hidden="1" x14ac:dyDescent="0.35">
      <c r="A2704" s="6">
        <v>152406</v>
      </c>
      <c r="B2704" s="7" t="str">
        <f>"3328160105970001"</f>
        <v>3328160105970001</v>
      </c>
      <c r="C2704" s="7" t="s">
        <v>5291</v>
      </c>
      <c r="D2704" s="7" t="s">
        <v>10</v>
      </c>
      <c r="E2704" s="7" t="s">
        <v>11</v>
      </c>
      <c r="F2704" s="7" t="s">
        <v>91</v>
      </c>
      <c r="G2704" s="7" t="s">
        <v>159</v>
      </c>
      <c r="H2704" s="7" t="s">
        <v>685</v>
      </c>
      <c r="I2704" s="8" t="s">
        <v>686</v>
      </c>
    </row>
    <row r="2705" spans="1:12" hidden="1" x14ac:dyDescent="0.35">
      <c r="A2705" s="6">
        <v>861890</v>
      </c>
      <c r="B2705" s="7" t="str">
        <f>"3328160307880005"</f>
        <v>3328160307880005</v>
      </c>
      <c r="C2705" s="7" t="s">
        <v>5293</v>
      </c>
      <c r="D2705" s="7" t="s">
        <v>10</v>
      </c>
      <c r="E2705" s="7" t="s">
        <v>11</v>
      </c>
      <c r="F2705" s="7" t="s">
        <v>91</v>
      </c>
      <c r="G2705" s="7" t="s">
        <v>159</v>
      </c>
      <c r="H2705" s="7" t="s">
        <v>2614</v>
      </c>
      <c r="I2705" s="8" t="s">
        <v>5294</v>
      </c>
    </row>
    <row r="2706" spans="1:12" hidden="1" x14ac:dyDescent="0.35">
      <c r="A2706" s="17">
        <v>1374722</v>
      </c>
      <c r="B2706" s="18" t="str">
        <f>"3328160503780005"</f>
        <v>3328160503780005</v>
      </c>
      <c r="C2706" s="18" t="s">
        <v>3155</v>
      </c>
      <c r="D2706" s="18" t="s">
        <v>10</v>
      </c>
      <c r="E2706" s="18" t="s">
        <v>11</v>
      </c>
      <c r="F2706" s="18" t="s">
        <v>18</v>
      </c>
      <c r="G2706" s="18" t="s">
        <v>19</v>
      </c>
      <c r="H2706" s="18" t="s">
        <v>5207</v>
      </c>
      <c r="I2706" s="19" t="s">
        <v>5242</v>
      </c>
      <c r="J2706" s="20" t="str">
        <f>VLOOKUP(B2706,baru!$B$2:$I$2271,4,FALSE)</f>
        <v>Khusus</v>
      </c>
      <c r="K2706" s="20" t="str">
        <f>VLOOKUP(B2706,baru!$B$2:$I$2271,5,FALSE)</f>
        <v>PAPUA BARAT</v>
      </c>
      <c r="L2706" s="20" t="str">
        <f>VLOOKUP(B2706,baru!$B$2:$I$2271,6,FALSE)</f>
        <v>KAIMANA</v>
      </c>
    </row>
    <row r="2707" spans="1:12" hidden="1" x14ac:dyDescent="0.35">
      <c r="A2707" s="6">
        <v>241653</v>
      </c>
      <c r="B2707" s="7" t="str">
        <f>"3328160503800003"</f>
        <v>3328160503800003</v>
      </c>
      <c r="C2707" s="7" t="s">
        <v>2997</v>
      </c>
      <c r="D2707" s="7" t="s">
        <v>10</v>
      </c>
      <c r="E2707" s="7" t="s">
        <v>11</v>
      </c>
      <c r="F2707" s="7" t="s">
        <v>91</v>
      </c>
      <c r="G2707" s="7" t="s">
        <v>631</v>
      </c>
      <c r="H2707" s="7" t="s">
        <v>3880</v>
      </c>
      <c r="I2707" s="8" t="s">
        <v>3880</v>
      </c>
    </row>
    <row r="2708" spans="1:12" hidden="1" x14ac:dyDescent="0.35">
      <c r="A2708" s="6">
        <v>709239</v>
      </c>
      <c r="B2708" s="7" t="str">
        <f>"3328160710830002"</f>
        <v>3328160710830002</v>
      </c>
      <c r="C2708" s="7" t="s">
        <v>5295</v>
      </c>
      <c r="D2708" s="7" t="s">
        <v>10</v>
      </c>
      <c r="E2708" s="7" t="s">
        <v>11</v>
      </c>
      <c r="F2708" s="7" t="s">
        <v>50</v>
      </c>
      <c r="G2708" s="7" t="s">
        <v>280</v>
      </c>
      <c r="H2708" s="7" t="s">
        <v>402</v>
      </c>
      <c r="I2708" s="8" t="s">
        <v>1249</v>
      </c>
    </row>
    <row r="2709" spans="1:12" hidden="1" x14ac:dyDescent="0.35">
      <c r="A2709" s="13">
        <v>1712228</v>
      </c>
      <c r="B2709" s="14" t="str">
        <f>"3328160808000005"</f>
        <v>3328160808000005</v>
      </c>
      <c r="C2709" s="14" t="s">
        <v>5296</v>
      </c>
      <c r="D2709" s="14" t="s">
        <v>10</v>
      </c>
      <c r="E2709" s="14" t="s">
        <v>11</v>
      </c>
      <c r="F2709" s="14" t="s">
        <v>18</v>
      </c>
      <c r="G2709" s="14" t="s">
        <v>19</v>
      </c>
      <c r="H2709" s="14" t="s">
        <v>5207</v>
      </c>
      <c r="I2709" s="15" t="s">
        <v>5258</v>
      </c>
      <c r="J2709" s="16" t="str">
        <f>VLOOKUP(B2709,baru!$B$2:$I$2271,4,FALSE)</f>
        <v>Reguler</v>
      </c>
      <c r="K2709" s="16" t="str">
        <f>VLOOKUP(B2709,baru!$B$2:$I$2271,5,FALSE)</f>
        <v>DKI JAKARTA</v>
      </c>
      <c r="L2709" s="16" t="str">
        <f>VLOOKUP(B2709,baru!$B$2:$I$2271,6,FALSE)</f>
        <v>KOTA JAKARTA BARAT</v>
      </c>
    </row>
    <row r="2710" spans="1:12" hidden="1" x14ac:dyDescent="0.35">
      <c r="A2710" s="13">
        <v>1371961</v>
      </c>
      <c r="B2710" s="14" t="str">
        <f>"3328160808910003"</f>
        <v>3328160808910003</v>
      </c>
      <c r="C2710" s="14" t="s">
        <v>5298</v>
      </c>
      <c r="D2710" s="14" t="s">
        <v>10</v>
      </c>
      <c r="E2710" s="14" t="s">
        <v>11</v>
      </c>
      <c r="F2710" s="14" t="s">
        <v>18</v>
      </c>
      <c r="G2710" s="14" t="s">
        <v>19</v>
      </c>
      <c r="H2710" s="14" t="s">
        <v>5207</v>
      </c>
      <c r="I2710" s="15" t="s">
        <v>5223</v>
      </c>
      <c r="J2710" s="16" t="str">
        <f>VLOOKUP(B2710,baru!$B$2:$I$2271,4,FALSE)</f>
        <v>Reguler</v>
      </c>
      <c r="K2710" s="16" t="str">
        <f>VLOOKUP(B2710,baru!$B$2:$I$2271,5,FALSE)</f>
        <v>JAWA TENGAH</v>
      </c>
      <c r="L2710" s="16" t="str">
        <f>VLOOKUP(B2710,baru!$B$2:$I$2271,6,FALSE)</f>
        <v>BREBES</v>
      </c>
    </row>
    <row r="2711" spans="1:12" hidden="1" x14ac:dyDescent="0.35">
      <c r="A2711" s="6">
        <v>397183</v>
      </c>
      <c r="B2711" s="7" t="str">
        <f>"3328160904900003"</f>
        <v>3328160904900003</v>
      </c>
      <c r="C2711" s="7" t="s">
        <v>5300</v>
      </c>
      <c r="D2711" s="7" t="s">
        <v>10</v>
      </c>
      <c r="E2711" s="7" t="s">
        <v>11</v>
      </c>
      <c r="F2711" s="7" t="s">
        <v>91</v>
      </c>
      <c r="G2711" s="7" t="s">
        <v>320</v>
      </c>
      <c r="H2711" s="7" t="s">
        <v>664</v>
      </c>
      <c r="I2711" s="8" t="s">
        <v>3237</v>
      </c>
    </row>
    <row r="2712" spans="1:12" hidden="1" x14ac:dyDescent="0.35">
      <c r="A2712" s="6">
        <v>416323</v>
      </c>
      <c r="B2712" s="7" t="str">
        <f>"3328161001890012"</f>
        <v>3328161001890012</v>
      </c>
      <c r="C2712" s="7" t="s">
        <v>5301</v>
      </c>
      <c r="D2712" s="7" t="s">
        <v>10</v>
      </c>
      <c r="E2712" s="7" t="s">
        <v>11</v>
      </c>
      <c r="F2712" s="7" t="s">
        <v>18</v>
      </c>
      <c r="G2712" s="7" t="s">
        <v>268</v>
      </c>
      <c r="H2712" s="7" t="s">
        <v>448</v>
      </c>
      <c r="I2712" s="8" t="s">
        <v>888</v>
      </c>
    </row>
    <row r="2713" spans="1:12" hidden="1" x14ac:dyDescent="0.35">
      <c r="A2713" s="6">
        <v>544988</v>
      </c>
      <c r="B2713" s="7" t="str">
        <f>"3328161012920002"</f>
        <v>3328161012920002</v>
      </c>
      <c r="C2713" s="7" t="s">
        <v>5302</v>
      </c>
      <c r="D2713" s="7" t="s">
        <v>10</v>
      </c>
      <c r="E2713" s="7" t="s">
        <v>11</v>
      </c>
      <c r="F2713" s="7" t="s">
        <v>783</v>
      </c>
      <c r="G2713" s="7" t="s">
        <v>1112</v>
      </c>
      <c r="H2713" s="7" t="s">
        <v>1113</v>
      </c>
      <c r="I2713" s="8" t="s">
        <v>4810</v>
      </c>
    </row>
    <row r="2714" spans="1:12" hidden="1" x14ac:dyDescent="0.35">
      <c r="A2714" s="6">
        <v>1403449</v>
      </c>
      <c r="B2714" s="7" t="str">
        <f>"3328161204060007"</f>
        <v>3328161204060007</v>
      </c>
      <c r="C2714" s="7" t="s">
        <v>5303</v>
      </c>
      <c r="D2714" s="7" t="s">
        <v>10</v>
      </c>
      <c r="E2714" s="7" t="s">
        <v>11</v>
      </c>
      <c r="F2714" s="7" t="s">
        <v>18</v>
      </c>
      <c r="G2714" s="7" t="s">
        <v>19</v>
      </c>
      <c r="H2714" s="7" t="s">
        <v>5207</v>
      </c>
      <c r="I2714" s="8" t="s">
        <v>5235</v>
      </c>
      <c r="J2714" t="e">
        <f>VLOOKUP(B2714,baru!$B$2:$I$2271,4,FALSE)</f>
        <v>#N/A</v>
      </c>
      <c r="K2714" t="e">
        <f>VLOOKUP(B2714,baru!$B$2:$I$2271,5,FALSE)</f>
        <v>#N/A</v>
      </c>
      <c r="L2714" t="e">
        <f>VLOOKUP(B2714,baru!$B$2:$I$2271,6,FALSE)</f>
        <v>#N/A</v>
      </c>
    </row>
    <row r="2715" spans="1:12" hidden="1" x14ac:dyDescent="0.35">
      <c r="A2715" s="6">
        <v>2618025</v>
      </c>
      <c r="B2715" s="7" t="str">
        <f>"3328161204060007"</f>
        <v>3328161204060007</v>
      </c>
      <c r="C2715" s="7" t="s">
        <v>5303</v>
      </c>
      <c r="D2715" s="7" t="s">
        <v>10</v>
      </c>
      <c r="E2715" s="7" t="s">
        <v>57</v>
      </c>
      <c r="F2715" s="7" t="s">
        <v>18</v>
      </c>
      <c r="G2715" s="7" t="s">
        <v>1438</v>
      </c>
      <c r="H2715" s="7" t="s">
        <v>1439</v>
      </c>
      <c r="I2715" s="8" t="s">
        <v>1440</v>
      </c>
    </row>
    <row r="2716" spans="1:12" hidden="1" x14ac:dyDescent="0.35">
      <c r="A2716" s="6">
        <v>1428832</v>
      </c>
      <c r="B2716" s="7" t="str">
        <f>"3328161312960008"</f>
        <v>3328161312960008</v>
      </c>
      <c r="C2716" s="7" t="s">
        <v>5304</v>
      </c>
      <c r="D2716" s="7" t="s">
        <v>10</v>
      </c>
      <c r="E2716" s="7" t="s">
        <v>11</v>
      </c>
      <c r="F2716" s="7" t="s">
        <v>18</v>
      </c>
      <c r="G2716" s="7" t="s">
        <v>264</v>
      </c>
      <c r="H2716" s="7" t="s">
        <v>248</v>
      </c>
      <c r="I2716" s="8" t="s">
        <v>868</v>
      </c>
    </row>
    <row r="2717" spans="1:12" x14ac:dyDescent="0.35">
      <c r="A2717" s="13">
        <v>1392437</v>
      </c>
      <c r="B2717" s="14" t="str">
        <f>"3328161606960004"</f>
        <v>3328161606960004</v>
      </c>
      <c r="C2717" s="14" t="s">
        <v>5305</v>
      </c>
      <c r="D2717" s="14" t="s">
        <v>189</v>
      </c>
      <c r="E2717" s="14" t="s">
        <v>11</v>
      </c>
      <c r="F2717" s="14" t="s">
        <v>18</v>
      </c>
      <c r="G2717" s="14" t="s">
        <v>19</v>
      </c>
      <c r="H2717" s="14" t="s">
        <v>5207</v>
      </c>
      <c r="I2717" s="15" t="s">
        <v>5217</v>
      </c>
      <c r="J2717" s="16" t="str">
        <f>VLOOKUP(B2717,baru!$B$2:$I$2271,4,FALSE)</f>
        <v>Reguler</v>
      </c>
      <c r="K2717" s="16" t="str">
        <f>VLOOKUP(B2717,baru!$B$2:$I$2271,5,FALSE)</f>
        <v>DAERAH ISTIMEWA YOGYAKARTA</v>
      </c>
      <c r="L2717" s="16" t="str">
        <f>VLOOKUP(B2717,baru!$B$2:$I$2271,6,FALSE)</f>
        <v>SLEMAN</v>
      </c>
    </row>
    <row r="2718" spans="1:12" hidden="1" x14ac:dyDescent="0.35">
      <c r="A2718" s="13">
        <v>1373134</v>
      </c>
      <c r="B2718" s="14" t="str">
        <f>"3328161701950006"</f>
        <v>3328161701950006</v>
      </c>
      <c r="C2718" s="14" t="s">
        <v>5309</v>
      </c>
      <c r="D2718" s="14" t="s">
        <v>10</v>
      </c>
      <c r="E2718" s="14" t="s">
        <v>11</v>
      </c>
      <c r="F2718" s="14" t="s">
        <v>18</v>
      </c>
      <c r="G2718" s="14" t="s">
        <v>19</v>
      </c>
      <c r="H2718" s="14" t="s">
        <v>5207</v>
      </c>
      <c r="I2718" s="15" t="s">
        <v>5223</v>
      </c>
      <c r="J2718" s="16" t="str">
        <f>VLOOKUP(B2718,baru!$B$2:$I$2271,4,FALSE)</f>
        <v>Reguler</v>
      </c>
      <c r="K2718" s="16" t="str">
        <f>VLOOKUP(B2718,baru!$B$2:$I$2271,5,FALSE)</f>
        <v>JAWA TENGAH</v>
      </c>
      <c r="L2718" s="16" t="str">
        <f>VLOOKUP(B2718,baru!$B$2:$I$2271,6,FALSE)</f>
        <v>BLORA</v>
      </c>
    </row>
    <row r="2719" spans="1:12" hidden="1" x14ac:dyDescent="0.35">
      <c r="A2719" s="6">
        <v>1394667</v>
      </c>
      <c r="B2719" s="7" t="str">
        <f>"3328161704000004"</f>
        <v>3328161704000004</v>
      </c>
      <c r="C2719" s="7" t="s">
        <v>5311</v>
      </c>
      <c r="D2719" s="7" t="s">
        <v>10</v>
      </c>
      <c r="E2719" s="7" t="s">
        <v>11</v>
      </c>
      <c r="F2719" s="7" t="s">
        <v>18</v>
      </c>
      <c r="G2719" s="7" t="s">
        <v>19</v>
      </c>
      <c r="H2719" s="7" t="s">
        <v>5207</v>
      </c>
      <c r="I2719" s="8" t="s">
        <v>5217</v>
      </c>
      <c r="J2719" t="e">
        <f>VLOOKUP(B2719,baru!$B$2:$I$2271,4,FALSE)</f>
        <v>#N/A</v>
      </c>
      <c r="K2719" t="e">
        <f>VLOOKUP(B2719,baru!$B$2:$I$2271,5,FALSE)</f>
        <v>#N/A</v>
      </c>
      <c r="L2719" t="e">
        <f>VLOOKUP(B2719,baru!$B$2:$I$2271,6,FALSE)</f>
        <v>#N/A</v>
      </c>
    </row>
    <row r="2720" spans="1:12" hidden="1" x14ac:dyDescent="0.35">
      <c r="A2720" s="6">
        <v>1350417</v>
      </c>
      <c r="B2720" s="7" t="str">
        <f>"3328161704000004"</f>
        <v>3328161704000004</v>
      </c>
      <c r="C2720" s="7" t="s">
        <v>5311</v>
      </c>
      <c r="D2720" s="7" t="s">
        <v>10</v>
      </c>
      <c r="E2720" s="7" t="s">
        <v>57</v>
      </c>
      <c r="F2720" s="7" t="s">
        <v>303</v>
      </c>
      <c r="G2720" s="7" t="s">
        <v>608</v>
      </c>
      <c r="H2720" s="7" t="s">
        <v>609</v>
      </c>
      <c r="I2720" s="8" t="s">
        <v>610</v>
      </c>
    </row>
    <row r="2721" spans="1:12" hidden="1" x14ac:dyDescent="0.35">
      <c r="A2721" s="17">
        <v>1375842</v>
      </c>
      <c r="B2721" s="18" t="str">
        <f>"3328161708810011"</f>
        <v>3328161708810011</v>
      </c>
      <c r="C2721" s="18" t="s">
        <v>5312</v>
      </c>
      <c r="D2721" s="18" t="s">
        <v>10</v>
      </c>
      <c r="E2721" s="18" t="s">
        <v>11</v>
      </c>
      <c r="F2721" s="18" t="s">
        <v>18</v>
      </c>
      <c r="G2721" s="18" t="s">
        <v>19</v>
      </c>
      <c r="H2721" s="18" t="s">
        <v>5207</v>
      </c>
      <c r="I2721" s="19" t="s">
        <v>5242</v>
      </c>
      <c r="J2721" s="20" t="str">
        <f>VLOOKUP(B2721,baru!$B$2:$I$2271,4,FALSE)</f>
        <v>Khusus</v>
      </c>
      <c r="K2721" s="20" t="str">
        <f>VLOOKUP(B2721,baru!$B$2:$I$2271,5,FALSE)</f>
        <v>PAPUA BARAT</v>
      </c>
      <c r="L2721" s="20" t="str">
        <f>VLOOKUP(B2721,baru!$B$2:$I$2271,6,FALSE)</f>
        <v>KAIMANA</v>
      </c>
    </row>
    <row r="2722" spans="1:12" hidden="1" x14ac:dyDescent="0.35">
      <c r="A2722" s="6">
        <v>615969</v>
      </c>
      <c r="B2722" s="7" t="str">
        <f>"3328161905910007"</f>
        <v>3328161905910007</v>
      </c>
      <c r="C2722" s="7" t="s">
        <v>5313</v>
      </c>
      <c r="D2722" s="7" t="s">
        <v>10</v>
      </c>
      <c r="E2722" s="7" t="s">
        <v>11</v>
      </c>
      <c r="F2722" s="7" t="s">
        <v>50</v>
      </c>
      <c r="G2722" s="7" t="s">
        <v>51</v>
      </c>
      <c r="H2722" s="7" t="s">
        <v>425</v>
      </c>
      <c r="I2722" s="8" t="s">
        <v>5314</v>
      </c>
    </row>
    <row r="2723" spans="1:12" hidden="1" x14ac:dyDescent="0.35">
      <c r="A2723" s="6">
        <v>1116603</v>
      </c>
      <c r="B2723" s="7" t="str">
        <f>"3328162204790005"</f>
        <v>3328162204790005</v>
      </c>
      <c r="C2723" s="7" t="s">
        <v>5316</v>
      </c>
      <c r="D2723" s="7" t="s">
        <v>10</v>
      </c>
      <c r="E2723" s="7" t="s">
        <v>11</v>
      </c>
      <c r="F2723" s="7" t="s">
        <v>91</v>
      </c>
      <c r="G2723" s="7" t="s">
        <v>2364</v>
      </c>
      <c r="H2723" s="7" t="s">
        <v>5317</v>
      </c>
      <c r="I2723" s="8" t="s">
        <v>5318</v>
      </c>
    </row>
    <row r="2724" spans="1:12" hidden="1" x14ac:dyDescent="0.35">
      <c r="A2724" s="6">
        <v>138165</v>
      </c>
      <c r="B2724" s="7" t="str">
        <f>"3328162303020004"</f>
        <v>3328162303020004</v>
      </c>
      <c r="C2724" s="7" t="s">
        <v>5319</v>
      </c>
      <c r="D2724" s="7" t="s">
        <v>10</v>
      </c>
      <c r="E2724" s="7" t="s">
        <v>11</v>
      </c>
      <c r="F2724" s="7" t="s">
        <v>50</v>
      </c>
      <c r="G2724" s="7" t="s">
        <v>51</v>
      </c>
      <c r="H2724" s="7" t="s">
        <v>62</v>
      </c>
      <c r="I2724" s="8" t="s">
        <v>63</v>
      </c>
    </row>
    <row r="2725" spans="1:12" hidden="1" x14ac:dyDescent="0.35">
      <c r="A2725" s="17">
        <v>1375359</v>
      </c>
      <c r="B2725" s="18" t="str">
        <f>"3328162511930003"</f>
        <v>3328162511930003</v>
      </c>
      <c r="C2725" s="18" t="s">
        <v>5076</v>
      </c>
      <c r="D2725" s="18" t="s">
        <v>10</v>
      </c>
      <c r="E2725" s="18" t="s">
        <v>11</v>
      </c>
      <c r="F2725" s="18" t="s">
        <v>18</v>
      </c>
      <c r="G2725" s="18" t="s">
        <v>19</v>
      </c>
      <c r="H2725" s="18" t="s">
        <v>5207</v>
      </c>
      <c r="I2725" s="19" t="s">
        <v>5242</v>
      </c>
      <c r="J2725" s="20" t="str">
        <f>VLOOKUP(B2725,baru!$B$2:$I$2271,4,FALSE)</f>
        <v>Khusus</v>
      </c>
      <c r="K2725" s="20" t="str">
        <f>VLOOKUP(B2725,baru!$B$2:$I$2271,5,FALSE)</f>
        <v>PAPUA BARAT</v>
      </c>
      <c r="L2725" s="20" t="str">
        <f>VLOOKUP(B2725,baru!$B$2:$I$2271,6,FALSE)</f>
        <v>KAIMANA</v>
      </c>
    </row>
    <row r="2726" spans="1:12" hidden="1" x14ac:dyDescent="0.35">
      <c r="A2726" s="13">
        <v>1369810</v>
      </c>
      <c r="B2726" s="14" t="str">
        <f>"3328162803040004"</f>
        <v>3328162803040004</v>
      </c>
      <c r="C2726" s="14" t="s">
        <v>5322</v>
      </c>
      <c r="D2726" s="14" t="s">
        <v>10</v>
      </c>
      <c r="E2726" s="14" t="s">
        <v>11</v>
      </c>
      <c r="F2726" s="14" t="s">
        <v>18</v>
      </c>
      <c r="G2726" s="14" t="s">
        <v>19</v>
      </c>
      <c r="H2726" s="14" t="s">
        <v>5207</v>
      </c>
      <c r="I2726" s="15" t="s">
        <v>5223</v>
      </c>
      <c r="J2726" s="16" t="str">
        <f>VLOOKUP(B2726,baru!$B$2:$I$2271,4,FALSE)</f>
        <v>Reguler</v>
      </c>
      <c r="K2726" s="16" t="str">
        <f>VLOOKUP(B2726,baru!$B$2:$I$2271,5,FALSE)</f>
        <v>JAWA TENGAH</v>
      </c>
      <c r="L2726" s="16" t="str">
        <f>VLOOKUP(B2726,baru!$B$2:$I$2271,6,FALSE)</f>
        <v>CILACAP</v>
      </c>
    </row>
    <row r="2727" spans="1:12" hidden="1" x14ac:dyDescent="0.35">
      <c r="A2727" s="17">
        <v>1375616</v>
      </c>
      <c r="B2727" s="18" t="str">
        <f>"3328162907940001"</f>
        <v>3328162907940001</v>
      </c>
      <c r="C2727" s="18" t="s">
        <v>5325</v>
      </c>
      <c r="D2727" s="18" t="s">
        <v>10</v>
      </c>
      <c r="E2727" s="18" t="s">
        <v>11</v>
      </c>
      <c r="F2727" s="18" t="s">
        <v>18</v>
      </c>
      <c r="G2727" s="18" t="s">
        <v>19</v>
      </c>
      <c r="H2727" s="18" t="s">
        <v>5207</v>
      </c>
      <c r="I2727" s="19" t="s">
        <v>5242</v>
      </c>
      <c r="J2727" s="20" t="str">
        <f>VLOOKUP(B2727,baru!$B$2:$I$2271,4,FALSE)</f>
        <v>Khusus</v>
      </c>
      <c r="K2727" s="20" t="str">
        <f>VLOOKUP(B2727,baru!$B$2:$I$2271,5,FALSE)</f>
        <v>PAPUA BARAT</v>
      </c>
      <c r="L2727" s="20" t="str">
        <f>VLOOKUP(B2727,baru!$B$2:$I$2271,6,FALSE)</f>
        <v>KAIMANA</v>
      </c>
    </row>
    <row r="2728" spans="1:12" hidden="1" x14ac:dyDescent="0.35">
      <c r="A2728" s="6">
        <v>1340643</v>
      </c>
      <c r="B2728" s="7" t="str">
        <f>"3328163004770009"</f>
        <v>3328163004770009</v>
      </c>
      <c r="C2728" s="7" t="s">
        <v>5326</v>
      </c>
      <c r="D2728" s="7" t="s">
        <v>10</v>
      </c>
      <c r="E2728" s="7" t="s">
        <v>11</v>
      </c>
      <c r="F2728" s="7" t="s">
        <v>18</v>
      </c>
      <c r="G2728" s="7" t="s">
        <v>19</v>
      </c>
      <c r="H2728" s="7" t="s">
        <v>5207</v>
      </c>
      <c r="I2728" s="8" t="s">
        <v>5239</v>
      </c>
      <c r="J2728" t="e">
        <f>VLOOKUP(B2728,baru!$B$2:$I$2271,4,FALSE)</f>
        <v>#N/A</v>
      </c>
      <c r="K2728" t="e">
        <f>VLOOKUP(B2728,baru!$B$2:$I$2271,5,FALSE)</f>
        <v>#N/A</v>
      </c>
      <c r="L2728" t="e">
        <f>VLOOKUP(B2728,baru!$B$2:$I$2271,6,FALSE)</f>
        <v>#N/A</v>
      </c>
    </row>
    <row r="2729" spans="1:12" hidden="1" x14ac:dyDescent="0.35">
      <c r="A2729" s="6">
        <v>423881</v>
      </c>
      <c r="B2729" s="7" t="str">
        <f>"3328163004770009"</f>
        <v>3328163004770009</v>
      </c>
      <c r="C2729" s="7" t="s">
        <v>5327</v>
      </c>
      <c r="D2729" s="7" t="s">
        <v>10</v>
      </c>
      <c r="E2729" s="7" t="s">
        <v>57</v>
      </c>
      <c r="F2729" s="7" t="s">
        <v>18</v>
      </c>
      <c r="G2729" s="7" t="s">
        <v>268</v>
      </c>
      <c r="H2729" s="7" t="s">
        <v>277</v>
      </c>
      <c r="I2729" s="8" t="s">
        <v>278</v>
      </c>
    </row>
    <row r="2730" spans="1:12" hidden="1" x14ac:dyDescent="0.35">
      <c r="A2730" s="6">
        <v>2552776</v>
      </c>
      <c r="B2730" s="7" t="str">
        <f>"3328164207810009"</f>
        <v>3328164207810009</v>
      </c>
      <c r="C2730" s="7" t="s">
        <v>5328</v>
      </c>
      <c r="D2730" s="7" t="s">
        <v>10</v>
      </c>
      <c r="E2730" s="7" t="s">
        <v>11</v>
      </c>
      <c r="F2730" s="7" t="s">
        <v>67</v>
      </c>
      <c r="G2730" s="7" t="s">
        <v>512</v>
      </c>
      <c r="H2730" s="7" t="s">
        <v>513</v>
      </c>
      <c r="I2730" s="8" t="s">
        <v>514</v>
      </c>
    </row>
    <row r="2731" spans="1:12" hidden="1" x14ac:dyDescent="0.35">
      <c r="A2731" s="13">
        <v>1389582</v>
      </c>
      <c r="B2731" s="14" t="str">
        <f>"3328164405990003"</f>
        <v>3328164405990003</v>
      </c>
      <c r="C2731" s="14" t="s">
        <v>5329</v>
      </c>
      <c r="D2731" s="14" t="s">
        <v>10</v>
      </c>
      <c r="E2731" s="14" t="s">
        <v>11</v>
      </c>
      <c r="F2731" s="14" t="s">
        <v>18</v>
      </c>
      <c r="G2731" s="14" t="s">
        <v>19</v>
      </c>
      <c r="H2731" s="14" t="s">
        <v>5207</v>
      </c>
      <c r="I2731" s="15" t="s">
        <v>5217</v>
      </c>
      <c r="J2731" s="16" t="str">
        <f>VLOOKUP(B2731,baru!$B$2:$I$2271,4,FALSE)</f>
        <v>Reguler</v>
      </c>
      <c r="K2731" s="16" t="str">
        <f>VLOOKUP(B2731,baru!$B$2:$I$2271,5,FALSE)</f>
        <v>JAWA TENGAH</v>
      </c>
      <c r="L2731" s="16" t="str">
        <f>VLOOKUP(B2731,baru!$B$2:$I$2271,6,FALSE)</f>
        <v>BANYUMAS</v>
      </c>
    </row>
    <row r="2732" spans="1:12" hidden="1" x14ac:dyDescent="0.35">
      <c r="A2732" s="6">
        <v>417846</v>
      </c>
      <c r="B2732" s="7" t="str">
        <f>"3328164406890005"</f>
        <v>3328164406890005</v>
      </c>
      <c r="C2732" s="7" t="s">
        <v>5332</v>
      </c>
      <c r="D2732" s="7" t="s">
        <v>10</v>
      </c>
      <c r="E2732" s="7" t="s">
        <v>11</v>
      </c>
      <c r="F2732" s="7" t="s">
        <v>379</v>
      </c>
      <c r="G2732" s="7" t="s">
        <v>1202</v>
      </c>
      <c r="H2732" s="7" t="s">
        <v>5333</v>
      </c>
      <c r="I2732" s="8" t="s">
        <v>5334</v>
      </c>
    </row>
    <row r="2733" spans="1:12" hidden="1" x14ac:dyDescent="0.35">
      <c r="A2733" s="13">
        <v>1404931</v>
      </c>
      <c r="B2733" s="14" t="str">
        <f>"3328164504560001"</f>
        <v>3328164504560001</v>
      </c>
      <c r="C2733" s="14" t="s">
        <v>1935</v>
      </c>
      <c r="D2733" s="14" t="s">
        <v>10</v>
      </c>
      <c r="E2733" s="14" t="s">
        <v>11</v>
      </c>
      <c r="F2733" s="14" t="s">
        <v>18</v>
      </c>
      <c r="G2733" s="14" t="s">
        <v>19</v>
      </c>
      <c r="H2733" s="14" t="s">
        <v>5207</v>
      </c>
      <c r="I2733" s="15" t="s">
        <v>5235</v>
      </c>
      <c r="J2733" s="16" t="str">
        <f>VLOOKUP(B2733,baru!$B$2:$I$2271,4,FALSE)</f>
        <v>Reguler</v>
      </c>
      <c r="K2733" s="16" t="str">
        <f>VLOOKUP(B2733,baru!$B$2:$I$2271,5,FALSE)</f>
        <v>JAWA BARAT</v>
      </c>
      <c r="L2733" s="16" t="str">
        <f>VLOOKUP(B2733,baru!$B$2:$I$2271,6,FALSE)</f>
        <v>KUNINGAN</v>
      </c>
    </row>
    <row r="2734" spans="1:12" hidden="1" x14ac:dyDescent="0.35">
      <c r="A2734" s="13">
        <v>1369811</v>
      </c>
      <c r="B2734" s="14" t="str">
        <f>"3328164604820011"</f>
        <v>3328164604820011</v>
      </c>
      <c r="C2734" s="14" t="s">
        <v>5338</v>
      </c>
      <c r="D2734" s="14" t="s">
        <v>10</v>
      </c>
      <c r="E2734" s="14" t="s">
        <v>11</v>
      </c>
      <c r="F2734" s="14" t="s">
        <v>18</v>
      </c>
      <c r="G2734" s="14" t="s">
        <v>19</v>
      </c>
      <c r="H2734" s="14" t="s">
        <v>5207</v>
      </c>
      <c r="I2734" s="15" t="s">
        <v>5223</v>
      </c>
      <c r="J2734" s="16" t="str">
        <f>VLOOKUP(B2734,baru!$B$2:$I$2271,4,FALSE)</f>
        <v>Reguler</v>
      </c>
      <c r="K2734" s="16" t="str">
        <f>VLOOKUP(B2734,baru!$B$2:$I$2271,5,FALSE)</f>
        <v>JAWA TENGAH</v>
      </c>
      <c r="L2734" s="16" t="str">
        <f>VLOOKUP(B2734,baru!$B$2:$I$2271,6,FALSE)</f>
        <v>CILACAP</v>
      </c>
    </row>
    <row r="2735" spans="1:12" hidden="1" x14ac:dyDescent="0.35">
      <c r="A2735" s="6">
        <v>1336500</v>
      </c>
      <c r="B2735" s="7" t="str">
        <f>"3328164608050003"</f>
        <v>3328164608050003</v>
      </c>
      <c r="C2735" s="7" t="s">
        <v>5339</v>
      </c>
      <c r="D2735" s="7" t="s">
        <v>10</v>
      </c>
      <c r="E2735" s="7" t="s">
        <v>11</v>
      </c>
      <c r="F2735" s="7" t="s">
        <v>18</v>
      </c>
      <c r="G2735" s="7" t="s">
        <v>19</v>
      </c>
      <c r="H2735" s="7" t="s">
        <v>5207</v>
      </c>
      <c r="I2735" s="8" t="s">
        <v>5276</v>
      </c>
      <c r="J2735" t="e">
        <f>VLOOKUP(B2735,baru!$B$2:$I$2271,4,FALSE)</f>
        <v>#N/A</v>
      </c>
      <c r="K2735" t="e">
        <f>VLOOKUP(B2735,baru!$B$2:$I$2271,5,FALSE)</f>
        <v>#N/A</v>
      </c>
      <c r="L2735" t="e">
        <f>VLOOKUP(B2735,baru!$B$2:$I$2271,6,FALSE)</f>
        <v>#N/A</v>
      </c>
    </row>
    <row r="2736" spans="1:12" hidden="1" x14ac:dyDescent="0.35">
      <c r="A2736" s="6">
        <v>1819397</v>
      </c>
      <c r="B2736" s="7" t="str">
        <f>"3328164608050003"</f>
        <v>3328164608050003</v>
      </c>
      <c r="C2736" s="7" t="s">
        <v>5340</v>
      </c>
      <c r="D2736" s="7" t="s">
        <v>10</v>
      </c>
      <c r="E2736" s="7" t="s">
        <v>11</v>
      </c>
      <c r="F2736" s="7" t="s">
        <v>18</v>
      </c>
      <c r="G2736" s="7" t="s">
        <v>199</v>
      </c>
      <c r="H2736" s="7" t="s">
        <v>595</v>
      </c>
      <c r="I2736" s="8" t="s">
        <v>596</v>
      </c>
    </row>
    <row r="2737" spans="1:12" hidden="1" x14ac:dyDescent="0.35">
      <c r="A2737" s="13">
        <v>1410557</v>
      </c>
      <c r="B2737" s="14" t="str">
        <f>"3328164704920007"</f>
        <v>3328164704920007</v>
      </c>
      <c r="C2737" s="14" t="s">
        <v>5341</v>
      </c>
      <c r="D2737" s="14" t="s">
        <v>10</v>
      </c>
      <c r="E2737" s="14" t="s">
        <v>11</v>
      </c>
      <c r="F2737" s="14" t="s">
        <v>18</v>
      </c>
      <c r="G2737" s="14" t="s">
        <v>19</v>
      </c>
      <c r="H2737" s="14" t="s">
        <v>5207</v>
      </c>
      <c r="I2737" s="15" t="s">
        <v>5235</v>
      </c>
      <c r="J2737" s="16" t="str">
        <f>VLOOKUP(B2737,baru!$B$2:$I$2271,4,FALSE)</f>
        <v>Reguler</v>
      </c>
      <c r="K2737" s="16" t="str">
        <f>VLOOKUP(B2737,baru!$B$2:$I$2271,5,FALSE)</f>
        <v>DKI JAKARTA</v>
      </c>
      <c r="L2737" s="16" t="str">
        <f>VLOOKUP(B2737,baru!$B$2:$I$2271,6,FALSE)</f>
        <v>KOTA JAKARTA BARAT</v>
      </c>
    </row>
    <row r="2738" spans="1:12" hidden="1" x14ac:dyDescent="0.35">
      <c r="A2738" s="6">
        <v>1778929</v>
      </c>
      <c r="B2738" s="7" t="str">
        <f>"3328165012900001"</f>
        <v>3328165012900001</v>
      </c>
      <c r="C2738" s="7" t="s">
        <v>5342</v>
      </c>
      <c r="D2738" s="7" t="s">
        <v>10</v>
      </c>
      <c r="E2738" s="7" t="s">
        <v>11</v>
      </c>
      <c r="F2738" s="7" t="s">
        <v>91</v>
      </c>
      <c r="G2738" s="7" t="s">
        <v>159</v>
      </c>
      <c r="H2738" s="7" t="s">
        <v>1332</v>
      </c>
      <c r="I2738" s="8" t="s">
        <v>2200</v>
      </c>
    </row>
    <row r="2739" spans="1:12" x14ac:dyDescent="0.35">
      <c r="A2739" s="6">
        <v>1309307</v>
      </c>
      <c r="B2739" s="7" t="str">
        <f>"3328165012900001"</f>
        <v>3328165012900001</v>
      </c>
      <c r="C2739" s="7" t="s">
        <v>5343</v>
      </c>
      <c r="D2739" s="7" t="s">
        <v>189</v>
      </c>
      <c r="E2739" s="7" t="s">
        <v>11</v>
      </c>
      <c r="F2739" s="7" t="s">
        <v>18</v>
      </c>
      <c r="G2739" s="7" t="s">
        <v>19</v>
      </c>
      <c r="H2739" s="7" t="s">
        <v>5207</v>
      </c>
      <c r="I2739" s="8" t="s">
        <v>674</v>
      </c>
      <c r="J2739" t="e">
        <f>VLOOKUP(B2739,baru!$B$2:$I$2271,4,FALSE)</f>
        <v>#N/A</v>
      </c>
      <c r="K2739" t="e">
        <f>VLOOKUP(B2739,baru!$B$2:$I$2271,5,FALSE)</f>
        <v>#N/A</v>
      </c>
      <c r="L2739" t="e">
        <f>VLOOKUP(B2739,baru!$B$2:$I$2271,6,FALSE)</f>
        <v>#N/A</v>
      </c>
    </row>
    <row r="2740" spans="1:12" hidden="1" x14ac:dyDescent="0.35">
      <c r="A2740" s="13">
        <v>1405688</v>
      </c>
      <c r="B2740" s="14" t="str">
        <f>"3328165012930008"</f>
        <v>3328165012930008</v>
      </c>
      <c r="C2740" s="14" t="s">
        <v>5344</v>
      </c>
      <c r="D2740" s="14" t="s">
        <v>10</v>
      </c>
      <c r="E2740" s="14" t="s">
        <v>11</v>
      </c>
      <c r="F2740" s="14" t="s">
        <v>18</v>
      </c>
      <c r="G2740" s="14" t="s">
        <v>19</v>
      </c>
      <c r="H2740" s="14" t="s">
        <v>5207</v>
      </c>
      <c r="I2740" s="15" t="s">
        <v>5235</v>
      </c>
      <c r="J2740" s="16" t="str">
        <f>VLOOKUP(B2740,baru!$B$2:$I$2271,4,FALSE)</f>
        <v>Reguler</v>
      </c>
      <c r="K2740" s="16" t="str">
        <f>VLOOKUP(B2740,baru!$B$2:$I$2271,5,FALSE)</f>
        <v>JAWA TENGAH</v>
      </c>
      <c r="L2740" s="16" t="str">
        <f>VLOOKUP(B2740,baru!$B$2:$I$2271,6,FALSE)</f>
        <v>KARANGANYAR</v>
      </c>
    </row>
    <row r="2741" spans="1:12" hidden="1" x14ac:dyDescent="0.35">
      <c r="A2741" s="6">
        <v>144752</v>
      </c>
      <c r="B2741" s="7" t="str">
        <f>"3328165202040001"</f>
        <v>3328165202040001</v>
      </c>
      <c r="C2741" s="7" t="s">
        <v>5347</v>
      </c>
      <c r="D2741" s="7" t="s">
        <v>10</v>
      </c>
      <c r="E2741" s="7" t="s">
        <v>11</v>
      </c>
      <c r="F2741" s="7" t="s">
        <v>232</v>
      </c>
      <c r="G2741" s="7" t="s">
        <v>5348</v>
      </c>
      <c r="H2741" s="7" t="s">
        <v>5349</v>
      </c>
      <c r="I2741" s="8" t="s">
        <v>5350</v>
      </c>
    </row>
    <row r="2742" spans="1:12" hidden="1" x14ac:dyDescent="0.35">
      <c r="A2742" s="6">
        <v>1342084</v>
      </c>
      <c r="B2742" s="7" t="str">
        <f>"3328165203030003"</f>
        <v>3328165203030003</v>
      </c>
      <c r="C2742" s="7" t="s">
        <v>5351</v>
      </c>
      <c r="D2742" s="7" t="s">
        <v>10</v>
      </c>
      <c r="E2742" s="7" t="s">
        <v>11</v>
      </c>
      <c r="F2742" s="7" t="s">
        <v>18</v>
      </c>
      <c r="G2742" s="7" t="s">
        <v>19</v>
      </c>
      <c r="H2742" s="7" t="s">
        <v>5207</v>
      </c>
      <c r="I2742" s="8" t="s">
        <v>5239</v>
      </c>
      <c r="J2742" t="e">
        <f>VLOOKUP(B2742,baru!$B$2:$I$2271,4,FALSE)</f>
        <v>#N/A</v>
      </c>
      <c r="K2742" t="e">
        <f>VLOOKUP(B2742,baru!$B$2:$I$2271,5,FALSE)</f>
        <v>#N/A</v>
      </c>
      <c r="L2742" t="e">
        <f>VLOOKUP(B2742,baru!$B$2:$I$2271,6,FALSE)</f>
        <v>#N/A</v>
      </c>
    </row>
    <row r="2743" spans="1:12" hidden="1" x14ac:dyDescent="0.35">
      <c r="A2743" s="6">
        <v>1352914</v>
      </c>
      <c r="B2743" s="7" t="str">
        <f>"3328165203030003"</f>
        <v>3328165203030003</v>
      </c>
      <c r="C2743" s="7" t="s">
        <v>5352</v>
      </c>
      <c r="D2743" s="7" t="s">
        <v>10</v>
      </c>
      <c r="E2743" s="7" t="s">
        <v>57</v>
      </c>
      <c r="F2743" s="7" t="s">
        <v>303</v>
      </c>
      <c r="G2743" s="7" t="s">
        <v>608</v>
      </c>
      <c r="H2743" s="7" t="s">
        <v>609</v>
      </c>
      <c r="I2743" s="8" t="s">
        <v>610</v>
      </c>
    </row>
    <row r="2744" spans="1:12" hidden="1" x14ac:dyDescent="0.35">
      <c r="A2744" s="6">
        <v>264051</v>
      </c>
      <c r="B2744" s="7" t="str">
        <f>"3328165304880002"</f>
        <v>3328165304880002</v>
      </c>
      <c r="C2744" s="7" t="s">
        <v>5353</v>
      </c>
      <c r="D2744" s="7" t="s">
        <v>10</v>
      </c>
      <c r="E2744" s="7" t="s">
        <v>11</v>
      </c>
      <c r="F2744" s="7" t="s">
        <v>18</v>
      </c>
      <c r="G2744" s="7" t="s">
        <v>951</v>
      </c>
      <c r="H2744" s="7" t="s">
        <v>2651</v>
      </c>
      <c r="I2744" s="8" t="s">
        <v>5274</v>
      </c>
    </row>
    <row r="2745" spans="1:12" hidden="1" x14ac:dyDescent="0.35">
      <c r="A2745" s="6">
        <v>1356590</v>
      </c>
      <c r="B2745" s="7" t="str">
        <f>"3328165501070007"</f>
        <v>3328165501070007</v>
      </c>
      <c r="C2745" s="7" t="s">
        <v>5354</v>
      </c>
      <c r="D2745" s="7" t="s">
        <v>10</v>
      </c>
      <c r="E2745" s="7" t="s">
        <v>11</v>
      </c>
      <c r="F2745" s="7" t="s">
        <v>50</v>
      </c>
      <c r="G2745" s="7" t="s">
        <v>72</v>
      </c>
      <c r="H2745" s="7" t="s">
        <v>628</v>
      </c>
      <c r="I2745" s="8" t="s">
        <v>1469</v>
      </c>
    </row>
    <row r="2746" spans="1:12" hidden="1" x14ac:dyDescent="0.35">
      <c r="A2746" s="6">
        <v>575249</v>
      </c>
      <c r="B2746" s="7" t="str">
        <f>"3328165506810003"</f>
        <v>3328165506810003</v>
      </c>
      <c r="C2746" s="7" t="s">
        <v>5355</v>
      </c>
      <c r="D2746" s="7" t="s">
        <v>10</v>
      </c>
      <c r="E2746" s="7" t="s">
        <v>11</v>
      </c>
      <c r="F2746" s="7" t="s">
        <v>18</v>
      </c>
      <c r="G2746" s="7" t="s">
        <v>264</v>
      </c>
      <c r="H2746" s="7" t="s">
        <v>264</v>
      </c>
      <c r="I2746" s="8" t="s">
        <v>3727</v>
      </c>
    </row>
    <row r="2747" spans="1:12" hidden="1" x14ac:dyDescent="0.35">
      <c r="A2747" s="6">
        <v>1341106</v>
      </c>
      <c r="B2747" s="7" t="str">
        <f>"3328165510780005"</f>
        <v>3328165510780005</v>
      </c>
      <c r="C2747" s="7" t="s">
        <v>4698</v>
      </c>
      <c r="D2747" s="7" t="s">
        <v>10</v>
      </c>
      <c r="E2747" s="7" t="s">
        <v>11</v>
      </c>
      <c r="F2747" s="7" t="s">
        <v>18</v>
      </c>
      <c r="G2747" s="7" t="s">
        <v>19</v>
      </c>
      <c r="H2747" s="7" t="s">
        <v>5207</v>
      </c>
      <c r="I2747" s="8" t="s">
        <v>5239</v>
      </c>
      <c r="J2747" t="e">
        <f>VLOOKUP(B2747,baru!$B$2:$I$2271,4,FALSE)</f>
        <v>#N/A</v>
      </c>
      <c r="K2747" t="e">
        <f>VLOOKUP(B2747,baru!$B$2:$I$2271,5,FALSE)</f>
        <v>#N/A</v>
      </c>
      <c r="L2747" t="e">
        <f>VLOOKUP(B2747,baru!$B$2:$I$2271,6,FALSE)</f>
        <v>#N/A</v>
      </c>
    </row>
    <row r="2748" spans="1:12" hidden="1" x14ac:dyDescent="0.35">
      <c r="A2748" s="6">
        <v>1349043</v>
      </c>
      <c r="B2748" s="7" t="str">
        <f>"3328165510780005"</f>
        <v>3328165510780005</v>
      </c>
      <c r="C2748" s="7" t="s">
        <v>5357</v>
      </c>
      <c r="D2748" s="7" t="s">
        <v>10</v>
      </c>
      <c r="E2748" s="7" t="s">
        <v>57</v>
      </c>
      <c r="F2748" s="7" t="s">
        <v>303</v>
      </c>
      <c r="G2748" s="7" t="s">
        <v>608</v>
      </c>
      <c r="H2748" s="7" t="s">
        <v>609</v>
      </c>
      <c r="I2748" s="8" t="s">
        <v>610</v>
      </c>
    </row>
    <row r="2749" spans="1:12" hidden="1" x14ac:dyDescent="0.35">
      <c r="A2749" s="13">
        <v>1343977</v>
      </c>
      <c r="B2749" s="14" t="str">
        <f>"3328165512960004"</f>
        <v>3328165512960004</v>
      </c>
      <c r="C2749" s="14" t="s">
        <v>5358</v>
      </c>
      <c r="D2749" s="14" t="s">
        <v>10</v>
      </c>
      <c r="E2749" s="14" t="s">
        <v>11</v>
      </c>
      <c r="F2749" s="14" t="s">
        <v>18</v>
      </c>
      <c r="G2749" s="14" t="s">
        <v>19</v>
      </c>
      <c r="H2749" s="14" t="s">
        <v>5207</v>
      </c>
      <c r="I2749" s="15" t="s">
        <v>5239</v>
      </c>
      <c r="J2749" s="16" t="str">
        <f>VLOOKUP(B2749,baru!$B$2:$I$2271,4,FALSE)</f>
        <v>Reguler</v>
      </c>
      <c r="K2749" s="16" t="str">
        <f>VLOOKUP(B2749,baru!$B$2:$I$2271,5,FALSE)</f>
        <v>DKI JAKARTA</v>
      </c>
      <c r="L2749" s="16" t="str">
        <f>VLOOKUP(B2749,baru!$B$2:$I$2271,6,FALSE)</f>
        <v>KOTA JAKARTA BARAT</v>
      </c>
    </row>
    <row r="2750" spans="1:12" hidden="1" x14ac:dyDescent="0.35">
      <c r="A2750" s="6">
        <v>117368</v>
      </c>
      <c r="B2750" s="7" t="str">
        <f>"3328166002970002"</f>
        <v>3328166002970002</v>
      </c>
      <c r="C2750" s="7" t="s">
        <v>5360</v>
      </c>
      <c r="D2750" s="7" t="s">
        <v>10</v>
      </c>
      <c r="E2750" s="7" t="s">
        <v>11</v>
      </c>
      <c r="F2750" s="7" t="s">
        <v>44</v>
      </c>
      <c r="G2750" s="7" t="s">
        <v>5361</v>
      </c>
      <c r="H2750" s="7" t="s">
        <v>5362</v>
      </c>
      <c r="I2750" s="8" t="s">
        <v>5363</v>
      </c>
    </row>
    <row r="2751" spans="1:12" hidden="1" x14ac:dyDescent="0.35">
      <c r="A2751" s="6">
        <v>532232</v>
      </c>
      <c r="B2751" s="7" t="str">
        <f>"3328166105900002"</f>
        <v>3328166105900002</v>
      </c>
      <c r="C2751" s="7" t="s">
        <v>5364</v>
      </c>
      <c r="D2751" s="7" t="s">
        <v>10</v>
      </c>
      <c r="E2751" s="7" t="s">
        <v>11</v>
      </c>
      <c r="F2751" s="7" t="s">
        <v>50</v>
      </c>
      <c r="G2751" s="7" t="s">
        <v>51</v>
      </c>
      <c r="H2751" s="7" t="s">
        <v>62</v>
      </c>
      <c r="I2751" s="8" t="s">
        <v>615</v>
      </c>
    </row>
    <row r="2752" spans="1:12" hidden="1" x14ac:dyDescent="0.35">
      <c r="A2752" s="6">
        <v>1342086</v>
      </c>
      <c r="B2752" s="7" t="str">
        <f>"3328166107770002"</f>
        <v>3328166107770002</v>
      </c>
      <c r="C2752" s="7" t="s">
        <v>5365</v>
      </c>
      <c r="D2752" s="7" t="s">
        <v>10</v>
      </c>
      <c r="E2752" s="7" t="s">
        <v>11</v>
      </c>
      <c r="F2752" s="7" t="s">
        <v>18</v>
      </c>
      <c r="G2752" s="7" t="s">
        <v>19</v>
      </c>
      <c r="H2752" s="7" t="s">
        <v>5207</v>
      </c>
      <c r="I2752" s="8" t="s">
        <v>5239</v>
      </c>
      <c r="J2752" t="e">
        <f>VLOOKUP(B2752,baru!$B$2:$I$2271,4,FALSE)</f>
        <v>#N/A</v>
      </c>
      <c r="K2752" t="e">
        <f>VLOOKUP(B2752,baru!$B$2:$I$2271,5,FALSE)</f>
        <v>#N/A</v>
      </c>
      <c r="L2752" t="e">
        <f>VLOOKUP(B2752,baru!$B$2:$I$2271,6,FALSE)</f>
        <v>#N/A</v>
      </c>
    </row>
    <row r="2753" spans="1:12" hidden="1" x14ac:dyDescent="0.35">
      <c r="A2753" s="6">
        <v>1349042</v>
      </c>
      <c r="B2753" s="7" t="str">
        <f>"3328166107770002"</f>
        <v>3328166107770002</v>
      </c>
      <c r="C2753" s="7" t="s">
        <v>5366</v>
      </c>
      <c r="D2753" s="7" t="s">
        <v>10</v>
      </c>
      <c r="E2753" s="7" t="s">
        <v>57</v>
      </c>
      <c r="F2753" s="7" t="s">
        <v>303</v>
      </c>
      <c r="G2753" s="7" t="s">
        <v>608</v>
      </c>
      <c r="H2753" s="7" t="s">
        <v>609</v>
      </c>
      <c r="I2753" s="8" t="s">
        <v>610</v>
      </c>
    </row>
    <row r="2754" spans="1:12" hidden="1" x14ac:dyDescent="0.35">
      <c r="A2754" s="6">
        <v>265943</v>
      </c>
      <c r="B2754" s="7" t="str">
        <f>"3328166208950002"</f>
        <v>3328166208950002</v>
      </c>
      <c r="C2754" s="7" t="s">
        <v>5367</v>
      </c>
      <c r="D2754" s="7" t="s">
        <v>10</v>
      </c>
      <c r="E2754" s="7" t="s">
        <v>11</v>
      </c>
      <c r="F2754" s="7" t="s">
        <v>18</v>
      </c>
      <c r="G2754" s="7" t="s">
        <v>268</v>
      </c>
      <c r="H2754" s="7" t="s">
        <v>371</v>
      </c>
      <c r="I2754" s="8" t="s">
        <v>497</v>
      </c>
    </row>
    <row r="2755" spans="1:12" hidden="1" x14ac:dyDescent="0.35">
      <c r="A2755" s="6">
        <v>152407</v>
      </c>
      <c r="B2755" s="7" t="str">
        <f>"3328166406760003"</f>
        <v>3328166406760003</v>
      </c>
      <c r="C2755" s="7" t="s">
        <v>5368</v>
      </c>
      <c r="D2755" s="7" t="s">
        <v>10</v>
      </c>
      <c r="E2755" s="7" t="s">
        <v>11</v>
      </c>
      <c r="F2755" s="7" t="s">
        <v>91</v>
      </c>
      <c r="G2755" s="7" t="s">
        <v>159</v>
      </c>
      <c r="H2755" s="7" t="s">
        <v>685</v>
      </c>
      <c r="I2755" s="8" t="s">
        <v>686</v>
      </c>
    </row>
    <row r="2756" spans="1:12" hidden="1" x14ac:dyDescent="0.35">
      <c r="A2756" s="6">
        <v>861893</v>
      </c>
      <c r="B2756" s="7" t="str">
        <f>"3328166501890003"</f>
        <v>3328166501890003</v>
      </c>
      <c r="C2756" s="7" t="s">
        <v>5370</v>
      </c>
      <c r="D2756" s="7" t="s">
        <v>10</v>
      </c>
      <c r="E2756" s="7" t="s">
        <v>11</v>
      </c>
      <c r="F2756" s="7" t="s">
        <v>91</v>
      </c>
      <c r="G2756" s="7" t="s">
        <v>159</v>
      </c>
      <c r="H2756" s="7" t="s">
        <v>2614</v>
      </c>
      <c r="I2756" s="8" t="s">
        <v>5294</v>
      </c>
    </row>
    <row r="2757" spans="1:12" hidden="1" x14ac:dyDescent="0.35">
      <c r="A2757" s="13">
        <v>1404418</v>
      </c>
      <c r="B2757" s="14" t="str">
        <f>"3328166501910003"</f>
        <v>3328166501910003</v>
      </c>
      <c r="C2757" s="14" t="s">
        <v>1963</v>
      </c>
      <c r="D2757" s="14" t="s">
        <v>10</v>
      </c>
      <c r="E2757" s="14" t="s">
        <v>11</v>
      </c>
      <c r="F2757" s="14" t="s">
        <v>18</v>
      </c>
      <c r="G2757" s="14" t="s">
        <v>19</v>
      </c>
      <c r="H2757" s="14" t="s">
        <v>5207</v>
      </c>
      <c r="I2757" s="15" t="s">
        <v>5235</v>
      </c>
      <c r="J2757" s="16" t="str">
        <f>VLOOKUP(B2757,baru!$B$2:$I$2271,4,FALSE)</f>
        <v>Reguler</v>
      </c>
      <c r="K2757" s="16" t="str">
        <f>VLOOKUP(B2757,baru!$B$2:$I$2271,5,FALSE)</f>
        <v>JAWA BARAT</v>
      </c>
      <c r="L2757" s="16" t="str">
        <f>VLOOKUP(B2757,baru!$B$2:$I$2271,6,FALSE)</f>
        <v>KUNINGAN</v>
      </c>
    </row>
    <row r="2758" spans="1:12" hidden="1" x14ac:dyDescent="0.35">
      <c r="A2758" s="13">
        <v>1392090</v>
      </c>
      <c r="B2758" s="14" t="str">
        <f>"3328166507920004"</f>
        <v>3328166507920004</v>
      </c>
      <c r="C2758" s="14" t="s">
        <v>5372</v>
      </c>
      <c r="D2758" s="14" t="s">
        <v>10</v>
      </c>
      <c r="E2758" s="14" t="s">
        <v>11</v>
      </c>
      <c r="F2758" s="14" t="s">
        <v>18</v>
      </c>
      <c r="G2758" s="14" t="s">
        <v>19</v>
      </c>
      <c r="H2758" s="14" t="s">
        <v>5207</v>
      </c>
      <c r="I2758" s="15" t="s">
        <v>5217</v>
      </c>
      <c r="J2758" s="16" t="str">
        <f>VLOOKUP(B2758,baru!$B$2:$I$2271,4,FALSE)</f>
        <v>Reguler</v>
      </c>
      <c r="K2758" s="16" t="str">
        <f>VLOOKUP(B2758,baru!$B$2:$I$2271,5,FALSE)</f>
        <v>JAWA TENGAH</v>
      </c>
      <c r="L2758" s="16" t="str">
        <f>VLOOKUP(B2758,baru!$B$2:$I$2271,6,FALSE)</f>
        <v>BANYUMAS</v>
      </c>
    </row>
    <row r="2759" spans="1:12" hidden="1" x14ac:dyDescent="0.35">
      <c r="A2759" s="13">
        <v>1336026</v>
      </c>
      <c r="B2759" s="14" t="str">
        <f>"3328166510860005"</f>
        <v>3328166510860005</v>
      </c>
      <c r="C2759" s="14" t="s">
        <v>5373</v>
      </c>
      <c r="D2759" s="14" t="s">
        <v>10</v>
      </c>
      <c r="E2759" s="14" t="s">
        <v>11</v>
      </c>
      <c r="F2759" s="14" t="s">
        <v>18</v>
      </c>
      <c r="G2759" s="14" t="s">
        <v>19</v>
      </c>
      <c r="H2759" s="14" t="s">
        <v>5207</v>
      </c>
      <c r="I2759" s="15" t="s">
        <v>5276</v>
      </c>
      <c r="J2759" s="16" t="str">
        <f>VLOOKUP(B2759,baru!$B$2:$I$2271,4,FALSE)</f>
        <v>Reguler</v>
      </c>
      <c r="K2759" s="16" t="str">
        <f>VLOOKUP(B2759,baru!$B$2:$I$2271,5,FALSE)</f>
        <v>JAWA BARAT</v>
      </c>
      <c r="L2759" s="16" t="str">
        <f>VLOOKUP(B2759,baru!$B$2:$I$2271,6,FALSE)</f>
        <v>KARAWANG</v>
      </c>
    </row>
    <row r="2760" spans="1:12" x14ac:dyDescent="0.35">
      <c r="A2760" s="13">
        <v>2079862</v>
      </c>
      <c r="B2760" s="14" t="str">
        <f>"3328166806900001"</f>
        <v>3328166806900001</v>
      </c>
      <c r="C2760" s="14" t="s">
        <v>4178</v>
      </c>
      <c r="D2760" s="14" t="s">
        <v>189</v>
      </c>
      <c r="E2760" s="14" t="s">
        <v>11</v>
      </c>
      <c r="F2760" s="14" t="s">
        <v>18</v>
      </c>
      <c r="G2760" s="14" t="s">
        <v>19</v>
      </c>
      <c r="H2760" s="14" t="s">
        <v>5207</v>
      </c>
      <c r="I2760" s="15" t="s">
        <v>1964</v>
      </c>
      <c r="J2760" s="16" t="str">
        <f>VLOOKUP(B2760,baru!$B$2:$I$2271,4,FALSE)</f>
        <v>Reguler</v>
      </c>
      <c r="K2760" s="16" t="str">
        <f>VLOOKUP(B2760,baru!$B$2:$I$2271,5,FALSE)</f>
        <v>JAWA BARAT</v>
      </c>
      <c r="L2760" s="16" t="str">
        <f>VLOOKUP(B2760,baru!$B$2:$I$2271,6,FALSE)</f>
        <v>KUNINGAN</v>
      </c>
    </row>
    <row r="2761" spans="1:12" hidden="1" x14ac:dyDescent="0.35">
      <c r="A2761" s="6">
        <v>152408</v>
      </c>
      <c r="B2761" s="7" t="str">
        <f>"3328166907030001"</f>
        <v>3328166907030001</v>
      </c>
      <c r="C2761" s="7" t="s">
        <v>5379</v>
      </c>
      <c r="D2761" s="7" t="s">
        <v>10</v>
      </c>
      <c r="E2761" s="7" t="s">
        <v>11</v>
      </c>
      <c r="F2761" s="7" t="s">
        <v>91</v>
      </c>
      <c r="G2761" s="7" t="s">
        <v>159</v>
      </c>
      <c r="H2761" s="7" t="s">
        <v>685</v>
      </c>
      <c r="I2761" s="8" t="s">
        <v>686</v>
      </c>
    </row>
    <row r="2762" spans="1:12" hidden="1" x14ac:dyDescent="0.35">
      <c r="A2762" s="6">
        <v>1499351</v>
      </c>
      <c r="B2762" s="7" t="str">
        <f>"3329054208000002"</f>
        <v>3329054208000002</v>
      </c>
      <c r="C2762" s="7" t="s">
        <v>1934</v>
      </c>
      <c r="D2762" s="7" t="s">
        <v>10</v>
      </c>
      <c r="E2762" s="7" t="s">
        <v>11</v>
      </c>
      <c r="F2762" s="7" t="s">
        <v>18</v>
      </c>
      <c r="G2762" s="7" t="s">
        <v>264</v>
      </c>
      <c r="H2762" s="7" t="s">
        <v>289</v>
      </c>
      <c r="I2762" s="8" t="s">
        <v>466</v>
      </c>
    </row>
    <row r="2763" spans="1:12" hidden="1" x14ac:dyDescent="0.35">
      <c r="A2763" s="6">
        <v>1317613</v>
      </c>
      <c r="B2763" s="7" t="str">
        <f>"3329072912960001"</f>
        <v>3329072912960001</v>
      </c>
      <c r="C2763" s="7" t="s">
        <v>5382</v>
      </c>
      <c r="D2763" s="7" t="s">
        <v>10</v>
      </c>
      <c r="E2763" s="7" t="s">
        <v>11</v>
      </c>
      <c r="F2763" s="7" t="s">
        <v>18</v>
      </c>
      <c r="G2763" s="7" t="s">
        <v>264</v>
      </c>
      <c r="H2763" s="7" t="s">
        <v>265</v>
      </c>
      <c r="I2763" s="8" t="s">
        <v>1869</v>
      </c>
    </row>
    <row r="2764" spans="1:12" hidden="1" x14ac:dyDescent="0.35">
      <c r="A2764" s="6">
        <v>668072</v>
      </c>
      <c r="B2764" s="7" t="str">
        <f>"3329083112640011"</f>
        <v>3329083112640011</v>
      </c>
      <c r="C2764" s="7" t="s">
        <v>5384</v>
      </c>
      <c r="D2764" s="7" t="s">
        <v>10</v>
      </c>
      <c r="E2764" s="7" t="s">
        <v>11</v>
      </c>
      <c r="F2764" s="7" t="s">
        <v>18</v>
      </c>
      <c r="G2764" s="7" t="s">
        <v>264</v>
      </c>
      <c r="H2764" s="7" t="s">
        <v>248</v>
      </c>
      <c r="I2764" s="8" t="s">
        <v>1634</v>
      </c>
    </row>
    <row r="2765" spans="1:12" hidden="1" x14ac:dyDescent="0.35">
      <c r="A2765" s="6">
        <v>1428551</v>
      </c>
      <c r="B2765" s="7" t="str">
        <f>"3329086501000002"</f>
        <v>3329086501000002</v>
      </c>
      <c r="C2765" s="7" t="s">
        <v>5386</v>
      </c>
      <c r="D2765" s="7" t="s">
        <v>10</v>
      </c>
      <c r="E2765" s="7" t="s">
        <v>11</v>
      </c>
      <c r="F2765" s="7" t="s">
        <v>18</v>
      </c>
      <c r="G2765" s="7" t="s">
        <v>264</v>
      </c>
      <c r="H2765" s="7" t="s">
        <v>248</v>
      </c>
      <c r="I2765" s="8" t="s">
        <v>868</v>
      </c>
    </row>
    <row r="2766" spans="1:12" hidden="1" x14ac:dyDescent="0.35">
      <c r="A2766" s="6">
        <v>926016</v>
      </c>
      <c r="B2766" s="7" t="str">
        <f>"3329121306860006"</f>
        <v>3329121306860006</v>
      </c>
      <c r="C2766" s="7" t="s">
        <v>5388</v>
      </c>
      <c r="D2766" s="7" t="s">
        <v>10</v>
      </c>
      <c r="E2766" s="7" t="s">
        <v>11</v>
      </c>
      <c r="F2766" s="7" t="s">
        <v>18</v>
      </c>
      <c r="G2766" s="7" t="s">
        <v>264</v>
      </c>
      <c r="H2766" s="7" t="s">
        <v>877</v>
      </c>
      <c r="I2766" s="8" t="s">
        <v>5389</v>
      </c>
    </row>
    <row r="2767" spans="1:12" hidden="1" x14ac:dyDescent="0.35">
      <c r="A2767" s="13">
        <v>1715677</v>
      </c>
      <c r="B2767" s="14" t="str">
        <f>"3329142907930007"</f>
        <v>3329142907930007</v>
      </c>
      <c r="C2767" s="14" t="s">
        <v>5390</v>
      </c>
      <c r="D2767" s="14" t="s">
        <v>10</v>
      </c>
      <c r="E2767" s="14" t="s">
        <v>11</v>
      </c>
      <c r="F2767" s="14" t="s">
        <v>18</v>
      </c>
      <c r="G2767" s="14" t="s">
        <v>19</v>
      </c>
      <c r="H2767" s="14" t="s">
        <v>5207</v>
      </c>
      <c r="I2767" s="15" t="s">
        <v>5258</v>
      </c>
      <c r="J2767" s="16" t="str">
        <f>VLOOKUP(B2767,baru!$B$2:$I$2271,4,FALSE)</f>
        <v>Reguler</v>
      </c>
      <c r="K2767" s="16" t="str">
        <f>VLOOKUP(B2767,baru!$B$2:$I$2271,5,FALSE)</f>
        <v>JAWA TENGAH</v>
      </c>
      <c r="L2767" s="16" t="str">
        <f>VLOOKUP(B2767,baru!$B$2:$I$2271,6,FALSE)</f>
        <v>BREBES</v>
      </c>
    </row>
    <row r="2768" spans="1:12" hidden="1" x14ac:dyDescent="0.35">
      <c r="A2768" s="13">
        <v>1392223</v>
      </c>
      <c r="B2768" s="14" t="str">
        <f>"3329170107830129"</f>
        <v>3329170107830129</v>
      </c>
      <c r="C2768" s="14" t="s">
        <v>5391</v>
      </c>
      <c r="D2768" s="14" t="s">
        <v>10</v>
      </c>
      <c r="E2768" s="14" t="s">
        <v>11</v>
      </c>
      <c r="F2768" s="14" t="s">
        <v>18</v>
      </c>
      <c r="G2768" s="14" t="s">
        <v>19</v>
      </c>
      <c r="H2768" s="14" t="s">
        <v>5207</v>
      </c>
      <c r="I2768" s="15" t="s">
        <v>5217</v>
      </c>
      <c r="J2768" s="16" t="str">
        <f>VLOOKUP(B2768,baru!$B$2:$I$2271,4,FALSE)</f>
        <v>Reguler</v>
      </c>
      <c r="K2768" s="16" t="str">
        <f>VLOOKUP(B2768,baru!$B$2:$I$2271,5,FALSE)</f>
        <v>JAWA TENGAH</v>
      </c>
      <c r="L2768" s="16" t="str">
        <f>VLOOKUP(B2768,baru!$B$2:$I$2271,6,FALSE)</f>
        <v>BREBES</v>
      </c>
    </row>
    <row r="2769" spans="1:12" hidden="1" x14ac:dyDescent="0.35">
      <c r="A2769" s="6">
        <v>265944</v>
      </c>
      <c r="B2769" s="7" t="str">
        <f>"3376020102940008"</f>
        <v>3376020102940008</v>
      </c>
      <c r="C2769" s="7" t="s">
        <v>5394</v>
      </c>
      <c r="D2769" s="7" t="s">
        <v>10</v>
      </c>
      <c r="E2769" s="7" t="s">
        <v>11</v>
      </c>
      <c r="F2769" s="7" t="s">
        <v>18</v>
      </c>
      <c r="G2769" s="7" t="s">
        <v>268</v>
      </c>
      <c r="H2769" s="7" t="s">
        <v>371</v>
      </c>
      <c r="I2769" s="8" t="s">
        <v>497</v>
      </c>
    </row>
    <row r="2770" spans="1:12" hidden="1" x14ac:dyDescent="0.35">
      <c r="A2770" s="6">
        <v>297025</v>
      </c>
      <c r="B2770" s="7" t="str">
        <f>"3376021912960005"</f>
        <v>3376021912960005</v>
      </c>
      <c r="C2770" s="7" t="s">
        <v>5395</v>
      </c>
      <c r="D2770" s="7" t="s">
        <v>10</v>
      </c>
      <c r="E2770" s="7" t="s">
        <v>11</v>
      </c>
      <c r="F2770" s="7" t="s">
        <v>18</v>
      </c>
      <c r="G2770" s="7" t="s">
        <v>268</v>
      </c>
      <c r="H2770" s="7" t="s">
        <v>277</v>
      </c>
      <c r="I2770" s="8" t="s">
        <v>2762</v>
      </c>
    </row>
    <row r="2771" spans="1:12" hidden="1" x14ac:dyDescent="0.35">
      <c r="A2771" s="6">
        <v>416322</v>
      </c>
      <c r="B2771" s="7" t="str">
        <f>"3376045207940001"</f>
        <v>3376045207940001</v>
      </c>
      <c r="C2771" s="7" t="s">
        <v>5397</v>
      </c>
      <c r="D2771" s="7" t="s">
        <v>10</v>
      </c>
      <c r="E2771" s="7" t="s">
        <v>11</v>
      </c>
      <c r="F2771" s="7" t="s">
        <v>18</v>
      </c>
      <c r="G2771" s="7" t="s">
        <v>268</v>
      </c>
      <c r="H2771" s="7" t="s">
        <v>448</v>
      </c>
      <c r="I2771" s="8" t="s">
        <v>888</v>
      </c>
    </row>
    <row r="2772" spans="1:12" hidden="1" x14ac:dyDescent="0.35">
      <c r="A2772" s="13">
        <v>1812263</v>
      </c>
      <c r="B2772" s="14" t="str">
        <f>"3509291002800004"</f>
        <v>3509291002800004</v>
      </c>
      <c r="C2772" s="14" t="s">
        <v>5399</v>
      </c>
      <c r="D2772" s="14" t="s">
        <v>10</v>
      </c>
      <c r="E2772" s="14" t="s">
        <v>11</v>
      </c>
      <c r="F2772" s="14" t="s">
        <v>18</v>
      </c>
      <c r="G2772" s="14" t="s">
        <v>19</v>
      </c>
      <c r="H2772" s="14" t="s">
        <v>5207</v>
      </c>
      <c r="I2772" s="15" t="s">
        <v>933</v>
      </c>
      <c r="J2772" s="16" t="str">
        <f>VLOOKUP(B2772,baru!$B$2:$I$2271,4,FALSE)</f>
        <v>Reguler</v>
      </c>
      <c r="K2772" s="16" t="str">
        <f>VLOOKUP(B2772,baru!$B$2:$I$2271,5,FALSE)</f>
        <v>JAWA TIMUR</v>
      </c>
      <c r="L2772" s="16" t="str">
        <f>VLOOKUP(B2772,baru!$B$2:$I$2271,6,FALSE)</f>
        <v>JEMBER</v>
      </c>
    </row>
    <row r="2773" spans="1:12" hidden="1" x14ac:dyDescent="0.35">
      <c r="A2773" s="6">
        <v>756459</v>
      </c>
      <c r="B2773" s="7" t="str">
        <f>"3519074607810001"</f>
        <v>3519074607810001</v>
      </c>
      <c r="C2773" s="7" t="s">
        <v>5403</v>
      </c>
      <c r="D2773" s="7" t="s">
        <v>10</v>
      </c>
      <c r="E2773" s="7" t="s">
        <v>11</v>
      </c>
      <c r="F2773" s="7" t="s">
        <v>303</v>
      </c>
      <c r="G2773" s="7" t="s">
        <v>5404</v>
      </c>
      <c r="H2773" s="7" t="s">
        <v>5405</v>
      </c>
      <c r="I2773" s="8" t="s">
        <v>5406</v>
      </c>
    </row>
    <row r="2774" spans="1:12" hidden="1" x14ac:dyDescent="0.35">
      <c r="A2774" s="6">
        <v>1565750</v>
      </c>
      <c r="B2774" s="7" t="str">
        <f>"3601200107930069"</f>
        <v>3601200107930069</v>
      </c>
      <c r="C2774" s="7" t="s">
        <v>5408</v>
      </c>
      <c r="D2774" s="7" t="s">
        <v>10</v>
      </c>
      <c r="E2774" s="7" t="s">
        <v>11</v>
      </c>
      <c r="F2774" s="7" t="s">
        <v>67</v>
      </c>
      <c r="G2774" s="7" t="s">
        <v>890</v>
      </c>
      <c r="H2774" s="7" t="s">
        <v>241</v>
      </c>
      <c r="I2774" s="8" t="s">
        <v>241</v>
      </c>
    </row>
    <row r="2775" spans="1:12" hidden="1" x14ac:dyDescent="0.35">
      <c r="A2775" s="6">
        <v>1783139</v>
      </c>
      <c r="B2775" s="7" t="str">
        <f>"3603083105750002"</f>
        <v>3603083105750002</v>
      </c>
      <c r="C2775" s="7" t="s">
        <v>5410</v>
      </c>
      <c r="D2775" s="7" t="s">
        <v>10</v>
      </c>
      <c r="E2775" s="7" t="s">
        <v>11</v>
      </c>
      <c r="F2775" s="7" t="s">
        <v>67</v>
      </c>
      <c r="G2775" s="7" t="s">
        <v>791</v>
      </c>
      <c r="H2775" s="7" t="s">
        <v>5411</v>
      </c>
      <c r="I2775" s="8" t="s">
        <v>5412</v>
      </c>
    </row>
    <row r="2776" spans="1:12" hidden="1" x14ac:dyDescent="0.35">
      <c r="A2776" s="6">
        <v>1043577</v>
      </c>
      <c r="B2776" s="7" t="str">
        <f>"3603110102800004"</f>
        <v>3603110102800004</v>
      </c>
      <c r="C2776" s="7" t="s">
        <v>5413</v>
      </c>
      <c r="D2776" s="7" t="s">
        <v>10</v>
      </c>
      <c r="E2776" s="7" t="s">
        <v>11</v>
      </c>
      <c r="F2776" s="7" t="s">
        <v>67</v>
      </c>
      <c r="G2776" s="7" t="s">
        <v>791</v>
      </c>
      <c r="H2776" s="7" t="s">
        <v>5414</v>
      </c>
      <c r="I2776" s="8" t="s">
        <v>1815</v>
      </c>
    </row>
    <row r="2777" spans="1:12" hidden="1" x14ac:dyDescent="0.35">
      <c r="A2777" s="6">
        <v>1306098</v>
      </c>
      <c r="B2777" s="7" t="str">
        <f>"3604090101790008"</f>
        <v>3604090101790008</v>
      </c>
      <c r="C2777" s="7" t="s">
        <v>5415</v>
      </c>
      <c r="D2777" s="7" t="s">
        <v>10</v>
      </c>
      <c r="E2777" s="7" t="s">
        <v>11</v>
      </c>
      <c r="F2777" s="7" t="s">
        <v>67</v>
      </c>
      <c r="G2777" s="7" t="s">
        <v>375</v>
      </c>
      <c r="H2777" s="7" t="s">
        <v>2518</v>
      </c>
      <c r="I2777" s="8" t="s">
        <v>2519</v>
      </c>
    </row>
    <row r="2778" spans="1:12" hidden="1" x14ac:dyDescent="0.35">
      <c r="A2778" s="6">
        <v>2552777</v>
      </c>
      <c r="B2778" s="7" t="str">
        <f>"3671061811860009"</f>
        <v>3671061811860009</v>
      </c>
      <c r="C2778" s="7" t="s">
        <v>5417</v>
      </c>
      <c r="D2778" s="7" t="s">
        <v>10</v>
      </c>
      <c r="E2778" s="7" t="s">
        <v>11</v>
      </c>
      <c r="F2778" s="7" t="s">
        <v>67</v>
      </c>
      <c r="G2778" s="7" t="s">
        <v>512</v>
      </c>
      <c r="H2778" s="7" t="s">
        <v>513</v>
      </c>
      <c r="I2778" s="8" t="s">
        <v>514</v>
      </c>
    </row>
    <row r="2779" spans="1:12" hidden="1" x14ac:dyDescent="0.35">
      <c r="A2779" s="6">
        <v>1182293</v>
      </c>
      <c r="B2779" s="7" t="str">
        <f>"3174050102761001"</f>
        <v>3174050102761001</v>
      </c>
      <c r="C2779" s="7" t="s">
        <v>5418</v>
      </c>
      <c r="D2779" s="7" t="s">
        <v>10</v>
      </c>
      <c r="E2779" s="7" t="s">
        <v>11</v>
      </c>
      <c r="F2779" s="7" t="s">
        <v>50</v>
      </c>
      <c r="G2779" s="7" t="s">
        <v>72</v>
      </c>
      <c r="H2779" s="7" t="s">
        <v>803</v>
      </c>
      <c r="I2779" s="8" t="s">
        <v>2864</v>
      </c>
    </row>
    <row r="2780" spans="1:12" hidden="1" x14ac:dyDescent="0.35">
      <c r="A2780" s="6">
        <v>1785079</v>
      </c>
      <c r="B2780" s="7" t="str">
        <f>"3175015003950003"</f>
        <v>3175015003950003</v>
      </c>
      <c r="C2780" s="7" t="s">
        <v>5419</v>
      </c>
      <c r="D2780" s="7" t="s">
        <v>10</v>
      </c>
      <c r="E2780" s="7" t="s">
        <v>11</v>
      </c>
      <c r="F2780" s="7" t="s">
        <v>50</v>
      </c>
      <c r="G2780" s="7" t="s">
        <v>58</v>
      </c>
      <c r="H2780" s="7" t="s">
        <v>406</v>
      </c>
      <c r="I2780" s="8" t="s">
        <v>5420</v>
      </c>
    </row>
    <row r="2781" spans="1:12" x14ac:dyDescent="0.35">
      <c r="A2781" s="6">
        <v>2289029</v>
      </c>
      <c r="B2781" s="7" t="str">
        <f>"3175061709721001"</f>
        <v>3175061709721001</v>
      </c>
      <c r="C2781" s="7" t="s">
        <v>5423</v>
      </c>
      <c r="D2781" s="7" t="s">
        <v>189</v>
      </c>
      <c r="E2781" s="7" t="s">
        <v>11</v>
      </c>
      <c r="F2781" s="7" t="s">
        <v>50</v>
      </c>
      <c r="G2781" s="7" t="s">
        <v>58</v>
      </c>
      <c r="H2781" s="7" t="s">
        <v>417</v>
      </c>
      <c r="I2781" s="8" t="s">
        <v>418</v>
      </c>
    </row>
    <row r="2782" spans="1:12" hidden="1" x14ac:dyDescent="0.35">
      <c r="A2782" s="6">
        <v>2788992</v>
      </c>
      <c r="B2782" s="7" t="str">
        <f>"3203195501890004"</f>
        <v>3203195501890004</v>
      </c>
      <c r="C2782" s="7" t="s">
        <v>5424</v>
      </c>
      <c r="D2782" s="7" t="s">
        <v>10</v>
      </c>
      <c r="E2782" s="7" t="s">
        <v>11</v>
      </c>
      <c r="F2782" s="7" t="s">
        <v>67</v>
      </c>
      <c r="G2782" s="7" t="s">
        <v>512</v>
      </c>
      <c r="H2782" s="7" t="s">
        <v>1214</v>
      </c>
      <c r="I2782" s="8" t="s">
        <v>1215</v>
      </c>
    </row>
    <row r="2783" spans="1:12" hidden="1" x14ac:dyDescent="0.35">
      <c r="A2783" s="13">
        <v>1522970</v>
      </c>
      <c r="B2783" s="14" t="str">
        <f>"3206260203750004"</f>
        <v>3206260203750004</v>
      </c>
      <c r="C2783" s="14" t="s">
        <v>5425</v>
      </c>
      <c r="D2783" s="14" t="s">
        <v>10</v>
      </c>
      <c r="E2783" s="14" t="s">
        <v>11</v>
      </c>
      <c r="F2783" s="14" t="s">
        <v>18</v>
      </c>
      <c r="G2783" s="14" t="s">
        <v>19</v>
      </c>
      <c r="H2783" s="14" t="s">
        <v>4754</v>
      </c>
      <c r="I2783" s="15" t="s">
        <v>5426</v>
      </c>
      <c r="J2783" s="16" t="str">
        <f>VLOOKUP(B2783,baru!$B$2:$I$2271,4,FALSE)</f>
        <v>Reguler</v>
      </c>
      <c r="K2783" s="16" t="str">
        <f>VLOOKUP(B2783,baru!$B$2:$I$2271,5,FALSE)</f>
        <v>JAWA BARAT</v>
      </c>
      <c r="L2783" s="16" t="str">
        <f>VLOOKUP(B2783,baru!$B$2:$I$2271,6,FALSE)</f>
        <v>TASIKMALAYA</v>
      </c>
    </row>
    <row r="2784" spans="1:12" hidden="1" x14ac:dyDescent="0.35">
      <c r="A2784" s="6">
        <v>222977</v>
      </c>
      <c r="B2784" s="7" t="str">
        <f>"3206260211960004"</f>
        <v>3206260211960004</v>
      </c>
      <c r="C2784" s="7" t="s">
        <v>5429</v>
      </c>
      <c r="D2784" s="7" t="s">
        <v>10</v>
      </c>
      <c r="E2784" s="7" t="s">
        <v>11</v>
      </c>
      <c r="F2784" s="7" t="s">
        <v>91</v>
      </c>
      <c r="G2784" s="7" t="s">
        <v>1300</v>
      </c>
      <c r="H2784" s="7" t="s">
        <v>1835</v>
      </c>
      <c r="I2784" s="8" t="s">
        <v>5430</v>
      </c>
    </row>
    <row r="2785" spans="1:12" hidden="1" x14ac:dyDescent="0.35">
      <c r="A2785" s="6">
        <v>1665574</v>
      </c>
      <c r="B2785" s="7" t="str">
        <f>"3208101603840005"</f>
        <v>3208101603840005</v>
      </c>
      <c r="C2785" s="7" t="s">
        <v>5431</v>
      </c>
      <c r="D2785" s="7" t="s">
        <v>10</v>
      </c>
      <c r="E2785" s="7" t="s">
        <v>11</v>
      </c>
      <c r="F2785" s="7" t="s">
        <v>50</v>
      </c>
      <c r="G2785" s="7" t="s">
        <v>72</v>
      </c>
      <c r="H2785" s="7" t="s">
        <v>1172</v>
      </c>
      <c r="I2785" s="8" t="s">
        <v>2230</v>
      </c>
    </row>
    <row r="2786" spans="1:12" hidden="1" x14ac:dyDescent="0.35">
      <c r="A2786" s="6">
        <v>1665575</v>
      </c>
      <c r="B2786" s="7" t="str">
        <f>"3208104901890006"</f>
        <v>3208104901890006</v>
      </c>
      <c r="C2786" s="7" t="s">
        <v>5432</v>
      </c>
      <c r="D2786" s="7" t="s">
        <v>10</v>
      </c>
      <c r="E2786" s="7" t="s">
        <v>11</v>
      </c>
      <c r="F2786" s="7" t="s">
        <v>50</v>
      </c>
      <c r="G2786" s="7" t="s">
        <v>72</v>
      </c>
      <c r="H2786" s="7" t="s">
        <v>1172</v>
      </c>
      <c r="I2786" s="8" t="s">
        <v>2230</v>
      </c>
    </row>
    <row r="2787" spans="1:12" hidden="1" x14ac:dyDescent="0.35">
      <c r="A2787" s="6">
        <v>576346</v>
      </c>
      <c r="B2787" s="7" t="str">
        <f>"3209341208900002"</f>
        <v>3209341208900002</v>
      </c>
      <c r="C2787" s="7" t="s">
        <v>5433</v>
      </c>
      <c r="D2787" s="7" t="s">
        <v>10</v>
      </c>
      <c r="E2787" s="7" t="s">
        <v>11</v>
      </c>
      <c r="F2787" s="7" t="s">
        <v>91</v>
      </c>
      <c r="G2787" s="7" t="s">
        <v>985</v>
      </c>
      <c r="H2787" s="7" t="s">
        <v>5434</v>
      </c>
      <c r="I2787" s="8" t="s">
        <v>5435</v>
      </c>
    </row>
    <row r="2788" spans="1:12" hidden="1" x14ac:dyDescent="0.35">
      <c r="A2788" s="6">
        <v>576342</v>
      </c>
      <c r="B2788" s="7" t="str">
        <f>"3209345704920001"</f>
        <v>3209345704920001</v>
      </c>
      <c r="C2788" s="7" t="s">
        <v>5436</v>
      </c>
      <c r="D2788" s="7" t="s">
        <v>10</v>
      </c>
      <c r="E2788" s="7" t="s">
        <v>11</v>
      </c>
      <c r="F2788" s="7" t="s">
        <v>91</v>
      </c>
      <c r="G2788" s="7" t="s">
        <v>985</v>
      </c>
      <c r="H2788" s="7" t="s">
        <v>5434</v>
      </c>
      <c r="I2788" s="8" t="s">
        <v>5435</v>
      </c>
    </row>
    <row r="2789" spans="1:12" hidden="1" x14ac:dyDescent="0.35">
      <c r="A2789" s="6">
        <v>304984</v>
      </c>
      <c r="B2789" s="7" t="str">
        <f>"3216110510930004"</f>
        <v>3216110510930004</v>
      </c>
      <c r="C2789" s="7" t="s">
        <v>5437</v>
      </c>
      <c r="D2789" s="7" t="s">
        <v>10</v>
      </c>
      <c r="E2789" s="7" t="s">
        <v>11</v>
      </c>
      <c r="F2789" s="7" t="s">
        <v>18</v>
      </c>
      <c r="G2789" s="7" t="s">
        <v>268</v>
      </c>
      <c r="H2789" s="7" t="s">
        <v>269</v>
      </c>
      <c r="I2789" s="8" t="s">
        <v>4250</v>
      </c>
    </row>
    <row r="2790" spans="1:12" hidden="1" x14ac:dyDescent="0.35">
      <c r="A2790" s="6">
        <v>1025938</v>
      </c>
      <c r="B2790" s="7" t="str">
        <f>"3275080704840026"</f>
        <v>3275080704840026</v>
      </c>
      <c r="C2790" s="7" t="s">
        <v>1618</v>
      </c>
      <c r="D2790" s="7" t="s">
        <v>10</v>
      </c>
      <c r="E2790" s="7" t="s">
        <v>11</v>
      </c>
      <c r="F2790" s="7" t="s">
        <v>91</v>
      </c>
      <c r="G2790" s="7" t="s">
        <v>159</v>
      </c>
      <c r="H2790" s="7" t="s">
        <v>1337</v>
      </c>
      <c r="I2790" s="8" t="s">
        <v>1338</v>
      </c>
    </row>
    <row r="2791" spans="1:12" hidden="1" x14ac:dyDescent="0.35">
      <c r="A2791" s="13">
        <v>1496086</v>
      </c>
      <c r="B2791" s="14" t="str">
        <f>"3305044311940002"</f>
        <v>3305044311940002</v>
      </c>
      <c r="C2791" s="14" t="s">
        <v>5441</v>
      </c>
      <c r="D2791" s="14" t="s">
        <v>10</v>
      </c>
      <c r="E2791" s="14" t="s">
        <v>11</v>
      </c>
      <c r="F2791" s="14" t="s">
        <v>18</v>
      </c>
      <c r="G2791" s="14" t="s">
        <v>19</v>
      </c>
      <c r="H2791" s="14" t="s">
        <v>4754</v>
      </c>
      <c r="I2791" s="15" t="s">
        <v>5442</v>
      </c>
      <c r="J2791" s="16" t="str">
        <f>VLOOKUP(B2791,baru!$B$2:$I$2271,4,FALSE)</f>
        <v>Reguler</v>
      </c>
      <c r="K2791" s="16" t="str">
        <f>VLOOKUP(B2791,baru!$B$2:$I$2271,5,FALSE)</f>
        <v>JAWA TENGAH</v>
      </c>
      <c r="L2791" s="16" t="str">
        <f>VLOOKUP(B2791,baru!$B$2:$I$2271,6,FALSE)</f>
        <v>KEBUMEN</v>
      </c>
    </row>
    <row r="2792" spans="1:12" hidden="1" x14ac:dyDescent="0.35">
      <c r="A2792" s="13">
        <v>1543044</v>
      </c>
      <c r="B2792" s="14" t="str">
        <f>"3311015506870002"</f>
        <v>3311015506870002</v>
      </c>
      <c r="C2792" s="14" t="s">
        <v>5445</v>
      </c>
      <c r="D2792" s="14" t="s">
        <v>10</v>
      </c>
      <c r="E2792" s="14" t="s">
        <v>11</v>
      </c>
      <c r="F2792" s="14" t="s">
        <v>18</v>
      </c>
      <c r="G2792" s="14" t="s">
        <v>19</v>
      </c>
      <c r="H2792" s="14" t="s">
        <v>4754</v>
      </c>
      <c r="I2792" s="15" t="s">
        <v>3958</v>
      </c>
      <c r="J2792" s="16" t="str">
        <f>VLOOKUP(B2792,baru!$B$2:$I$2271,4,FALSE)</f>
        <v>Reguler</v>
      </c>
      <c r="K2792" s="16" t="str">
        <f>VLOOKUP(B2792,baru!$B$2:$I$2271,5,FALSE)</f>
        <v>DKI JAKARTA</v>
      </c>
      <c r="L2792" s="16" t="str">
        <f>VLOOKUP(B2792,baru!$B$2:$I$2271,6,FALSE)</f>
        <v>KOTA JAKARTA UTARA</v>
      </c>
    </row>
    <row r="2793" spans="1:12" x14ac:dyDescent="0.35">
      <c r="A2793" s="6">
        <v>1177288</v>
      </c>
      <c r="B2793" s="7" t="str">
        <f>"3315047004940004"</f>
        <v>3315047004940004</v>
      </c>
      <c r="C2793" s="7" t="s">
        <v>781</v>
      </c>
      <c r="D2793" s="7" t="s">
        <v>189</v>
      </c>
      <c r="E2793" s="7" t="s">
        <v>11</v>
      </c>
      <c r="F2793" s="7" t="s">
        <v>18</v>
      </c>
      <c r="G2793" s="7" t="s">
        <v>180</v>
      </c>
      <c r="H2793" s="7" t="s">
        <v>5446</v>
      </c>
      <c r="I2793" s="8" t="s">
        <v>1207</v>
      </c>
    </row>
    <row r="2794" spans="1:12" hidden="1" x14ac:dyDescent="0.35">
      <c r="A2794" s="6">
        <v>189935</v>
      </c>
      <c r="B2794" s="7" t="str">
        <f>"3315171212960006"</f>
        <v>3315171212960006</v>
      </c>
      <c r="C2794" s="7" t="s">
        <v>5447</v>
      </c>
      <c r="D2794" s="7" t="s">
        <v>10</v>
      </c>
      <c r="E2794" s="7" t="s">
        <v>11</v>
      </c>
      <c r="F2794" s="7" t="s">
        <v>18</v>
      </c>
      <c r="G2794" s="7" t="s">
        <v>180</v>
      </c>
      <c r="H2794" s="7" t="s">
        <v>5448</v>
      </c>
      <c r="I2794" s="8" t="s">
        <v>5449</v>
      </c>
    </row>
    <row r="2795" spans="1:12" hidden="1" x14ac:dyDescent="0.35">
      <c r="A2795" s="13">
        <v>1546076</v>
      </c>
      <c r="B2795" s="14" t="str">
        <f>"3326031906860001"</f>
        <v>3326031906860001</v>
      </c>
      <c r="C2795" s="14" t="s">
        <v>5450</v>
      </c>
      <c r="D2795" s="14" t="s">
        <v>10</v>
      </c>
      <c r="E2795" s="14" t="s">
        <v>11</v>
      </c>
      <c r="F2795" s="14" t="s">
        <v>18</v>
      </c>
      <c r="G2795" s="14" t="s">
        <v>19</v>
      </c>
      <c r="H2795" s="14" t="s">
        <v>4754</v>
      </c>
      <c r="I2795" s="15" t="s">
        <v>3958</v>
      </c>
      <c r="J2795" s="16" t="str">
        <f>VLOOKUP(B2795,baru!$B$2:$I$2271,4,FALSE)</f>
        <v>Reguler</v>
      </c>
      <c r="K2795" s="16" t="str">
        <f>VLOOKUP(B2795,baru!$B$2:$I$2271,5,FALSE)</f>
        <v>JAWA TENGAH</v>
      </c>
      <c r="L2795" s="16" t="str">
        <f>VLOOKUP(B2795,baru!$B$2:$I$2271,6,FALSE)</f>
        <v>PEKALONGAN</v>
      </c>
    </row>
    <row r="2796" spans="1:12" hidden="1" x14ac:dyDescent="0.35">
      <c r="A2796" s="13">
        <v>1521657</v>
      </c>
      <c r="B2796" s="14" t="str">
        <f>"3326090810870004"</f>
        <v>3326090810870004</v>
      </c>
      <c r="C2796" s="14" t="s">
        <v>5451</v>
      </c>
      <c r="D2796" s="14" t="s">
        <v>10</v>
      </c>
      <c r="E2796" s="14" t="s">
        <v>11</v>
      </c>
      <c r="F2796" s="14" t="s">
        <v>18</v>
      </c>
      <c r="G2796" s="14" t="s">
        <v>19</v>
      </c>
      <c r="H2796" s="14" t="s">
        <v>4754</v>
      </c>
      <c r="I2796" s="15" t="s">
        <v>5426</v>
      </c>
      <c r="J2796" s="16" t="str">
        <f>VLOOKUP(B2796,baru!$B$2:$I$2271,4,FALSE)</f>
        <v>Reguler</v>
      </c>
      <c r="K2796" s="16" t="str">
        <f>VLOOKUP(B2796,baru!$B$2:$I$2271,5,FALSE)</f>
        <v>JAWA TENGAH</v>
      </c>
      <c r="L2796" s="16" t="str">
        <f>VLOOKUP(B2796,baru!$B$2:$I$2271,6,FALSE)</f>
        <v>PEKALONGAN</v>
      </c>
    </row>
    <row r="2797" spans="1:12" hidden="1" x14ac:dyDescent="0.35">
      <c r="A2797" s="6">
        <v>625237</v>
      </c>
      <c r="B2797" s="7" t="str">
        <f>"3326115009940002"</f>
        <v>3326115009940002</v>
      </c>
      <c r="C2797" s="7" t="s">
        <v>5453</v>
      </c>
      <c r="D2797" s="7" t="s">
        <v>10</v>
      </c>
      <c r="E2797" s="7" t="s">
        <v>11</v>
      </c>
      <c r="F2797" s="7" t="s">
        <v>18</v>
      </c>
      <c r="G2797" s="7" t="s">
        <v>264</v>
      </c>
      <c r="H2797" s="7" t="s">
        <v>264</v>
      </c>
      <c r="I2797" s="8" t="s">
        <v>2004</v>
      </c>
    </row>
    <row r="2798" spans="1:12" hidden="1" x14ac:dyDescent="0.35">
      <c r="A2798" s="6">
        <v>1651840</v>
      </c>
      <c r="B2798" s="7" t="str">
        <f>"3327076611940001"</f>
        <v>3327076611940001</v>
      </c>
      <c r="C2798" s="7" t="s">
        <v>5454</v>
      </c>
      <c r="D2798" s="7" t="s">
        <v>10</v>
      </c>
      <c r="E2798" s="7" t="s">
        <v>11</v>
      </c>
      <c r="F2798" s="7" t="s">
        <v>50</v>
      </c>
      <c r="G2798" s="7" t="s">
        <v>86</v>
      </c>
      <c r="H2798" s="7" t="s">
        <v>445</v>
      </c>
      <c r="I2798" s="8" t="s">
        <v>1947</v>
      </c>
    </row>
    <row r="2799" spans="1:12" hidden="1" x14ac:dyDescent="0.35">
      <c r="A2799" s="13">
        <v>1497121</v>
      </c>
      <c r="B2799" s="14" t="str">
        <f>"3327080510700061"</f>
        <v>3327080510700061</v>
      </c>
      <c r="C2799" s="14" t="s">
        <v>5456</v>
      </c>
      <c r="D2799" s="14" t="s">
        <v>10</v>
      </c>
      <c r="E2799" s="14" t="s">
        <v>11</v>
      </c>
      <c r="F2799" s="14" t="s">
        <v>18</v>
      </c>
      <c r="G2799" s="14" t="s">
        <v>19</v>
      </c>
      <c r="H2799" s="14" t="s">
        <v>4754</v>
      </c>
      <c r="I2799" s="15" t="s">
        <v>5442</v>
      </c>
      <c r="J2799" s="16" t="str">
        <f>VLOOKUP(B2799,baru!$B$2:$I$2271,4,FALSE)</f>
        <v>Reguler</v>
      </c>
      <c r="K2799" s="16" t="str">
        <f>VLOOKUP(B2799,baru!$B$2:$I$2271,5,FALSE)</f>
        <v>JAWA TENGAH</v>
      </c>
      <c r="L2799" s="16" t="str">
        <f>VLOOKUP(B2799,baru!$B$2:$I$2271,6,FALSE)</f>
        <v>PEMALANG</v>
      </c>
    </row>
    <row r="2800" spans="1:12" hidden="1" x14ac:dyDescent="0.35">
      <c r="A2800" s="6">
        <v>1519125</v>
      </c>
      <c r="B2800" s="7" t="str">
        <f>"3327081707900086"</f>
        <v>3327081707900086</v>
      </c>
      <c r="C2800" s="7" t="s">
        <v>5458</v>
      </c>
      <c r="D2800" s="7" t="s">
        <v>10</v>
      </c>
      <c r="E2800" s="7" t="s">
        <v>11</v>
      </c>
      <c r="F2800" s="7" t="s">
        <v>18</v>
      </c>
      <c r="G2800" s="7" t="s">
        <v>19</v>
      </c>
      <c r="H2800" s="7" t="s">
        <v>4754</v>
      </c>
      <c r="I2800" s="8" t="s">
        <v>4755</v>
      </c>
      <c r="J2800" t="e">
        <f>VLOOKUP(B2800,baru!$B$2:$I$2271,4,FALSE)</f>
        <v>#N/A</v>
      </c>
      <c r="K2800" t="e">
        <f>VLOOKUP(B2800,baru!$B$2:$I$2271,5,FALSE)</f>
        <v>#N/A</v>
      </c>
      <c r="L2800" t="e">
        <f>VLOOKUP(B2800,baru!$B$2:$I$2271,6,FALSE)</f>
        <v>#N/A</v>
      </c>
    </row>
    <row r="2801" spans="1:12" x14ac:dyDescent="0.35">
      <c r="A2801" s="6">
        <v>2543990</v>
      </c>
      <c r="B2801" s="7" t="str">
        <f>"3327081707900086"</f>
        <v>3327081707900086</v>
      </c>
      <c r="C2801" s="7" t="s">
        <v>5459</v>
      </c>
      <c r="D2801" s="7" t="s">
        <v>189</v>
      </c>
      <c r="E2801" s="7" t="s">
        <v>11</v>
      </c>
      <c r="F2801" s="7" t="s">
        <v>18</v>
      </c>
      <c r="G2801" s="7" t="s">
        <v>199</v>
      </c>
      <c r="H2801" s="7" t="s">
        <v>199</v>
      </c>
      <c r="I2801" s="8" t="s">
        <v>5460</v>
      </c>
    </row>
    <row r="2802" spans="1:12" hidden="1" x14ac:dyDescent="0.35">
      <c r="A2802" s="6">
        <v>1620924</v>
      </c>
      <c r="B2802" s="7" t="str">
        <f>"3327105502810045"</f>
        <v>3327105502810045</v>
      </c>
      <c r="C2802" s="7" t="s">
        <v>5461</v>
      </c>
      <c r="D2802" s="7" t="s">
        <v>10</v>
      </c>
      <c r="E2802" s="7" t="s">
        <v>11</v>
      </c>
      <c r="F2802" s="7" t="s">
        <v>18</v>
      </c>
      <c r="G2802" s="7" t="s">
        <v>19</v>
      </c>
      <c r="H2802" s="7" t="s">
        <v>4754</v>
      </c>
      <c r="I2802" s="8" t="s">
        <v>5421</v>
      </c>
      <c r="J2802" t="e">
        <f>VLOOKUP(B2802,baru!$B$2:$I$2271,4,FALSE)</f>
        <v>#N/A</v>
      </c>
      <c r="K2802" t="e">
        <f>VLOOKUP(B2802,baru!$B$2:$I$2271,5,FALSE)</f>
        <v>#N/A</v>
      </c>
      <c r="L2802" t="e">
        <f>VLOOKUP(B2802,baru!$B$2:$I$2271,6,FALSE)</f>
        <v>#N/A</v>
      </c>
    </row>
    <row r="2803" spans="1:12" hidden="1" x14ac:dyDescent="0.35">
      <c r="A2803" s="6">
        <v>1352178</v>
      </c>
      <c r="B2803" s="7" t="str">
        <f>"3327105502810045"</f>
        <v>3327105502810045</v>
      </c>
      <c r="C2803" s="7" t="s">
        <v>5462</v>
      </c>
      <c r="D2803" s="7" t="s">
        <v>10</v>
      </c>
      <c r="E2803" s="7" t="s">
        <v>57</v>
      </c>
      <c r="F2803" s="7" t="s">
        <v>303</v>
      </c>
      <c r="G2803" s="7" t="s">
        <v>608</v>
      </c>
      <c r="H2803" s="7" t="s">
        <v>609</v>
      </c>
      <c r="I2803" s="8" t="s">
        <v>610</v>
      </c>
    </row>
    <row r="2804" spans="1:12" hidden="1" x14ac:dyDescent="0.35">
      <c r="A2804" s="6">
        <v>339713</v>
      </c>
      <c r="B2804" s="7" t="str">
        <f>"3328170102990001"</f>
        <v>3328170102990001</v>
      </c>
      <c r="C2804" s="7" t="s">
        <v>5463</v>
      </c>
      <c r="D2804" s="7" t="s">
        <v>10</v>
      </c>
      <c r="E2804" s="7" t="s">
        <v>11</v>
      </c>
      <c r="F2804" s="7" t="s">
        <v>783</v>
      </c>
      <c r="G2804" s="7" t="s">
        <v>1112</v>
      </c>
      <c r="H2804" s="7" t="s">
        <v>5201</v>
      </c>
      <c r="I2804" s="8" t="s">
        <v>5464</v>
      </c>
    </row>
    <row r="2805" spans="1:12" hidden="1" x14ac:dyDescent="0.35">
      <c r="A2805" s="6">
        <v>1514127</v>
      </c>
      <c r="B2805" s="7" t="str">
        <f>"3328170212050003"</f>
        <v>3328170212050003</v>
      </c>
      <c r="C2805" s="7" t="s">
        <v>5466</v>
      </c>
      <c r="D2805" s="7" t="s">
        <v>10</v>
      </c>
      <c r="E2805" s="7" t="s">
        <v>11</v>
      </c>
      <c r="F2805" s="7" t="s">
        <v>18</v>
      </c>
      <c r="G2805" s="7" t="s">
        <v>19</v>
      </c>
      <c r="H2805" s="7" t="s">
        <v>4754</v>
      </c>
      <c r="I2805" s="8" t="s">
        <v>882</v>
      </c>
      <c r="J2805" t="e">
        <f>VLOOKUP(B2805,baru!$B$2:$I$2271,4,FALSE)</f>
        <v>#N/A</v>
      </c>
      <c r="K2805" t="e">
        <f>VLOOKUP(B2805,baru!$B$2:$I$2271,5,FALSE)</f>
        <v>#N/A</v>
      </c>
      <c r="L2805" t="e">
        <f>VLOOKUP(B2805,baru!$B$2:$I$2271,6,FALSE)</f>
        <v>#N/A</v>
      </c>
    </row>
    <row r="2806" spans="1:12" hidden="1" x14ac:dyDescent="0.35">
      <c r="A2806" s="6">
        <v>1863022</v>
      </c>
      <c r="B2806" s="7" t="str">
        <f>"3328170212050003"</f>
        <v>3328170212050003</v>
      </c>
      <c r="C2806" s="7" t="s">
        <v>5467</v>
      </c>
      <c r="D2806" s="7" t="s">
        <v>10</v>
      </c>
      <c r="E2806" s="7" t="s">
        <v>57</v>
      </c>
      <c r="F2806" s="7" t="s">
        <v>18</v>
      </c>
      <c r="G2806" s="7" t="s">
        <v>733</v>
      </c>
      <c r="H2806" s="7" t="s">
        <v>1127</v>
      </c>
      <c r="I2806" s="8" t="s">
        <v>5468</v>
      </c>
    </row>
    <row r="2807" spans="1:12" hidden="1" x14ac:dyDescent="0.35">
      <c r="A2807" s="6">
        <v>1524404</v>
      </c>
      <c r="B2807" s="7" t="str">
        <f>"3328170403020008"</f>
        <v>3328170403020008</v>
      </c>
      <c r="C2807" s="7" t="s">
        <v>5469</v>
      </c>
      <c r="D2807" s="7" t="s">
        <v>10</v>
      </c>
      <c r="E2807" s="7" t="s">
        <v>11</v>
      </c>
      <c r="F2807" s="7" t="s">
        <v>18</v>
      </c>
      <c r="G2807" s="7" t="s">
        <v>19</v>
      </c>
      <c r="H2807" s="7" t="s">
        <v>4754</v>
      </c>
      <c r="I2807" s="8" t="s">
        <v>5426</v>
      </c>
      <c r="J2807" t="e">
        <f>VLOOKUP(B2807,baru!$B$2:$I$2271,4,FALSE)</f>
        <v>#N/A</v>
      </c>
      <c r="K2807" t="e">
        <f>VLOOKUP(B2807,baru!$B$2:$I$2271,5,FALSE)</f>
        <v>#N/A</v>
      </c>
      <c r="L2807" t="e">
        <f>VLOOKUP(B2807,baru!$B$2:$I$2271,6,FALSE)</f>
        <v>#N/A</v>
      </c>
    </row>
    <row r="2808" spans="1:12" hidden="1" x14ac:dyDescent="0.35">
      <c r="A2808" s="6">
        <v>1350442</v>
      </c>
      <c r="B2808" s="7" t="str">
        <f>"3328170403020008"</f>
        <v>3328170403020008</v>
      </c>
      <c r="C2808" s="7" t="s">
        <v>5470</v>
      </c>
      <c r="D2808" s="7" t="s">
        <v>10</v>
      </c>
      <c r="E2808" s="7" t="s">
        <v>57</v>
      </c>
      <c r="F2808" s="7" t="s">
        <v>303</v>
      </c>
      <c r="G2808" s="7" t="s">
        <v>608</v>
      </c>
      <c r="H2808" s="7" t="s">
        <v>609</v>
      </c>
      <c r="I2808" s="8" t="s">
        <v>610</v>
      </c>
    </row>
    <row r="2809" spans="1:12" hidden="1" x14ac:dyDescent="0.35">
      <c r="A2809" s="6">
        <v>370184</v>
      </c>
      <c r="B2809" s="7" t="str">
        <f>"3328170411050003"</f>
        <v>3328170411050003</v>
      </c>
      <c r="C2809" s="7" t="s">
        <v>5471</v>
      </c>
      <c r="D2809" s="7" t="s">
        <v>10</v>
      </c>
      <c r="E2809" s="7" t="s">
        <v>11</v>
      </c>
      <c r="F2809" s="7" t="s">
        <v>18</v>
      </c>
      <c r="G2809" s="7" t="s">
        <v>268</v>
      </c>
      <c r="H2809" s="7" t="s">
        <v>269</v>
      </c>
      <c r="I2809" s="8" t="s">
        <v>996</v>
      </c>
    </row>
    <row r="2810" spans="1:12" hidden="1" x14ac:dyDescent="0.35">
      <c r="A2810" s="6">
        <v>1393089</v>
      </c>
      <c r="B2810" s="7" t="str">
        <f>"3328170602870002"</f>
        <v>3328170602870002</v>
      </c>
      <c r="C2810" s="7" t="s">
        <v>3793</v>
      </c>
      <c r="D2810" s="7" t="s">
        <v>10</v>
      </c>
      <c r="E2810" s="7" t="s">
        <v>11</v>
      </c>
      <c r="F2810" s="7" t="s">
        <v>91</v>
      </c>
      <c r="G2810" s="7" t="s">
        <v>159</v>
      </c>
      <c r="H2810" s="7" t="s">
        <v>685</v>
      </c>
      <c r="I2810" s="8" t="s">
        <v>3105</v>
      </c>
    </row>
    <row r="2811" spans="1:12" hidden="1" x14ac:dyDescent="0.35">
      <c r="A2811" s="6">
        <v>1741017</v>
      </c>
      <c r="B2811" s="7" t="str">
        <f>"3328170603820004"</f>
        <v>3328170603820004</v>
      </c>
      <c r="C2811" s="7" t="s">
        <v>5472</v>
      </c>
      <c r="D2811" s="7" t="s">
        <v>10</v>
      </c>
      <c r="E2811" s="7" t="s">
        <v>11</v>
      </c>
      <c r="F2811" s="7" t="s">
        <v>91</v>
      </c>
      <c r="G2811" s="7" t="s">
        <v>1763</v>
      </c>
      <c r="H2811" s="7" t="s">
        <v>5473</v>
      </c>
      <c r="I2811" s="8" t="s">
        <v>5474</v>
      </c>
    </row>
    <row r="2812" spans="1:12" hidden="1" x14ac:dyDescent="0.35">
      <c r="A2812" s="13">
        <v>1518516</v>
      </c>
      <c r="B2812" s="14" t="str">
        <f>"3328170606970006"</f>
        <v>3328170606970006</v>
      </c>
      <c r="C2812" s="14" t="s">
        <v>5475</v>
      </c>
      <c r="D2812" s="14" t="s">
        <v>10</v>
      </c>
      <c r="E2812" s="14" t="s">
        <v>11</v>
      </c>
      <c r="F2812" s="14" t="s">
        <v>18</v>
      </c>
      <c r="G2812" s="14" t="s">
        <v>19</v>
      </c>
      <c r="H2812" s="14" t="s">
        <v>4754</v>
      </c>
      <c r="I2812" s="15" t="s">
        <v>4755</v>
      </c>
      <c r="J2812" s="16" t="str">
        <f>VLOOKUP(B2812,baru!$B$2:$I$2271,4,FALSE)</f>
        <v>Reguler</v>
      </c>
      <c r="K2812" s="16" t="str">
        <f>VLOOKUP(B2812,baru!$B$2:$I$2271,5,FALSE)</f>
        <v>JAWA TENGAH</v>
      </c>
      <c r="L2812" s="16" t="str">
        <f>VLOOKUP(B2812,baru!$B$2:$I$2271,6,FALSE)</f>
        <v>CILACAP</v>
      </c>
    </row>
    <row r="2813" spans="1:12" hidden="1" x14ac:dyDescent="0.35">
      <c r="A2813" s="6">
        <v>1493749</v>
      </c>
      <c r="B2813" s="7" t="str">
        <f>"3328170612940002"</f>
        <v>3328170612940002</v>
      </c>
      <c r="C2813" s="7" t="s">
        <v>5476</v>
      </c>
      <c r="D2813" s="7" t="s">
        <v>10</v>
      </c>
      <c r="E2813" s="7" t="s">
        <v>11</v>
      </c>
      <c r="F2813" s="7" t="s">
        <v>18</v>
      </c>
      <c r="G2813" s="7" t="s">
        <v>19</v>
      </c>
      <c r="H2813" s="7" t="s">
        <v>4754</v>
      </c>
      <c r="I2813" s="8" t="s">
        <v>5442</v>
      </c>
      <c r="J2813" t="e">
        <f>VLOOKUP(B2813,baru!$B$2:$I$2271,4,FALSE)</f>
        <v>#N/A</v>
      </c>
      <c r="K2813" t="e">
        <f>VLOOKUP(B2813,baru!$B$2:$I$2271,5,FALSE)</f>
        <v>#N/A</v>
      </c>
      <c r="L2813" t="e">
        <f>VLOOKUP(B2813,baru!$B$2:$I$2271,6,FALSE)</f>
        <v>#N/A</v>
      </c>
    </row>
    <row r="2814" spans="1:12" hidden="1" x14ac:dyDescent="0.35">
      <c r="A2814" s="6">
        <v>423744</v>
      </c>
      <c r="B2814" s="7" t="str">
        <f>"3328170612940002"</f>
        <v>3328170612940002</v>
      </c>
      <c r="C2814" s="7" t="s">
        <v>5477</v>
      </c>
      <c r="D2814" s="7" t="s">
        <v>10</v>
      </c>
      <c r="E2814" s="7" t="s">
        <v>57</v>
      </c>
      <c r="F2814" s="7" t="s">
        <v>18</v>
      </c>
      <c r="G2814" s="7" t="s">
        <v>268</v>
      </c>
      <c r="H2814" s="7" t="s">
        <v>277</v>
      </c>
      <c r="I2814" s="8" t="s">
        <v>278</v>
      </c>
    </row>
    <row r="2815" spans="1:12" hidden="1" x14ac:dyDescent="0.35">
      <c r="A2815" s="6">
        <v>275432</v>
      </c>
      <c r="B2815" s="7" t="str">
        <f>"3328170704830002"</f>
        <v>3328170704830002</v>
      </c>
      <c r="C2815" s="7" t="s">
        <v>5478</v>
      </c>
      <c r="D2815" s="7" t="s">
        <v>10</v>
      </c>
      <c r="E2815" s="7" t="s">
        <v>11</v>
      </c>
      <c r="F2815" s="7" t="s">
        <v>18</v>
      </c>
      <c r="G2815" s="7" t="s">
        <v>268</v>
      </c>
      <c r="H2815" s="7" t="s">
        <v>277</v>
      </c>
      <c r="I2815" s="8" t="s">
        <v>3326</v>
      </c>
    </row>
    <row r="2816" spans="1:12" hidden="1" x14ac:dyDescent="0.35">
      <c r="A2816" s="6">
        <v>1503580</v>
      </c>
      <c r="B2816" s="7" t="str">
        <f>"3328170705900009"</f>
        <v>3328170705900009</v>
      </c>
      <c r="C2816" s="7" t="s">
        <v>5480</v>
      </c>
      <c r="D2816" s="7" t="s">
        <v>10</v>
      </c>
      <c r="E2816" s="7" t="s">
        <v>11</v>
      </c>
      <c r="F2816" s="7" t="s">
        <v>18</v>
      </c>
      <c r="G2816" s="7" t="s">
        <v>19</v>
      </c>
      <c r="H2816" s="7" t="s">
        <v>4754</v>
      </c>
      <c r="I2816" s="8" t="s">
        <v>5481</v>
      </c>
      <c r="J2816" t="e">
        <f>VLOOKUP(B2816,baru!$B$2:$I$2271,4,FALSE)</f>
        <v>#N/A</v>
      </c>
      <c r="K2816" t="e">
        <f>VLOOKUP(B2816,baru!$B$2:$I$2271,5,FALSE)</f>
        <v>#N/A</v>
      </c>
      <c r="L2816" t="e">
        <f>VLOOKUP(B2816,baru!$B$2:$I$2271,6,FALSE)</f>
        <v>#N/A</v>
      </c>
    </row>
    <row r="2817" spans="1:12" hidden="1" x14ac:dyDescent="0.35">
      <c r="A2817" s="6">
        <v>627885</v>
      </c>
      <c r="B2817" s="7" t="str">
        <f>"3328170705900009"</f>
        <v>3328170705900009</v>
      </c>
      <c r="C2817" s="7" t="s">
        <v>5482</v>
      </c>
      <c r="D2817" s="7" t="s">
        <v>10</v>
      </c>
      <c r="E2817" s="7" t="s">
        <v>57</v>
      </c>
      <c r="F2817" s="7" t="s">
        <v>521</v>
      </c>
      <c r="G2817" s="7" t="s">
        <v>5483</v>
      </c>
      <c r="H2817" s="7" t="s">
        <v>5484</v>
      </c>
      <c r="I2817" s="8" t="s">
        <v>5485</v>
      </c>
    </row>
    <row r="2818" spans="1:12" hidden="1" x14ac:dyDescent="0.35">
      <c r="A2818" s="13">
        <v>1506266</v>
      </c>
      <c r="B2818" s="14" t="str">
        <f>"3328170909920002"</f>
        <v>3328170909920002</v>
      </c>
      <c r="C2818" s="14" t="s">
        <v>5486</v>
      </c>
      <c r="D2818" s="14" t="s">
        <v>10</v>
      </c>
      <c r="E2818" s="14" t="s">
        <v>11</v>
      </c>
      <c r="F2818" s="14" t="s">
        <v>18</v>
      </c>
      <c r="G2818" s="14" t="s">
        <v>19</v>
      </c>
      <c r="H2818" s="14" t="s">
        <v>4754</v>
      </c>
      <c r="I2818" s="15" t="s">
        <v>5481</v>
      </c>
      <c r="J2818" s="16" t="str">
        <f>VLOOKUP(B2818,baru!$B$2:$I$2271,4,FALSE)</f>
        <v>Reguler</v>
      </c>
      <c r="K2818" s="16" t="str">
        <f>VLOOKUP(B2818,baru!$B$2:$I$2271,5,FALSE)</f>
        <v>JAWA BARAT</v>
      </c>
      <c r="L2818" s="16" t="str">
        <f>VLOOKUP(B2818,baru!$B$2:$I$2271,6,FALSE)</f>
        <v>KARAWANG</v>
      </c>
    </row>
    <row r="2819" spans="1:12" x14ac:dyDescent="0.35">
      <c r="A2819" s="6">
        <v>277115</v>
      </c>
      <c r="B2819" s="7" t="str">
        <f>"3328171012960005"</f>
        <v>3328171012960005</v>
      </c>
      <c r="C2819" s="7" t="s">
        <v>5489</v>
      </c>
      <c r="D2819" s="7" t="s">
        <v>189</v>
      </c>
      <c r="E2819" s="7" t="s">
        <v>11</v>
      </c>
      <c r="F2819" s="7" t="s">
        <v>18</v>
      </c>
      <c r="G2819" s="7" t="s">
        <v>268</v>
      </c>
      <c r="H2819" s="7" t="s">
        <v>277</v>
      </c>
      <c r="I2819" s="8" t="s">
        <v>3243</v>
      </c>
    </row>
    <row r="2820" spans="1:12" x14ac:dyDescent="0.35">
      <c r="A2820" s="6">
        <v>1502448</v>
      </c>
      <c r="B2820" s="7" t="str">
        <f>"3328171012960005"</f>
        <v>3328171012960005</v>
      </c>
      <c r="C2820" s="7" t="s">
        <v>5489</v>
      </c>
      <c r="D2820" s="7" t="s">
        <v>189</v>
      </c>
      <c r="E2820" s="7" t="s">
        <v>11</v>
      </c>
      <c r="F2820" s="7" t="s">
        <v>18</v>
      </c>
      <c r="G2820" s="7" t="s">
        <v>19</v>
      </c>
      <c r="H2820" s="7" t="s">
        <v>4754</v>
      </c>
      <c r="I2820" s="8" t="s">
        <v>5481</v>
      </c>
      <c r="J2820" t="e">
        <f>VLOOKUP(B2820,baru!$B$2:$I$2271,4,FALSE)</f>
        <v>#N/A</v>
      </c>
      <c r="K2820" t="e">
        <f>VLOOKUP(B2820,baru!$B$2:$I$2271,5,FALSE)</f>
        <v>#N/A</v>
      </c>
      <c r="L2820" t="e">
        <f>VLOOKUP(B2820,baru!$B$2:$I$2271,6,FALSE)</f>
        <v>#N/A</v>
      </c>
    </row>
    <row r="2821" spans="1:12" hidden="1" x14ac:dyDescent="0.35">
      <c r="A2821" s="13">
        <v>1619468</v>
      </c>
      <c r="B2821" s="14" t="str">
        <f>"3328171105960001"</f>
        <v>3328171105960001</v>
      </c>
      <c r="C2821" s="14" t="s">
        <v>5490</v>
      </c>
      <c r="D2821" s="14" t="s">
        <v>10</v>
      </c>
      <c r="E2821" s="14" t="s">
        <v>11</v>
      </c>
      <c r="F2821" s="14" t="s">
        <v>18</v>
      </c>
      <c r="G2821" s="14" t="s">
        <v>19</v>
      </c>
      <c r="H2821" s="14" t="s">
        <v>4754</v>
      </c>
      <c r="I2821" s="15" t="s">
        <v>5421</v>
      </c>
      <c r="J2821" s="16" t="str">
        <f>VLOOKUP(B2821,baru!$B$2:$I$2271,4,FALSE)</f>
        <v>Reguler</v>
      </c>
      <c r="K2821" s="16" t="str">
        <f>VLOOKUP(B2821,baru!$B$2:$I$2271,5,FALSE)</f>
        <v>KALIMANTAN TIMUR</v>
      </c>
      <c r="L2821" s="16" t="str">
        <f>VLOOKUP(B2821,baru!$B$2:$I$2271,6,FALSE)</f>
        <v>KUTAI TIMUR</v>
      </c>
    </row>
    <row r="2822" spans="1:12" hidden="1" x14ac:dyDescent="0.35">
      <c r="A2822" s="6">
        <v>1618291</v>
      </c>
      <c r="B2822" s="7" t="str">
        <f>"3328171106000001"</f>
        <v>3328171106000001</v>
      </c>
      <c r="C2822" s="7" t="s">
        <v>5494</v>
      </c>
      <c r="D2822" s="7" t="s">
        <v>10</v>
      </c>
      <c r="E2822" s="7" t="s">
        <v>11</v>
      </c>
      <c r="F2822" s="7" t="s">
        <v>18</v>
      </c>
      <c r="G2822" s="7" t="s">
        <v>19</v>
      </c>
      <c r="H2822" s="7" t="s">
        <v>4754</v>
      </c>
      <c r="I2822" s="8" t="s">
        <v>5421</v>
      </c>
      <c r="J2822" t="e">
        <f>VLOOKUP(B2822,baru!$B$2:$I$2271,4,FALSE)</f>
        <v>#N/A</v>
      </c>
      <c r="K2822" t="e">
        <f>VLOOKUP(B2822,baru!$B$2:$I$2271,5,FALSE)</f>
        <v>#N/A</v>
      </c>
      <c r="L2822" t="e">
        <f>VLOOKUP(B2822,baru!$B$2:$I$2271,6,FALSE)</f>
        <v>#N/A</v>
      </c>
    </row>
    <row r="2823" spans="1:12" hidden="1" x14ac:dyDescent="0.35">
      <c r="A2823" s="6">
        <v>762471</v>
      </c>
      <c r="B2823" s="7" t="str">
        <f>"3328171106000001"</f>
        <v>3328171106000001</v>
      </c>
      <c r="C2823" s="7" t="s">
        <v>5495</v>
      </c>
      <c r="D2823" s="7" t="s">
        <v>10</v>
      </c>
      <c r="E2823" s="7" t="s">
        <v>57</v>
      </c>
      <c r="F2823" s="7" t="s">
        <v>379</v>
      </c>
      <c r="G2823" s="7" t="s">
        <v>711</v>
      </c>
      <c r="H2823" s="7" t="s">
        <v>718</v>
      </c>
      <c r="I2823" s="8" t="s">
        <v>719</v>
      </c>
    </row>
    <row r="2824" spans="1:12" hidden="1" x14ac:dyDescent="0.35">
      <c r="A2824" s="6">
        <v>625238</v>
      </c>
      <c r="B2824" s="7" t="str">
        <f>"3328171109900002"</f>
        <v>3328171109900002</v>
      </c>
      <c r="C2824" s="7" t="s">
        <v>1199</v>
      </c>
      <c r="D2824" s="7" t="s">
        <v>10</v>
      </c>
      <c r="E2824" s="7" t="s">
        <v>11</v>
      </c>
      <c r="F2824" s="7" t="s">
        <v>18</v>
      </c>
      <c r="G2824" s="7" t="s">
        <v>264</v>
      </c>
      <c r="H2824" s="7" t="s">
        <v>264</v>
      </c>
      <c r="I2824" s="8" t="s">
        <v>2004</v>
      </c>
    </row>
    <row r="2825" spans="1:12" hidden="1" x14ac:dyDescent="0.35">
      <c r="A2825" s="6">
        <v>1494390</v>
      </c>
      <c r="B2825" s="7" t="str">
        <f>"3328171202020004"</f>
        <v>3328171202020004</v>
      </c>
      <c r="C2825" s="7" t="s">
        <v>5496</v>
      </c>
      <c r="D2825" s="7" t="s">
        <v>10</v>
      </c>
      <c r="E2825" s="7" t="s">
        <v>11</v>
      </c>
      <c r="F2825" s="7" t="s">
        <v>18</v>
      </c>
      <c r="G2825" s="7" t="s">
        <v>19</v>
      </c>
      <c r="H2825" s="7" t="s">
        <v>4754</v>
      </c>
      <c r="I2825" s="8" t="s">
        <v>5442</v>
      </c>
      <c r="J2825" t="e">
        <f>VLOOKUP(B2825,baru!$B$2:$I$2271,4,FALSE)</f>
        <v>#N/A</v>
      </c>
      <c r="K2825" t="e">
        <f>VLOOKUP(B2825,baru!$B$2:$I$2271,5,FALSE)</f>
        <v>#N/A</v>
      </c>
      <c r="L2825" t="e">
        <f>VLOOKUP(B2825,baru!$B$2:$I$2271,6,FALSE)</f>
        <v>#N/A</v>
      </c>
    </row>
    <row r="2826" spans="1:12" hidden="1" x14ac:dyDescent="0.35">
      <c r="A2826" s="6">
        <v>2662310</v>
      </c>
      <c r="B2826" s="7" t="str">
        <f>"3328171202020004"</f>
        <v>3328171202020004</v>
      </c>
      <c r="C2826" s="7" t="s">
        <v>5497</v>
      </c>
      <c r="D2826" s="7" t="s">
        <v>10</v>
      </c>
      <c r="E2826" s="7" t="s">
        <v>57</v>
      </c>
      <c r="F2826" s="7" t="s">
        <v>18</v>
      </c>
      <c r="G2826" s="7" t="s">
        <v>199</v>
      </c>
      <c r="H2826" s="7" t="s">
        <v>199</v>
      </c>
      <c r="I2826" s="8" t="s">
        <v>839</v>
      </c>
    </row>
    <row r="2827" spans="1:12" hidden="1" x14ac:dyDescent="0.35">
      <c r="A2827" s="13">
        <v>1503615</v>
      </c>
      <c r="B2827" s="14" t="str">
        <f>"3328171202960002"</f>
        <v>3328171202960002</v>
      </c>
      <c r="C2827" s="14" t="s">
        <v>5498</v>
      </c>
      <c r="D2827" s="14" t="s">
        <v>10</v>
      </c>
      <c r="E2827" s="14" t="s">
        <v>11</v>
      </c>
      <c r="F2827" s="14" t="s">
        <v>18</v>
      </c>
      <c r="G2827" s="14" t="s">
        <v>19</v>
      </c>
      <c r="H2827" s="14" t="s">
        <v>4754</v>
      </c>
      <c r="I2827" s="15" t="s">
        <v>5481</v>
      </c>
      <c r="J2827" s="16" t="str">
        <f>VLOOKUP(B2827,baru!$B$2:$I$2271,4,FALSE)</f>
        <v>Reguler</v>
      </c>
      <c r="K2827" s="16" t="str">
        <f>VLOOKUP(B2827,baru!$B$2:$I$2271,5,FALSE)</f>
        <v>JAWA BARAT</v>
      </c>
      <c r="L2827" s="16" t="str">
        <f>VLOOKUP(B2827,baru!$B$2:$I$2271,6,FALSE)</f>
        <v>KARAWANG</v>
      </c>
    </row>
    <row r="2828" spans="1:12" hidden="1" x14ac:dyDescent="0.35">
      <c r="A2828" s="6">
        <v>67024</v>
      </c>
      <c r="B2828" s="7" t="str">
        <f>"3328171602920001"</f>
        <v>3328171602920001</v>
      </c>
      <c r="C2828" s="7" t="s">
        <v>5499</v>
      </c>
      <c r="D2828" s="7" t="s">
        <v>10</v>
      </c>
      <c r="E2828" s="7" t="s">
        <v>11</v>
      </c>
      <c r="F2828" s="7" t="s">
        <v>44</v>
      </c>
      <c r="G2828" s="7" t="s">
        <v>2174</v>
      </c>
      <c r="H2828" s="7" t="s">
        <v>5500</v>
      </c>
      <c r="I2828" s="8" t="s">
        <v>5501</v>
      </c>
    </row>
    <row r="2829" spans="1:12" hidden="1" x14ac:dyDescent="0.35">
      <c r="A2829" s="13">
        <v>1507874</v>
      </c>
      <c r="B2829" s="14" t="str">
        <f>"3328171605910004"</f>
        <v>3328171605910004</v>
      </c>
      <c r="C2829" s="14" t="s">
        <v>5503</v>
      </c>
      <c r="D2829" s="14" t="s">
        <v>10</v>
      </c>
      <c r="E2829" s="14" t="s">
        <v>11</v>
      </c>
      <c r="F2829" s="14" t="s">
        <v>18</v>
      </c>
      <c r="G2829" s="14" t="s">
        <v>19</v>
      </c>
      <c r="H2829" s="14" t="s">
        <v>4754</v>
      </c>
      <c r="I2829" s="15" t="s">
        <v>5440</v>
      </c>
      <c r="J2829" s="16" t="str">
        <f>VLOOKUP(B2829,baru!$B$2:$I$2271,4,FALSE)</f>
        <v>Reguler</v>
      </c>
      <c r="K2829" s="16" t="str">
        <f>VLOOKUP(B2829,baru!$B$2:$I$2271,5,FALSE)</f>
        <v>JAWA TENGAH</v>
      </c>
      <c r="L2829" s="16" t="str">
        <f>VLOOKUP(B2829,baru!$B$2:$I$2271,6,FALSE)</f>
        <v>BREBES</v>
      </c>
    </row>
    <row r="2830" spans="1:12" x14ac:dyDescent="0.35">
      <c r="A2830" s="6">
        <v>1617161</v>
      </c>
      <c r="B2830" s="7" t="str">
        <f>"3328171705060003"</f>
        <v>3328171705060003</v>
      </c>
      <c r="C2830" s="7" t="s">
        <v>5504</v>
      </c>
      <c r="D2830" s="7" t="s">
        <v>189</v>
      </c>
      <c r="E2830" s="7" t="s">
        <v>11</v>
      </c>
      <c r="F2830" s="7" t="s">
        <v>18</v>
      </c>
      <c r="G2830" s="7" t="s">
        <v>19</v>
      </c>
      <c r="H2830" s="7" t="s">
        <v>4754</v>
      </c>
      <c r="I2830" s="8" t="s">
        <v>5421</v>
      </c>
      <c r="J2830" t="e">
        <f>VLOOKUP(B2830,baru!$B$2:$I$2271,4,FALSE)</f>
        <v>#N/A</v>
      </c>
      <c r="K2830" t="e">
        <f>VLOOKUP(B2830,baru!$B$2:$I$2271,5,FALSE)</f>
        <v>#N/A</v>
      </c>
      <c r="L2830" t="e">
        <f>VLOOKUP(B2830,baru!$B$2:$I$2271,6,FALSE)</f>
        <v>#N/A</v>
      </c>
    </row>
    <row r="2831" spans="1:12" hidden="1" x14ac:dyDescent="0.35">
      <c r="A2831" s="6">
        <v>1349047</v>
      </c>
      <c r="B2831" s="7" t="str">
        <f>"3328171705060003"</f>
        <v>3328171705060003</v>
      </c>
      <c r="C2831" s="7" t="s">
        <v>5504</v>
      </c>
      <c r="D2831" s="7" t="s">
        <v>10</v>
      </c>
      <c r="E2831" s="7" t="s">
        <v>57</v>
      </c>
      <c r="F2831" s="7" t="s">
        <v>303</v>
      </c>
      <c r="G2831" s="7" t="s">
        <v>608</v>
      </c>
      <c r="H2831" s="7" t="s">
        <v>609</v>
      </c>
      <c r="I2831" s="8" t="s">
        <v>610</v>
      </c>
    </row>
    <row r="2832" spans="1:12" hidden="1" x14ac:dyDescent="0.35">
      <c r="A2832" s="17">
        <v>1519326</v>
      </c>
      <c r="B2832" s="18" t="str">
        <f>"3328171805060008"</f>
        <v>3328171805060008</v>
      </c>
      <c r="C2832" s="18" t="s">
        <v>5505</v>
      </c>
      <c r="D2832" s="18" t="s">
        <v>10</v>
      </c>
      <c r="E2832" s="18" t="s">
        <v>11</v>
      </c>
      <c r="F2832" s="18" t="s">
        <v>18</v>
      </c>
      <c r="G2832" s="18" t="s">
        <v>19</v>
      </c>
      <c r="H2832" s="18" t="s">
        <v>4754</v>
      </c>
      <c r="I2832" s="19" t="s">
        <v>4755</v>
      </c>
      <c r="J2832" s="20" t="str">
        <f>VLOOKUP(B2832,baru!$B$2:$I$2271,4,FALSE)</f>
        <v>Khusus</v>
      </c>
      <c r="K2832" s="20" t="str">
        <f>VLOOKUP(B2832,baru!$B$2:$I$2271,5,FALSE)</f>
        <v>JAWA TENGAH</v>
      </c>
      <c r="L2832" s="20" t="str">
        <f>VLOOKUP(B2832,baru!$B$2:$I$2271,6,FALSE)</f>
        <v>BATANG</v>
      </c>
    </row>
    <row r="2833" spans="1:12" hidden="1" x14ac:dyDescent="0.35">
      <c r="A2833" s="13">
        <v>1495552</v>
      </c>
      <c r="B2833" s="14" t="str">
        <f>"3328171805820003"</f>
        <v>3328171805820003</v>
      </c>
      <c r="C2833" s="14" t="s">
        <v>2052</v>
      </c>
      <c r="D2833" s="14" t="s">
        <v>10</v>
      </c>
      <c r="E2833" s="14" t="s">
        <v>11</v>
      </c>
      <c r="F2833" s="14" t="s">
        <v>18</v>
      </c>
      <c r="G2833" s="14" t="s">
        <v>19</v>
      </c>
      <c r="H2833" s="14" t="s">
        <v>4754</v>
      </c>
      <c r="I2833" s="15" t="s">
        <v>5442</v>
      </c>
      <c r="J2833" s="16" t="str">
        <f>VLOOKUP(B2833,baru!$B$2:$I$2271,4,FALSE)</f>
        <v>Reguler</v>
      </c>
      <c r="K2833" s="16" t="str">
        <f>VLOOKUP(B2833,baru!$B$2:$I$2271,5,FALSE)</f>
        <v>JAWA TENGAH</v>
      </c>
      <c r="L2833" s="16" t="str">
        <f>VLOOKUP(B2833,baru!$B$2:$I$2271,6,FALSE)</f>
        <v>BREBES</v>
      </c>
    </row>
    <row r="2834" spans="1:12" hidden="1" x14ac:dyDescent="0.35">
      <c r="A2834" s="6">
        <v>264202</v>
      </c>
      <c r="B2834" s="7" t="str">
        <f>"3328171808960001"</f>
        <v>3328171808960001</v>
      </c>
      <c r="C2834" s="7" t="s">
        <v>5508</v>
      </c>
      <c r="D2834" s="7" t="s">
        <v>10</v>
      </c>
      <c r="E2834" s="7" t="s">
        <v>11</v>
      </c>
      <c r="F2834" s="7" t="s">
        <v>18</v>
      </c>
      <c r="G2834" s="7" t="s">
        <v>268</v>
      </c>
      <c r="H2834" s="7" t="s">
        <v>371</v>
      </c>
      <c r="I2834" s="8" t="s">
        <v>497</v>
      </c>
    </row>
    <row r="2835" spans="1:12" hidden="1" x14ac:dyDescent="0.35">
      <c r="A2835" s="6">
        <v>1191640</v>
      </c>
      <c r="B2835" s="7" t="str">
        <f>"3328171905890001"</f>
        <v>3328171905890001</v>
      </c>
      <c r="C2835" s="7" t="s">
        <v>5510</v>
      </c>
      <c r="D2835" s="7" t="s">
        <v>10</v>
      </c>
      <c r="E2835" s="7" t="s">
        <v>11</v>
      </c>
      <c r="F2835" s="7" t="s">
        <v>91</v>
      </c>
      <c r="G2835" s="7" t="s">
        <v>320</v>
      </c>
      <c r="H2835" s="7" t="s">
        <v>368</v>
      </c>
      <c r="I2835" s="8" t="s">
        <v>3266</v>
      </c>
    </row>
    <row r="2836" spans="1:12" hidden="1" x14ac:dyDescent="0.35">
      <c r="A2836" s="6">
        <v>1523879</v>
      </c>
      <c r="B2836" s="7" t="str">
        <f>"3328171910950002"</f>
        <v>3328171910950002</v>
      </c>
      <c r="C2836" s="7" t="s">
        <v>5512</v>
      </c>
      <c r="D2836" s="7" t="s">
        <v>10</v>
      </c>
      <c r="E2836" s="7" t="s">
        <v>11</v>
      </c>
      <c r="F2836" s="7" t="s">
        <v>18</v>
      </c>
      <c r="G2836" s="7" t="s">
        <v>19</v>
      </c>
      <c r="H2836" s="7" t="s">
        <v>4754</v>
      </c>
      <c r="I2836" s="8" t="s">
        <v>5426</v>
      </c>
      <c r="J2836" t="e">
        <f>VLOOKUP(B2836,baru!$B$2:$I$2271,4,FALSE)</f>
        <v>#N/A</v>
      </c>
      <c r="K2836" t="e">
        <f>VLOOKUP(B2836,baru!$B$2:$I$2271,5,FALSE)</f>
        <v>#N/A</v>
      </c>
      <c r="L2836" t="e">
        <f>VLOOKUP(B2836,baru!$B$2:$I$2271,6,FALSE)</f>
        <v>#N/A</v>
      </c>
    </row>
    <row r="2837" spans="1:12" hidden="1" x14ac:dyDescent="0.35">
      <c r="A2837" s="6">
        <v>1349048</v>
      </c>
      <c r="B2837" s="7" t="str">
        <f>"3328171910950002"</f>
        <v>3328171910950002</v>
      </c>
      <c r="C2837" s="7" t="s">
        <v>5512</v>
      </c>
      <c r="D2837" s="7" t="s">
        <v>10</v>
      </c>
      <c r="E2837" s="7" t="s">
        <v>57</v>
      </c>
      <c r="F2837" s="7" t="s">
        <v>303</v>
      </c>
      <c r="G2837" s="7" t="s">
        <v>608</v>
      </c>
      <c r="H2837" s="7" t="s">
        <v>609</v>
      </c>
      <c r="I2837" s="8" t="s">
        <v>610</v>
      </c>
    </row>
    <row r="2838" spans="1:12" hidden="1" x14ac:dyDescent="0.35">
      <c r="A2838" s="6">
        <v>1525350</v>
      </c>
      <c r="B2838" s="7" t="str">
        <f>"3328172006030004"</f>
        <v>3328172006030004</v>
      </c>
      <c r="C2838" s="7" t="s">
        <v>5513</v>
      </c>
      <c r="D2838" s="7" t="s">
        <v>10</v>
      </c>
      <c r="E2838" s="7" t="s">
        <v>11</v>
      </c>
      <c r="F2838" s="7" t="s">
        <v>18</v>
      </c>
      <c r="G2838" s="7" t="s">
        <v>19</v>
      </c>
      <c r="H2838" s="7" t="s">
        <v>4754</v>
      </c>
      <c r="I2838" s="8" t="s">
        <v>5514</v>
      </c>
      <c r="J2838" t="e">
        <f>VLOOKUP(B2838,baru!$B$2:$I$2271,4,FALSE)</f>
        <v>#N/A</v>
      </c>
      <c r="K2838" t="e">
        <f>VLOOKUP(B2838,baru!$B$2:$I$2271,5,FALSE)</f>
        <v>#N/A</v>
      </c>
      <c r="L2838" t="e">
        <f>VLOOKUP(B2838,baru!$B$2:$I$2271,6,FALSE)</f>
        <v>#N/A</v>
      </c>
    </row>
    <row r="2839" spans="1:12" hidden="1" x14ac:dyDescent="0.35">
      <c r="A2839" s="6">
        <v>1350443</v>
      </c>
      <c r="B2839" s="7" t="str">
        <f>"3328172006030004"</f>
        <v>3328172006030004</v>
      </c>
      <c r="C2839" s="7" t="s">
        <v>5513</v>
      </c>
      <c r="D2839" s="7" t="s">
        <v>10</v>
      </c>
      <c r="E2839" s="7" t="s">
        <v>57</v>
      </c>
      <c r="F2839" s="7" t="s">
        <v>303</v>
      </c>
      <c r="G2839" s="7" t="s">
        <v>608</v>
      </c>
      <c r="H2839" s="7" t="s">
        <v>609</v>
      </c>
      <c r="I2839" s="8" t="s">
        <v>610</v>
      </c>
    </row>
    <row r="2840" spans="1:12" x14ac:dyDescent="0.35">
      <c r="A2840" s="13">
        <v>1503369</v>
      </c>
      <c r="B2840" s="14" t="str">
        <f>"3328172111940003"</f>
        <v>3328172111940003</v>
      </c>
      <c r="C2840" s="14" t="s">
        <v>3659</v>
      </c>
      <c r="D2840" s="14" t="s">
        <v>189</v>
      </c>
      <c r="E2840" s="14" t="s">
        <v>11</v>
      </c>
      <c r="F2840" s="14" t="s">
        <v>18</v>
      </c>
      <c r="G2840" s="14" t="s">
        <v>19</v>
      </c>
      <c r="H2840" s="14" t="s">
        <v>4754</v>
      </c>
      <c r="I2840" s="15" t="s">
        <v>5481</v>
      </c>
      <c r="J2840" s="16" t="str">
        <f>VLOOKUP(B2840,baru!$B$2:$I$2271,4,FALSE)</f>
        <v>Reguler</v>
      </c>
      <c r="K2840" s="16" t="str">
        <f>VLOOKUP(B2840,baru!$B$2:$I$2271,5,FALSE)</f>
        <v>JAWA TENGAH</v>
      </c>
      <c r="L2840" s="16" t="str">
        <f>VLOOKUP(B2840,baru!$B$2:$I$2271,6,FALSE)</f>
        <v>PEMALANG</v>
      </c>
    </row>
    <row r="2841" spans="1:12" hidden="1" x14ac:dyDescent="0.35">
      <c r="A2841" s="6">
        <v>1502826</v>
      </c>
      <c r="B2841" s="7" t="str">
        <f>"3328172309730003"</f>
        <v>3328172309730003</v>
      </c>
      <c r="C2841" s="7" t="s">
        <v>5516</v>
      </c>
      <c r="D2841" s="7" t="s">
        <v>10</v>
      </c>
      <c r="E2841" s="7" t="s">
        <v>11</v>
      </c>
      <c r="F2841" s="7" t="s">
        <v>18</v>
      </c>
      <c r="G2841" s="7" t="s">
        <v>19</v>
      </c>
      <c r="H2841" s="7" t="s">
        <v>4754</v>
      </c>
      <c r="I2841" s="8" t="s">
        <v>5481</v>
      </c>
      <c r="J2841" t="e">
        <f>VLOOKUP(B2841,baru!$B$2:$I$2271,4,FALSE)</f>
        <v>#N/A</v>
      </c>
      <c r="K2841" t="e">
        <f>VLOOKUP(B2841,baru!$B$2:$I$2271,5,FALSE)</f>
        <v>#N/A</v>
      </c>
      <c r="L2841" t="e">
        <f>VLOOKUP(B2841,baru!$B$2:$I$2271,6,FALSE)</f>
        <v>#N/A</v>
      </c>
    </row>
    <row r="2842" spans="1:12" hidden="1" x14ac:dyDescent="0.35">
      <c r="A2842" s="6">
        <v>2419062</v>
      </c>
      <c r="B2842" s="7" t="str">
        <f>"3328172309730003"</f>
        <v>3328172309730003</v>
      </c>
      <c r="C2842" s="7" t="s">
        <v>5517</v>
      </c>
      <c r="D2842" s="7" t="s">
        <v>10</v>
      </c>
      <c r="E2842" s="7" t="s">
        <v>57</v>
      </c>
      <c r="F2842" s="7" t="s">
        <v>50</v>
      </c>
      <c r="G2842" s="7" t="s">
        <v>58</v>
      </c>
      <c r="H2842" s="7" t="s">
        <v>59</v>
      </c>
      <c r="I2842" s="8" t="s">
        <v>60</v>
      </c>
    </row>
    <row r="2843" spans="1:12" hidden="1" x14ac:dyDescent="0.35">
      <c r="A2843" s="13">
        <v>1515712</v>
      </c>
      <c r="B2843" s="14" t="str">
        <f>"3328172310000004"</f>
        <v>3328172310000004</v>
      </c>
      <c r="C2843" s="14" t="s">
        <v>5518</v>
      </c>
      <c r="D2843" s="14" t="s">
        <v>10</v>
      </c>
      <c r="E2843" s="14" t="s">
        <v>11</v>
      </c>
      <c r="F2843" s="14" t="s">
        <v>18</v>
      </c>
      <c r="G2843" s="14" t="s">
        <v>19</v>
      </c>
      <c r="H2843" s="14" t="s">
        <v>4754</v>
      </c>
      <c r="I2843" s="15" t="s">
        <v>882</v>
      </c>
      <c r="J2843" s="16" t="str">
        <f>VLOOKUP(B2843,baru!$B$2:$I$2271,4,FALSE)</f>
        <v>Reguler</v>
      </c>
      <c r="K2843" s="16" t="str">
        <f>VLOOKUP(B2843,baru!$B$2:$I$2271,5,FALSE)</f>
        <v>JAWA TENGAH</v>
      </c>
      <c r="L2843" s="16" t="str">
        <f>VLOOKUP(B2843,baru!$B$2:$I$2271,6,FALSE)</f>
        <v>KOTA TEGAL</v>
      </c>
    </row>
    <row r="2844" spans="1:12" hidden="1" x14ac:dyDescent="0.35">
      <c r="A2844" s="13">
        <v>1913708</v>
      </c>
      <c r="B2844" s="14" t="str">
        <f>"3328172410840001"</f>
        <v>3328172410840001</v>
      </c>
      <c r="C2844" s="14" t="s">
        <v>5524</v>
      </c>
      <c r="D2844" s="14" t="s">
        <v>10</v>
      </c>
      <c r="E2844" s="14" t="s">
        <v>11</v>
      </c>
      <c r="F2844" s="14" t="s">
        <v>18</v>
      </c>
      <c r="G2844" s="14" t="s">
        <v>19</v>
      </c>
      <c r="H2844" s="14" t="s">
        <v>4754</v>
      </c>
      <c r="I2844" s="15" t="s">
        <v>5438</v>
      </c>
      <c r="J2844" s="16" t="str">
        <f>VLOOKUP(B2844,baru!$B$2:$I$2271,4,FALSE)</f>
        <v>Reguler</v>
      </c>
      <c r="K2844" s="16" t="str">
        <f>VLOOKUP(B2844,baru!$B$2:$I$2271,5,FALSE)</f>
        <v>JAWA TENGAH</v>
      </c>
      <c r="L2844" s="16" t="str">
        <f>VLOOKUP(B2844,baru!$B$2:$I$2271,6,FALSE)</f>
        <v>BANJARNEGARA</v>
      </c>
    </row>
    <row r="2845" spans="1:12" hidden="1" x14ac:dyDescent="0.35">
      <c r="A2845" s="6">
        <v>1506808</v>
      </c>
      <c r="B2845" s="7" t="str">
        <f>"3328172601980001"</f>
        <v>3328172601980001</v>
      </c>
      <c r="C2845" s="7" t="s">
        <v>5526</v>
      </c>
      <c r="D2845" s="7" t="s">
        <v>10</v>
      </c>
      <c r="E2845" s="7" t="s">
        <v>11</v>
      </c>
      <c r="F2845" s="7" t="s">
        <v>18</v>
      </c>
      <c r="G2845" s="7" t="s">
        <v>19</v>
      </c>
      <c r="H2845" s="7" t="s">
        <v>4754</v>
      </c>
      <c r="I2845" s="8" t="s">
        <v>5481</v>
      </c>
      <c r="J2845" t="e">
        <f>VLOOKUP(B2845,baru!$B$2:$I$2271,4,FALSE)</f>
        <v>#N/A</v>
      </c>
      <c r="K2845" t="e">
        <f>VLOOKUP(B2845,baru!$B$2:$I$2271,5,FALSE)</f>
        <v>#N/A</v>
      </c>
      <c r="L2845" t="e">
        <f>VLOOKUP(B2845,baru!$B$2:$I$2271,6,FALSE)</f>
        <v>#N/A</v>
      </c>
    </row>
    <row r="2846" spans="1:12" hidden="1" x14ac:dyDescent="0.35">
      <c r="A2846" s="6">
        <v>1350441</v>
      </c>
      <c r="B2846" s="7" t="str">
        <f>"3328172601980001"</f>
        <v>3328172601980001</v>
      </c>
      <c r="C2846" s="7" t="s">
        <v>5526</v>
      </c>
      <c r="D2846" s="7" t="s">
        <v>10</v>
      </c>
      <c r="E2846" s="7" t="s">
        <v>57</v>
      </c>
      <c r="F2846" s="7" t="s">
        <v>303</v>
      </c>
      <c r="G2846" s="7" t="s">
        <v>608</v>
      </c>
      <c r="H2846" s="7" t="s">
        <v>609</v>
      </c>
      <c r="I2846" s="8" t="s">
        <v>610</v>
      </c>
    </row>
    <row r="2847" spans="1:12" hidden="1" x14ac:dyDescent="0.35">
      <c r="A2847" s="6">
        <v>345984</v>
      </c>
      <c r="B2847" s="7" t="str">
        <f>"3328172705060002"</f>
        <v>3328172705060002</v>
      </c>
      <c r="C2847" s="7" t="s">
        <v>5527</v>
      </c>
      <c r="D2847" s="7" t="s">
        <v>10</v>
      </c>
      <c r="E2847" s="7" t="s">
        <v>11</v>
      </c>
      <c r="F2847" s="7" t="s">
        <v>379</v>
      </c>
      <c r="G2847" s="7" t="s">
        <v>380</v>
      </c>
      <c r="H2847" s="7" t="s">
        <v>3848</v>
      </c>
      <c r="I2847" s="8" t="s">
        <v>5017</v>
      </c>
    </row>
    <row r="2848" spans="1:12" hidden="1" x14ac:dyDescent="0.35">
      <c r="A2848" s="13">
        <v>1543045</v>
      </c>
      <c r="B2848" s="14" t="str">
        <f>"3328172908850007"</f>
        <v>3328172908850007</v>
      </c>
      <c r="C2848" s="14" t="s">
        <v>5528</v>
      </c>
      <c r="D2848" s="14" t="s">
        <v>10</v>
      </c>
      <c r="E2848" s="14" t="s">
        <v>11</v>
      </c>
      <c r="F2848" s="14" t="s">
        <v>18</v>
      </c>
      <c r="G2848" s="14" t="s">
        <v>19</v>
      </c>
      <c r="H2848" s="14" t="s">
        <v>4754</v>
      </c>
      <c r="I2848" s="15" t="s">
        <v>3958</v>
      </c>
      <c r="J2848" s="16" t="str">
        <f>VLOOKUP(B2848,baru!$B$2:$I$2271,4,FALSE)</f>
        <v>Reguler</v>
      </c>
      <c r="K2848" s="16" t="str">
        <f>VLOOKUP(B2848,baru!$B$2:$I$2271,5,FALSE)</f>
        <v>DKI JAKARTA</v>
      </c>
      <c r="L2848" s="16" t="str">
        <f>VLOOKUP(B2848,baru!$B$2:$I$2271,6,FALSE)</f>
        <v>KOTA JAKARTA UTARA</v>
      </c>
    </row>
    <row r="2849" spans="1:12" hidden="1" x14ac:dyDescent="0.35">
      <c r="A2849" s="6">
        <v>1617013</v>
      </c>
      <c r="B2849" s="7" t="str">
        <f>"3328173108840002"</f>
        <v>3328173108840002</v>
      </c>
      <c r="C2849" s="7" t="s">
        <v>5529</v>
      </c>
      <c r="D2849" s="7" t="s">
        <v>10</v>
      </c>
      <c r="E2849" s="7" t="s">
        <v>11</v>
      </c>
      <c r="F2849" s="7" t="s">
        <v>18</v>
      </c>
      <c r="G2849" s="7" t="s">
        <v>19</v>
      </c>
      <c r="H2849" s="7" t="s">
        <v>4754</v>
      </c>
      <c r="I2849" s="8" t="s">
        <v>5421</v>
      </c>
      <c r="J2849" t="e">
        <f>VLOOKUP(B2849,baru!$B$2:$I$2271,4,FALSE)</f>
        <v>#N/A</v>
      </c>
      <c r="K2849" t="e">
        <f>VLOOKUP(B2849,baru!$B$2:$I$2271,5,FALSE)</f>
        <v>#N/A</v>
      </c>
      <c r="L2849" t="e">
        <f>VLOOKUP(B2849,baru!$B$2:$I$2271,6,FALSE)</f>
        <v>#N/A</v>
      </c>
    </row>
    <row r="2850" spans="1:12" hidden="1" x14ac:dyDescent="0.35">
      <c r="A2850" s="6">
        <v>412096</v>
      </c>
      <c r="B2850" s="7" t="str">
        <f>"3328173108840002"</f>
        <v>3328173108840002</v>
      </c>
      <c r="C2850" s="7" t="s">
        <v>5529</v>
      </c>
      <c r="D2850" s="7" t="s">
        <v>10</v>
      </c>
      <c r="E2850" s="7" t="s">
        <v>57</v>
      </c>
      <c r="F2850" s="7" t="s">
        <v>3068</v>
      </c>
      <c r="G2850" s="7" t="s">
        <v>5530</v>
      </c>
      <c r="H2850" s="7" t="s">
        <v>5531</v>
      </c>
      <c r="I2850" s="8" t="s">
        <v>5532</v>
      </c>
    </row>
    <row r="2851" spans="1:12" hidden="1" x14ac:dyDescent="0.35">
      <c r="A2851" s="13">
        <v>1521658</v>
      </c>
      <c r="B2851" s="14" t="str">
        <f>"3328174107930039"</f>
        <v>3328174107930039</v>
      </c>
      <c r="C2851" s="14" t="s">
        <v>5533</v>
      </c>
      <c r="D2851" s="14" t="s">
        <v>10</v>
      </c>
      <c r="E2851" s="14" t="s">
        <v>11</v>
      </c>
      <c r="F2851" s="14" t="s">
        <v>18</v>
      </c>
      <c r="G2851" s="14" t="s">
        <v>19</v>
      </c>
      <c r="H2851" s="14" t="s">
        <v>4754</v>
      </c>
      <c r="I2851" s="15" t="s">
        <v>5426</v>
      </c>
      <c r="J2851" s="16" t="str">
        <f>VLOOKUP(B2851,baru!$B$2:$I$2271,4,FALSE)</f>
        <v>Reguler</v>
      </c>
      <c r="K2851" s="16" t="str">
        <f>VLOOKUP(B2851,baru!$B$2:$I$2271,5,FALSE)</f>
        <v>JAWA TENGAH</v>
      </c>
      <c r="L2851" s="16" t="str">
        <f>VLOOKUP(B2851,baru!$B$2:$I$2271,6,FALSE)</f>
        <v>PEKALONGAN</v>
      </c>
    </row>
    <row r="2852" spans="1:12" hidden="1" x14ac:dyDescent="0.35">
      <c r="A2852" s="13">
        <v>1505660</v>
      </c>
      <c r="B2852" s="14" t="str">
        <f>"3328174207920002"</f>
        <v>3328174207920002</v>
      </c>
      <c r="C2852" s="14" t="s">
        <v>2376</v>
      </c>
      <c r="D2852" s="14" t="s">
        <v>10</v>
      </c>
      <c r="E2852" s="14" t="s">
        <v>11</v>
      </c>
      <c r="F2852" s="14" t="s">
        <v>18</v>
      </c>
      <c r="G2852" s="14" t="s">
        <v>19</v>
      </c>
      <c r="H2852" s="14" t="s">
        <v>4754</v>
      </c>
      <c r="I2852" s="15" t="s">
        <v>5481</v>
      </c>
      <c r="J2852" s="16" t="str">
        <f>VLOOKUP(B2852,baru!$B$2:$I$2271,4,FALSE)</f>
        <v>Reguler</v>
      </c>
      <c r="K2852" s="16" t="str">
        <f>VLOOKUP(B2852,baru!$B$2:$I$2271,5,FALSE)</f>
        <v>JAWA TENGAH</v>
      </c>
      <c r="L2852" s="16" t="str">
        <f>VLOOKUP(B2852,baru!$B$2:$I$2271,6,FALSE)</f>
        <v>PEMALANG</v>
      </c>
    </row>
    <row r="2853" spans="1:12" hidden="1" x14ac:dyDescent="0.35">
      <c r="A2853" s="6">
        <v>225215</v>
      </c>
      <c r="B2853" s="7" t="str">
        <f>"3328174302990002"</f>
        <v>3328174302990002</v>
      </c>
      <c r="C2853" s="7" t="s">
        <v>5535</v>
      </c>
      <c r="D2853" s="7" t="s">
        <v>10</v>
      </c>
      <c r="E2853" s="7" t="s">
        <v>11</v>
      </c>
      <c r="F2853" s="7" t="s">
        <v>44</v>
      </c>
      <c r="G2853" s="7" t="s">
        <v>3084</v>
      </c>
      <c r="H2853" s="7" t="s">
        <v>5536</v>
      </c>
      <c r="I2853" s="8" t="s">
        <v>5537</v>
      </c>
    </row>
    <row r="2854" spans="1:12" x14ac:dyDescent="0.35">
      <c r="A2854" s="13">
        <v>1501135</v>
      </c>
      <c r="B2854" s="14" t="str">
        <f>"3328174705810007"</f>
        <v>3328174705810007</v>
      </c>
      <c r="C2854" s="14" t="s">
        <v>5538</v>
      </c>
      <c r="D2854" s="14" t="s">
        <v>189</v>
      </c>
      <c r="E2854" s="14" t="s">
        <v>11</v>
      </c>
      <c r="F2854" s="14" t="s">
        <v>18</v>
      </c>
      <c r="G2854" s="14" t="s">
        <v>19</v>
      </c>
      <c r="H2854" s="14" t="s">
        <v>4754</v>
      </c>
      <c r="I2854" s="15" t="s">
        <v>4754</v>
      </c>
      <c r="J2854" s="16" t="str">
        <f>VLOOKUP(B2854,baru!$B$2:$I$2271,4,FALSE)</f>
        <v>Reguler</v>
      </c>
      <c r="K2854" s="16" t="str">
        <f>VLOOKUP(B2854,baru!$B$2:$I$2271,5,FALSE)</f>
        <v>DAERAH ISTIMEWA YOGYAKARTA</v>
      </c>
      <c r="L2854" s="16" t="str">
        <f>VLOOKUP(B2854,baru!$B$2:$I$2271,6,FALSE)</f>
        <v>BANTUL</v>
      </c>
    </row>
    <row r="2855" spans="1:12" hidden="1" x14ac:dyDescent="0.35">
      <c r="A2855" s="13">
        <v>1521914</v>
      </c>
      <c r="B2855" s="14" t="str">
        <f>"3328175101920003"</f>
        <v>3328175101920003</v>
      </c>
      <c r="C2855" s="14" t="s">
        <v>5539</v>
      </c>
      <c r="D2855" s="14" t="s">
        <v>10</v>
      </c>
      <c r="E2855" s="14" t="s">
        <v>11</v>
      </c>
      <c r="F2855" s="14" t="s">
        <v>18</v>
      </c>
      <c r="G2855" s="14" t="s">
        <v>19</v>
      </c>
      <c r="H2855" s="14" t="s">
        <v>4754</v>
      </c>
      <c r="I2855" s="15" t="s">
        <v>5426</v>
      </c>
      <c r="J2855" s="16" t="str">
        <f>VLOOKUP(B2855,baru!$B$2:$I$2271,4,FALSE)</f>
        <v>Reguler</v>
      </c>
      <c r="K2855" s="16" t="str">
        <f>VLOOKUP(B2855,baru!$B$2:$I$2271,5,FALSE)</f>
        <v>DKI JAKARTA</v>
      </c>
      <c r="L2855" s="16" t="str">
        <f>VLOOKUP(B2855,baru!$B$2:$I$2271,6,FALSE)</f>
        <v>KOTA JAKARTA BARAT</v>
      </c>
    </row>
    <row r="2856" spans="1:12" hidden="1" x14ac:dyDescent="0.35">
      <c r="A2856" s="6">
        <v>1825839</v>
      </c>
      <c r="B2856" s="7" t="str">
        <f>"3328175310010002"</f>
        <v>3328175310010002</v>
      </c>
      <c r="C2856" s="7" t="s">
        <v>5540</v>
      </c>
      <c r="D2856" s="7" t="s">
        <v>10</v>
      </c>
      <c r="E2856" s="7" t="s">
        <v>11</v>
      </c>
      <c r="F2856" s="7" t="s">
        <v>91</v>
      </c>
      <c r="G2856" s="7" t="s">
        <v>1398</v>
      </c>
      <c r="H2856" s="7" t="s">
        <v>5541</v>
      </c>
      <c r="I2856" s="8" t="s">
        <v>3247</v>
      </c>
    </row>
    <row r="2857" spans="1:12" hidden="1" x14ac:dyDescent="0.35">
      <c r="A2857" s="6">
        <v>2158910</v>
      </c>
      <c r="B2857" s="7" t="str">
        <f>"3328175402780002"</f>
        <v>3328175402780002</v>
      </c>
      <c r="C2857" s="7" t="s">
        <v>5542</v>
      </c>
      <c r="D2857" s="7" t="s">
        <v>10</v>
      </c>
      <c r="E2857" s="7" t="s">
        <v>11</v>
      </c>
      <c r="F2857" s="7" t="s">
        <v>67</v>
      </c>
      <c r="G2857" s="7" t="s">
        <v>512</v>
      </c>
      <c r="H2857" s="7" t="s">
        <v>1214</v>
      </c>
      <c r="I2857" s="8" t="s">
        <v>5543</v>
      </c>
    </row>
    <row r="2858" spans="1:12" hidden="1" x14ac:dyDescent="0.35">
      <c r="A2858" s="6">
        <v>283422</v>
      </c>
      <c r="B2858" s="7" t="str">
        <f>"3328175510950002"</f>
        <v>3328175510950002</v>
      </c>
      <c r="C2858" s="7" t="s">
        <v>5544</v>
      </c>
      <c r="D2858" s="7" t="s">
        <v>10</v>
      </c>
      <c r="E2858" s="7" t="s">
        <v>11</v>
      </c>
      <c r="F2858" s="7" t="s">
        <v>50</v>
      </c>
      <c r="G2858" s="7" t="s">
        <v>58</v>
      </c>
      <c r="H2858" s="7" t="s">
        <v>316</v>
      </c>
      <c r="I2858" s="8" t="s">
        <v>2895</v>
      </c>
    </row>
    <row r="2859" spans="1:12" hidden="1" x14ac:dyDescent="0.35">
      <c r="A2859" s="13">
        <v>1622621</v>
      </c>
      <c r="B2859" s="14" t="str">
        <f>"3328175512720003"</f>
        <v>3328175512720003</v>
      </c>
      <c r="C2859" s="14" t="s">
        <v>759</v>
      </c>
      <c r="D2859" s="14" t="s">
        <v>10</v>
      </c>
      <c r="E2859" s="14" t="s">
        <v>11</v>
      </c>
      <c r="F2859" s="14" t="s">
        <v>18</v>
      </c>
      <c r="G2859" s="14" t="s">
        <v>19</v>
      </c>
      <c r="H2859" s="14" t="s">
        <v>4754</v>
      </c>
      <c r="I2859" s="15" t="s">
        <v>5421</v>
      </c>
      <c r="J2859" s="16" t="str">
        <f>VLOOKUP(B2859,baru!$B$2:$I$2271,4,FALSE)</f>
        <v>Reguler</v>
      </c>
      <c r="K2859" s="16" t="str">
        <f>VLOOKUP(B2859,baru!$B$2:$I$2271,5,FALSE)</f>
        <v>DKI JAKARTA</v>
      </c>
      <c r="L2859" s="16" t="str">
        <f>VLOOKUP(B2859,baru!$B$2:$I$2271,6,FALSE)</f>
        <v>KOTA JAKARTA SELATAN</v>
      </c>
    </row>
    <row r="2860" spans="1:12" hidden="1" x14ac:dyDescent="0.35">
      <c r="A2860" s="13">
        <v>1509409</v>
      </c>
      <c r="B2860" s="14" t="str">
        <f>"3328175602950004"</f>
        <v>3328175602950004</v>
      </c>
      <c r="C2860" s="14" t="s">
        <v>5546</v>
      </c>
      <c r="D2860" s="14" t="s">
        <v>10</v>
      </c>
      <c r="E2860" s="14" t="s">
        <v>11</v>
      </c>
      <c r="F2860" s="14" t="s">
        <v>18</v>
      </c>
      <c r="G2860" s="14" t="s">
        <v>19</v>
      </c>
      <c r="H2860" s="14" t="s">
        <v>4754</v>
      </c>
      <c r="I2860" s="15" t="s">
        <v>5440</v>
      </c>
      <c r="J2860" s="16" t="str">
        <f>VLOOKUP(B2860,baru!$B$2:$I$2271,4,FALSE)</f>
        <v>Reguler</v>
      </c>
      <c r="K2860" s="16" t="str">
        <f>VLOOKUP(B2860,baru!$B$2:$I$2271,5,FALSE)</f>
        <v>BANTEN</v>
      </c>
      <c r="L2860" s="16" t="str">
        <f>VLOOKUP(B2860,baru!$B$2:$I$2271,6,FALSE)</f>
        <v>LEBAK</v>
      </c>
    </row>
    <row r="2861" spans="1:12" x14ac:dyDescent="0.35">
      <c r="A2861" s="13">
        <v>1544100</v>
      </c>
      <c r="B2861" s="14" t="str">
        <f>"3328176009970007"</f>
        <v>3328176009970007</v>
      </c>
      <c r="C2861" s="14" t="s">
        <v>5549</v>
      </c>
      <c r="D2861" s="14" t="s">
        <v>189</v>
      </c>
      <c r="E2861" s="14" t="s">
        <v>11</v>
      </c>
      <c r="F2861" s="14" t="s">
        <v>18</v>
      </c>
      <c r="G2861" s="14" t="s">
        <v>19</v>
      </c>
      <c r="H2861" s="14" t="s">
        <v>4754</v>
      </c>
      <c r="I2861" s="15" t="s">
        <v>3958</v>
      </c>
      <c r="J2861" s="16" t="str">
        <f>VLOOKUP(B2861,baru!$B$2:$I$2271,4,FALSE)</f>
        <v>Reguler</v>
      </c>
      <c r="K2861" s="16" t="str">
        <f>VLOOKUP(B2861,baru!$B$2:$I$2271,5,FALSE)</f>
        <v>JAWA TENGAH</v>
      </c>
      <c r="L2861" s="16" t="str">
        <f>VLOOKUP(B2861,baru!$B$2:$I$2271,6,FALSE)</f>
        <v>PEKALONGAN</v>
      </c>
    </row>
    <row r="2862" spans="1:12" hidden="1" x14ac:dyDescent="0.35">
      <c r="A2862" s="6">
        <v>89592</v>
      </c>
      <c r="B2862" s="7" t="str">
        <f>"3328176108940002"</f>
        <v>3328176108940002</v>
      </c>
      <c r="C2862" s="7" t="s">
        <v>5552</v>
      </c>
      <c r="D2862" s="7" t="s">
        <v>10</v>
      </c>
      <c r="E2862" s="7" t="s">
        <v>11</v>
      </c>
      <c r="F2862" s="7" t="s">
        <v>33</v>
      </c>
      <c r="G2862" s="7" t="s">
        <v>5553</v>
      </c>
      <c r="H2862" s="7" t="s">
        <v>5554</v>
      </c>
      <c r="I2862" s="8" t="s">
        <v>5555</v>
      </c>
    </row>
    <row r="2863" spans="1:12" hidden="1" x14ac:dyDescent="0.35">
      <c r="A2863" s="6">
        <v>1119267</v>
      </c>
      <c r="B2863" s="7" t="str">
        <f>"3328176410770004"</f>
        <v>3328176410770004</v>
      </c>
      <c r="C2863" s="7" t="s">
        <v>5556</v>
      </c>
      <c r="D2863" s="7" t="s">
        <v>10</v>
      </c>
      <c r="E2863" s="7" t="s">
        <v>11</v>
      </c>
      <c r="F2863" s="7" t="s">
        <v>50</v>
      </c>
      <c r="G2863" s="7" t="s">
        <v>51</v>
      </c>
      <c r="H2863" s="7" t="s">
        <v>52</v>
      </c>
      <c r="I2863" s="8" t="s">
        <v>52</v>
      </c>
    </row>
    <row r="2864" spans="1:12" hidden="1" x14ac:dyDescent="0.35">
      <c r="A2864" s="13">
        <v>1515277</v>
      </c>
      <c r="B2864" s="14" t="str">
        <f>"3328176501010006"</f>
        <v>3328176501010006</v>
      </c>
      <c r="C2864" s="14" t="s">
        <v>5557</v>
      </c>
      <c r="D2864" s="14" t="s">
        <v>10</v>
      </c>
      <c r="E2864" s="14" t="s">
        <v>11</v>
      </c>
      <c r="F2864" s="14" t="s">
        <v>18</v>
      </c>
      <c r="G2864" s="14" t="s">
        <v>19</v>
      </c>
      <c r="H2864" s="14" t="s">
        <v>4754</v>
      </c>
      <c r="I2864" s="15" t="s">
        <v>882</v>
      </c>
      <c r="J2864" s="16" t="str">
        <f>VLOOKUP(B2864,baru!$B$2:$I$2271,4,FALSE)</f>
        <v>Reguler</v>
      </c>
      <c r="K2864" s="16" t="str">
        <f>VLOOKUP(B2864,baru!$B$2:$I$2271,5,FALSE)</f>
        <v>JAWA TENGAH</v>
      </c>
      <c r="L2864" s="16" t="str">
        <f>VLOOKUP(B2864,baru!$B$2:$I$2271,6,FALSE)</f>
        <v>BATANG</v>
      </c>
    </row>
    <row r="2865" spans="1:12" hidden="1" x14ac:dyDescent="0.35">
      <c r="A2865" s="6">
        <v>1610503</v>
      </c>
      <c r="B2865" s="7" t="str">
        <f>"3328176804890006"</f>
        <v>3328176804890006</v>
      </c>
      <c r="C2865" s="7" t="s">
        <v>5558</v>
      </c>
      <c r="D2865" s="7" t="s">
        <v>10</v>
      </c>
      <c r="E2865" s="7" t="s">
        <v>11</v>
      </c>
      <c r="F2865" s="7" t="s">
        <v>67</v>
      </c>
      <c r="G2865" s="7" t="s">
        <v>68</v>
      </c>
      <c r="H2865" s="7" t="s">
        <v>2955</v>
      </c>
      <c r="I2865" s="8" t="s">
        <v>5559</v>
      </c>
    </row>
    <row r="2866" spans="1:12" hidden="1" x14ac:dyDescent="0.35">
      <c r="A2866" s="13">
        <v>1511603</v>
      </c>
      <c r="B2866" s="14" t="str">
        <f>"3328176809780003"</f>
        <v>3328176809780003</v>
      </c>
      <c r="C2866" s="14" t="s">
        <v>5560</v>
      </c>
      <c r="D2866" s="14" t="s">
        <v>10</v>
      </c>
      <c r="E2866" s="14" t="s">
        <v>11</v>
      </c>
      <c r="F2866" s="14" t="s">
        <v>18</v>
      </c>
      <c r="G2866" s="14" t="s">
        <v>19</v>
      </c>
      <c r="H2866" s="14" t="s">
        <v>4754</v>
      </c>
      <c r="I2866" s="15" t="s">
        <v>5440</v>
      </c>
      <c r="J2866" s="16" t="str">
        <f>VLOOKUP(B2866,baru!$B$2:$I$2271,4,FALSE)</f>
        <v>Reguler</v>
      </c>
      <c r="K2866" s="16" t="str">
        <f>VLOOKUP(B2866,baru!$B$2:$I$2271,5,FALSE)</f>
        <v>DKI JAKARTA</v>
      </c>
      <c r="L2866" s="16" t="str">
        <f>VLOOKUP(B2866,baru!$B$2:$I$2271,6,FALSE)</f>
        <v>KOTA JAKARTA BARAT</v>
      </c>
    </row>
    <row r="2867" spans="1:12" hidden="1" x14ac:dyDescent="0.35">
      <c r="A2867" s="6">
        <v>1113068</v>
      </c>
      <c r="B2867" s="7" t="str">
        <f>"3328176910950002"</f>
        <v>3328176910950002</v>
      </c>
      <c r="C2867" s="7" t="s">
        <v>5562</v>
      </c>
      <c r="D2867" s="7" t="s">
        <v>10</v>
      </c>
      <c r="E2867" s="7" t="s">
        <v>11</v>
      </c>
      <c r="F2867" s="7" t="s">
        <v>50</v>
      </c>
      <c r="G2867" s="7" t="s">
        <v>51</v>
      </c>
      <c r="H2867" s="7" t="s">
        <v>52</v>
      </c>
      <c r="I2867" s="8" t="s">
        <v>52</v>
      </c>
    </row>
    <row r="2868" spans="1:12" x14ac:dyDescent="0.35">
      <c r="A2868" s="6">
        <v>1006969</v>
      </c>
      <c r="B2868" s="7" t="str">
        <f>"3329081205890006"</f>
        <v>3329081205890006</v>
      </c>
      <c r="C2868" s="7" t="s">
        <v>5563</v>
      </c>
      <c r="D2868" s="7" t="s">
        <v>189</v>
      </c>
      <c r="E2868" s="7" t="s">
        <v>11</v>
      </c>
      <c r="F2868" s="7" t="s">
        <v>18</v>
      </c>
      <c r="G2868" s="7" t="s">
        <v>264</v>
      </c>
      <c r="H2868" s="7" t="s">
        <v>248</v>
      </c>
      <c r="I2868" s="8" t="s">
        <v>2689</v>
      </c>
    </row>
    <row r="2869" spans="1:12" hidden="1" x14ac:dyDescent="0.35">
      <c r="A2869" s="6">
        <v>690173</v>
      </c>
      <c r="B2869" s="7" t="str">
        <f>"3329090107820173"</f>
        <v>3329090107820173</v>
      </c>
      <c r="C2869" s="7" t="s">
        <v>5564</v>
      </c>
      <c r="D2869" s="7" t="s">
        <v>10</v>
      </c>
      <c r="E2869" s="7" t="s">
        <v>11</v>
      </c>
      <c r="F2869" s="7" t="s">
        <v>18</v>
      </c>
      <c r="G2869" s="7" t="s">
        <v>264</v>
      </c>
      <c r="H2869" s="7" t="s">
        <v>264</v>
      </c>
      <c r="I2869" s="8" t="s">
        <v>5565</v>
      </c>
    </row>
    <row r="2870" spans="1:12" hidden="1" x14ac:dyDescent="0.35">
      <c r="A2870" s="13">
        <v>1516579</v>
      </c>
      <c r="B2870" s="14" t="str">
        <f>"3329093103970003"</f>
        <v>3329093103970003</v>
      </c>
      <c r="C2870" s="14" t="s">
        <v>5566</v>
      </c>
      <c r="D2870" s="14" t="s">
        <v>10</v>
      </c>
      <c r="E2870" s="14" t="s">
        <v>11</v>
      </c>
      <c r="F2870" s="14" t="s">
        <v>18</v>
      </c>
      <c r="G2870" s="14" t="s">
        <v>19</v>
      </c>
      <c r="H2870" s="14" t="s">
        <v>4754</v>
      </c>
      <c r="I2870" s="15" t="s">
        <v>4755</v>
      </c>
      <c r="J2870" s="16" t="str">
        <f>VLOOKUP(B2870,baru!$B$2:$I$2271,4,FALSE)</f>
        <v>Reguler</v>
      </c>
      <c r="K2870" s="16" t="str">
        <f>VLOOKUP(B2870,baru!$B$2:$I$2271,5,FALSE)</f>
        <v>JAWA TENGAH</v>
      </c>
      <c r="L2870" s="16" t="str">
        <f>VLOOKUP(B2870,baru!$B$2:$I$2271,6,FALSE)</f>
        <v>BREBES</v>
      </c>
    </row>
    <row r="2871" spans="1:12" hidden="1" x14ac:dyDescent="0.35">
      <c r="A2871" s="6">
        <v>1567864</v>
      </c>
      <c r="B2871" s="7" t="str">
        <f>"3329152305980004"</f>
        <v>3329152305980004</v>
      </c>
      <c r="C2871" s="7" t="s">
        <v>5568</v>
      </c>
      <c r="D2871" s="7" t="s">
        <v>10</v>
      </c>
      <c r="E2871" s="7" t="s">
        <v>11</v>
      </c>
      <c r="F2871" s="7" t="s">
        <v>18</v>
      </c>
      <c r="G2871" s="7" t="s">
        <v>264</v>
      </c>
      <c r="H2871" s="7" t="s">
        <v>330</v>
      </c>
      <c r="I2871" s="8" t="s">
        <v>330</v>
      </c>
    </row>
    <row r="2872" spans="1:12" hidden="1" x14ac:dyDescent="0.35">
      <c r="A2872" s="6">
        <v>237525</v>
      </c>
      <c r="B2872" s="7" t="str">
        <f>"3376024505960006"</f>
        <v>3376024505960006</v>
      </c>
      <c r="C2872" s="7" t="s">
        <v>5569</v>
      </c>
      <c r="D2872" s="7" t="s">
        <v>10</v>
      </c>
      <c r="E2872" s="7" t="s">
        <v>11</v>
      </c>
      <c r="F2872" s="7" t="s">
        <v>18</v>
      </c>
      <c r="G2872" s="7" t="s">
        <v>268</v>
      </c>
      <c r="H2872" s="7" t="s">
        <v>371</v>
      </c>
      <c r="I2872" s="8" t="s">
        <v>372</v>
      </c>
    </row>
    <row r="2873" spans="1:12" hidden="1" x14ac:dyDescent="0.35">
      <c r="A2873" s="6">
        <v>1435944</v>
      </c>
      <c r="B2873" s="7" t="str">
        <f>"3671025807020006"</f>
        <v>3671025807020006</v>
      </c>
      <c r="C2873" s="7" t="s">
        <v>5570</v>
      </c>
      <c r="D2873" s="7" t="s">
        <v>10</v>
      </c>
      <c r="E2873" s="7" t="s">
        <v>11</v>
      </c>
      <c r="F2873" s="7" t="s">
        <v>67</v>
      </c>
      <c r="G2873" s="7" t="s">
        <v>791</v>
      </c>
      <c r="H2873" s="7" t="s">
        <v>5571</v>
      </c>
      <c r="I2873" s="8" t="s">
        <v>5572</v>
      </c>
    </row>
    <row r="2874" spans="1:12" hidden="1" x14ac:dyDescent="0.35">
      <c r="A2874" s="6">
        <v>2159116</v>
      </c>
      <c r="B2874" s="7" t="str">
        <f>"3671034607010009"</f>
        <v>3671034607010009</v>
      </c>
      <c r="C2874" s="7" t="s">
        <v>5573</v>
      </c>
      <c r="D2874" s="7" t="s">
        <v>10</v>
      </c>
      <c r="E2874" s="7" t="s">
        <v>11</v>
      </c>
      <c r="F2874" s="7" t="s">
        <v>67</v>
      </c>
      <c r="G2874" s="7" t="s">
        <v>512</v>
      </c>
      <c r="H2874" s="7" t="s">
        <v>1214</v>
      </c>
      <c r="I2874" s="8" t="s">
        <v>5543</v>
      </c>
    </row>
    <row r="2875" spans="1:12" hidden="1" x14ac:dyDescent="0.35">
      <c r="A2875" s="6">
        <v>65325</v>
      </c>
      <c r="B2875" s="7" t="str">
        <f>"8107095207900001"</f>
        <v>8107095207900001</v>
      </c>
      <c r="C2875" s="7" t="s">
        <v>5574</v>
      </c>
      <c r="D2875" s="7" t="s">
        <v>10</v>
      </c>
      <c r="E2875" s="7" t="s">
        <v>11</v>
      </c>
      <c r="F2875" s="7" t="s">
        <v>1374</v>
      </c>
      <c r="G2875" s="7" t="s">
        <v>1375</v>
      </c>
      <c r="H2875" s="7" t="s">
        <v>1376</v>
      </c>
      <c r="I2875" s="8" t="s">
        <v>5575</v>
      </c>
    </row>
    <row r="2876" spans="1:12" hidden="1" x14ac:dyDescent="0.35">
      <c r="A2876" s="6">
        <v>44442</v>
      </c>
      <c r="B2876" s="7" t="str">
        <f>"9110053012910001"</f>
        <v>9110053012910001</v>
      </c>
      <c r="C2876" s="7" t="s">
        <v>5577</v>
      </c>
      <c r="D2876" s="7" t="s">
        <v>10</v>
      </c>
      <c r="E2876" s="7" t="s">
        <v>11</v>
      </c>
      <c r="F2876" s="7" t="s">
        <v>783</v>
      </c>
      <c r="G2876" s="7" t="s">
        <v>3513</v>
      </c>
      <c r="H2876" s="7" t="s">
        <v>5578</v>
      </c>
      <c r="I2876" s="8" t="s">
        <v>5579</v>
      </c>
    </row>
    <row r="2877" spans="1:12" hidden="1" x14ac:dyDescent="0.35">
      <c r="A2877" s="13">
        <v>1974566</v>
      </c>
      <c r="B2877" s="14" t="str">
        <f>"1371115803970005"</f>
        <v>1371115803970005</v>
      </c>
      <c r="C2877" s="14" t="s">
        <v>5580</v>
      </c>
      <c r="D2877" s="14" t="s">
        <v>10</v>
      </c>
      <c r="E2877" s="14" t="s">
        <v>11</v>
      </c>
      <c r="F2877" s="14" t="s">
        <v>18</v>
      </c>
      <c r="G2877" s="14" t="s">
        <v>19</v>
      </c>
      <c r="H2877" s="14" t="s">
        <v>5581</v>
      </c>
      <c r="I2877" s="15" t="s">
        <v>5582</v>
      </c>
      <c r="J2877" s="16" t="str">
        <f>VLOOKUP(B2877,baru!$B$2:$I$2271,4,FALSE)</f>
        <v>Reguler</v>
      </c>
      <c r="K2877" s="16" t="str">
        <f>VLOOKUP(B2877,baru!$B$2:$I$2271,5,FALSE)</f>
        <v>SUMATERA BARAT</v>
      </c>
      <c r="L2877" s="16" t="str">
        <f>VLOOKUP(B2877,baru!$B$2:$I$2271,6,FALSE)</f>
        <v>KOTA PADANG</v>
      </c>
    </row>
    <row r="2878" spans="1:12" hidden="1" x14ac:dyDescent="0.35">
      <c r="A2878" s="6">
        <v>377845</v>
      </c>
      <c r="B2878" s="7" t="str">
        <f>"1509042602010002"</f>
        <v>1509042602010002</v>
      </c>
      <c r="C2878" s="7" t="s">
        <v>5585</v>
      </c>
      <c r="D2878" s="7" t="s">
        <v>10</v>
      </c>
      <c r="E2878" s="7" t="s">
        <v>11</v>
      </c>
      <c r="F2878" s="7" t="s">
        <v>24</v>
      </c>
      <c r="G2878" s="7" t="s">
        <v>5586</v>
      </c>
      <c r="H2878" s="7" t="s">
        <v>5587</v>
      </c>
      <c r="I2878" s="8" t="s">
        <v>5588</v>
      </c>
    </row>
    <row r="2879" spans="1:12" hidden="1" x14ac:dyDescent="0.35">
      <c r="A2879" s="6">
        <v>676757</v>
      </c>
      <c r="B2879" s="7" t="str">
        <f>"2171094109939001"</f>
        <v>2171094109939001</v>
      </c>
      <c r="C2879" s="7" t="s">
        <v>5590</v>
      </c>
      <c r="D2879" s="7" t="s">
        <v>10</v>
      </c>
      <c r="E2879" s="7" t="s">
        <v>11</v>
      </c>
      <c r="F2879" s="7" t="s">
        <v>811</v>
      </c>
      <c r="G2879" s="7" t="s">
        <v>812</v>
      </c>
      <c r="H2879" s="7" t="s">
        <v>5591</v>
      </c>
      <c r="I2879" s="8" t="s">
        <v>5592</v>
      </c>
    </row>
    <row r="2880" spans="1:12" hidden="1" x14ac:dyDescent="0.35">
      <c r="A2880" s="6">
        <v>639447</v>
      </c>
      <c r="B2880" s="7" t="str">
        <f>"3171070401710005"</f>
        <v>3171070401710005</v>
      </c>
      <c r="C2880" s="7" t="s">
        <v>744</v>
      </c>
      <c r="D2880" s="7" t="s">
        <v>10</v>
      </c>
      <c r="E2880" s="7" t="s">
        <v>11</v>
      </c>
      <c r="F2880" s="7" t="s">
        <v>50</v>
      </c>
      <c r="G2880" s="7" t="s">
        <v>280</v>
      </c>
      <c r="H2880" s="7" t="s">
        <v>281</v>
      </c>
      <c r="I2880" s="8" t="s">
        <v>282</v>
      </c>
    </row>
    <row r="2881" spans="1:12" hidden="1" x14ac:dyDescent="0.35">
      <c r="A2881" s="6">
        <v>639449</v>
      </c>
      <c r="B2881" s="7" t="str">
        <f>"3171072111030004"</f>
        <v>3171072111030004</v>
      </c>
      <c r="C2881" s="7" t="s">
        <v>5594</v>
      </c>
      <c r="D2881" s="7" t="s">
        <v>10</v>
      </c>
      <c r="E2881" s="7" t="s">
        <v>11</v>
      </c>
      <c r="F2881" s="7" t="s">
        <v>50</v>
      </c>
      <c r="G2881" s="7" t="s">
        <v>280</v>
      </c>
      <c r="H2881" s="7" t="s">
        <v>281</v>
      </c>
      <c r="I2881" s="8" t="s">
        <v>282</v>
      </c>
    </row>
    <row r="2882" spans="1:12" hidden="1" x14ac:dyDescent="0.35">
      <c r="A2882" s="6">
        <v>639450</v>
      </c>
      <c r="B2882" s="7" t="str">
        <f>"3171074501950004"</f>
        <v>3171074501950004</v>
      </c>
      <c r="C2882" s="7" t="s">
        <v>5595</v>
      </c>
      <c r="D2882" s="7" t="s">
        <v>10</v>
      </c>
      <c r="E2882" s="7" t="s">
        <v>11</v>
      </c>
      <c r="F2882" s="7" t="s">
        <v>50</v>
      </c>
      <c r="G2882" s="7" t="s">
        <v>280</v>
      </c>
      <c r="H2882" s="7" t="s">
        <v>281</v>
      </c>
      <c r="I2882" s="8" t="s">
        <v>282</v>
      </c>
    </row>
    <row r="2883" spans="1:12" hidden="1" x14ac:dyDescent="0.35">
      <c r="A2883" s="6">
        <v>639448</v>
      </c>
      <c r="B2883" s="7" t="str">
        <f>"3171074505740007"</f>
        <v>3171074505740007</v>
      </c>
      <c r="C2883" s="7" t="s">
        <v>5596</v>
      </c>
      <c r="D2883" s="7" t="s">
        <v>10</v>
      </c>
      <c r="E2883" s="7" t="s">
        <v>11</v>
      </c>
      <c r="F2883" s="7" t="s">
        <v>50</v>
      </c>
      <c r="G2883" s="7" t="s">
        <v>280</v>
      </c>
      <c r="H2883" s="7" t="s">
        <v>281</v>
      </c>
      <c r="I2883" s="8" t="s">
        <v>282</v>
      </c>
    </row>
    <row r="2884" spans="1:12" hidden="1" x14ac:dyDescent="0.35">
      <c r="A2884" s="6">
        <v>416522</v>
      </c>
      <c r="B2884" s="7" t="str">
        <f>"3171074808840007"</f>
        <v>3171074808840007</v>
      </c>
      <c r="C2884" s="7" t="s">
        <v>5597</v>
      </c>
      <c r="D2884" s="7" t="s">
        <v>10</v>
      </c>
      <c r="E2884" s="7" t="s">
        <v>11</v>
      </c>
      <c r="F2884" s="7" t="s">
        <v>50</v>
      </c>
      <c r="G2884" s="7" t="s">
        <v>280</v>
      </c>
      <c r="H2884" s="7" t="s">
        <v>281</v>
      </c>
      <c r="I2884" s="8" t="s">
        <v>1256</v>
      </c>
    </row>
    <row r="2885" spans="1:12" hidden="1" x14ac:dyDescent="0.35">
      <c r="A2885" s="6">
        <v>1090491</v>
      </c>
      <c r="B2885" s="7" t="str">
        <f>"3172016403850004"</f>
        <v>3172016403850004</v>
      </c>
      <c r="C2885" s="7" t="s">
        <v>5367</v>
      </c>
      <c r="D2885" s="7" t="s">
        <v>10</v>
      </c>
      <c r="E2885" s="7" t="s">
        <v>11</v>
      </c>
      <c r="F2885" s="7" t="s">
        <v>50</v>
      </c>
      <c r="G2885" s="7" t="s">
        <v>51</v>
      </c>
      <c r="H2885" s="7" t="s">
        <v>52</v>
      </c>
      <c r="I2885" s="8" t="s">
        <v>52</v>
      </c>
    </row>
    <row r="2886" spans="1:12" hidden="1" x14ac:dyDescent="0.35">
      <c r="A2886" s="6">
        <v>1090223</v>
      </c>
      <c r="B2886" s="7" t="str">
        <f>"3172016408630001"</f>
        <v>3172016408630001</v>
      </c>
      <c r="C2886" s="7" t="s">
        <v>5601</v>
      </c>
      <c r="D2886" s="7" t="s">
        <v>10</v>
      </c>
      <c r="E2886" s="7" t="s">
        <v>11</v>
      </c>
      <c r="F2886" s="7" t="s">
        <v>50</v>
      </c>
      <c r="G2886" s="7" t="s">
        <v>51</v>
      </c>
      <c r="H2886" s="7" t="s">
        <v>52</v>
      </c>
      <c r="I2886" s="8" t="s">
        <v>52</v>
      </c>
    </row>
    <row r="2887" spans="1:12" hidden="1" x14ac:dyDescent="0.35">
      <c r="A2887" s="6">
        <v>1183767</v>
      </c>
      <c r="B2887" s="7" t="str">
        <f>"3172041102911004"</f>
        <v>3172041102911004</v>
      </c>
      <c r="C2887" s="7" t="s">
        <v>5603</v>
      </c>
      <c r="D2887" s="7" t="s">
        <v>10</v>
      </c>
      <c r="E2887" s="7" t="s">
        <v>11</v>
      </c>
      <c r="F2887" s="7" t="s">
        <v>50</v>
      </c>
      <c r="G2887" s="7" t="s">
        <v>51</v>
      </c>
      <c r="H2887" s="7" t="s">
        <v>78</v>
      </c>
      <c r="I2887" s="8" t="s">
        <v>680</v>
      </c>
    </row>
    <row r="2888" spans="1:12" hidden="1" x14ac:dyDescent="0.35">
      <c r="A2888" s="6">
        <v>428702</v>
      </c>
      <c r="B2888" s="7" t="str">
        <f>"3174041506881001"</f>
        <v>3174041506881001</v>
      </c>
      <c r="C2888" s="7" t="s">
        <v>5604</v>
      </c>
      <c r="D2888" s="7" t="s">
        <v>10</v>
      </c>
      <c r="E2888" s="7" t="s">
        <v>11</v>
      </c>
      <c r="F2888" s="7" t="s">
        <v>50</v>
      </c>
      <c r="G2888" s="7" t="s">
        <v>72</v>
      </c>
      <c r="H2888" s="7" t="s">
        <v>73</v>
      </c>
      <c r="I2888" s="8" t="s">
        <v>2242</v>
      </c>
    </row>
    <row r="2889" spans="1:12" hidden="1" x14ac:dyDescent="0.35">
      <c r="A2889" s="6">
        <v>656914</v>
      </c>
      <c r="B2889" s="7" t="str">
        <f>"3174044708780005"</f>
        <v>3174044708780005</v>
      </c>
      <c r="C2889" s="7" t="s">
        <v>5606</v>
      </c>
      <c r="D2889" s="7" t="s">
        <v>10</v>
      </c>
      <c r="E2889" s="7" t="s">
        <v>11</v>
      </c>
      <c r="F2889" s="7" t="s">
        <v>50</v>
      </c>
      <c r="G2889" s="7" t="s">
        <v>72</v>
      </c>
      <c r="H2889" s="7" t="s">
        <v>73</v>
      </c>
      <c r="I2889" s="8" t="s">
        <v>74</v>
      </c>
    </row>
    <row r="2890" spans="1:12" hidden="1" x14ac:dyDescent="0.35">
      <c r="A2890" s="6">
        <v>42414</v>
      </c>
      <c r="B2890" s="7" t="str">
        <f>"3174065901030004"</f>
        <v>3174065901030004</v>
      </c>
      <c r="C2890" s="7" t="s">
        <v>5607</v>
      </c>
      <c r="D2890" s="7" t="s">
        <v>10</v>
      </c>
      <c r="E2890" s="7" t="s">
        <v>11</v>
      </c>
      <c r="F2890" s="7" t="s">
        <v>91</v>
      </c>
      <c r="G2890" s="7" t="s">
        <v>320</v>
      </c>
      <c r="H2890" s="7" t="s">
        <v>5608</v>
      </c>
      <c r="I2890" s="8" t="s">
        <v>5608</v>
      </c>
    </row>
    <row r="2891" spans="1:12" hidden="1" x14ac:dyDescent="0.35">
      <c r="A2891" s="6">
        <v>1363562</v>
      </c>
      <c r="B2891" s="7" t="str">
        <f>"3174070102680009"</f>
        <v>3174070102680009</v>
      </c>
      <c r="C2891" s="7" t="s">
        <v>5610</v>
      </c>
      <c r="D2891" s="7" t="s">
        <v>10</v>
      </c>
      <c r="E2891" s="7" t="s">
        <v>11</v>
      </c>
      <c r="F2891" s="7" t="s">
        <v>50</v>
      </c>
      <c r="G2891" s="7" t="s">
        <v>72</v>
      </c>
      <c r="H2891" s="7" t="s">
        <v>628</v>
      </c>
      <c r="I2891" s="8" t="s">
        <v>2252</v>
      </c>
    </row>
    <row r="2892" spans="1:12" hidden="1" x14ac:dyDescent="0.35">
      <c r="A2892" s="6">
        <v>59910</v>
      </c>
      <c r="B2892" s="7" t="str">
        <f>"3175102805911001"</f>
        <v>3175102805911001</v>
      </c>
      <c r="C2892" s="7" t="s">
        <v>5612</v>
      </c>
      <c r="D2892" s="7" t="s">
        <v>10</v>
      </c>
      <c r="E2892" s="7" t="s">
        <v>11</v>
      </c>
      <c r="F2892" s="7" t="s">
        <v>516</v>
      </c>
      <c r="G2892" s="7" t="s">
        <v>5613</v>
      </c>
      <c r="H2892" s="7" t="s">
        <v>5614</v>
      </c>
      <c r="I2892" s="8" t="s">
        <v>5615</v>
      </c>
    </row>
    <row r="2893" spans="1:12" hidden="1" x14ac:dyDescent="0.35">
      <c r="A2893" s="6">
        <v>3682135</v>
      </c>
      <c r="B2893" s="7" t="str">
        <f>"3201012305880009"</f>
        <v>3201012305880009</v>
      </c>
      <c r="C2893" s="7" t="s">
        <v>5616</v>
      </c>
      <c r="D2893" s="7" t="s">
        <v>10</v>
      </c>
      <c r="E2893" s="7" t="s">
        <v>11</v>
      </c>
      <c r="F2893" s="7" t="s">
        <v>91</v>
      </c>
      <c r="G2893" s="7" t="s">
        <v>650</v>
      </c>
      <c r="H2893" s="7" t="s">
        <v>5617</v>
      </c>
      <c r="I2893" s="8" t="s">
        <v>5618</v>
      </c>
    </row>
    <row r="2894" spans="1:12" hidden="1" x14ac:dyDescent="0.35">
      <c r="A2894" s="13">
        <v>1977656</v>
      </c>
      <c r="B2894" s="14" t="str">
        <f>"3206361711010001"</f>
        <v>3206361711010001</v>
      </c>
      <c r="C2894" s="14" t="s">
        <v>5620</v>
      </c>
      <c r="D2894" s="14" t="s">
        <v>10</v>
      </c>
      <c r="E2894" s="14" t="s">
        <v>11</v>
      </c>
      <c r="F2894" s="14" t="s">
        <v>18</v>
      </c>
      <c r="G2894" s="14" t="s">
        <v>19</v>
      </c>
      <c r="H2894" s="14" t="s">
        <v>5581</v>
      </c>
      <c r="I2894" s="15" t="s">
        <v>5589</v>
      </c>
      <c r="J2894" s="16" t="str">
        <f>VLOOKUP(B2894,baru!$B$2:$I$2271,4,FALSE)</f>
        <v>Reguler</v>
      </c>
      <c r="K2894" s="16" t="str">
        <f>VLOOKUP(B2894,baru!$B$2:$I$2271,5,FALSE)</f>
        <v>JAWA BARAT</v>
      </c>
      <c r="L2894" s="16" t="str">
        <f>VLOOKUP(B2894,baru!$B$2:$I$2271,6,FALSE)</f>
        <v>TASIKMALAYA</v>
      </c>
    </row>
    <row r="2895" spans="1:12" hidden="1" x14ac:dyDescent="0.35">
      <c r="A2895" s="13">
        <v>1977655</v>
      </c>
      <c r="B2895" s="14" t="str">
        <f>"3206366305780001"</f>
        <v>3206366305780001</v>
      </c>
      <c r="C2895" s="14" t="s">
        <v>5623</v>
      </c>
      <c r="D2895" s="14" t="s">
        <v>10</v>
      </c>
      <c r="E2895" s="14" t="s">
        <v>11</v>
      </c>
      <c r="F2895" s="14" t="s">
        <v>18</v>
      </c>
      <c r="G2895" s="14" t="s">
        <v>19</v>
      </c>
      <c r="H2895" s="14" t="s">
        <v>5581</v>
      </c>
      <c r="I2895" s="15" t="s">
        <v>5589</v>
      </c>
      <c r="J2895" s="16" t="str">
        <f>VLOOKUP(B2895,baru!$B$2:$I$2271,4,FALSE)</f>
        <v>Reguler</v>
      </c>
      <c r="K2895" s="16" t="str">
        <f>VLOOKUP(B2895,baru!$B$2:$I$2271,5,FALSE)</f>
        <v>JAWA BARAT</v>
      </c>
      <c r="L2895" s="16" t="str">
        <f>VLOOKUP(B2895,baru!$B$2:$I$2271,6,FALSE)</f>
        <v>TASIKMALAYA</v>
      </c>
    </row>
    <row r="2896" spans="1:12" hidden="1" x14ac:dyDescent="0.35">
      <c r="A2896" s="6">
        <v>1268484</v>
      </c>
      <c r="B2896" s="7" t="str">
        <f>"3209015702000005"</f>
        <v>3209015702000005</v>
      </c>
      <c r="C2896" s="7" t="s">
        <v>5624</v>
      </c>
      <c r="D2896" s="7" t="s">
        <v>10</v>
      </c>
      <c r="E2896" s="7" t="s">
        <v>11</v>
      </c>
      <c r="F2896" s="7" t="s">
        <v>91</v>
      </c>
      <c r="G2896" s="7" t="s">
        <v>985</v>
      </c>
      <c r="H2896" s="7" t="s">
        <v>5625</v>
      </c>
      <c r="I2896" s="8" t="s">
        <v>5626</v>
      </c>
    </row>
    <row r="2897" spans="1:12" hidden="1" x14ac:dyDescent="0.35">
      <c r="A2897" s="6">
        <v>469404</v>
      </c>
      <c r="B2897" s="7" t="str">
        <f>"3209035009990006"</f>
        <v>3209035009990006</v>
      </c>
      <c r="C2897" s="7" t="s">
        <v>5627</v>
      </c>
      <c r="D2897" s="7" t="s">
        <v>10</v>
      </c>
      <c r="E2897" s="7" t="s">
        <v>11</v>
      </c>
      <c r="F2897" s="7" t="s">
        <v>91</v>
      </c>
      <c r="G2897" s="7" t="s">
        <v>985</v>
      </c>
      <c r="H2897" s="7" t="s">
        <v>877</v>
      </c>
      <c r="I2897" s="8" t="s">
        <v>5628</v>
      </c>
    </row>
    <row r="2898" spans="1:12" hidden="1" x14ac:dyDescent="0.35">
      <c r="A2898" s="6">
        <v>1686070</v>
      </c>
      <c r="B2898" s="7" t="str">
        <f>"3211084210020004"</f>
        <v>3211084210020004</v>
      </c>
      <c r="C2898" s="7" t="s">
        <v>5629</v>
      </c>
      <c r="D2898" s="7" t="s">
        <v>10</v>
      </c>
      <c r="E2898" s="7" t="s">
        <v>11</v>
      </c>
      <c r="F2898" s="7" t="s">
        <v>91</v>
      </c>
      <c r="G2898" s="7" t="s">
        <v>1763</v>
      </c>
      <c r="H2898" s="7" t="s">
        <v>4776</v>
      </c>
      <c r="I2898" s="8" t="s">
        <v>5630</v>
      </c>
    </row>
    <row r="2899" spans="1:12" hidden="1" x14ac:dyDescent="0.35">
      <c r="A2899" s="6">
        <v>1140262</v>
      </c>
      <c r="B2899" s="7" t="str">
        <f>"3212040311940001"</f>
        <v>3212040311940001</v>
      </c>
      <c r="C2899" s="7" t="s">
        <v>5631</v>
      </c>
      <c r="D2899" s="7" t="s">
        <v>10</v>
      </c>
      <c r="E2899" s="7" t="s">
        <v>11</v>
      </c>
      <c r="F2899" s="7" t="s">
        <v>91</v>
      </c>
      <c r="G2899" s="7" t="s">
        <v>114</v>
      </c>
      <c r="H2899" s="7" t="s">
        <v>5632</v>
      </c>
      <c r="I2899" s="8" t="s">
        <v>5633</v>
      </c>
    </row>
    <row r="2900" spans="1:12" hidden="1" x14ac:dyDescent="0.35">
      <c r="A2900" s="13">
        <v>2003180</v>
      </c>
      <c r="B2900" s="14" t="str">
        <f>"3213154101960015"</f>
        <v>3213154101960015</v>
      </c>
      <c r="C2900" s="14" t="s">
        <v>5635</v>
      </c>
      <c r="D2900" s="14" t="s">
        <v>10</v>
      </c>
      <c r="E2900" s="14" t="s">
        <v>11</v>
      </c>
      <c r="F2900" s="14" t="s">
        <v>18</v>
      </c>
      <c r="G2900" s="14" t="s">
        <v>19</v>
      </c>
      <c r="H2900" s="14" t="s">
        <v>5581</v>
      </c>
      <c r="I2900" s="15" t="s">
        <v>5581</v>
      </c>
      <c r="J2900" s="16" t="str">
        <f>VLOOKUP(B2900,baru!$B$2:$I$2271,4,FALSE)</f>
        <v>Reguler</v>
      </c>
      <c r="K2900" s="16" t="str">
        <f>VLOOKUP(B2900,baru!$B$2:$I$2271,5,FALSE)</f>
        <v>JAWA BARAT</v>
      </c>
      <c r="L2900" s="16" t="str">
        <f>VLOOKUP(B2900,baru!$B$2:$I$2271,6,FALSE)</f>
        <v>SUBANG</v>
      </c>
    </row>
    <row r="2901" spans="1:12" hidden="1" x14ac:dyDescent="0.35">
      <c r="A2901" s="6">
        <v>384215</v>
      </c>
      <c r="B2901" s="7" t="str">
        <f>"3275040312630011"</f>
        <v>3275040312630011</v>
      </c>
      <c r="C2901" s="7" t="s">
        <v>5637</v>
      </c>
      <c r="D2901" s="7" t="s">
        <v>10</v>
      </c>
      <c r="E2901" s="7" t="s">
        <v>11</v>
      </c>
      <c r="F2901" s="7" t="s">
        <v>91</v>
      </c>
      <c r="G2901" s="7" t="s">
        <v>159</v>
      </c>
      <c r="H2901" s="7" t="s">
        <v>1332</v>
      </c>
      <c r="I2901" s="8" t="s">
        <v>4360</v>
      </c>
    </row>
    <row r="2902" spans="1:12" hidden="1" x14ac:dyDescent="0.35">
      <c r="A2902" s="6">
        <v>384216</v>
      </c>
      <c r="B2902" s="7" t="str">
        <f>"3275046909640021"</f>
        <v>3275046909640021</v>
      </c>
      <c r="C2902" s="7" t="s">
        <v>5638</v>
      </c>
      <c r="D2902" s="7" t="s">
        <v>10</v>
      </c>
      <c r="E2902" s="7" t="s">
        <v>11</v>
      </c>
      <c r="F2902" s="7" t="s">
        <v>91</v>
      </c>
      <c r="G2902" s="7" t="s">
        <v>159</v>
      </c>
      <c r="H2902" s="7" t="s">
        <v>1332</v>
      </c>
      <c r="I2902" s="8" t="s">
        <v>4360</v>
      </c>
    </row>
    <row r="2903" spans="1:12" hidden="1" x14ac:dyDescent="0.35">
      <c r="A2903" s="13">
        <v>1966303</v>
      </c>
      <c r="B2903" s="14" t="str">
        <f>"3301172409840002"</f>
        <v>3301172409840002</v>
      </c>
      <c r="C2903" s="14" t="s">
        <v>5639</v>
      </c>
      <c r="D2903" s="14" t="s">
        <v>10</v>
      </c>
      <c r="E2903" s="14" t="s">
        <v>11</v>
      </c>
      <c r="F2903" s="14" t="s">
        <v>18</v>
      </c>
      <c r="G2903" s="14" t="s">
        <v>19</v>
      </c>
      <c r="H2903" s="14" t="s">
        <v>5581</v>
      </c>
      <c r="I2903" s="15" t="s">
        <v>5599</v>
      </c>
      <c r="J2903" s="16" t="str">
        <f>VLOOKUP(B2903,baru!$B$2:$I$2271,4,FALSE)</f>
        <v>Reguler</v>
      </c>
      <c r="K2903" s="16" t="str">
        <f>VLOOKUP(B2903,baru!$B$2:$I$2271,5,FALSE)</f>
        <v>JAWA TENGAH</v>
      </c>
      <c r="L2903" s="16" t="str">
        <f>VLOOKUP(B2903,baru!$B$2:$I$2271,6,FALSE)</f>
        <v>CILACAP</v>
      </c>
    </row>
    <row r="2904" spans="1:12" x14ac:dyDescent="0.35">
      <c r="A2904" s="6">
        <v>433392</v>
      </c>
      <c r="B2904" s="7" t="str">
        <f>"3302154504940001"</f>
        <v>3302154504940001</v>
      </c>
      <c r="C2904" s="7" t="s">
        <v>5640</v>
      </c>
      <c r="D2904" s="7" t="s">
        <v>189</v>
      </c>
      <c r="E2904" s="7" t="s">
        <v>11</v>
      </c>
      <c r="F2904" s="7" t="s">
        <v>18</v>
      </c>
      <c r="G2904" s="7" t="s">
        <v>167</v>
      </c>
      <c r="H2904" s="7" t="s">
        <v>5330</v>
      </c>
      <c r="I2904" s="8" t="s">
        <v>5641</v>
      </c>
    </row>
    <row r="2905" spans="1:12" hidden="1" x14ac:dyDescent="0.35">
      <c r="A2905" s="13">
        <v>1962576</v>
      </c>
      <c r="B2905" s="14" t="str">
        <f>"3303140808880002"</f>
        <v>3303140808880002</v>
      </c>
      <c r="C2905" s="14" t="s">
        <v>5642</v>
      </c>
      <c r="D2905" s="14" t="s">
        <v>10</v>
      </c>
      <c r="E2905" s="14" t="s">
        <v>11</v>
      </c>
      <c r="F2905" s="14" t="s">
        <v>18</v>
      </c>
      <c r="G2905" s="14" t="s">
        <v>19</v>
      </c>
      <c r="H2905" s="14" t="s">
        <v>5581</v>
      </c>
      <c r="I2905" s="15" t="s">
        <v>5593</v>
      </c>
      <c r="J2905" s="16" t="str">
        <f>VLOOKUP(B2905,baru!$B$2:$I$2271,4,FALSE)</f>
        <v>Reguler</v>
      </c>
      <c r="K2905" s="16" t="str">
        <f>VLOOKUP(B2905,baru!$B$2:$I$2271,5,FALSE)</f>
        <v>JAWA TENGAH</v>
      </c>
      <c r="L2905" s="16" t="str">
        <f>VLOOKUP(B2905,baru!$B$2:$I$2271,6,FALSE)</f>
        <v>PURBALINGGA</v>
      </c>
    </row>
    <row r="2906" spans="1:12" x14ac:dyDescent="0.35">
      <c r="A2906" s="6">
        <v>1293847</v>
      </c>
      <c r="B2906" s="7" t="str">
        <f>"3324050101880003"</f>
        <v>3324050101880003</v>
      </c>
      <c r="C2906" s="7" t="s">
        <v>5646</v>
      </c>
      <c r="D2906" s="7" t="s">
        <v>189</v>
      </c>
      <c r="E2906" s="7" t="s">
        <v>11</v>
      </c>
      <c r="F2906" s="7" t="s">
        <v>18</v>
      </c>
      <c r="G2906" s="7" t="s">
        <v>184</v>
      </c>
      <c r="H2906" s="7" t="s">
        <v>5647</v>
      </c>
      <c r="I2906" s="8" t="s">
        <v>5648</v>
      </c>
    </row>
    <row r="2907" spans="1:12" hidden="1" x14ac:dyDescent="0.35">
      <c r="A2907" s="6">
        <v>1090490</v>
      </c>
      <c r="B2907" s="7" t="str">
        <f>"3326111701850002"</f>
        <v>3326111701850002</v>
      </c>
      <c r="C2907" s="7" t="s">
        <v>5649</v>
      </c>
      <c r="D2907" s="7" t="s">
        <v>10</v>
      </c>
      <c r="E2907" s="7" t="s">
        <v>11</v>
      </c>
      <c r="F2907" s="7" t="s">
        <v>50</v>
      </c>
      <c r="G2907" s="7" t="s">
        <v>51</v>
      </c>
      <c r="H2907" s="7" t="s">
        <v>52</v>
      </c>
      <c r="I2907" s="8" t="s">
        <v>52</v>
      </c>
    </row>
    <row r="2908" spans="1:12" hidden="1" x14ac:dyDescent="0.35">
      <c r="A2908" s="6">
        <v>275405</v>
      </c>
      <c r="B2908" s="7" t="str">
        <f>"3327102801770065"</f>
        <v>3327102801770065</v>
      </c>
      <c r="C2908" s="7" t="s">
        <v>5651</v>
      </c>
      <c r="D2908" s="7" t="s">
        <v>10</v>
      </c>
      <c r="E2908" s="7" t="s">
        <v>11</v>
      </c>
      <c r="F2908" s="7" t="s">
        <v>18</v>
      </c>
      <c r="G2908" s="7" t="s">
        <v>264</v>
      </c>
      <c r="H2908" s="7" t="s">
        <v>330</v>
      </c>
      <c r="I2908" s="8" t="s">
        <v>5652</v>
      </c>
    </row>
    <row r="2909" spans="1:12" x14ac:dyDescent="0.35">
      <c r="A2909" s="6">
        <v>1985562</v>
      </c>
      <c r="B2909" s="7" t="str">
        <f>"3327102801770065"</f>
        <v>3327102801770065</v>
      </c>
      <c r="C2909" s="7" t="s">
        <v>5418</v>
      </c>
      <c r="D2909" s="7" t="s">
        <v>189</v>
      </c>
      <c r="E2909" s="7" t="s">
        <v>11</v>
      </c>
      <c r="F2909" s="7" t="s">
        <v>18</v>
      </c>
      <c r="G2909" s="7" t="s">
        <v>19</v>
      </c>
      <c r="H2909" s="7" t="s">
        <v>5581</v>
      </c>
      <c r="I2909" s="8" t="s">
        <v>5653</v>
      </c>
      <c r="J2909" t="e">
        <f>VLOOKUP(B2909,baru!$B$2:$I$2271,4,FALSE)</f>
        <v>#N/A</v>
      </c>
      <c r="K2909" t="e">
        <f>VLOOKUP(B2909,baru!$B$2:$I$2271,5,FALSE)</f>
        <v>#N/A</v>
      </c>
      <c r="L2909" t="e">
        <f>VLOOKUP(B2909,baru!$B$2:$I$2271,6,FALSE)</f>
        <v>#N/A</v>
      </c>
    </row>
    <row r="2910" spans="1:12" hidden="1" x14ac:dyDescent="0.35">
      <c r="A2910" s="6">
        <v>140105</v>
      </c>
      <c r="B2910" s="7" t="str">
        <f>"3328095005870016"</f>
        <v>3328095005870016</v>
      </c>
      <c r="C2910" s="7" t="s">
        <v>5654</v>
      </c>
      <c r="D2910" s="7" t="s">
        <v>10</v>
      </c>
      <c r="E2910" s="7" t="s">
        <v>11</v>
      </c>
      <c r="F2910" s="7" t="s">
        <v>232</v>
      </c>
      <c r="G2910" s="7" t="s">
        <v>642</v>
      </c>
      <c r="H2910" s="7" t="s">
        <v>2600</v>
      </c>
      <c r="I2910" s="8" t="s">
        <v>2601</v>
      </c>
    </row>
    <row r="2911" spans="1:12" hidden="1" x14ac:dyDescent="0.35">
      <c r="A2911" s="13">
        <v>1977654</v>
      </c>
      <c r="B2911" s="14" t="str">
        <f>"3328100903700005"</f>
        <v>3328100903700005</v>
      </c>
      <c r="C2911" s="14" t="s">
        <v>5655</v>
      </c>
      <c r="D2911" s="14" t="s">
        <v>10</v>
      </c>
      <c r="E2911" s="14" t="s">
        <v>11</v>
      </c>
      <c r="F2911" s="14" t="s">
        <v>18</v>
      </c>
      <c r="G2911" s="14" t="s">
        <v>19</v>
      </c>
      <c r="H2911" s="14" t="s">
        <v>5581</v>
      </c>
      <c r="I2911" s="15" t="s">
        <v>5589</v>
      </c>
      <c r="J2911" s="16" t="str">
        <f>VLOOKUP(B2911,baru!$B$2:$I$2271,4,FALSE)</f>
        <v>Reguler</v>
      </c>
      <c r="K2911" s="16" t="str">
        <f>VLOOKUP(B2911,baru!$B$2:$I$2271,5,FALSE)</f>
        <v>JAWA BARAT</v>
      </c>
      <c r="L2911" s="16" t="str">
        <f>VLOOKUP(B2911,baru!$B$2:$I$2271,6,FALSE)</f>
        <v>TASIKMALAYA</v>
      </c>
    </row>
    <row r="2912" spans="1:12" hidden="1" x14ac:dyDescent="0.35">
      <c r="A2912" s="6">
        <v>1600524</v>
      </c>
      <c r="B2912" s="7" t="str">
        <f>"3328180107790033"</f>
        <v>3328180107790033</v>
      </c>
      <c r="C2912" s="7" t="s">
        <v>5657</v>
      </c>
      <c r="D2912" s="7" t="s">
        <v>10</v>
      </c>
      <c r="E2912" s="7" t="s">
        <v>11</v>
      </c>
      <c r="F2912" s="7" t="s">
        <v>44</v>
      </c>
      <c r="G2912" s="7" t="s">
        <v>5214</v>
      </c>
      <c r="H2912" s="7" t="s">
        <v>5658</v>
      </c>
      <c r="I2912" s="8" t="s">
        <v>5659</v>
      </c>
    </row>
    <row r="2913" spans="1:12" hidden="1" x14ac:dyDescent="0.35">
      <c r="A2913" s="6">
        <v>1983522</v>
      </c>
      <c r="B2913" s="7" t="str">
        <f>"3328180107930058"</f>
        <v>3328180107930058</v>
      </c>
      <c r="C2913" s="7" t="s">
        <v>5660</v>
      </c>
      <c r="D2913" s="7" t="s">
        <v>10</v>
      </c>
      <c r="E2913" s="7" t="s">
        <v>11</v>
      </c>
      <c r="F2913" s="7" t="s">
        <v>18</v>
      </c>
      <c r="G2913" s="7" t="s">
        <v>19</v>
      </c>
      <c r="H2913" s="7" t="s">
        <v>5581</v>
      </c>
      <c r="I2913" s="8" t="s">
        <v>5653</v>
      </c>
      <c r="J2913" t="e">
        <f>VLOOKUP(B2913,baru!$B$2:$I$2271,4,FALSE)</f>
        <v>#N/A</v>
      </c>
      <c r="K2913" t="e">
        <f>VLOOKUP(B2913,baru!$B$2:$I$2271,5,FALSE)</f>
        <v>#N/A</v>
      </c>
      <c r="L2913" t="e">
        <f>VLOOKUP(B2913,baru!$B$2:$I$2271,6,FALSE)</f>
        <v>#N/A</v>
      </c>
    </row>
    <row r="2914" spans="1:12" hidden="1" x14ac:dyDescent="0.35">
      <c r="A2914" s="6">
        <v>412095</v>
      </c>
      <c r="B2914" s="7" t="str">
        <f>"3328180107930058"</f>
        <v>3328180107930058</v>
      </c>
      <c r="C2914" s="7" t="s">
        <v>5660</v>
      </c>
      <c r="D2914" s="7" t="s">
        <v>10</v>
      </c>
      <c r="E2914" s="7" t="s">
        <v>57</v>
      </c>
      <c r="F2914" s="7" t="s">
        <v>3068</v>
      </c>
      <c r="G2914" s="7" t="s">
        <v>5530</v>
      </c>
      <c r="H2914" s="7" t="s">
        <v>5531</v>
      </c>
      <c r="I2914" s="8" t="s">
        <v>5532</v>
      </c>
    </row>
    <row r="2915" spans="1:12" hidden="1" x14ac:dyDescent="0.35">
      <c r="A2915" s="6">
        <v>42546</v>
      </c>
      <c r="B2915" s="7" t="str">
        <f>"3328180107980074"</f>
        <v>3328180107980074</v>
      </c>
      <c r="C2915" s="7" t="s">
        <v>5661</v>
      </c>
      <c r="D2915" s="7" t="s">
        <v>10</v>
      </c>
      <c r="E2915" s="7" t="s">
        <v>11</v>
      </c>
      <c r="F2915" s="7" t="s">
        <v>91</v>
      </c>
      <c r="G2915" s="7" t="s">
        <v>114</v>
      </c>
      <c r="H2915" s="7" t="s">
        <v>5662</v>
      </c>
      <c r="I2915" s="8" t="s">
        <v>5663</v>
      </c>
    </row>
    <row r="2916" spans="1:12" hidden="1" x14ac:dyDescent="0.35">
      <c r="A2916" s="6">
        <v>1272715</v>
      </c>
      <c r="B2916" s="7" t="str">
        <f>"3328180205050001"</f>
        <v>3328180205050001</v>
      </c>
      <c r="C2916" s="7" t="s">
        <v>5666</v>
      </c>
      <c r="D2916" s="7" t="s">
        <v>10</v>
      </c>
      <c r="E2916" s="7" t="s">
        <v>11</v>
      </c>
      <c r="F2916" s="7" t="s">
        <v>18</v>
      </c>
      <c r="G2916" s="7" t="s">
        <v>1920</v>
      </c>
      <c r="H2916" s="7" t="s">
        <v>2330</v>
      </c>
      <c r="I2916" s="8" t="s">
        <v>5667</v>
      </c>
    </row>
    <row r="2917" spans="1:12" hidden="1" x14ac:dyDescent="0.35">
      <c r="A2917" s="6">
        <v>1268028</v>
      </c>
      <c r="B2917" s="7" t="str">
        <f>"3328180704810004"</f>
        <v>3328180704810004</v>
      </c>
      <c r="C2917" s="7" t="s">
        <v>5668</v>
      </c>
      <c r="D2917" s="7" t="s">
        <v>10</v>
      </c>
      <c r="E2917" s="7" t="s">
        <v>11</v>
      </c>
      <c r="F2917" s="7" t="s">
        <v>50</v>
      </c>
      <c r="G2917" s="7" t="s">
        <v>86</v>
      </c>
      <c r="H2917" s="7" t="s">
        <v>87</v>
      </c>
      <c r="I2917" s="8" t="s">
        <v>87</v>
      </c>
    </row>
    <row r="2918" spans="1:12" hidden="1" x14ac:dyDescent="0.35">
      <c r="A2918" s="6">
        <v>1957852</v>
      </c>
      <c r="B2918" s="7" t="str">
        <f>"3328180908060004"</f>
        <v>3328180908060004</v>
      </c>
      <c r="C2918" s="7" t="s">
        <v>5670</v>
      </c>
      <c r="D2918" s="7" t="s">
        <v>10</v>
      </c>
      <c r="E2918" s="7" t="s">
        <v>11</v>
      </c>
      <c r="F2918" s="7" t="s">
        <v>18</v>
      </c>
      <c r="G2918" s="7" t="s">
        <v>19</v>
      </c>
      <c r="H2918" s="7" t="s">
        <v>5581</v>
      </c>
      <c r="I2918" s="8" t="s">
        <v>5593</v>
      </c>
      <c r="J2918" t="e">
        <f>VLOOKUP(B2918,baru!$B$2:$I$2271,4,FALSE)</f>
        <v>#N/A</v>
      </c>
      <c r="K2918" t="e">
        <f>VLOOKUP(B2918,baru!$B$2:$I$2271,5,FALSE)</f>
        <v>#N/A</v>
      </c>
      <c r="L2918" t="e">
        <f>VLOOKUP(B2918,baru!$B$2:$I$2271,6,FALSE)</f>
        <v>#N/A</v>
      </c>
    </row>
    <row r="2919" spans="1:12" hidden="1" x14ac:dyDescent="0.35">
      <c r="A2919" s="6">
        <v>1392757</v>
      </c>
      <c r="B2919" s="7" t="str">
        <f>"3328180908060004"</f>
        <v>3328180908060004</v>
      </c>
      <c r="C2919" s="7" t="s">
        <v>5670</v>
      </c>
      <c r="D2919" s="7" t="s">
        <v>10</v>
      </c>
      <c r="E2919" s="7" t="s">
        <v>57</v>
      </c>
      <c r="F2919" s="7" t="s">
        <v>303</v>
      </c>
      <c r="G2919" s="7" t="s">
        <v>608</v>
      </c>
      <c r="H2919" s="7" t="s">
        <v>1384</v>
      </c>
      <c r="I2919" s="8" t="s">
        <v>1385</v>
      </c>
    </row>
    <row r="2920" spans="1:12" hidden="1" x14ac:dyDescent="0.35">
      <c r="A2920" s="13">
        <v>2007603</v>
      </c>
      <c r="B2920" s="14" t="str">
        <f>"3328181004730004"</f>
        <v>3328181004730004</v>
      </c>
      <c r="C2920" s="14" t="s">
        <v>1379</v>
      </c>
      <c r="D2920" s="14" t="s">
        <v>10</v>
      </c>
      <c r="E2920" s="14" t="s">
        <v>11</v>
      </c>
      <c r="F2920" s="14" t="s">
        <v>18</v>
      </c>
      <c r="G2920" s="14" t="s">
        <v>19</v>
      </c>
      <c r="H2920" s="14" t="s">
        <v>5581</v>
      </c>
      <c r="I2920" s="15" t="s">
        <v>5609</v>
      </c>
      <c r="J2920" s="16" t="str">
        <f>VLOOKUP(B2920,baru!$B$2:$I$2271,4,FALSE)</f>
        <v>Reguler</v>
      </c>
      <c r="K2920" s="16" t="str">
        <f>VLOOKUP(B2920,baru!$B$2:$I$2271,5,FALSE)</f>
        <v>JAWA BARAT</v>
      </c>
      <c r="L2920" s="16" t="str">
        <f>VLOOKUP(B2920,baru!$B$2:$I$2271,6,FALSE)</f>
        <v>KOTA DEPOK</v>
      </c>
    </row>
    <row r="2921" spans="1:12" x14ac:dyDescent="0.35">
      <c r="A2921" s="13">
        <v>1980088</v>
      </c>
      <c r="B2921" s="14" t="str">
        <f>"3328181006780002"</f>
        <v>3328181006780002</v>
      </c>
      <c r="C2921" s="14" t="s">
        <v>1490</v>
      </c>
      <c r="D2921" s="14" t="s">
        <v>189</v>
      </c>
      <c r="E2921" s="14" t="s">
        <v>11</v>
      </c>
      <c r="F2921" s="14" t="s">
        <v>18</v>
      </c>
      <c r="G2921" s="14" t="s">
        <v>19</v>
      </c>
      <c r="H2921" s="14" t="s">
        <v>5581</v>
      </c>
      <c r="I2921" s="15" t="s">
        <v>5589</v>
      </c>
      <c r="J2921" s="16" t="str">
        <f>VLOOKUP(B2921,baru!$B$2:$I$2271,4,FALSE)</f>
        <v>Reguler</v>
      </c>
      <c r="K2921" s="16" t="str">
        <f>VLOOKUP(B2921,baru!$B$2:$I$2271,5,FALSE)</f>
        <v>JAWA TENGAH</v>
      </c>
      <c r="L2921" s="16" t="str">
        <f>VLOOKUP(B2921,baru!$B$2:$I$2271,6,FALSE)</f>
        <v>KOTA TEGAL</v>
      </c>
    </row>
    <row r="2922" spans="1:12" hidden="1" x14ac:dyDescent="0.35">
      <c r="A2922" s="6">
        <v>313776</v>
      </c>
      <c r="B2922" s="7" t="str">
        <f>"3328181012810002"</f>
        <v>3328181012810002</v>
      </c>
      <c r="C2922" s="7" t="s">
        <v>5673</v>
      </c>
      <c r="D2922" s="7" t="s">
        <v>10</v>
      </c>
      <c r="E2922" s="7" t="s">
        <v>11</v>
      </c>
      <c r="F2922" s="7" t="s">
        <v>18</v>
      </c>
      <c r="G2922" s="7" t="s">
        <v>268</v>
      </c>
      <c r="H2922" s="7" t="s">
        <v>269</v>
      </c>
      <c r="I2922" s="8" t="s">
        <v>1662</v>
      </c>
    </row>
    <row r="2923" spans="1:12" hidden="1" x14ac:dyDescent="0.35">
      <c r="A2923" s="6">
        <v>1302852</v>
      </c>
      <c r="B2923" s="7" t="str">
        <f>"3328181109980004"</f>
        <v>3328181109980004</v>
      </c>
      <c r="C2923" s="7" t="s">
        <v>5675</v>
      </c>
      <c r="D2923" s="7" t="s">
        <v>10</v>
      </c>
      <c r="E2923" s="7" t="s">
        <v>11</v>
      </c>
      <c r="F2923" s="7" t="s">
        <v>91</v>
      </c>
      <c r="G2923" s="7" t="s">
        <v>92</v>
      </c>
      <c r="H2923" s="7" t="s">
        <v>5676</v>
      </c>
      <c r="I2923" s="8" t="s">
        <v>1050</v>
      </c>
    </row>
    <row r="2924" spans="1:12" hidden="1" x14ac:dyDescent="0.35">
      <c r="A2924" s="6">
        <v>1211259</v>
      </c>
      <c r="B2924" s="7" t="str">
        <f>"3328181211860003"</f>
        <v>3328181211860003</v>
      </c>
      <c r="C2924" s="7" t="s">
        <v>5677</v>
      </c>
      <c r="D2924" s="7" t="s">
        <v>10</v>
      </c>
      <c r="E2924" s="7" t="s">
        <v>11</v>
      </c>
      <c r="F2924" s="7" t="s">
        <v>18</v>
      </c>
      <c r="G2924" s="7" t="s">
        <v>264</v>
      </c>
      <c r="H2924" s="7" t="s">
        <v>265</v>
      </c>
      <c r="I2924" s="8" t="s">
        <v>906</v>
      </c>
    </row>
    <row r="2925" spans="1:12" hidden="1" x14ac:dyDescent="0.35">
      <c r="A2925" s="6">
        <v>1347011</v>
      </c>
      <c r="B2925" s="7" t="str">
        <f>"3328181501970001"</f>
        <v>3328181501970001</v>
      </c>
      <c r="C2925" s="7" t="s">
        <v>5678</v>
      </c>
      <c r="D2925" s="7" t="s">
        <v>10</v>
      </c>
      <c r="E2925" s="7" t="s">
        <v>11</v>
      </c>
      <c r="F2925" s="7" t="s">
        <v>18</v>
      </c>
      <c r="G2925" s="7" t="s">
        <v>264</v>
      </c>
      <c r="H2925" s="7" t="s">
        <v>265</v>
      </c>
      <c r="I2925" s="8" t="s">
        <v>2007</v>
      </c>
    </row>
    <row r="2926" spans="1:12" hidden="1" x14ac:dyDescent="0.35">
      <c r="A2926" s="13">
        <v>1967798</v>
      </c>
      <c r="B2926" s="14" t="str">
        <f>"3328181808900013"</f>
        <v>3328181808900013</v>
      </c>
      <c r="C2926" s="14" t="s">
        <v>5680</v>
      </c>
      <c r="D2926" s="14" t="s">
        <v>10</v>
      </c>
      <c r="E2926" s="14" t="s">
        <v>11</v>
      </c>
      <c r="F2926" s="14" t="s">
        <v>18</v>
      </c>
      <c r="G2926" s="14" t="s">
        <v>19</v>
      </c>
      <c r="H2926" s="14" t="s">
        <v>5581</v>
      </c>
      <c r="I2926" s="15" t="s">
        <v>5599</v>
      </c>
      <c r="J2926" s="16" t="str">
        <f>VLOOKUP(B2926,baru!$B$2:$I$2271,4,FALSE)</f>
        <v>Reguler</v>
      </c>
      <c r="K2926" s="16" t="str">
        <f>VLOOKUP(B2926,baru!$B$2:$I$2271,5,FALSE)</f>
        <v>JAWA TENGAH</v>
      </c>
      <c r="L2926" s="16" t="str">
        <f>VLOOKUP(B2926,baru!$B$2:$I$2271,6,FALSE)</f>
        <v>KEBUMEN</v>
      </c>
    </row>
    <row r="2927" spans="1:12" hidden="1" x14ac:dyDescent="0.35">
      <c r="A2927" s="6">
        <v>147295</v>
      </c>
      <c r="B2927" s="7" t="str">
        <f>"3328181909920001"</f>
        <v>3328181909920001</v>
      </c>
      <c r="C2927" s="7" t="s">
        <v>5683</v>
      </c>
      <c r="D2927" s="7" t="s">
        <v>10</v>
      </c>
      <c r="E2927" s="7" t="s">
        <v>11</v>
      </c>
      <c r="F2927" s="7" t="s">
        <v>232</v>
      </c>
      <c r="G2927" s="7" t="s">
        <v>3300</v>
      </c>
      <c r="H2927" s="7" t="s">
        <v>3301</v>
      </c>
      <c r="I2927" s="8" t="s">
        <v>5684</v>
      </c>
    </row>
    <row r="2928" spans="1:12" hidden="1" x14ac:dyDescent="0.35">
      <c r="A2928" s="13">
        <v>1978649</v>
      </c>
      <c r="B2928" s="14" t="str">
        <f>"3328182203960001"</f>
        <v>3328182203960001</v>
      </c>
      <c r="C2928" s="14" t="s">
        <v>5685</v>
      </c>
      <c r="D2928" s="14" t="s">
        <v>10</v>
      </c>
      <c r="E2928" s="14" t="s">
        <v>11</v>
      </c>
      <c r="F2928" s="14" t="s">
        <v>18</v>
      </c>
      <c r="G2928" s="14" t="s">
        <v>19</v>
      </c>
      <c r="H2928" s="14" t="s">
        <v>5581</v>
      </c>
      <c r="I2928" s="15" t="s">
        <v>5589</v>
      </c>
      <c r="J2928" s="16" t="str">
        <f>VLOOKUP(B2928,baru!$B$2:$I$2271,4,FALSE)</f>
        <v>Reguler</v>
      </c>
      <c r="K2928" s="16" t="str">
        <f>VLOOKUP(B2928,baru!$B$2:$I$2271,5,FALSE)</f>
        <v>JAWA TENGAH</v>
      </c>
      <c r="L2928" s="16" t="str">
        <f>VLOOKUP(B2928,baru!$B$2:$I$2271,6,FALSE)</f>
        <v>KOTA TEGAL</v>
      </c>
    </row>
    <row r="2929" spans="1:12" hidden="1" x14ac:dyDescent="0.35">
      <c r="A2929" s="6">
        <v>256960</v>
      </c>
      <c r="B2929" s="7" t="str">
        <f>"3328182205030005"</f>
        <v>3328182205030005</v>
      </c>
      <c r="C2929" s="7" t="s">
        <v>5686</v>
      </c>
      <c r="D2929" s="7" t="s">
        <v>10</v>
      </c>
      <c r="E2929" s="7" t="s">
        <v>11</v>
      </c>
      <c r="F2929" s="7" t="s">
        <v>18</v>
      </c>
      <c r="G2929" s="7" t="s">
        <v>268</v>
      </c>
      <c r="H2929" s="7" t="s">
        <v>371</v>
      </c>
      <c r="I2929" s="8" t="s">
        <v>497</v>
      </c>
    </row>
    <row r="2930" spans="1:12" hidden="1" x14ac:dyDescent="0.35">
      <c r="A2930" s="6">
        <v>676758</v>
      </c>
      <c r="B2930" s="7" t="str">
        <f>"3328182207950005"</f>
        <v>3328182207950005</v>
      </c>
      <c r="C2930" s="7" t="s">
        <v>5688</v>
      </c>
      <c r="D2930" s="7" t="s">
        <v>10</v>
      </c>
      <c r="E2930" s="7" t="s">
        <v>11</v>
      </c>
      <c r="F2930" s="7" t="s">
        <v>811</v>
      </c>
      <c r="G2930" s="7" t="s">
        <v>812</v>
      </c>
      <c r="H2930" s="7" t="s">
        <v>5591</v>
      </c>
      <c r="I2930" s="8" t="s">
        <v>5592</v>
      </c>
    </row>
    <row r="2931" spans="1:12" hidden="1" x14ac:dyDescent="0.35">
      <c r="A2931" s="6">
        <v>268757</v>
      </c>
      <c r="B2931" s="7" t="str">
        <f>"3328182502900003"</f>
        <v>3328182502900003</v>
      </c>
      <c r="C2931" s="7" t="s">
        <v>5690</v>
      </c>
      <c r="D2931" s="7" t="s">
        <v>10</v>
      </c>
      <c r="E2931" s="7" t="s">
        <v>11</v>
      </c>
      <c r="F2931" s="7" t="s">
        <v>18</v>
      </c>
      <c r="G2931" s="7" t="s">
        <v>264</v>
      </c>
      <c r="H2931" s="7" t="s">
        <v>5691</v>
      </c>
      <c r="I2931" s="8" t="s">
        <v>5692</v>
      </c>
    </row>
    <row r="2932" spans="1:12" hidden="1" x14ac:dyDescent="0.35">
      <c r="A2932" s="6">
        <v>1034811</v>
      </c>
      <c r="B2932" s="7" t="str">
        <f>"3328182506800002"</f>
        <v>3328182506800002</v>
      </c>
      <c r="C2932" s="7" t="s">
        <v>5693</v>
      </c>
      <c r="D2932" s="7" t="s">
        <v>10</v>
      </c>
      <c r="E2932" s="7" t="s">
        <v>11</v>
      </c>
      <c r="F2932" s="7" t="s">
        <v>91</v>
      </c>
      <c r="G2932" s="7" t="s">
        <v>320</v>
      </c>
      <c r="H2932" s="7" t="s">
        <v>409</v>
      </c>
      <c r="I2932" s="8" t="s">
        <v>4860</v>
      </c>
    </row>
    <row r="2933" spans="1:12" hidden="1" x14ac:dyDescent="0.35">
      <c r="A2933" s="6">
        <v>1355616</v>
      </c>
      <c r="B2933" s="7" t="str">
        <f>"3328182507800002"</f>
        <v>3328182507800002</v>
      </c>
      <c r="C2933" s="7" t="s">
        <v>5695</v>
      </c>
      <c r="D2933" s="7" t="s">
        <v>10</v>
      </c>
      <c r="E2933" s="7" t="s">
        <v>11</v>
      </c>
      <c r="F2933" s="7" t="s">
        <v>50</v>
      </c>
      <c r="G2933" s="7" t="s">
        <v>58</v>
      </c>
      <c r="H2933" s="7" t="s">
        <v>417</v>
      </c>
      <c r="I2933" s="8" t="s">
        <v>1131</v>
      </c>
    </row>
    <row r="2934" spans="1:12" hidden="1" x14ac:dyDescent="0.35">
      <c r="A2934" s="6">
        <v>407408</v>
      </c>
      <c r="B2934" s="7" t="str">
        <f>"3328182604850005"</f>
        <v>3328182604850005</v>
      </c>
      <c r="C2934" s="7" t="s">
        <v>5696</v>
      </c>
      <c r="D2934" s="7" t="s">
        <v>10</v>
      </c>
      <c r="E2934" s="7" t="s">
        <v>11</v>
      </c>
      <c r="F2934" s="7" t="s">
        <v>18</v>
      </c>
      <c r="G2934" s="7" t="s">
        <v>268</v>
      </c>
      <c r="H2934" s="7" t="s">
        <v>448</v>
      </c>
      <c r="I2934" s="8" t="s">
        <v>448</v>
      </c>
    </row>
    <row r="2935" spans="1:12" hidden="1" x14ac:dyDescent="0.35">
      <c r="A2935" s="13">
        <v>1974666</v>
      </c>
      <c r="B2935" s="14" t="str">
        <f>"3328182709900003"</f>
        <v>3328182709900003</v>
      </c>
      <c r="C2935" s="14" t="s">
        <v>5698</v>
      </c>
      <c r="D2935" s="14" t="s">
        <v>10</v>
      </c>
      <c r="E2935" s="14" t="s">
        <v>11</v>
      </c>
      <c r="F2935" s="14" t="s">
        <v>18</v>
      </c>
      <c r="G2935" s="14" t="s">
        <v>19</v>
      </c>
      <c r="H2935" s="14" t="s">
        <v>5581</v>
      </c>
      <c r="I2935" s="15" t="s">
        <v>5582</v>
      </c>
      <c r="J2935" s="16" t="str">
        <f>VLOOKUP(B2935,baru!$B$2:$I$2271,4,FALSE)</f>
        <v>Reguler</v>
      </c>
      <c r="K2935" s="16" t="str">
        <f>VLOOKUP(B2935,baru!$B$2:$I$2271,5,FALSE)</f>
        <v>SUMATERA BARAT</v>
      </c>
      <c r="L2935" s="16" t="str">
        <f>VLOOKUP(B2935,baru!$B$2:$I$2271,6,FALSE)</f>
        <v>KOTA PADANG</v>
      </c>
    </row>
    <row r="2936" spans="1:12" hidden="1" x14ac:dyDescent="0.35">
      <c r="A2936" s="6">
        <v>1985915</v>
      </c>
      <c r="B2936" s="7" t="str">
        <f>"3328182904990001"</f>
        <v>3328182904990001</v>
      </c>
      <c r="C2936" s="7" t="s">
        <v>5700</v>
      </c>
      <c r="D2936" s="7" t="s">
        <v>10</v>
      </c>
      <c r="E2936" s="7" t="s">
        <v>11</v>
      </c>
      <c r="F2936" s="7" t="s">
        <v>18</v>
      </c>
      <c r="G2936" s="7" t="s">
        <v>19</v>
      </c>
      <c r="H2936" s="7" t="s">
        <v>5581</v>
      </c>
      <c r="I2936" s="8" t="s">
        <v>5653</v>
      </c>
      <c r="J2936" t="e">
        <f>VLOOKUP(B2936,baru!$B$2:$I$2271,4,FALSE)</f>
        <v>#N/A</v>
      </c>
      <c r="K2936" t="e">
        <f>VLOOKUP(B2936,baru!$B$2:$I$2271,5,FALSE)</f>
        <v>#N/A</v>
      </c>
      <c r="L2936" t="e">
        <f>VLOOKUP(B2936,baru!$B$2:$I$2271,6,FALSE)</f>
        <v>#N/A</v>
      </c>
    </row>
    <row r="2937" spans="1:12" hidden="1" x14ac:dyDescent="0.35">
      <c r="A2937" s="6">
        <v>1351203</v>
      </c>
      <c r="B2937" s="7" t="str">
        <f>"3328182904990001"</f>
        <v>3328182904990001</v>
      </c>
      <c r="C2937" s="7" t="s">
        <v>5700</v>
      </c>
      <c r="D2937" s="7" t="s">
        <v>10</v>
      </c>
      <c r="E2937" s="7" t="s">
        <v>57</v>
      </c>
      <c r="F2937" s="7" t="s">
        <v>303</v>
      </c>
      <c r="G2937" s="7" t="s">
        <v>608</v>
      </c>
      <c r="H2937" s="7" t="s">
        <v>609</v>
      </c>
      <c r="I2937" s="8" t="s">
        <v>610</v>
      </c>
    </row>
    <row r="2938" spans="1:12" hidden="1" x14ac:dyDescent="0.35">
      <c r="A2938" s="6">
        <v>1215493</v>
      </c>
      <c r="B2938" s="7" t="str">
        <f>"3328183107830001"</f>
        <v>3328183107830001</v>
      </c>
      <c r="C2938" s="7" t="s">
        <v>5701</v>
      </c>
      <c r="D2938" s="7" t="s">
        <v>10</v>
      </c>
      <c r="E2938" s="7" t="s">
        <v>11</v>
      </c>
      <c r="F2938" s="7" t="s">
        <v>18</v>
      </c>
      <c r="G2938" s="7" t="s">
        <v>264</v>
      </c>
      <c r="H2938" s="7" t="s">
        <v>265</v>
      </c>
      <c r="I2938" s="8" t="s">
        <v>1910</v>
      </c>
    </row>
    <row r="2939" spans="1:12" hidden="1" x14ac:dyDescent="0.35">
      <c r="A2939" s="13">
        <v>1962577</v>
      </c>
      <c r="B2939" s="14" t="str">
        <f>"3328184107870145"</f>
        <v>3328184107870145</v>
      </c>
      <c r="C2939" s="14" t="s">
        <v>5702</v>
      </c>
      <c r="D2939" s="14" t="s">
        <v>10</v>
      </c>
      <c r="E2939" s="14" t="s">
        <v>11</v>
      </c>
      <c r="F2939" s="14" t="s">
        <v>18</v>
      </c>
      <c r="G2939" s="14" t="s">
        <v>19</v>
      </c>
      <c r="H2939" s="14" t="s">
        <v>5581</v>
      </c>
      <c r="I2939" s="15" t="s">
        <v>5593</v>
      </c>
      <c r="J2939" s="16" t="str">
        <f>VLOOKUP(B2939,baru!$B$2:$I$2271,4,FALSE)</f>
        <v>Reguler</v>
      </c>
      <c r="K2939" s="16" t="str">
        <f>VLOOKUP(B2939,baru!$B$2:$I$2271,5,FALSE)</f>
        <v>JAWA TENGAH</v>
      </c>
      <c r="L2939" s="16" t="str">
        <f>VLOOKUP(B2939,baru!$B$2:$I$2271,6,FALSE)</f>
        <v>PURBALINGGA</v>
      </c>
    </row>
    <row r="2940" spans="1:12" hidden="1" x14ac:dyDescent="0.35">
      <c r="A2940" s="13">
        <v>1983217</v>
      </c>
      <c r="B2940" s="14" t="str">
        <f>"3328184202770003"</f>
        <v>3328184202770003</v>
      </c>
      <c r="C2940" s="14" t="s">
        <v>5703</v>
      </c>
      <c r="D2940" s="14" t="s">
        <v>10</v>
      </c>
      <c r="E2940" s="14" t="s">
        <v>11</v>
      </c>
      <c r="F2940" s="14" t="s">
        <v>18</v>
      </c>
      <c r="G2940" s="14" t="s">
        <v>19</v>
      </c>
      <c r="H2940" s="14" t="s">
        <v>5581</v>
      </c>
      <c r="I2940" s="15" t="s">
        <v>5653</v>
      </c>
      <c r="J2940" s="16" t="str">
        <f>VLOOKUP(B2940,baru!$B$2:$I$2271,4,FALSE)</f>
        <v>Reguler</v>
      </c>
      <c r="K2940" s="16" t="str">
        <f>VLOOKUP(B2940,baru!$B$2:$I$2271,5,FALSE)</f>
        <v>BANTEN</v>
      </c>
      <c r="L2940" s="16" t="str">
        <f>VLOOKUP(B2940,baru!$B$2:$I$2271,6,FALSE)</f>
        <v>LEBAK</v>
      </c>
    </row>
    <row r="2941" spans="1:12" hidden="1" x14ac:dyDescent="0.35">
      <c r="A2941" s="6">
        <v>208731</v>
      </c>
      <c r="B2941" s="7" t="str">
        <f>"3328184203040001"</f>
        <v>3328184203040001</v>
      </c>
      <c r="C2941" s="7" t="s">
        <v>5705</v>
      </c>
      <c r="D2941" s="7" t="s">
        <v>10</v>
      </c>
      <c r="E2941" s="7" t="s">
        <v>11</v>
      </c>
      <c r="F2941" s="7" t="s">
        <v>5706</v>
      </c>
      <c r="G2941" s="7" t="s">
        <v>5707</v>
      </c>
      <c r="H2941" s="7" t="s">
        <v>5707</v>
      </c>
      <c r="I2941" s="8" t="s">
        <v>5708</v>
      </c>
    </row>
    <row r="2942" spans="1:12" hidden="1" x14ac:dyDescent="0.35">
      <c r="A2942" s="13">
        <v>1951410</v>
      </c>
      <c r="B2942" s="14" t="str">
        <f>"3328184301930006"</f>
        <v>3328184301930006</v>
      </c>
      <c r="C2942" s="14" t="s">
        <v>5709</v>
      </c>
      <c r="D2942" s="14" t="s">
        <v>10</v>
      </c>
      <c r="E2942" s="14" t="s">
        <v>11</v>
      </c>
      <c r="F2942" s="14" t="s">
        <v>18</v>
      </c>
      <c r="G2942" s="14" t="s">
        <v>19</v>
      </c>
      <c r="H2942" s="14" t="s">
        <v>5581</v>
      </c>
      <c r="I2942" s="15" t="s">
        <v>5611</v>
      </c>
      <c r="J2942" s="16" t="str">
        <f>VLOOKUP(B2942,baru!$B$2:$I$2271,4,FALSE)</f>
        <v>Reguler</v>
      </c>
      <c r="K2942" s="16" t="str">
        <f>VLOOKUP(B2942,baru!$B$2:$I$2271,5,FALSE)</f>
        <v>NUSA TENGGARA BARAT</v>
      </c>
      <c r="L2942" s="16" t="str">
        <f>VLOOKUP(B2942,baru!$B$2:$I$2271,6,FALSE)</f>
        <v>KOTA MATARAM</v>
      </c>
    </row>
    <row r="2943" spans="1:12" hidden="1" x14ac:dyDescent="0.35">
      <c r="A2943" s="6">
        <v>158554</v>
      </c>
      <c r="B2943" s="7" t="str">
        <f>"3328184804950003"</f>
        <v>3328184804950003</v>
      </c>
      <c r="C2943" s="7" t="s">
        <v>5713</v>
      </c>
      <c r="D2943" s="7" t="s">
        <v>10</v>
      </c>
      <c r="E2943" s="7" t="s">
        <v>11</v>
      </c>
      <c r="F2943" s="7" t="s">
        <v>18</v>
      </c>
      <c r="G2943" s="7" t="s">
        <v>392</v>
      </c>
      <c r="H2943" s="7" t="s">
        <v>581</v>
      </c>
      <c r="I2943" s="8" t="s">
        <v>5714</v>
      </c>
    </row>
    <row r="2944" spans="1:12" hidden="1" x14ac:dyDescent="0.35">
      <c r="A2944" s="6">
        <v>1355617</v>
      </c>
      <c r="B2944" s="7" t="str">
        <f>"3328184905890003"</f>
        <v>3328184905890003</v>
      </c>
      <c r="C2944" s="7" t="s">
        <v>5715</v>
      </c>
      <c r="D2944" s="7" t="s">
        <v>10</v>
      </c>
      <c r="E2944" s="7" t="s">
        <v>11</v>
      </c>
      <c r="F2944" s="7" t="s">
        <v>50</v>
      </c>
      <c r="G2944" s="7" t="s">
        <v>58</v>
      </c>
      <c r="H2944" s="7" t="s">
        <v>417</v>
      </c>
      <c r="I2944" s="8" t="s">
        <v>1131</v>
      </c>
    </row>
    <row r="2945" spans="1:12" hidden="1" x14ac:dyDescent="0.35">
      <c r="A2945" s="6">
        <v>1978460</v>
      </c>
      <c r="B2945" s="7" t="str">
        <f>"3328184907730001"</f>
        <v>3328184907730001</v>
      </c>
      <c r="C2945" s="7" t="s">
        <v>5716</v>
      </c>
      <c r="D2945" s="7" t="s">
        <v>10</v>
      </c>
      <c r="E2945" s="7" t="s">
        <v>11</v>
      </c>
      <c r="F2945" s="7" t="s">
        <v>18</v>
      </c>
      <c r="G2945" s="7" t="s">
        <v>19</v>
      </c>
      <c r="H2945" s="7" t="s">
        <v>5581</v>
      </c>
      <c r="I2945" s="8" t="s">
        <v>5589</v>
      </c>
      <c r="J2945" t="e">
        <f>VLOOKUP(B2945,baru!$B$2:$I$2271,4,FALSE)</f>
        <v>#N/A</v>
      </c>
      <c r="K2945" t="e">
        <f>VLOOKUP(B2945,baru!$B$2:$I$2271,5,FALSE)</f>
        <v>#N/A</v>
      </c>
      <c r="L2945" t="e">
        <f>VLOOKUP(B2945,baru!$B$2:$I$2271,6,FALSE)</f>
        <v>#N/A</v>
      </c>
    </row>
    <row r="2946" spans="1:12" hidden="1" x14ac:dyDescent="0.35">
      <c r="A2946" s="6">
        <v>2662255</v>
      </c>
      <c r="B2946" s="7" t="str">
        <f>"3328184907730001"</f>
        <v>3328184907730001</v>
      </c>
      <c r="C2946" s="7" t="s">
        <v>5716</v>
      </c>
      <c r="D2946" s="7" t="s">
        <v>10</v>
      </c>
      <c r="E2946" s="7" t="s">
        <v>57</v>
      </c>
      <c r="F2946" s="7" t="s">
        <v>18</v>
      </c>
      <c r="G2946" s="7" t="s">
        <v>199</v>
      </c>
      <c r="H2946" s="7" t="s">
        <v>208</v>
      </c>
      <c r="I2946" s="8" t="s">
        <v>209</v>
      </c>
    </row>
    <row r="2947" spans="1:12" hidden="1" x14ac:dyDescent="0.35">
      <c r="A2947" s="6">
        <v>1214307</v>
      </c>
      <c r="B2947" s="7" t="str">
        <f>"3328185006980001"</f>
        <v>3328185006980001</v>
      </c>
      <c r="C2947" s="7" t="s">
        <v>5717</v>
      </c>
      <c r="D2947" s="7" t="s">
        <v>10</v>
      </c>
      <c r="E2947" s="7" t="s">
        <v>11</v>
      </c>
      <c r="F2947" s="7" t="s">
        <v>18</v>
      </c>
      <c r="G2947" s="7" t="s">
        <v>264</v>
      </c>
      <c r="H2947" s="7" t="s">
        <v>265</v>
      </c>
      <c r="I2947" s="8" t="s">
        <v>1910</v>
      </c>
    </row>
    <row r="2948" spans="1:12" hidden="1" x14ac:dyDescent="0.35">
      <c r="A2948" s="6">
        <v>1111941</v>
      </c>
      <c r="B2948" s="7" t="str">
        <f>"3328185006990004"</f>
        <v>3328185006990004</v>
      </c>
      <c r="C2948" s="7" t="s">
        <v>5719</v>
      </c>
      <c r="D2948" s="7" t="s">
        <v>10</v>
      </c>
      <c r="E2948" s="7" t="s">
        <v>11</v>
      </c>
      <c r="F2948" s="7" t="s">
        <v>954</v>
      </c>
      <c r="G2948" s="7" t="s">
        <v>1024</v>
      </c>
      <c r="H2948" s="7" t="s">
        <v>5720</v>
      </c>
      <c r="I2948" s="8" t="s">
        <v>5721</v>
      </c>
    </row>
    <row r="2949" spans="1:12" hidden="1" x14ac:dyDescent="0.35">
      <c r="A2949" s="17">
        <v>1950172</v>
      </c>
      <c r="B2949" s="18" t="str">
        <f>"3328185104050002"</f>
        <v>3328185104050002</v>
      </c>
      <c r="C2949" s="18" t="s">
        <v>5723</v>
      </c>
      <c r="D2949" s="18" t="s">
        <v>10</v>
      </c>
      <c r="E2949" s="18" t="s">
        <v>11</v>
      </c>
      <c r="F2949" s="18" t="s">
        <v>18</v>
      </c>
      <c r="G2949" s="18" t="s">
        <v>19</v>
      </c>
      <c r="H2949" s="18" t="s">
        <v>5581</v>
      </c>
      <c r="I2949" s="19" t="s">
        <v>5611</v>
      </c>
      <c r="J2949" s="20" t="str">
        <f>VLOOKUP(B2949,baru!$B$2:$I$2271,4,FALSE)</f>
        <v>Khusus</v>
      </c>
      <c r="K2949" s="20" t="str">
        <f>VLOOKUP(B2949,baru!$B$2:$I$2271,5,FALSE)</f>
        <v>JAWA TIMUR</v>
      </c>
      <c r="L2949" s="20" t="str">
        <f>VLOOKUP(B2949,baru!$B$2:$I$2271,6,FALSE)</f>
        <v>PONOROGO</v>
      </c>
    </row>
    <row r="2950" spans="1:12" hidden="1" x14ac:dyDescent="0.35">
      <c r="A2950" s="6">
        <v>1581770</v>
      </c>
      <c r="B2950" s="7" t="str">
        <f>"3328185212780002"</f>
        <v>3328185212780002</v>
      </c>
      <c r="C2950" s="7" t="s">
        <v>5725</v>
      </c>
      <c r="D2950" s="7" t="s">
        <v>10</v>
      </c>
      <c r="E2950" s="7" t="s">
        <v>11</v>
      </c>
      <c r="F2950" s="7" t="s">
        <v>91</v>
      </c>
      <c r="G2950" s="7" t="s">
        <v>159</v>
      </c>
      <c r="H2950" s="7" t="s">
        <v>685</v>
      </c>
      <c r="I2950" s="8" t="s">
        <v>1773</v>
      </c>
    </row>
    <row r="2951" spans="1:12" hidden="1" x14ac:dyDescent="0.35">
      <c r="A2951" s="6">
        <v>2670100</v>
      </c>
      <c r="B2951" s="7" t="str">
        <f>"3328185212850002"</f>
        <v>3328185212850002</v>
      </c>
      <c r="C2951" s="7" t="s">
        <v>5726</v>
      </c>
      <c r="D2951" s="7" t="s">
        <v>10</v>
      </c>
      <c r="E2951" s="7" t="s">
        <v>11</v>
      </c>
      <c r="F2951" s="7" t="s">
        <v>67</v>
      </c>
      <c r="G2951" s="7" t="s">
        <v>512</v>
      </c>
      <c r="H2951" s="7" t="s">
        <v>290</v>
      </c>
      <c r="I2951" s="8" t="s">
        <v>5727</v>
      </c>
    </row>
    <row r="2952" spans="1:12" x14ac:dyDescent="0.35">
      <c r="A2952" s="13">
        <v>1971545</v>
      </c>
      <c r="B2952" s="14" t="str">
        <f>"3328185307960004"</f>
        <v>3328185307960004</v>
      </c>
      <c r="C2952" s="14" t="s">
        <v>5729</v>
      </c>
      <c r="D2952" s="14" t="s">
        <v>189</v>
      </c>
      <c r="E2952" s="14" t="s">
        <v>11</v>
      </c>
      <c r="F2952" s="14" t="s">
        <v>18</v>
      </c>
      <c r="G2952" s="14" t="s">
        <v>19</v>
      </c>
      <c r="H2952" s="14" t="s">
        <v>5581</v>
      </c>
      <c r="I2952" s="15" t="s">
        <v>5582</v>
      </c>
      <c r="J2952" s="16" t="str">
        <f>VLOOKUP(B2952,baru!$B$2:$I$2271,4,FALSE)</f>
        <v>Reguler</v>
      </c>
      <c r="K2952" s="16" t="str">
        <f>VLOOKUP(B2952,baru!$B$2:$I$2271,5,FALSE)</f>
        <v>JAWA TENGAH</v>
      </c>
      <c r="L2952" s="16" t="str">
        <f>VLOOKUP(B2952,baru!$B$2:$I$2271,6,FALSE)</f>
        <v>BREBES</v>
      </c>
    </row>
    <row r="2953" spans="1:12" hidden="1" x14ac:dyDescent="0.35">
      <c r="A2953" s="6">
        <v>1236048</v>
      </c>
      <c r="B2953" s="7" t="str">
        <f>"3328185310870002"</f>
        <v>3328185310870002</v>
      </c>
      <c r="C2953" s="7" t="s">
        <v>5731</v>
      </c>
      <c r="D2953" s="7" t="s">
        <v>10</v>
      </c>
      <c r="E2953" s="7" t="s">
        <v>11</v>
      </c>
      <c r="F2953" s="7" t="s">
        <v>18</v>
      </c>
      <c r="G2953" s="7" t="s">
        <v>264</v>
      </c>
      <c r="H2953" s="7" t="s">
        <v>265</v>
      </c>
      <c r="I2953" s="8" t="s">
        <v>982</v>
      </c>
    </row>
    <row r="2954" spans="1:12" hidden="1" x14ac:dyDescent="0.35">
      <c r="A2954" s="6">
        <v>1958399</v>
      </c>
      <c r="B2954" s="7" t="str">
        <f>"3328185406790001"</f>
        <v>3328185406790001</v>
      </c>
      <c r="C2954" s="7" t="s">
        <v>5732</v>
      </c>
      <c r="D2954" s="7" t="s">
        <v>10</v>
      </c>
      <c r="E2954" s="7" t="s">
        <v>11</v>
      </c>
      <c r="F2954" s="7" t="s">
        <v>18</v>
      </c>
      <c r="G2954" s="7" t="s">
        <v>19</v>
      </c>
      <c r="H2954" s="7" t="s">
        <v>5581</v>
      </c>
      <c r="I2954" s="8" t="s">
        <v>5593</v>
      </c>
      <c r="J2954" t="e">
        <f>VLOOKUP(B2954,baru!$B$2:$I$2271,4,FALSE)</f>
        <v>#N/A</v>
      </c>
      <c r="K2954" t="e">
        <f>VLOOKUP(B2954,baru!$B$2:$I$2271,5,FALSE)</f>
        <v>#N/A</v>
      </c>
      <c r="L2954" t="e">
        <f>VLOOKUP(B2954,baru!$B$2:$I$2271,6,FALSE)</f>
        <v>#N/A</v>
      </c>
    </row>
    <row r="2955" spans="1:12" hidden="1" x14ac:dyDescent="0.35">
      <c r="A2955" s="6">
        <v>2618367</v>
      </c>
      <c r="B2955" s="7" t="str">
        <f>"3328185406790001"</f>
        <v>3328185406790001</v>
      </c>
      <c r="C2955" s="7" t="s">
        <v>5733</v>
      </c>
      <c r="D2955" s="7" t="s">
        <v>10</v>
      </c>
      <c r="E2955" s="7" t="s">
        <v>57</v>
      </c>
      <c r="F2955" s="7" t="s">
        <v>18</v>
      </c>
      <c r="G2955" s="7" t="s">
        <v>1438</v>
      </c>
      <c r="H2955" s="7" t="s">
        <v>2976</v>
      </c>
      <c r="I2955" s="8" t="s">
        <v>2977</v>
      </c>
    </row>
    <row r="2956" spans="1:12" hidden="1" x14ac:dyDescent="0.35">
      <c r="A2956" s="6">
        <v>1238720</v>
      </c>
      <c r="B2956" s="7" t="str">
        <f>"3328185508000001"</f>
        <v>3328185508000001</v>
      </c>
      <c r="C2956" s="7" t="s">
        <v>5734</v>
      </c>
      <c r="D2956" s="7" t="s">
        <v>10</v>
      </c>
      <c r="E2956" s="7" t="s">
        <v>11</v>
      </c>
      <c r="F2956" s="7" t="s">
        <v>50</v>
      </c>
      <c r="G2956" s="7" t="s">
        <v>72</v>
      </c>
      <c r="H2956" s="7" t="s">
        <v>803</v>
      </c>
      <c r="I2956" s="8" t="s">
        <v>2864</v>
      </c>
    </row>
    <row r="2957" spans="1:12" hidden="1" x14ac:dyDescent="0.35">
      <c r="A2957" s="6">
        <v>1818327</v>
      </c>
      <c r="B2957" s="7" t="str">
        <f>"3328185508000004"</f>
        <v>3328185508000004</v>
      </c>
      <c r="C2957" s="7" t="s">
        <v>5737</v>
      </c>
      <c r="D2957" s="7" t="s">
        <v>10</v>
      </c>
      <c r="E2957" s="7" t="s">
        <v>11</v>
      </c>
      <c r="F2957" s="7" t="s">
        <v>50</v>
      </c>
      <c r="G2957" s="7" t="s">
        <v>58</v>
      </c>
      <c r="H2957" s="7" t="s">
        <v>97</v>
      </c>
      <c r="I2957" s="8" t="s">
        <v>97</v>
      </c>
    </row>
    <row r="2958" spans="1:12" hidden="1" x14ac:dyDescent="0.35">
      <c r="A2958" s="6">
        <v>1214437</v>
      </c>
      <c r="B2958" s="7" t="str">
        <f>"3328185701830003"</f>
        <v>3328185701830003</v>
      </c>
      <c r="C2958" s="7" t="s">
        <v>450</v>
      </c>
      <c r="D2958" s="7" t="s">
        <v>10</v>
      </c>
      <c r="E2958" s="7" t="s">
        <v>11</v>
      </c>
      <c r="F2958" s="7" t="s">
        <v>18</v>
      </c>
      <c r="G2958" s="7" t="s">
        <v>264</v>
      </c>
      <c r="H2958" s="7" t="s">
        <v>265</v>
      </c>
      <c r="I2958" s="8" t="s">
        <v>1910</v>
      </c>
    </row>
    <row r="2959" spans="1:12" hidden="1" x14ac:dyDescent="0.35">
      <c r="A2959" s="6">
        <v>1216939</v>
      </c>
      <c r="B2959" s="7" t="str">
        <f>"3328185712840003"</f>
        <v>3328185712840003</v>
      </c>
      <c r="C2959" s="7" t="s">
        <v>5738</v>
      </c>
      <c r="D2959" s="7" t="s">
        <v>10</v>
      </c>
      <c r="E2959" s="7" t="s">
        <v>11</v>
      </c>
      <c r="F2959" s="7" t="s">
        <v>50</v>
      </c>
      <c r="G2959" s="7" t="s">
        <v>72</v>
      </c>
      <c r="H2959" s="7" t="s">
        <v>803</v>
      </c>
      <c r="I2959" s="8" t="s">
        <v>2246</v>
      </c>
    </row>
    <row r="2960" spans="1:12" hidden="1" x14ac:dyDescent="0.35">
      <c r="A2960" s="6">
        <v>1051742</v>
      </c>
      <c r="B2960" s="7" t="str">
        <f>"3328185801050004"</f>
        <v>3328185801050004</v>
      </c>
      <c r="C2960" s="7" t="s">
        <v>5739</v>
      </c>
      <c r="D2960" s="7" t="s">
        <v>10</v>
      </c>
      <c r="E2960" s="7" t="s">
        <v>11</v>
      </c>
      <c r="F2960" s="7" t="s">
        <v>50</v>
      </c>
      <c r="G2960" s="7" t="s">
        <v>58</v>
      </c>
      <c r="H2960" s="7" t="s">
        <v>1747</v>
      </c>
      <c r="I2960" s="8" t="s">
        <v>5740</v>
      </c>
    </row>
    <row r="2961" spans="1:12" x14ac:dyDescent="0.35">
      <c r="A2961" s="6">
        <v>1961962</v>
      </c>
      <c r="B2961" s="7" t="str">
        <f>"3328186702060003"</f>
        <v>3328186702060003</v>
      </c>
      <c r="C2961" s="7" t="s">
        <v>5742</v>
      </c>
      <c r="D2961" s="7" t="s">
        <v>189</v>
      </c>
      <c r="E2961" s="7" t="s">
        <v>11</v>
      </c>
      <c r="F2961" s="7" t="s">
        <v>18</v>
      </c>
      <c r="G2961" s="7" t="s">
        <v>19</v>
      </c>
      <c r="H2961" s="7" t="s">
        <v>5581</v>
      </c>
      <c r="I2961" s="8" t="s">
        <v>5593</v>
      </c>
      <c r="J2961" t="e">
        <f>VLOOKUP(B2961,baru!$B$2:$I$2271,4,FALSE)</f>
        <v>#N/A</v>
      </c>
      <c r="K2961" t="e">
        <f>VLOOKUP(B2961,baru!$B$2:$I$2271,5,FALSE)</f>
        <v>#N/A</v>
      </c>
      <c r="L2961" t="e">
        <f>VLOOKUP(B2961,baru!$B$2:$I$2271,6,FALSE)</f>
        <v>#N/A</v>
      </c>
    </row>
    <row r="2962" spans="1:12" hidden="1" x14ac:dyDescent="0.35">
      <c r="A2962" s="6">
        <v>1392829</v>
      </c>
      <c r="B2962" s="7" t="str">
        <f>"3328186702060003"</f>
        <v>3328186702060003</v>
      </c>
      <c r="C2962" s="7" t="s">
        <v>5742</v>
      </c>
      <c r="D2962" s="7" t="s">
        <v>10</v>
      </c>
      <c r="E2962" s="7" t="s">
        <v>57</v>
      </c>
      <c r="F2962" s="7" t="s">
        <v>303</v>
      </c>
      <c r="G2962" s="7" t="s">
        <v>608</v>
      </c>
      <c r="H2962" s="7" t="s">
        <v>1384</v>
      </c>
      <c r="I2962" s="8" t="s">
        <v>1385</v>
      </c>
    </row>
    <row r="2963" spans="1:12" hidden="1" x14ac:dyDescent="0.35">
      <c r="A2963" s="6">
        <v>1977253</v>
      </c>
      <c r="B2963" s="7" t="str">
        <f>"3328187107720005"</f>
        <v>3328187107720005</v>
      </c>
      <c r="C2963" s="7" t="s">
        <v>5743</v>
      </c>
      <c r="D2963" s="7" t="s">
        <v>10</v>
      </c>
      <c r="E2963" s="7" t="s">
        <v>11</v>
      </c>
      <c r="F2963" s="7" t="s">
        <v>18</v>
      </c>
      <c r="G2963" s="7" t="s">
        <v>19</v>
      </c>
      <c r="H2963" s="7" t="s">
        <v>5581</v>
      </c>
      <c r="I2963" s="8" t="s">
        <v>5589</v>
      </c>
      <c r="J2963" t="e">
        <f>VLOOKUP(B2963,baru!$B$2:$I$2271,4,FALSE)</f>
        <v>#N/A</v>
      </c>
      <c r="K2963" t="e">
        <f>VLOOKUP(B2963,baru!$B$2:$I$2271,5,FALSE)</f>
        <v>#N/A</v>
      </c>
      <c r="L2963" t="e">
        <f>VLOOKUP(B2963,baru!$B$2:$I$2271,6,FALSE)</f>
        <v>#N/A</v>
      </c>
    </row>
    <row r="2964" spans="1:12" hidden="1" x14ac:dyDescent="0.35">
      <c r="A2964" s="6">
        <v>2618371</v>
      </c>
      <c r="B2964" s="7" t="str">
        <f>"3328187107720005"</f>
        <v>3328187107720005</v>
      </c>
      <c r="C2964" s="7" t="s">
        <v>5744</v>
      </c>
      <c r="D2964" s="7" t="s">
        <v>10</v>
      </c>
      <c r="E2964" s="7" t="s">
        <v>57</v>
      </c>
      <c r="F2964" s="7" t="s">
        <v>18</v>
      </c>
      <c r="G2964" s="7" t="s">
        <v>1438</v>
      </c>
      <c r="H2964" s="7" t="s">
        <v>2976</v>
      </c>
      <c r="I2964" s="8" t="s">
        <v>2977</v>
      </c>
    </row>
    <row r="2965" spans="1:12" hidden="1" x14ac:dyDescent="0.35">
      <c r="A2965" s="6">
        <v>428703</v>
      </c>
      <c r="B2965" s="7" t="str">
        <f>"3328187112840012"</f>
        <v>3328187112840012</v>
      </c>
      <c r="C2965" s="7" t="s">
        <v>5745</v>
      </c>
      <c r="D2965" s="7" t="s">
        <v>10</v>
      </c>
      <c r="E2965" s="7" t="s">
        <v>11</v>
      </c>
      <c r="F2965" s="7" t="s">
        <v>50</v>
      </c>
      <c r="G2965" s="7" t="s">
        <v>72</v>
      </c>
      <c r="H2965" s="7" t="s">
        <v>73</v>
      </c>
      <c r="I2965" s="8" t="s">
        <v>2242</v>
      </c>
    </row>
    <row r="2966" spans="1:12" hidden="1" x14ac:dyDescent="0.35">
      <c r="A2966" s="13">
        <v>1978863</v>
      </c>
      <c r="B2966" s="14" t="str">
        <f>"3329050112570002"</f>
        <v>3329050112570002</v>
      </c>
      <c r="C2966" s="14" t="s">
        <v>3155</v>
      </c>
      <c r="D2966" s="14" t="s">
        <v>10</v>
      </c>
      <c r="E2966" s="14" t="s">
        <v>11</v>
      </c>
      <c r="F2966" s="14" t="s">
        <v>18</v>
      </c>
      <c r="G2966" s="14" t="s">
        <v>19</v>
      </c>
      <c r="H2966" s="14" t="s">
        <v>5581</v>
      </c>
      <c r="I2966" s="15" t="s">
        <v>5589</v>
      </c>
      <c r="J2966" s="16" t="str">
        <f>VLOOKUP(B2966,baru!$B$2:$I$2271,4,FALSE)</f>
        <v>Reguler</v>
      </c>
      <c r="K2966" s="16" t="str">
        <f>VLOOKUP(B2966,baru!$B$2:$I$2271,5,FALSE)</f>
        <v>JAWA TENGAH</v>
      </c>
      <c r="L2966" s="16" t="str">
        <f>VLOOKUP(B2966,baru!$B$2:$I$2271,6,FALSE)</f>
        <v>BREBES</v>
      </c>
    </row>
    <row r="2967" spans="1:12" x14ac:dyDescent="0.35">
      <c r="A2967" s="6">
        <v>247819</v>
      </c>
      <c r="B2967" s="7" t="str">
        <f>"3329064607980002"</f>
        <v>3329064607980002</v>
      </c>
      <c r="C2967" s="7" t="s">
        <v>5749</v>
      </c>
      <c r="D2967" s="7" t="s">
        <v>189</v>
      </c>
      <c r="E2967" s="7" t="s">
        <v>11</v>
      </c>
      <c r="F2967" s="7" t="s">
        <v>18</v>
      </c>
      <c r="G2967" s="7" t="s">
        <v>264</v>
      </c>
      <c r="H2967" s="7" t="s">
        <v>468</v>
      </c>
      <c r="I2967" s="8" t="s">
        <v>861</v>
      </c>
    </row>
    <row r="2968" spans="1:12" hidden="1" x14ac:dyDescent="0.35">
      <c r="A2968" s="6">
        <v>1381668</v>
      </c>
      <c r="B2968" s="7" t="str">
        <f>"3329070508910002"</f>
        <v>3329070508910002</v>
      </c>
      <c r="C2968" s="7" t="s">
        <v>5751</v>
      </c>
      <c r="D2968" s="7" t="s">
        <v>10</v>
      </c>
      <c r="E2968" s="7" t="s">
        <v>11</v>
      </c>
      <c r="F2968" s="7" t="s">
        <v>18</v>
      </c>
      <c r="G2968" s="7" t="s">
        <v>264</v>
      </c>
      <c r="H2968" s="7" t="s">
        <v>265</v>
      </c>
      <c r="I2968" s="8" t="s">
        <v>1628</v>
      </c>
    </row>
    <row r="2969" spans="1:12" hidden="1" x14ac:dyDescent="0.35">
      <c r="A2969" s="6">
        <v>1214710</v>
      </c>
      <c r="B2969" s="7" t="str">
        <f>"3329070606860001"</f>
        <v>3329070606860001</v>
      </c>
      <c r="C2969" s="7" t="s">
        <v>5753</v>
      </c>
      <c r="D2969" s="7" t="s">
        <v>10</v>
      </c>
      <c r="E2969" s="7" t="s">
        <v>11</v>
      </c>
      <c r="F2969" s="7" t="s">
        <v>18</v>
      </c>
      <c r="G2969" s="7" t="s">
        <v>264</v>
      </c>
      <c r="H2969" s="7" t="s">
        <v>265</v>
      </c>
      <c r="I2969" s="8" t="s">
        <v>1910</v>
      </c>
    </row>
    <row r="2970" spans="1:12" hidden="1" x14ac:dyDescent="0.35">
      <c r="A2970" s="6">
        <v>1383420</v>
      </c>
      <c r="B2970" s="7" t="str">
        <f>"3329070609960006"</f>
        <v>3329070609960006</v>
      </c>
      <c r="C2970" s="7" t="s">
        <v>5754</v>
      </c>
      <c r="D2970" s="7" t="s">
        <v>10</v>
      </c>
      <c r="E2970" s="7" t="s">
        <v>11</v>
      </c>
      <c r="F2970" s="7" t="s">
        <v>18</v>
      </c>
      <c r="G2970" s="7" t="s">
        <v>264</v>
      </c>
      <c r="H2970" s="7" t="s">
        <v>265</v>
      </c>
      <c r="I2970" s="8" t="s">
        <v>1628</v>
      </c>
    </row>
    <row r="2971" spans="1:12" hidden="1" x14ac:dyDescent="0.35">
      <c r="A2971" s="6">
        <v>1213871</v>
      </c>
      <c r="B2971" s="7" t="str">
        <f>"3329070903750001"</f>
        <v>3329070903750001</v>
      </c>
      <c r="C2971" s="7" t="s">
        <v>5755</v>
      </c>
      <c r="D2971" s="7" t="s">
        <v>10</v>
      </c>
      <c r="E2971" s="7" t="s">
        <v>11</v>
      </c>
      <c r="F2971" s="7" t="s">
        <v>18</v>
      </c>
      <c r="G2971" s="7" t="s">
        <v>264</v>
      </c>
      <c r="H2971" s="7" t="s">
        <v>265</v>
      </c>
      <c r="I2971" s="8" t="s">
        <v>1910</v>
      </c>
    </row>
    <row r="2972" spans="1:12" hidden="1" x14ac:dyDescent="0.35">
      <c r="A2972" s="6">
        <v>1216502</v>
      </c>
      <c r="B2972" s="7" t="str">
        <f>"3329070911980001"</f>
        <v>3329070911980001</v>
      </c>
      <c r="C2972" s="7" t="s">
        <v>5757</v>
      </c>
      <c r="D2972" s="7" t="s">
        <v>10</v>
      </c>
      <c r="E2972" s="7" t="s">
        <v>11</v>
      </c>
      <c r="F2972" s="7" t="s">
        <v>18</v>
      </c>
      <c r="G2972" s="7" t="s">
        <v>264</v>
      </c>
      <c r="H2972" s="7" t="s">
        <v>265</v>
      </c>
      <c r="I2972" s="8" t="s">
        <v>863</v>
      </c>
    </row>
    <row r="2973" spans="1:12" hidden="1" x14ac:dyDescent="0.35">
      <c r="A2973" s="13">
        <v>1959891</v>
      </c>
      <c r="B2973" s="14" t="str">
        <f>"3329072101730004"</f>
        <v>3329072101730004</v>
      </c>
      <c r="C2973" s="14" t="s">
        <v>458</v>
      </c>
      <c r="D2973" s="14" t="s">
        <v>10</v>
      </c>
      <c r="E2973" s="14" t="s">
        <v>11</v>
      </c>
      <c r="F2973" s="14" t="s">
        <v>18</v>
      </c>
      <c r="G2973" s="14" t="s">
        <v>19</v>
      </c>
      <c r="H2973" s="14" t="s">
        <v>5581</v>
      </c>
      <c r="I2973" s="15" t="s">
        <v>5593</v>
      </c>
      <c r="J2973" s="16" t="str">
        <f>VLOOKUP(B2973,baru!$B$2:$I$2271,4,FALSE)</f>
        <v>Reguler</v>
      </c>
      <c r="K2973" s="16" t="str">
        <f>VLOOKUP(B2973,baru!$B$2:$I$2271,5,FALSE)</f>
        <v>JAWA TENGAH</v>
      </c>
      <c r="L2973" s="16" t="str">
        <f>VLOOKUP(B2973,baru!$B$2:$I$2271,6,FALSE)</f>
        <v>BREBES</v>
      </c>
    </row>
    <row r="2974" spans="1:12" hidden="1" x14ac:dyDescent="0.35">
      <c r="A2974" s="13">
        <v>2009092</v>
      </c>
      <c r="B2974" s="14" t="str">
        <f>"3329072104860003"</f>
        <v>3329072104860003</v>
      </c>
      <c r="C2974" s="14" t="s">
        <v>5758</v>
      </c>
      <c r="D2974" s="14" t="s">
        <v>10</v>
      </c>
      <c r="E2974" s="14" t="s">
        <v>11</v>
      </c>
      <c r="F2974" s="14" t="s">
        <v>18</v>
      </c>
      <c r="G2974" s="14" t="s">
        <v>19</v>
      </c>
      <c r="H2974" s="14" t="s">
        <v>5581</v>
      </c>
      <c r="I2974" s="15" t="s">
        <v>5609</v>
      </c>
      <c r="J2974" s="16" t="str">
        <f>VLOOKUP(B2974,baru!$B$2:$I$2271,4,FALSE)</f>
        <v>Reguler</v>
      </c>
      <c r="K2974" s="16" t="str">
        <f>VLOOKUP(B2974,baru!$B$2:$I$2271,5,FALSE)</f>
        <v>JAWA TENGAH</v>
      </c>
      <c r="L2974" s="16" t="str">
        <f>VLOOKUP(B2974,baru!$B$2:$I$2271,6,FALSE)</f>
        <v>BREBES</v>
      </c>
    </row>
    <row r="2975" spans="1:12" hidden="1" x14ac:dyDescent="0.35">
      <c r="A2975" s="6">
        <v>1236049</v>
      </c>
      <c r="B2975" s="7" t="str">
        <f>"3329072302880002"</f>
        <v>3329072302880002</v>
      </c>
      <c r="C2975" s="7" t="s">
        <v>5760</v>
      </c>
      <c r="D2975" s="7" t="s">
        <v>10</v>
      </c>
      <c r="E2975" s="7" t="s">
        <v>11</v>
      </c>
      <c r="F2975" s="7" t="s">
        <v>18</v>
      </c>
      <c r="G2975" s="7" t="s">
        <v>264</v>
      </c>
      <c r="H2975" s="7" t="s">
        <v>265</v>
      </c>
      <c r="I2975" s="8" t="s">
        <v>982</v>
      </c>
    </row>
    <row r="2976" spans="1:12" hidden="1" x14ac:dyDescent="0.35">
      <c r="A2976" s="6">
        <v>1326734</v>
      </c>
      <c r="B2976" s="7" t="str">
        <f>"3329072701800003"</f>
        <v>3329072701800003</v>
      </c>
      <c r="C2976" s="7" t="s">
        <v>5761</v>
      </c>
      <c r="D2976" s="7" t="s">
        <v>10</v>
      </c>
      <c r="E2976" s="7" t="s">
        <v>11</v>
      </c>
      <c r="F2976" s="7" t="s">
        <v>18</v>
      </c>
      <c r="G2976" s="7" t="s">
        <v>264</v>
      </c>
      <c r="H2976" s="7" t="s">
        <v>265</v>
      </c>
      <c r="I2976" s="8" t="s">
        <v>1878</v>
      </c>
    </row>
    <row r="2977" spans="1:12" hidden="1" x14ac:dyDescent="0.35">
      <c r="A2977" s="6">
        <v>1346864</v>
      </c>
      <c r="B2977" s="7" t="str">
        <f>"3329073110030001"</f>
        <v>3329073110030001</v>
      </c>
      <c r="C2977" s="7" t="s">
        <v>5762</v>
      </c>
      <c r="D2977" s="7" t="s">
        <v>10</v>
      </c>
      <c r="E2977" s="7" t="s">
        <v>11</v>
      </c>
      <c r="F2977" s="7" t="s">
        <v>18</v>
      </c>
      <c r="G2977" s="7" t="s">
        <v>264</v>
      </c>
      <c r="H2977" s="7" t="s">
        <v>265</v>
      </c>
      <c r="I2977" s="8" t="s">
        <v>2007</v>
      </c>
    </row>
    <row r="2978" spans="1:12" hidden="1" x14ac:dyDescent="0.35">
      <c r="A2978" s="6">
        <v>1211258</v>
      </c>
      <c r="B2978" s="7" t="str">
        <f>"3329075109900001"</f>
        <v>3329075109900001</v>
      </c>
      <c r="C2978" s="7" t="s">
        <v>5763</v>
      </c>
      <c r="D2978" s="7" t="s">
        <v>10</v>
      </c>
      <c r="E2978" s="7" t="s">
        <v>11</v>
      </c>
      <c r="F2978" s="7" t="s">
        <v>18</v>
      </c>
      <c r="G2978" s="7" t="s">
        <v>264</v>
      </c>
      <c r="H2978" s="7" t="s">
        <v>265</v>
      </c>
      <c r="I2978" s="8" t="s">
        <v>906</v>
      </c>
    </row>
    <row r="2979" spans="1:12" hidden="1" x14ac:dyDescent="0.35">
      <c r="A2979" s="6">
        <v>1346868</v>
      </c>
      <c r="B2979" s="7" t="str">
        <f>"3329075303010001"</f>
        <v>3329075303010001</v>
      </c>
      <c r="C2979" s="7" t="s">
        <v>5764</v>
      </c>
      <c r="D2979" s="7" t="s">
        <v>10</v>
      </c>
      <c r="E2979" s="7" t="s">
        <v>11</v>
      </c>
      <c r="F2979" s="7" t="s">
        <v>18</v>
      </c>
      <c r="G2979" s="7" t="s">
        <v>264</v>
      </c>
      <c r="H2979" s="7" t="s">
        <v>265</v>
      </c>
      <c r="I2979" s="8" t="s">
        <v>2007</v>
      </c>
    </row>
    <row r="2980" spans="1:12" hidden="1" x14ac:dyDescent="0.35">
      <c r="A2980" s="13">
        <v>1982717</v>
      </c>
      <c r="B2980" s="14" t="str">
        <f>"3329092002040004"</f>
        <v>3329092002040004</v>
      </c>
      <c r="C2980" s="14" t="s">
        <v>5765</v>
      </c>
      <c r="D2980" s="14" t="s">
        <v>10</v>
      </c>
      <c r="E2980" s="14" t="s">
        <v>11</v>
      </c>
      <c r="F2980" s="14" t="s">
        <v>18</v>
      </c>
      <c r="G2980" s="14" t="s">
        <v>19</v>
      </c>
      <c r="H2980" s="14" t="s">
        <v>5581</v>
      </c>
      <c r="I2980" s="15" t="s">
        <v>5589</v>
      </c>
      <c r="J2980" s="16" t="str">
        <f>VLOOKUP(B2980,baru!$B$2:$I$2271,4,FALSE)</f>
        <v>Reguler</v>
      </c>
      <c r="K2980" s="16" t="str">
        <f>VLOOKUP(B2980,baru!$B$2:$I$2271,5,FALSE)</f>
        <v>JAWA TENGAH</v>
      </c>
      <c r="L2980" s="16" t="str">
        <f>VLOOKUP(B2980,baru!$B$2:$I$2271,6,FALSE)</f>
        <v>BREBES</v>
      </c>
    </row>
    <row r="2981" spans="1:12" hidden="1" x14ac:dyDescent="0.35">
      <c r="A2981" s="13">
        <v>2004731</v>
      </c>
      <c r="B2981" s="14" t="str">
        <f>"3329094612950009"</f>
        <v>3329094612950009</v>
      </c>
      <c r="C2981" s="14" t="s">
        <v>5769</v>
      </c>
      <c r="D2981" s="14" t="s">
        <v>10</v>
      </c>
      <c r="E2981" s="14" t="s">
        <v>11</v>
      </c>
      <c r="F2981" s="14" t="s">
        <v>18</v>
      </c>
      <c r="G2981" s="14" t="s">
        <v>19</v>
      </c>
      <c r="H2981" s="14" t="s">
        <v>5581</v>
      </c>
      <c r="I2981" s="15" t="s">
        <v>5581</v>
      </c>
      <c r="J2981" s="16" t="str">
        <f>VLOOKUP(B2981,baru!$B$2:$I$2271,4,FALSE)</f>
        <v>Reguler</v>
      </c>
      <c r="K2981" s="16" t="str">
        <f>VLOOKUP(B2981,baru!$B$2:$I$2271,5,FALSE)</f>
        <v>JAWA TENGAH</v>
      </c>
      <c r="L2981" s="16" t="str">
        <f>VLOOKUP(B2981,baru!$B$2:$I$2271,6,FALSE)</f>
        <v>BREBES</v>
      </c>
    </row>
    <row r="2982" spans="1:12" x14ac:dyDescent="0.35">
      <c r="A2982" s="6">
        <v>834815</v>
      </c>
      <c r="B2982" s="7" t="str">
        <f>"3329095605990009"</f>
        <v>3329095605990009</v>
      </c>
      <c r="C2982" s="7" t="s">
        <v>5771</v>
      </c>
      <c r="D2982" s="7" t="s">
        <v>189</v>
      </c>
      <c r="E2982" s="7" t="s">
        <v>11</v>
      </c>
      <c r="F2982" s="7" t="s">
        <v>18</v>
      </c>
      <c r="G2982" s="7" t="s">
        <v>264</v>
      </c>
      <c r="H2982" s="7" t="s">
        <v>264</v>
      </c>
      <c r="I2982" s="8" t="s">
        <v>264</v>
      </c>
    </row>
    <row r="2983" spans="1:12" hidden="1" x14ac:dyDescent="0.35">
      <c r="A2983" s="6">
        <v>68258</v>
      </c>
      <c r="B2983" s="7" t="str">
        <f>"3329142610790004"</f>
        <v>3329142610790004</v>
      </c>
      <c r="C2983" s="7" t="s">
        <v>5772</v>
      </c>
      <c r="D2983" s="7" t="s">
        <v>10</v>
      </c>
      <c r="E2983" s="7" t="s">
        <v>11</v>
      </c>
      <c r="F2983" s="7" t="s">
        <v>18</v>
      </c>
      <c r="G2983" s="7" t="s">
        <v>264</v>
      </c>
      <c r="H2983" s="7" t="s">
        <v>477</v>
      </c>
      <c r="I2983" s="8" t="s">
        <v>5773</v>
      </c>
    </row>
    <row r="2984" spans="1:12" hidden="1" x14ac:dyDescent="0.35">
      <c r="A2984" s="6">
        <v>1560606</v>
      </c>
      <c r="B2984" s="7" t="str">
        <f>"3329156711980001"</f>
        <v>3329156711980001</v>
      </c>
      <c r="C2984" s="7" t="s">
        <v>5775</v>
      </c>
      <c r="D2984" s="7" t="s">
        <v>10</v>
      </c>
      <c r="E2984" s="7" t="s">
        <v>11</v>
      </c>
      <c r="F2984" s="7" t="s">
        <v>18</v>
      </c>
      <c r="G2984" s="7" t="s">
        <v>264</v>
      </c>
      <c r="H2984" s="7" t="s">
        <v>330</v>
      </c>
      <c r="I2984" s="8" t="s">
        <v>330</v>
      </c>
    </row>
    <row r="2985" spans="1:12" hidden="1" x14ac:dyDescent="0.35">
      <c r="A2985" s="13">
        <v>1967490</v>
      </c>
      <c r="B2985" s="14" t="str">
        <f>"3375011306980003"</f>
        <v>3375011306980003</v>
      </c>
      <c r="C2985" s="14" t="s">
        <v>5776</v>
      </c>
      <c r="D2985" s="14" t="s">
        <v>10</v>
      </c>
      <c r="E2985" s="14" t="s">
        <v>11</v>
      </c>
      <c r="F2985" s="14" t="s">
        <v>18</v>
      </c>
      <c r="G2985" s="14" t="s">
        <v>19</v>
      </c>
      <c r="H2985" s="14" t="s">
        <v>5581</v>
      </c>
      <c r="I2985" s="15" t="s">
        <v>5599</v>
      </c>
      <c r="J2985" s="16" t="str">
        <f>VLOOKUP(B2985,baru!$B$2:$I$2271,4,FALSE)</f>
        <v>Reguler</v>
      </c>
      <c r="K2985" s="16" t="str">
        <f>VLOOKUP(B2985,baru!$B$2:$I$2271,5,FALSE)</f>
        <v>JAWA TENGAH</v>
      </c>
      <c r="L2985" s="16" t="str">
        <f>VLOOKUP(B2985,baru!$B$2:$I$2271,6,FALSE)</f>
        <v>KOTA PEKALONGAN</v>
      </c>
    </row>
    <row r="2986" spans="1:12" hidden="1" x14ac:dyDescent="0.35">
      <c r="A2986" s="13">
        <v>1967492</v>
      </c>
      <c r="B2986" s="14" t="str">
        <f>"3375011312000003"</f>
        <v>3375011312000003</v>
      </c>
      <c r="C2986" s="14" t="s">
        <v>5779</v>
      </c>
      <c r="D2986" s="14" t="s">
        <v>10</v>
      </c>
      <c r="E2986" s="14" t="s">
        <v>11</v>
      </c>
      <c r="F2986" s="14" t="s">
        <v>18</v>
      </c>
      <c r="G2986" s="14" t="s">
        <v>19</v>
      </c>
      <c r="H2986" s="14" t="s">
        <v>5581</v>
      </c>
      <c r="I2986" s="15" t="s">
        <v>5599</v>
      </c>
      <c r="J2986" s="16" t="str">
        <f>VLOOKUP(B2986,baru!$B$2:$I$2271,4,FALSE)</f>
        <v>Reguler</v>
      </c>
      <c r="K2986" s="16" t="str">
        <f>VLOOKUP(B2986,baru!$B$2:$I$2271,5,FALSE)</f>
        <v>JAWA TENGAH</v>
      </c>
      <c r="L2986" s="16" t="str">
        <f>VLOOKUP(B2986,baru!$B$2:$I$2271,6,FALSE)</f>
        <v>KOTA PEKALONGAN</v>
      </c>
    </row>
    <row r="2987" spans="1:12" hidden="1" x14ac:dyDescent="0.35">
      <c r="A2987" s="13">
        <v>1967494</v>
      </c>
      <c r="B2987" s="14" t="str">
        <f>"3375012203030006"</f>
        <v>3375012203030006</v>
      </c>
      <c r="C2987" s="14" t="s">
        <v>5780</v>
      </c>
      <c r="D2987" s="14" t="s">
        <v>10</v>
      </c>
      <c r="E2987" s="14" t="s">
        <v>11</v>
      </c>
      <c r="F2987" s="14" t="s">
        <v>18</v>
      </c>
      <c r="G2987" s="14" t="s">
        <v>19</v>
      </c>
      <c r="H2987" s="14" t="s">
        <v>5581</v>
      </c>
      <c r="I2987" s="15" t="s">
        <v>5599</v>
      </c>
      <c r="J2987" s="16" t="str">
        <f>VLOOKUP(B2987,baru!$B$2:$I$2271,4,FALSE)</f>
        <v>Reguler</v>
      </c>
      <c r="K2987" s="16" t="str">
        <f>VLOOKUP(B2987,baru!$B$2:$I$2271,5,FALSE)</f>
        <v>JAWA TENGAH</v>
      </c>
      <c r="L2987" s="16" t="str">
        <f>VLOOKUP(B2987,baru!$B$2:$I$2271,6,FALSE)</f>
        <v>KOTA PEKALONGAN</v>
      </c>
    </row>
    <row r="2988" spans="1:12" x14ac:dyDescent="0.35">
      <c r="A2988" s="13">
        <v>1967491</v>
      </c>
      <c r="B2988" s="14" t="str">
        <f>"3375014308060004"</f>
        <v>3375014308060004</v>
      </c>
      <c r="C2988" s="14" t="s">
        <v>5781</v>
      </c>
      <c r="D2988" s="14" t="s">
        <v>189</v>
      </c>
      <c r="E2988" s="14" t="s">
        <v>11</v>
      </c>
      <c r="F2988" s="14" t="s">
        <v>18</v>
      </c>
      <c r="G2988" s="14" t="s">
        <v>19</v>
      </c>
      <c r="H2988" s="14" t="s">
        <v>5581</v>
      </c>
      <c r="I2988" s="15" t="s">
        <v>5599</v>
      </c>
      <c r="J2988" s="16" t="str">
        <f>VLOOKUP(B2988,baru!$B$2:$I$2271,4,FALSE)</f>
        <v>Reguler</v>
      </c>
      <c r="K2988" s="16" t="str">
        <f>VLOOKUP(B2988,baru!$B$2:$I$2271,5,FALSE)</f>
        <v>JAWA TENGAH</v>
      </c>
      <c r="L2988" s="16" t="str">
        <f>VLOOKUP(B2988,baru!$B$2:$I$2271,6,FALSE)</f>
        <v>KOTA PEKALONGAN</v>
      </c>
    </row>
    <row r="2989" spans="1:12" hidden="1" x14ac:dyDescent="0.35">
      <c r="A2989" s="6">
        <v>209968</v>
      </c>
      <c r="B2989" s="7" t="str">
        <f>"3376015503960002"</f>
        <v>3376015503960002</v>
      </c>
      <c r="C2989" s="7" t="s">
        <v>5782</v>
      </c>
      <c r="D2989" s="7" t="s">
        <v>10</v>
      </c>
      <c r="E2989" s="7" t="s">
        <v>11</v>
      </c>
      <c r="F2989" s="7" t="s">
        <v>18</v>
      </c>
      <c r="G2989" s="7" t="s">
        <v>268</v>
      </c>
      <c r="H2989" s="7" t="s">
        <v>371</v>
      </c>
      <c r="I2989" s="8" t="s">
        <v>2772</v>
      </c>
    </row>
    <row r="2990" spans="1:12" hidden="1" x14ac:dyDescent="0.35">
      <c r="A2990" s="6">
        <v>239835</v>
      </c>
      <c r="B2990" s="7" t="str">
        <f>"3376022109980001"</f>
        <v>3376022109980001</v>
      </c>
      <c r="C2990" s="7" t="s">
        <v>5784</v>
      </c>
      <c r="D2990" s="7" t="s">
        <v>10</v>
      </c>
      <c r="E2990" s="7" t="s">
        <v>11</v>
      </c>
      <c r="F2990" s="7" t="s">
        <v>18</v>
      </c>
      <c r="G2990" s="7" t="s">
        <v>268</v>
      </c>
      <c r="H2990" s="7" t="s">
        <v>371</v>
      </c>
      <c r="I2990" s="8" t="s">
        <v>372</v>
      </c>
    </row>
    <row r="2991" spans="1:12" hidden="1" x14ac:dyDescent="0.35">
      <c r="A2991" s="6">
        <v>224720</v>
      </c>
      <c r="B2991" s="7" t="str">
        <f>"3376026301980003"</f>
        <v>3376026301980003</v>
      </c>
      <c r="C2991" s="7" t="s">
        <v>5785</v>
      </c>
      <c r="D2991" s="7" t="s">
        <v>10</v>
      </c>
      <c r="E2991" s="7" t="s">
        <v>11</v>
      </c>
      <c r="F2991" s="7" t="s">
        <v>18</v>
      </c>
      <c r="G2991" s="7" t="s">
        <v>268</v>
      </c>
      <c r="H2991" s="7" t="s">
        <v>371</v>
      </c>
      <c r="I2991" s="8" t="s">
        <v>2346</v>
      </c>
    </row>
    <row r="2992" spans="1:12" hidden="1" x14ac:dyDescent="0.35">
      <c r="A2992" s="6">
        <v>349778</v>
      </c>
      <c r="B2992" s="7" t="str">
        <f>"3376032801030001"</f>
        <v>3376032801030001</v>
      </c>
      <c r="C2992" s="7" t="s">
        <v>5786</v>
      </c>
      <c r="D2992" s="7" t="s">
        <v>10</v>
      </c>
      <c r="E2992" s="7" t="s">
        <v>11</v>
      </c>
      <c r="F2992" s="7" t="s">
        <v>18</v>
      </c>
      <c r="G2992" s="7" t="s">
        <v>268</v>
      </c>
      <c r="H2992" s="7" t="s">
        <v>269</v>
      </c>
      <c r="I2992" s="8" t="s">
        <v>270</v>
      </c>
    </row>
    <row r="2993" spans="1:9" hidden="1" x14ac:dyDescent="0.35">
      <c r="A2993" s="6">
        <v>349777</v>
      </c>
      <c r="B2993" s="7" t="str">
        <f>"3376036407060001"</f>
        <v>3376036407060001</v>
      </c>
      <c r="C2993" s="7" t="s">
        <v>5788</v>
      </c>
      <c r="D2993" s="7" t="s">
        <v>10</v>
      </c>
      <c r="E2993" s="7" t="s">
        <v>11</v>
      </c>
      <c r="F2993" s="7" t="s">
        <v>18</v>
      </c>
      <c r="G2993" s="7" t="s">
        <v>268</v>
      </c>
      <c r="H2993" s="7" t="s">
        <v>269</v>
      </c>
      <c r="I2993" s="8" t="s">
        <v>270</v>
      </c>
    </row>
    <row r="2994" spans="1:9" hidden="1" x14ac:dyDescent="0.35">
      <c r="A2994" s="6">
        <v>901348</v>
      </c>
      <c r="B2994" s="7" t="str">
        <f>"3501042905880006"</f>
        <v>3501042905880006</v>
      </c>
      <c r="C2994" s="7" t="s">
        <v>5789</v>
      </c>
      <c r="D2994" s="7" t="s">
        <v>10</v>
      </c>
      <c r="E2994" s="7" t="s">
        <v>11</v>
      </c>
      <c r="F2994" s="7" t="s">
        <v>303</v>
      </c>
      <c r="G2994" s="7" t="s">
        <v>1855</v>
      </c>
      <c r="H2994" s="7" t="s">
        <v>1855</v>
      </c>
      <c r="I2994" s="8" t="s">
        <v>5790</v>
      </c>
    </row>
    <row r="2995" spans="1:9" hidden="1" x14ac:dyDescent="0.35">
      <c r="A2995" s="6">
        <v>106819</v>
      </c>
      <c r="B2995" s="7" t="str">
        <f>"3603175307740001"</f>
        <v>3603175307740001</v>
      </c>
      <c r="C2995" s="7" t="s">
        <v>5791</v>
      </c>
      <c r="D2995" s="7" t="s">
        <v>10</v>
      </c>
      <c r="E2995" s="7" t="s">
        <v>11</v>
      </c>
      <c r="F2995" s="7" t="s">
        <v>67</v>
      </c>
      <c r="G2995" s="7" t="s">
        <v>791</v>
      </c>
      <c r="H2995" s="7" t="s">
        <v>1410</v>
      </c>
      <c r="I2995" s="8" t="s">
        <v>1685</v>
      </c>
    </row>
    <row r="2996" spans="1:9" hidden="1" x14ac:dyDescent="0.35">
      <c r="A2996" s="6">
        <v>1645264</v>
      </c>
      <c r="B2996" s="7" t="str">
        <f>"3674031310720010"</f>
        <v>3674031310720010</v>
      </c>
      <c r="C2996" s="7" t="s">
        <v>5793</v>
      </c>
      <c r="D2996" s="7" t="s">
        <v>10</v>
      </c>
      <c r="E2996" s="7" t="s">
        <v>11</v>
      </c>
      <c r="F2996" s="7" t="s">
        <v>67</v>
      </c>
      <c r="G2996" s="7" t="s">
        <v>68</v>
      </c>
      <c r="H2996" s="7" t="s">
        <v>2924</v>
      </c>
      <c r="I2996" s="8" t="s">
        <v>3004</v>
      </c>
    </row>
    <row r="2997" spans="1:9" hidden="1" x14ac:dyDescent="0.35">
      <c r="A2997" s="6">
        <v>1645263</v>
      </c>
      <c r="B2997" s="7" t="str">
        <f>"3674034708740010"</f>
        <v>3674034708740010</v>
      </c>
      <c r="C2997" s="7" t="s">
        <v>5794</v>
      </c>
      <c r="D2997" s="7" t="s">
        <v>10</v>
      </c>
      <c r="E2997" s="7" t="s">
        <v>11</v>
      </c>
      <c r="F2997" s="7" t="s">
        <v>67</v>
      </c>
      <c r="G2997" s="7" t="s">
        <v>68</v>
      </c>
      <c r="H2997" s="7" t="s">
        <v>2924</v>
      </c>
      <c r="I2997" s="8" t="s">
        <v>3004</v>
      </c>
    </row>
    <row r="2998" spans="1:9" hidden="1" x14ac:dyDescent="0.35">
      <c r="A2998" s="6">
        <v>59911</v>
      </c>
      <c r="B2998" s="7" t="str">
        <f>"6106037012930002"</f>
        <v>6106037012930002</v>
      </c>
      <c r="C2998" s="7" t="s">
        <v>5795</v>
      </c>
      <c r="D2998" s="7" t="s">
        <v>10</v>
      </c>
      <c r="E2998" s="7" t="s">
        <v>11</v>
      </c>
      <c r="F2998" s="7" t="s">
        <v>516</v>
      </c>
      <c r="G2998" s="7" t="s">
        <v>5613</v>
      </c>
      <c r="H2998" s="7" t="s">
        <v>5614</v>
      </c>
      <c r="I2998" s="8" t="s">
        <v>5615</v>
      </c>
    </row>
    <row r="2999" spans="1:9" hidden="1" x14ac:dyDescent="0.35">
      <c r="A2999" s="6">
        <v>140106</v>
      </c>
      <c r="B2999" s="7" t="str">
        <f>"6403062711850001"</f>
        <v>6403062711850001</v>
      </c>
      <c r="C2999" s="7" t="s">
        <v>5796</v>
      </c>
      <c r="D2999" s="7" t="s">
        <v>10</v>
      </c>
      <c r="E2999" s="7" t="s">
        <v>11</v>
      </c>
      <c r="F2999" s="7" t="s">
        <v>232</v>
      </c>
      <c r="G2999" s="7" t="s">
        <v>642</v>
      </c>
      <c r="H2999" s="7" t="s">
        <v>2600</v>
      </c>
      <c r="I2999" s="8" t="s">
        <v>2601</v>
      </c>
    </row>
    <row r="3000" spans="1:9" hidden="1" x14ac:dyDescent="0.35">
      <c r="A3000" s="6">
        <v>1111947</v>
      </c>
      <c r="B3000" s="7" t="str">
        <f>"7371102411920009"</f>
        <v>7371102411920009</v>
      </c>
      <c r="C3000" s="7" t="s">
        <v>2757</v>
      </c>
      <c r="D3000" s="7" t="s">
        <v>10</v>
      </c>
      <c r="E3000" s="7" t="s">
        <v>11</v>
      </c>
      <c r="F3000" s="7" t="s">
        <v>954</v>
      </c>
      <c r="G3000" s="7" t="s">
        <v>1024</v>
      </c>
      <c r="H3000" s="7" t="s">
        <v>5720</v>
      </c>
      <c r="I3000" s="8" t="s">
        <v>5721</v>
      </c>
    </row>
    <row r="3001" spans="1:9" hidden="1" x14ac:dyDescent="0.35">
      <c r="A3001" s="9">
        <v>238099</v>
      </c>
      <c r="B3001" s="10" t="str">
        <f>"7373095605950001"</f>
        <v>7373095605950001</v>
      </c>
      <c r="C3001" s="10" t="s">
        <v>5797</v>
      </c>
      <c r="D3001" s="10" t="s">
        <v>10</v>
      </c>
      <c r="E3001" s="10" t="s">
        <v>11</v>
      </c>
      <c r="F3001" s="10" t="s">
        <v>954</v>
      </c>
      <c r="G3001" s="10" t="s">
        <v>5798</v>
      </c>
      <c r="H3001" s="10" t="s">
        <v>5799</v>
      </c>
      <c r="I3001" s="11" t="s">
        <v>5800</v>
      </c>
    </row>
  </sheetData>
  <autoFilter ref="A1:L3001" xr:uid="{FD5F09BA-0BFB-44F2-BDFE-74C6A6BB7325}">
    <filterColumn colId="3">
      <filters>
        <filter val="ubah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986E3-314B-4E8F-A321-D88D7C392229}">
  <sheetPr filterMode="1"/>
  <dimension ref="A1:N2768"/>
  <sheetViews>
    <sheetView topLeftCell="F1" workbookViewId="0">
      <selection sqref="A1:N2768"/>
    </sheetView>
  </sheetViews>
  <sheetFormatPr defaultRowHeight="14.5" x14ac:dyDescent="0.35"/>
  <cols>
    <col min="1" max="1" width="9" bestFit="1" customWidth="1"/>
    <col min="2" max="2" width="15.453125" bestFit="1" customWidth="1"/>
    <col min="3" max="3" width="15.81640625" bestFit="1" customWidth="1"/>
    <col min="4" max="4" width="15.453125" customWidth="1"/>
    <col min="5" max="5" width="52.81640625" bestFit="1" customWidth="1"/>
    <col min="6" max="6" width="10.08984375" bestFit="1" customWidth="1"/>
    <col min="7" max="7" width="12.7265625" bestFit="1" customWidth="1"/>
    <col min="8" max="8" width="26.453125" bestFit="1" customWidth="1"/>
    <col min="9" max="9" width="26" bestFit="1" customWidth="1"/>
    <col min="10" max="10" width="20.7265625" bestFit="1" customWidth="1"/>
    <col min="11" max="11" width="26.90625" bestFit="1" customWidth="1"/>
    <col min="13" max="13" width="13.1796875" bestFit="1" customWidth="1"/>
    <col min="14" max="14" width="17.36328125" bestFit="1" customWidth="1"/>
  </cols>
  <sheetData>
    <row r="1" spans="1:14" ht="26" x14ac:dyDescent="0.35">
      <c r="A1" s="3" t="s">
        <v>0</v>
      </c>
      <c r="B1" s="4" t="s">
        <v>1</v>
      </c>
      <c r="C1" s="4" t="s">
        <v>5805</v>
      </c>
      <c r="D1" s="4" t="s">
        <v>5806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5" t="s">
        <v>8</v>
      </c>
      <c r="L1" s="12" t="s">
        <v>5802</v>
      </c>
      <c r="M1" s="12" t="s">
        <v>5807</v>
      </c>
      <c r="N1" s="12" t="s">
        <v>5804</v>
      </c>
    </row>
    <row r="2" spans="1:14" hidden="1" x14ac:dyDescent="0.35">
      <c r="A2" s="21">
        <v>37603</v>
      </c>
      <c r="B2" s="22" t="str">
        <f>"1302082409780002"</f>
        <v>1302082409780002</v>
      </c>
      <c r="C2" s="22" t="str">
        <f>"'"&amp;B2</f>
        <v>'1302082409780002</v>
      </c>
      <c r="D2" s="22" t="str">
        <f>IF(COUNTIF($C:$C,C2)&gt;1,"ganda","tidak ganda")</f>
        <v>tidak ganda</v>
      </c>
      <c r="E2" s="22" t="s">
        <v>9</v>
      </c>
      <c r="F2" s="22" t="s">
        <v>10</v>
      </c>
      <c r="G2" s="22" t="s">
        <v>11</v>
      </c>
      <c r="H2" s="22" t="s">
        <v>12</v>
      </c>
      <c r="I2" s="22" t="s">
        <v>13</v>
      </c>
      <c r="J2" s="22" t="s">
        <v>14</v>
      </c>
      <c r="K2" s="23" t="s">
        <v>15</v>
      </c>
    </row>
    <row r="3" spans="1:14" hidden="1" x14ac:dyDescent="0.35">
      <c r="A3" s="21">
        <v>1683527</v>
      </c>
      <c r="B3" s="22" t="str">
        <f>"1505021401740001"</f>
        <v>1505021401740001</v>
      </c>
      <c r="C3" s="22" t="str">
        <f t="shared" ref="C3:C66" si="0">"'"&amp;B3</f>
        <v>'1505021401740001</v>
      </c>
      <c r="D3" s="22" t="str">
        <f t="shared" ref="D3:D66" si="1">IF(COUNTIF($C:$C,C3)&gt;1,"ganda","tidak ganda")</f>
        <v>tidak ganda</v>
      </c>
      <c r="E3" s="22" t="s">
        <v>22</v>
      </c>
      <c r="F3" s="22" t="s">
        <v>10</v>
      </c>
      <c r="G3" s="22" t="s">
        <v>11</v>
      </c>
      <c r="H3" s="22" t="s">
        <v>18</v>
      </c>
      <c r="I3" s="22" t="s">
        <v>19</v>
      </c>
      <c r="J3" s="22" t="s">
        <v>20</v>
      </c>
      <c r="K3" s="23" t="s">
        <v>23</v>
      </c>
      <c r="L3" t="e">
        <f>VLOOKUP(B3,ubah!$B$2:$L$234,4,FALSE)</f>
        <v>#N/A</v>
      </c>
      <c r="M3" t="e">
        <f>VLOOKUP(B3,ubah!$B$2:$L$234,5,FALSE)</f>
        <v>#N/A</v>
      </c>
      <c r="N3" t="e">
        <f>VLOOKUP(B3,ubah!$B$2:$L$234,6,FALSE)</f>
        <v>#N/A</v>
      </c>
    </row>
    <row r="4" spans="1:14" hidden="1" x14ac:dyDescent="0.35">
      <c r="A4" s="21">
        <v>1683529</v>
      </c>
      <c r="B4" s="22" t="str">
        <f>"1505022105040003"</f>
        <v>1505022105040003</v>
      </c>
      <c r="C4" s="22" t="str">
        <f t="shared" si="0"/>
        <v>'1505022105040003</v>
      </c>
      <c r="D4" s="22" t="str">
        <f t="shared" si="1"/>
        <v>tidak ganda</v>
      </c>
      <c r="E4" s="22" t="s">
        <v>28</v>
      </c>
      <c r="F4" s="22" t="s">
        <v>10</v>
      </c>
      <c r="G4" s="22" t="s">
        <v>11</v>
      </c>
      <c r="H4" s="22" t="s">
        <v>18</v>
      </c>
      <c r="I4" s="22" t="s">
        <v>19</v>
      </c>
      <c r="J4" s="22" t="s">
        <v>20</v>
      </c>
      <c r="K4" s="23" t="s">
        <v>23</v>
      </c>
      <c r="L4" t="e">
        <f>VLOOKUP(B4,ubah!$B$2:$L$234,4,FALSE)</f>
        <v>#N/A</v>
      </c>
      <c r="M4" t="e">
        <f>VLOOKUP(B4,ubah!$B$2:$L$234,5,FALSE)</f>
        <v>#N/A</v>
      </c>
      <c r="N4" t="e">
        <f>VLOOKUP(B4,ubah!$B$2:$L$234,6,FALSE)</f>
        <v>#N/A</v>
      </c>
    </row>
    <row r="5" spans="1:14" hidden="1" x14ac:dyDescent="0.35">
      <c r="A5" s="21">
        <v>1683531</v>
      </c>
      <c r="B5" s="22" t="str">
        <f>"1505024409770002"</f>
        <v>1505024409770002</v>
      </c>
      <c r="C5" s="22" t="str">
        <f t="shared" si="0"/>
        <v>'1505024409770002</v>
      </c>
      <c r="D5" s="22" t="str">
        <f t="shared" si="1"/>
        <v>tidak ganda</v>
      </c>
      <c r="E5" s="22" t="s">
        <v>30</v>
      </c>
      <c r="F5" s="22" t="s">
        <v>10</v>
      </c>
      <c r="G5" s="22" t="s">
        <v>11</v>
      </c>
      <c r="H5" s="22" t="s">
        <v>18</v>
      </c>
      <c r="I5" s="22" t="s">
        <v>19</v>
      </c>
      <c r="J5" s="22" t="s">
        <v>20</v>
      </c>
      <c r="K5" s="23" t="s">
        <v>23</v>
      </c>
      <c r="L5" t="e">
        <f>VLOOKUP(B5,ubah!$B$2:$L$234,4,FALSE)</f>
        <v>#N/A</v>
      </c>
      <c r="M5" t="e">
        <f>VLOOKUP(B5,ubah!$B$2:$L$234,5,FALSE)</f>
        <v>#N/A</v>
      </c>
      <c r="N5" t="e">
        <f>VLOOKUP(B5,ubah!$B$2:$L$234,6,FALSE)</f>
        <v>#N/A</v>
      </c>
    </row>
    <row r="6" spans="1:14" hidden="1" x14ac:dyDescent="0.35">
      <c r="A6" s="21">
        <v>25116</v>
      </c>
      <c r="B6" s="22" t="str">
        <f>"1608021512920001"</f>
        <v>1608021512920001</v>
      </c>
      <c r="C6" s="22" t="str">
        <f t="shared" si="0"/>
        <v>'1608021512920001</v>
      </c>
      <c r="D6" s="22" t="str">
        <f t="shared" si="1"/>
        <v>tidak ganda</v>
      </c>
      <c r="E6" s="22" t="s">
        <v>32</v>
      </c>
      <c r="F6" s="22" t="s">
        <v>10</v>
      </c>
      <c r="G6" s="22" t="s">
        <v>11</v>
      </c>
      <c r="H6" s="22" t="s">
        <v>33</v>
      </c>
      <c r="I6" s="22" t="s">
        <v>34</v>
      </c>
      <c r="J6" s="22" t="s">
        <v>35</v>
      </c>
      <c r="K6" s="23" t="s">
        <v>36</v>
      </c>
    </row>
    <row r="7" spans="1:14" hidden="1" x14ac:dyDescent="0.35">
      <c r="A7" s="21">
        <v>324976</v>
      </c>
      <c r="B7" s="22" t="str">
        <f>"1611014403990002"</f>
        <v>1611014403990002</v>
      </c>
      <c r="C7" s="22" t="str">
        <f t="shared" si="0"/>
        <v>'1611014403990002</v>
      </c>
      <c r="D7" s="22" t="str">
        <f t="shared" si="1"/>
        <v>tidak ganda</v>
      </c>
      <c r="E7" s="22" t="s">
        <v>38</v>
      </c>
      <c r="F7" s="22" t="s">
        <v>10</v>
      </c>
      <c r="G7" s="22" t="s">
        <v>11</v>
      </c>
      <c r="H7" s="22" t="s">
        <v>33</v>
      </c>
      <c r="I7" s="22" t="s">
        <v>39</v>
      </c>
      <c r="J7" s="22" t="s">
        <v>40</v>
      </c>
      <c r="K7" s="23" t="s">
        <v>41</v>
      </c>
    </row>
    <row r="8" spans="1:14" hidden="1" x14ac:dyDescent="0.35">
      <c r="A8" s="21">
        <v>448769</v>
      </c>
      <c r="B8" s="22" t="str">
        <f>"1806040804030001"</f>
        <v>1806040804030001</v>
      </c>
      <c r="C8" s="22" t="str">
        <f t="shared" si="0"/>
        <v>'1806040804030001</v>
      </c>
      <c r="D8" s="22" t="str">
        <f t="shared" si="1"/>
        <v>tidak ganda</v>
      </c>
      <c r="E8" s="22" t="s">
        <v>43</v>
      </c>
      <c r="F8" s="22" t="s">
        <v>10</v>
      </c>
      <c r="G8" s="22" t="s">
        <v>11</v>
      </c>
      <c r="H8" s="22" t="s">
        <v>44</v>
      </c>
      <c r="I8" s="22" t="s">
        <v>45</v>
      </c>
      <c r="J8" s="22" t="s">
        <v>46</v>
      </c>
      <c r="K8" s="23" t="s">
        <v>47</v>
      </c>
    </row>
    <row r="9" spans="1:14" hidden="1" x14ac:dyDescent="0.35">
      <c r="A9" s="21">
        <v>1083242</v>
      </c>
      <c r="B9" s="22" t="str">
        <f>"3172012309780004"</f>
        <v>3172012309780004</v>
      </c>
      <c r="C9" s="22" t="str">
        <f t="shared" si="0"/>
        <v>'3172012309780004</v>
      </c>
      <c r="D9" s="22" t="str">
        <f t="shared" si="1"/>
        <v>tidak ganda</v>
      </c>
      <c r="E9" s="22" t="s">
        <v>49</v>
      </c>
      <c r="F9" s="22" t="s">
        <v>10</v>
      </c>
      <c r="G9" s="22" t="s">
        <v>11</v>
      </c>
      <c r="H9" s="22" t="s">
        <v>50</v>
      </c>
      <c r="I9" s="22" t="s">
        <v>51</v>
      </c>
      <c r="J9" s="22" t="s">
        <v>52</v>
      </c>
      <c r="K9" s="23" t="s">
        <v>52</v>
      </c>
    </row>
    <row r="10" spans="1:14" hidden="1" x14ac:dyDescent="0.35">
      <c r="A10" s="21">
        <v>2416009</v>
      </c>
      <c r="B10" s="22" t="str">
        <f>"3172020301930002"</f>
        <v>3172020301930002</v>
      </c>
      <c r="C10" s="22" t="str">
        <f t="shared" si="0"/>
        <v>'3172020301930002</v>
      </c>
      <c r="D10" s="22" t="str">
        <f t="shared" si="1"/>
        <v>ganda</v>
      </c>
      <c r="E10" s="22" t="s">
        <v>54</v>
      </c>
      <c r="F10" s="22" t="s">
        <v>10</v>
      </c>
      <c r="G10" s="22" t="s">
        <v>11</v>
      </c>
      <c r="H10" s="22" t="s">
        <v>18</v>
      </c>
      <c r="I10" s="22" t="s">
        <v>19</v>
      </c>
      <c r="J10" s="22" t="s">
        <v>20</v>
      </c>
      <c r="K10" s="23" t="s">
        <v>55</v>
      </c>
      <c r="L10" t="e">
        <f>VLOOKUP(B10,ubah!$B$2:$L$234,4,FALSE)</f>
        <v>#N/A</v>
      </c>
      <c r="M10" t="e">
        <f>VLOOKUP(B10,ubah!$B$2:$L$234,5,FALSE)</f>
        <v>#N/A</v>
      </c>
      <c r="N10" t="e">
        <f>VLOOKUP(B10,ubah!$B$2:$L$234,6,FALSE)</f>
        <v>#N/A</v>
      </c>
    </row>
    <row r="11" spans="1:14" hidden="1" x14ac:dyDescent="0.35">
      <c r="A11" s="21">
        <v>2422122</v>
      </c>
      <c r="B11" s="22" t="str">
        <f>"3172020301930002"</f>
        <v>3172020301930002</v>
      </c>
      <c r="C11" s="22" t="str">
        <f t="shared" si="0"/>
        <v>'3172020301930002</v>
      </c>
      <c r="D11" s="22" t="str">
        <f t="shared" si="1"/>
        <v>ganda</v>
      </c>
      <c r="E11" s="22" t="s">
        <v>56</v>
      </c>
      <c r="F11" s="22" t="s">
        <v>10</v>
      </c>
      <c r="G11" s="22" t="s">
        <v>57</v>
      </c>
      <c r="H11" s="22" t="s">
        <v>50</v>
      </c>
      <c r="I11" s="22" t="s">
        <v>58</v>
      </c>
      <c r="J11" s="22" t="s">
        <v>59</v>
      </c>
      <c r="K11" s="23" t="s">
        <v>60</v>
      </c>
    </row>
    <row r="12" spans="1:14" hidden="1" x14ac:dyDescent="0.35">
      <c r="A12" s="21">
        <v>137131</v>
      </c>
      <c r="B12" s="22" t="str">
        <f>"3172025406860006"</f>
        <v>3172025406860006</v>
      </c>
      <c r="C12" s="22" t="str">
        <f t="shared" si="0"/>
        <v>'3172025406860006</v>
      </c>
      <c r="D12" s="22" t="str">
        <f t="shared" si="1"/>
        <v>tidak ganda</v>
      </c>
      <c r="E12" s="22" t="s">
        <v>61</v>
      </c>
      <c r="F12" s="22" t="s">
        <v>10</v>
      </c>
      <c r="G12" s="22" t="s">
        <v>11</v>
      </c>
      <c r="H12" s="22" t="s">
        <v>50</v>
      </c>
      <c r="I12" s="22" t="s">
        <v>51</v>
      </c>
      <c r="J12" s="22" t="s">
        <v>62</v>
      </c>
      <c r="K12" s="23" t="s">
        <v>63</v>
      </c>
    </row>
    <row r="13" spans="1:14" hidden="1" x14ac:dyDescent="0.35">
      <c r="A13" s="21">
        <v>1140937</v>
      </c>
      <c r="B13" s="22" t="str">
        <f>"3172032506861001"</f>
        <v>3172032506861001</v>
      </c>
      <c r="C13" s="22" t="str">
        <f t="shared" si="0"/>
        <v>'3172032506861001</v>
      </c>
      <c r="D13" s="22" t="str">
        <f t="shared" si="1"/>
        <v>tidak ganda</v>
      </c>
      <c r="E13" s="22" t="s">
        <v>66</v>
      </c>
      <c r="F13" s="22" t="s">
        <v>10</v>
      </c>
      <c r="G13" s="22" t="s">
        <v>11</v>
      </c>
      <c r="H13" s="22" t="s">
        <v>67</v>
      </c>
      <c r="I13" s="22" t="s">
        <v>68</v>
      </c>
      <c r="J13" s="22" t="s">
        <v>69</v>
      </c>
      <c r="K13" s="23" t="s">
        <v>69</v>
      </c>
    </row>
    <row r="14" spans="1:14" hidden="1" x14ac:dyDescent="0.35">
      <c r="A14" s="21">
        <v>802404</v>
      </c>
      <c r="B14" s="22" t="str">
        <f>"3172041510740005"</f>
        <v>3172041510740005</v>
      </c>
      <c r="C14" s="22" t="str">
        <f t="shared" si="0"/>
        <v>'3172041510740005</v>
      </c>
      <c r="D14" s="22" t="str">
        <f t="shared" si="1"/>
        <v>tidak ganda</v>
      </c>
      <c r="E14" s="22" t="s">
        <v>71</v>
      </c>
      <c r="F14" s="22" t="s">
        <v>10</v>
      </c>
      <c r="G14" s="22" t="s">
        <v>11</v>
      </c>
      <c r="H14" s="22" t="s">
        <v>50</v>
      </c>
      <c r="I14" s="22" t="s">
        <v>72</v>
      </c>
      <c r="J14" s="22" t="s">
        <v>73</v>
      </c>
      <c r="K14" s="23" t="s">
        <v>74</v>
      </c>
    </row>
    <row r="15" spans="1:14" hidden="1" x14ac:dyDescent="0.35">
      <c r="A15" s="21">
        <v>961829</v>
      </c>
      <c r="B15" s="22" t="str">
        <f>"3172045005810029"</f>
        <v>3172045005810029</v>
      </c>
      <c r="C15" s="22" t="str">
        <f t="shared" si="0"/>
        <v>'3172045005810029</v>
      </c>
      <c r="D15" s="22" t="str">
        <f t="shared" si="1"/>
        <v>tidak ganda</v>
      </c>
      <c r="E15" s="22" t="s">
        <v>80</v>
      </c>
      <c r="F15" s="22" t="s">
        <v>10</v>
      </c>
      <c r="G15" s="22" t="s">
        <v>11</v>
      </c>
      <c r="H15" s="22" t="s">
        <v>50</v>
      </c>
      <c r="I15" s="22" t="s">
        <v>51</v>
      </c>
      <c r="J15" s="22" t="s">
        <v>78</v>
      </c>
      <c r="K15" s="23" t="s">
        <v>81</v>
      </c>
    </row>
    <row r="16" spans="1:14" hidden="1" x14ac:dyDescent="0.35">
      <c r="A16" s="21">
        <v>1218495</v>
      </c>
      <c r="B16" s="22" t="str">
        <f>"3172046808850023"</f>
        <v>3172046808850023</v>
      </c>
      <c r="C16" s="22" t="str">
        <f t="shared" si="0"/>
        <v>'3172046808850023</v>
      </c>
      <c r="D16" s="22" t="str">
        <f t="shared" si="1"/>
        <v>tidak ganda</v>
      </c>
      <c r="E16" s="22" t="s">
        <v>83</v>
      </c>
      <c r="F16" s="22" t="s">
        <v>10</v>
      </c>
      <c r="G16" s="22" t="s">
        <v>11</v>
      </c>
      <c r="H16" s="22" t="s">
        <v>50</v>
      </c>
      <c r="I16" s="22" t="s">
        <v>51</v>
      </c>
      <c r="J16" s="22" t="s">
        <v>78</v>
      </c>
      <c r="K16" s="23" t="s">
        <v>84</v>
      </c>
    </row>
    <row r="17" spans="1:11" hidden="1" x14ac:dyDescent="0.35">
      <c r="A17" s="21">
        <v>981954</v>
      </c>
      <c r="B17" s="22" t="str">
        <f>"3173060906770010"</f>
        <v>3173060906770010</v>
      </c>
      <c r="C17" s="22" t="str">
        <f t="shared" si="0"/>
        <v>'3173060906770010</v>
      </c>
      <c r="D17" s="22" t="str">
        <f t="shared" si="1"/>
        <v>tidak ganda</v>
      </c>
      <c r="E17" s="22" t="s">
        <v>85</v>
      </c>
      <c r="F17" s="22" t="s">
        <v>10</v>
      </c>
      <c r="G17" s="22" t="s">
        <v>11</v>
      </c>
      <c r="H17" s="22" t="s">
        <v>50</v>
      </c>
      <c r="I17" s="22" t="s">
        <v>86</v>
      </c>
      <c r="J17" s="22" t="s">
        <v>87</v>
      </c>
      <c r="K17" s="23" t="s">
        <v>88</v>
      </c>
    </row>
    <row r="18" spans="1:11" hidden="1" x14ac:dyDescent="0.35">
      <c r="A18" s="21">
        <v>981953</v>
      </c>
      <c r="B18" s="22" t="str">
        <f>"3173065207760013"</f>
        <v>3173065207760013</v>
      </c>
      <c r="C18" s="22" t="str">
        <f t="shared" si="0"/>
        <v>'3173065207760013</v>
      </c>
      <c r="D18" s="22" t="str">
        <f t="shared" si="1"/>
        <v>tidak ganda</v>
      </c>
      <c r="E18" s="22" t="s">
        <v>89</v>
      </c>
      <c r="F18" s="22" t="s">
        <v>10</v>
      </c>
      <c r="G18" s="22" t="s">
        <v>11</v>
      </c>
      <c r="H18" s="22" t="s">
        <v>50</v>
      </c>
      <c r="I18" s="22" t="s">
        <v>86</v>
      </c>
      <c r="J18" s="22" t="s">
        <v>87</v>
      </c>
      <c r="K18" s="23" t="s">
        <v>88</v>
      </c>
    </row>
    <row r="19" spans="1:11" hidden="1" x14ac:dyDescent="0.35">
      <c r="A19" s="21">
        <v>2366606</v>
      </c>
      <c r="B19" s="22" t="str">
        <f>"3175021206850013"</f>
        <v>3175021206850013</v>
      </c>
      <c r="C19" s="22" t="str">
        <f t="shared" si="0"/>
        <v>'3175021206850013</v>
      </c>
      <c r="D19" s="22" t="str">
        <f t="shared" si="1"/>
        <v>tidak ganda</v>
      </c>
      <c r="E19" s="22" t="s">
        <v>90</v>
      </c>
      <c r="F19" s="22" t="s">
        <v>10</v>
      </c>
      <c r="G19" s="22" t="s">
        <v>11</v>
      </c>
      <c r="H19" s="22" t="s">
        <v>91</v>
      </c>
      <c r="I19" s="22" t="s">
        <v>92</v>
      </c>
      <c r="J19" s="22" t="s">
        <v>93</v>
      </c>
      <c r="K19" s="23" t="s">
        <v>94</v>
      </c>
    </row>
    <row r="20" spans="1:11" hidden="1" x14ac:dyDescent="0.35">
      <c r="A20" s="21">
        <v>841426</v>
      </c>
      <c r="B20" s="22" t="str">
        <f>"3175047003770002"</f>
        <v>3175047003770002</v>
      </c>
      <c r="C20" s="22" t="str">
        <f t="shared" si="0"/>
        <v>'3175047003770002</v>
      </c>
      <c r="D20" s="22" t="str">
        <f t="shared" si="1"/>
        <v>tidak ganda</v>
      </c>
      <c r="E20" s="22" t="s">
        <v>96</v>
      </c>
      <c r="F20" s="22" t="s">
        <v>10</v>
      </c>
      <c r="G20" s="22" t="s">
        <v>11</v>
      </c>
      <c r="H20" s="22" t="s">
        <v>50</v>
      </c>
      <c r="I20" s="22" t="s">
        <v>58</v>
      </c>
      <c r="J20" s="22" t="s">
        <v>97</v>
      </c>
      <c r="K20" s="23" t="s">
        <v>98</v>
      </c>
    </row>
    <row r="21" spans="1:11" hidden="1" x14ac:dyDescent="0.35">
      <c r="A21" s="21">
        <v>2176949</v>
      </c>
      <c r="B21" s="22" t="str">
        <f>"3202052406000002"</f>
        <v>3202052406000002</v>
      </c>
      <c r="C21" s="22" t="str">
        <f t="shared" si="0"/>
        <v>'3202052406000002</v>
      </c>
      <c r="D21" s="22" t="str">
        <f t="shared" si="1"/>
        <v>tidak ganda</v>
      </c>
      <c r="E21" s="22" t="s">
        <v>100</v>
      </c>
      <c r="F21" s="22" t="s">
        <v>10</v>
      </c>
      <c r="G21" s="22" t="s">
        <v>11</v>
      </c>
      <c r="H21" s="22" t="s">
        <v>91</v>
      </c>
      <c r="I21" s="22" t="s">
        <v>101</v>
      </c>
      <c r="J21" s="22" t="s">
        <v>102</v>
      </c>
      <c r="K21" s="23" t="s">
        <v>102</v>
      </c>
    </row>
    <row r="22" spans="1:11" hidden="1" x14ac:dyDescent="0.35">
      <c r="A22" s="21">
        <v>354962</v>
      </c>
      <c r="B22" s="22" t="str">
        <f>"3205021503010002"</f>
        <v>3205021503010002</v>
      </c>
      <c r="C22" s="22" t="str">
        <f t="shared" si="0"/>
        <v>'3205021503010002</v>
      </c>
      <c r="D22" s="22" t="str">
        <f t="shared" si="1"/>
        <v>tidak ganda</v>
      </c>
      <c r="E22" s="22" t="s">
        <v>104</v>
      </c>
      <c r="F22" s="22" t="s">
        <v>10</v>
      </c>
      <c r="G22" s="22" t="s">
        <v>11</v>
      </c>
      <c r="H22" s="22" t="s">
        <v>91</v>
      </c>
      <c r="I22" s="22" t="s">
        <v>92</v>
      </c>
      <c r="J22" s="22" t="s">
        <v>105</v>
      </c>
      <c r="K22" s="23" t="s">
        <v>106</v>
      </c>
    </row>
    <row r="23" spans="1:11" hidden="1" x14ac:dyDescent="0.35">
      <c r="A23" s="21">
        <v>772141</v>
      </c>
      <c r="B23" s="22" t="str">
        <f>"3208072810880005"</f>
        <v>3208072810880005</v>
      </c>
      <c r="C23" s="22" t="str">
        <f t="shared" si="0"/>
        <v>'3208072810880005</v>
      </c>
      <c r="D23" s="22" t="str">
        <f t="shared" si="1"/>
        <v>tidak ganda</v>
      </c>
      <c r="E23" s="22" t="s">
        <v>108</v>
      </c>
      <c r="F23" s="22" t="s">
        <v>10</v>
      </c>
      <c r="G23" s="22" t="s">
        <v>11</v>
      </c>
      <c r="H23" s="22" t="s">
        <v>91</v>
      </c>
      <c r="I23" s="22" t="s">
        <v>109</v>
      </c>
      <c r="J23" s="22" t="s">
        <v>110</v>
      </c>
      <c r="K23" s="23" t="s">
        <v>111</v>
      </c>
    </row>
    <row r="24" spans="1:11" hidden="1" x14ac:dyDescent="0.35">
      <c r="A24" s="21">
        <v>247545</v>
      </c>
      <c r="B24" s="22" t="str">
        <f>"3212102001860003"</f>
        <v>3212102001860003</v>
      </c>
      <c r="C24" s="22" t="str">
        <f t="shared" si="0"/>
        <v>'3212102001860003</v>
      </c>
      <c r="D24" s="22" t="str">
        <f t="shared" si="1"/>
        <v>tidak ganda</v>
      </c>
      <c r="E24" s="22" t="s">
        <v>113</v>
      </c>
      <c r="F24" s="22" t="s">
        <v>10</v>
      </c>
      <c r="G24" s="22" t="s">
        <v>11</v>
      </c>
      <c r="H24" s="22" t="s">
        <v>91</v>
      </c>
      <c r="I24" s="22" t="s">
        <v>114</v>
      </c>
      <c r="J24" s="22" t="s">
        <v>115</v>
      </c>
      <c r="K24" s="23" t="s">
        <v>116</v>
      </c>
    </row>
    <row r="25" spans="1:11" hidden="1" x14ac:dyDescent="0.35">
      <c r="A25" s="21">
        <v>92679</v>
      </c>
      <c r="B25" s="22" t="str">
        <f>"3214100607050002"</f>
        <v>3214100607050002</v>
      </c>
      <c r="C25" s="22" t="str">
        <f t="shared" si="0"/>
        <v>'3214100607050002</v>
      </c>
      <c r="D25" s="22" t="str">
        <f t="shared" si="1"/>
        <v>tidak ganda</v>
      </c>
      <c r="E25" s="22" t="s">
        <v>118</v>
      </c>
      <c r="F25" s="22" t="s">
        <v>10</v>
      </c>
      <c r="G25" s="22" t="s">
        <v>11</v>
      </c>
      <c r="H25" s="22" t="s">
        <v>91</v>
      </c>
      <c r="I25" s="22" t="s">
        <v>119</v>
      </c>
      <c r="J25" s="22" t="s">
        <v>120</v>
      </c>
      <c r="K25" s="23" t="s">
        <v>121</v>
      </c>
    </row>
    <row r="26" spans="1:11" hidden="1" x14ac:dyDescent="0.35">
      <c r="A26" s="21">
        <v>1510292</v>
      </c>
      <c r="B26" s="22" t="str">
        <f>"3216017012940004"</f>
        <v>3216017012940004</v>
      </c>
      <c r="C26" s="22" t="str">
        <f t="shared" si="0"/>
        <v>'3216017012940004</v>
      </c>
      <c r="D26" s="22" t="str">
        <f t="shared" si="1"/>
        <v>tidak ganda</v>
      </c>
      <c r="E26" s="22" t="s">
        <v>123</v>
      </c>
      <c r="F26" s="22" t="s">
        <v>10</v>
      </c>
      <c r="G26" s="22" t="s">
        <v>11</v>
      </c>
      <c r="H26" s="22" t="s">
        <v>91</v>
      </c>
      <c r="I26" s="22" t="s">
        <v>92</v>
      </c>
      <c r="J26" s="22" t="s">
        <v>124</v>
      </c>
      <c r="K26" s="23" t="s">
        <v>125</v>
      </c>
    </row>
    <row r="27" spans="1:11" hidden="1" x14ac:dyDescent="0.35">
      <c r="A27" s="21">
        <v>1045851</v>
      </c>
      <c r="B27" s="22" t="str">
        <f>"3216092606780008"</f>
        <v>3216092606780008</v>
      </c>
      <c r="C27" s="22" t="str">
        <f t="shared" si="0"/>
        <v>'3216092606780008</v>
      </c>
      <c r="D27" s="22" t="str">
        <f t="shared" si="1"/>
        <v>tidak ganda</v>
      </c>
      <c r="E27" s="22" t="s">
        <v>127</v>
      </c>
      <c r="F27" s="22" t="s">
        <v>10</v>
      </c>
      <c r="G27" s="22" t="s">
        <v>11</v>
      </c>
      <c r="H27" s="22" t="s">
        <v>91</v>
      </c>
      <c r="I27" s="22" t="s">
        <v>92</v>
      </c>
      <c r="J27" s="22" t="s">
        <v>128</v>
      </c>
      <c r="K27" s="23" t="s">
        <v>129</v>
      </c>
    </row>
    <row r="28" spans="1:11" hidden="1" x14ac:dyDescent="0.35">
      <c r="A28" s="21">
        <v>1045852</v>
      </c>
      <c r="B28" s="22" t="str">
        <f>"3216096010050006"</f>
        <v>3216096010050006</v>
      </c>
      <c r="C28" s="22" t="str">
        <f t="shared" si="0"/>
        <v>'3216096010050006</v>
      </c>
      <c r="D28" s="22" t="str">
        <f t="shared" si="1"/>
        <v>tidak ganda</v>
      </c>
      <c r="E28" s="22" t="s">
        <v>132</v>
      </c>
      <c r="F28" s="22" t="s">
        <v>10</v>
      </c>
      <c r="G28" s="22" t="s">
        <v>11</v>
      </c>
      <c r="H28" s="22" t="s">
        <v>91</v>
      </c>
      <c r="I28" s="22" t="s">
        <v>92</v>
      </c>
      <c r="J28" s="22" t="s">
        <v>128</v>
      </c>
      <c r="K28" s="23" t="s">
        <v>129</v>
      </c>
    </row>
    <row r="29" spans="1:11" hidden="1" x14ac:dyDescent="0.35">
      <c r="A29" s="21">
        <v>1045853</v>
      </c>
      <c r="B29" s="22" t="str">
        <f>"3216096402820007"</f>
        <v>3216096402820007</v>
      </c>
      <c r="C29" s="22" t="str">
        <f t="shared" si="0"/>
        <v>'3216096402820007</v>
      </c>
      <c r="D29" s="22" t="str">
        <f t="shared" si="1"/>
        <v>tidak ganda</v>
      </c>
      <c r="E29" s="22" t="s">
        <v>134</v>
      </c>
      <c r="F29" s="22" t="s">
        <v>10</v>
      </c>
      <c r="G29" s="22" t="s">
        <v>11</v>
      </c>
      <c r="H29" s="22" t="s">
        <v>91</v>
      </c>
      <c r="I29" s="22" t="s">
        <v>92</v>
      </c>
      <c r="J29" s="22" t="s">
        <v>128</v>
      </c>
      <c r="K29" s="23" t="s">
        <v>129</v>
      </c>
    </row>
    <row r="30" spans="1:11" hidden="1" x14ac:dyDescent="0.35">
      <c r="A30" s="21">
        <v>1085168</v>
      </c>
      <c r="B30" s="22" t="str">
        <f>"3217031511830008"</f>
        <v>3217031511830008</v>
      </c>
      <c r="C30" s="22" t="str">
        <f t="shared" si="0"/>
        <v>'3217031511830008</v>
      </c>
      <c r="D30" s="22" t="str">
        <f t="shared" si="1"/>
        <v>tidak ganda</v>
      </c>
      <c r="E30" s="22" t="s">
        <v>136</v>
      </c>
      <c r="F30" s="22" t="s">
        <v>10</v>
      </c>
      <c r="G30" s="22" t="s">
        <v>11</v>
      </c>
      <c r="H30" s="22" t="s">
        <v>91</v>
      </c>
      <c r="I30" s="22" t="s">
        <v>137</v>
      </c>
      <c r="J30" s="22" t="s">
        <v>138</v>
      </c>
      <c r="K30" s="23" t="s">
        <v>139</v>
      </c>
    </row>
    <row r="31" spans="1:11" hidden="1" x14ac:dyDescent="0.35">
      <c r="A31" s="21">
        <v>532233</v>
      </c>
      <c r="B31" s="22" t="str">
        <f>"3217081207630011"</f>
        <v>3217081207630011</v>
      </c>
      <c r="C31" s="22" t="str">
        <f t="shared" si="0"/>
        <v>'3217081207630011</v>
      </c>
      <c r="D31" s="22" t="str">
        <f t="shared" si="1"/>
        <v>tidak ganda</v>
      </c>
      <c r="E31" s="22" t="s">
        <v>141</v>
      </c>
      <c r="F31" s="22" t="s">
        <v>10</v>
      </c>
      <c r="G31" s="22" t="s">
        <v>11</v>
      </c>
      <c r="H31" s="22" t="s">
        <v>91</v>
      </c>
      <c r="I31" s="22" t="s">
        <v>137</v>
      </c>
      <c r="J31" s="22" t="s">
        <v>142</v>
      </c>
      <c r="K31" s="23" t="s">
        <v>143</v>
      </c>
    </row>
    <row r="32" spans="1:11" hidden="1" x14ac:dyDescent="0.35">
      <c r="A32" s="21">
        <v>532064</v>
      </c>
      <c r="B32" s="22" t="str">
        <f>"3217084309020010"</f>
        <v>3217084309020010</v>
      </c>
      <c r="C32" s="22" t="str">
        <f t="shared" si="0"/>
        <v>'3217084309020010</v>
      </c>
      <c r="D32" s="22" t="str">
        <f t="shared" si="1"/>
        <v>tidak ganda</v>
      </c>
      <c r="E32" s="22" t="s">
        <v>146</v>
      </c>
      <c r="F32" s="22" t="s">
        <v>10</v>
      </c>
      <c r="G32" s="22" t="s">
        <v>11</v>
      </c>
      <c r="H32" s="22" t="s">
        <v>91</v>
      </c>
      <c r="I32" s="22" t="s">
        <v>137</v>
      </c>
      <c r="J32" s="22" t="s">
        <v>142</v>
      </c>
      <c r="K32" s="23" t="s">
        <v>143</v>
      </c>
    </row>
    <row r="33" spans="1:14" hidden="1" x14ac:dyDescent="0.35">
      <c r="A33" s="21">
        <v>1676218</v>
      </c>
      <c r="B33" s="22" t="str">
        <f>"3273010310960004"</f>
        <v>3273010310960004</v>
      </c>
      <c r="C33" s="22" t="str">
        <f t="shared" si="0"/>
        <v>'3273010310960004</v>
      </c>
      <c r="D33" s="22" t="str">
        <f t="shared" si="1"/>
        <v>tidak ganda</v>
      </c>
      <c r="E33" s="22" t="s">
        <v>148</v>
      </c>
      <c r="F33" s="22" t="s">
        <v>10</v>
      </c>
      <c r="G33" s="22" t="s">
        <v>11</v>
      </c>
      <c r="H33" s="22" t="s">
        <v>91</v>
      </c>
      <c r="I33" s="22" t="s">
        <v>149</v>
      </c>
      <c r="J33" s="22" t="s">
        <v>150</v>
      </c>
      <c r="K33" s="23" t="s">
        <v>151</v>
      </c>
    </row>
    <row r="34" spans="1:14" hidden="1" x14ac:dyDescent="0.35">
      <c r="A34" s="21">
        <v>1676220</v>
      </c>
      <c r="B34" s="22" t="str">
        <f>"3273013112740007"</f>
        <v>3273013112740007</v>
      </c>
      <c r="C34" s="22" t="str">
        <f t="shared" si="0"/>
        <v>'3273013112740007</v>
      </c>
      <c r="D34" s="22" t="str">
        <f t="shared" si="1"/>
        <v>tidak ganda</v>
      </c>
      <c r="E34" s="22" t="s">
        <v>152</v>
      </c>
      <c r="F34" s="22" t="s">
        <v>10</v>
      </c>
      <c r="G34" s="22" t="s">
        <v>11</v>
      </c>
      <c r="H34" s="22" t="s">
        <v>91</v>
      </c>
      <c r="I34" s="22" t="s">
        <v>149</v>
      </c>
      <c r="J34" s="22" t="s">
        <v>150</v>
      </c>
      <c r="K34" s="23" t="s">
        <v>151</v>
      </c>
    </row>
    <row r="35" spans="1:14" hidden="1" x14ac:dyDescent="0.35">
      <c r="A35" s="21">
        <v>1676219</v>
      </c>
      <c r="B35" s="22" t="str">
        <f>"3273014501790007"</f>
        <v>3273014501790007</v>
      </c>
      <c r="C35" s="22" t="str">
        <f t="shared" si="0"/>
        <v>'3273014501790007</v>
      </c>
      <c r="D35" s="22" t="str">
        <f t="shared" si="1"/>
        <v>tidak ganda</v>
      </c>
      <c r="E35" s="22" t="s">
        <v>153</v>
      </c>
      <c r="F35" s="22" t="s">
        <v>10</v>
      </c>
      <c r="G35" s="22" t="s">
        <v>11</v>
      </c>
      <c r="H35" s="22" t="s">
        <v>91</v>
      </c>
      <c r="I35" s="22" t="s">
        <v>149</v>
      </c>
      <c r="J35" s="22" t="s">
        <v>150</v>
      </c>
      <c r="K35" s="23" t="s">
        <v>151</v>
      </c>
    </row>
    <row r="36" spans="1:14" hidden="1" x14ac:dyDescent="0.35">
      <c r="A36" s="21">
        <v>46729</v>
      </c>
      <c r="B36" s="22" t="str">
        <f>"3274015212990006"</f>
        <v>3274015212990006</v>
      </c>
      <c r="C36" s="22" t="str">
        <f t="shared" si="0"/>
        <v>'3274015212990006</v>
      </c>
      <c r="D36" s="22" t="str">
        <f t="shared" si="1"/>
        <v>tidak ganda</v>
      </c>
      <c r="E36" s="22" t="s">
        <v>154</v>
      </c>
      <c r="F36" s="22" t="s">
        <v>10</v>
      </c>
      <c r="G36" s="22" t="s">
        <v>11</v>
      </c>
      <c r="H36" s="22" t="s">
        <v>91</v>
      </c>
      <c r="I36" s="22" t="s">
        <v>155</v>
      </c>
      <c r="J36" s="22" t="s">
        <v>156</v>
      </c>
      <c r="K36" s="23" t="s">
        <v>157</v>
      </c>
    </row>
    <row r="37" spans="1:14" hidden="1" x14ac:dyDescent="0.35">
      <c r="A37" s="21">
        <v>1349001</v>
      </c>
      <c r="B37" s="22" t="str">
        <f>"3275054108930011"</f>
        <v>3275054108930011</v>
      </c>
      <c r="C37" s="22" t="str">
        <f t="shared" si="0"/>
        <v>'3275054108930011</v>
      </c>
      <c r="D37" s="22" t="str">
        <f t="shared" si="1"/>
        <v>tidak ganda</v>
      </c>
      <c r="E37" s="22" t="s">
        <v>158</v>
      </c>
      <c r="F37" s="22" t="s">
        <v>10</v>
      </c>
      <c r="G37" s="22" t="s">
        <v>11</v>
      </c>
      <c r="H37" s="22" t="s">
        <v>91</v>
      </c>
      <c r="I37" s="22" t="s">
        <v>159</v>
      </c>
      <c r="J37" s="22" t="s">
        <v>160</v>
      </c>
      <c r="K37" s="23" t="s">
        <v>161</v>
      </c>
    </row>
    <row r="38" spans="1:14" hidden="1" x14ac:dyDescent="0.35">
      <c r="A38" s="21">
        <v>1531164</v>
      </c>
      <c r="B38" s="22" t="str">
        <f>"3301021404830009"</f>
        <v>3301021404830009</v>
      </c>
      <c r="C38" s="22" t="str">
        <f t="shared" si="0"/>
        <v>'3301021404830009</v>
      </c>
      <c r="D38" s="22" t="str">
        <f t="shared" si="1"/>
        <v>tidak ganda</v>
      </c>
      <c r="E38" s="22" t="s">
        <v>162</v>
      </c>
      <c r="F38" s="22" t="s">
        <v>10</v>
      </c>
      <c r="G38" s="22" t="s">
        <v>11</v>
      </c>
      <c r="H38" s="22" t="s">
        <v>18</v>
      </c>
      <c r="I38" s="22" t="s">
        <v>19</v>
      </c>
      <c r="J38" s="22" t="s">
        <v>20</v>
      </c>
      <c r="K38" s="23" t="s">
        <v>21</v>
      </c>
      <c r="L38" t="e">
        <f>VLOOKUP(B38,ubah!$B$2:$L$234,4,FALSE)</f>
        <v>#N/A</v>
      </c>
      <c r="M38" t="e">
        <f>VLOOKUP(B38,ubah!$B$2:$L$234,5,FALSE)</f>
        <v>#N/A</v>
      </c>
      <c r="N38" t="e">
        <f>VLOOKUP(B38,ubah!$B$2:$L$234,6,FALSE)</f>
        <v>#N/A</v>
      </c>
    </row>
    <row r="39" spans="1:14" hidden="1" x14ac:dyDescent="0.35">
      <c r="A39" s="21">
        <v>835894</v>
      </c>
      <c r="B39" s="22" t="str">
        <f>"3305064806990005"</f>
        <v>3305064806990005</v>
      </c>
      <c r="C39" s="22" t="str">
        <f t="shared" si="0"/>
        <v>'3305064806990005</v>
      </c>
      <c r="D39" s="22" t="str">
        <f t="shared" si="1"/>
        <v>tidak ganda</v>
      </c>
      <c r="E39" s="22" t="s">
        <v>170</v>
      </c>
      <c r="F39" s="22" t="s">
        <v>10</v>
      </c>
      <c r="G39" s="22" t="s">
        <v>11</v>
      </c>
      <c r="H39" s="22" t="s">
        <v>18</v>
      </c>
      <c r="I39" s="22" t="s">
        <v>171</v>
      </c>
      <c r="J39" s="22" t="s">
        <v>172</v>
      </c>
      <c r="K39" s="23" t="s">
        <v>173</v>
      </c>
    </row>
    <row r="40" spans="1:14" hidden="1" x14ac:dyDescent="0.35">
      <c r="A40" s="21">
        <v>1465633</v>
      </c>
      <c r="B40" s="22" t="str">
        <f>"3315023112020009"</f>
        <v>3315023112020009</v>
      </c>
      <c r="C40" s="22" t="str">
        <f t="shared" si="0"/>
        <v>'3315023112020009</v>
      </c>
      <c r="D40" s="22" t="str">
        <f t="shared" si="1"/>
        <v>tidak ganda</v>
      </c>
      <c r="E40" s="22" t="s">
        <v>174</v>
      </c>
      <c r="F40" s="22" t="s">
        <v>10</v>
      </c>
      <c r="G40" s="22" t="s">
        <v>11</v>
      </c>
      <c r="H40" s="22" t="s">
        <v>18</v>
      </c>
      <c r="I40" s="22" t="s">
        <v>19</v>
      </c>
      <c r="J40" s="22" t="s">
        <v>20</v>
      </c>
      <c r="K40" s="23" t="s">
        <v>145</v>
      </c>
      <c r="L40" t="e">
        <f>VLOOKUP(B40,ubah!$B$2:$L$234,4,FALSE)</f>
        <v>#N/A</v>
      </c>
      <c r="M40" t="e">
        <f>VLOOKUP(B40,ubah!$B$2:$L$234,5,FALSE)</f>
        <v>#N/A</v>
      </c>
      <c r="N40" t="e">
        <f>VLOOKUP(B40,ubah!$B$2:$L$234,6,FALSE)</f>
        <v>#N/A</v>
      </c>
    </row>
    <row r="41" spans="1:14" hidden="1" x14ac:dyDescent="0.35">
      <c r="A41" s="21">
        <v>2060341</v>
      </c>
      <c r="B41" s="22" t="str">
        <f>"3317046107900001"</f>
        <v>3317046107900001</v>
      </c>
      <c r="C41" s="22" t="str">
        <f t="shared" si="0"/>
        <v>'3317046107900001</v>
      </c>
      <c r="D41" s="22" t="str">
        <f t="shared" si="1"/>
        <v>ganda</v>
      </c>
      <c r="E41" s="22" t="s">
        <v>178</v>
      </c>
      <c r="F41" s="22" t="s">
        <v>10</v>
      </c>
      <c r="G41" s="22" t="s">
        <v>11</v>
      </c>
      <c r="H41" s="22" t="s">
        <v>18</v>
      </c>
      <c r="I41" s="22" t="s">
        <v>19</v>
      </c>
      <c r="J41" s="22" t="s">
        <v>20</v>
      </c>
      <c r="K41" s="23" t="s">
        <v>20</v>
      </c>
      <c r="L41" t="e">
        <f>VLOOKUP(B41,ubah!$B$2:$L$234,4,FALSE)</f>
        <v>#N/A</v>
      </c>
      <c r="M41" t="e">
        <f>VLOOKUP(B41,ubah!$B$2:$L$234,5,FALSE)</f>
        <v>#N/A</v>
      </c>
      <c r="N41" t="e">
        <f>VLOOKUP(B41,ubah!$B$2:$L$234,6,FALSE)</f>
        <v>#N/A</v>
      </c>
    </row>
    <row r="42" spans="1:14" hidden="1" x14ac:dyDescent="0.35">
      <c r="A42" s="21">
        <v>1175129</v>
      </c>
      <c r="B42" s="22" t="str">
        <f>"3317046107900001"</f>
        <v>3317046107900001</v>
      </c>
      <c r="C42" s="22" t="str">
        <f t="shared" si="0"/>
        <v>'3317046107900001</v>
      </c>
      <c r="D42" s="22" t="str">
        <f t="shared" si="1"/>
        <v>ganda</v>
      </c>
      <c r="E42" s="22" t="s">
        <v>179</v>
      </c>
      <c r="F42" s="22" t="s">
        <v>10</v>
      </c>
      <c r="G42" s="22" t="s">
        <v>11</v>
      </c>
      <c r="H42" s="22" t="s">
        <v>18</v>
      </c>
      <c r="I42" s="22" t="s">
        <v>180</v>
      </c>
      <c r="J42" s="22" t="s">
        <v>181</v>
      </c>
      <c r="K42" s="23" t="s">
        <v>182</v>
      </c>
    </row>
    <row r="43" spans="1:14" hidden="1" x14ac:dyDescent="0.35">
      <c r="A43" s="21">
        <v>1037183</v>
      </c>
      <c r="B43" s="22" t="str">
        <f>"3324104412020002"</f>
        <v>3324104412020002</v>
      </c>
      <c r="C43" s="22" t="str">
        <f t="shared" si="0"/>
        <v>'3324104412020002</v>
      </c>
      <c r="D43" s="22" t="str">
        <f t="shared" si="1"/>
        <v>tidak ganda</v>
      </c>
      <c r="E43" s="22" t="s">
        <v>183</v>
      </c>
      <c r="F43" s="22" t="s">
        <v>10</v>
      </c>
      <c r="G43" s="22" t="s">
        <v>11</v>
      </c>
      <c r="H43" s="22" t="s">
        <v>18</v>
      </c>
      <c r="I43" s="22" t="s">
        <v>184</v>
      </c>
      <c r="J43" s="22" t="s">
        <v>185</v>
      </c>
      <c r="K43" s="23" t="s">
        <v>186</v>
      </c>
    </row>
    <row r="44" spans="1:14" hidden="1" x14ac:dyDescent="0.35">
      <c r="A44" s="21">
        <v>2058305</v>
      </c>
      <c r="B44" s="22" t="str">
        <f>"3326094308770002"</f>
        <v>3326094308770002</v>
      </c>
      <c r="C44" s="22" t="str">
        <f t="shared" si="0"/>
        <v>'3326094308770002</v>
      </c>
      <c r="D44" s="22" t="str">
        <f t="shared" si="1"/>
        <v>tidak ganda</v>
      </c>
      <c r="E44" s="22" t="s">
        <v>193</v>
      </c>
      <c r="F44" s="22" t="s">
        <v>10</v>
      </c>
      <c r="G44" s="22" t="s">
        <v>11</v>
      </c>
      <c r="H44" s="22" t="s">
        <v>18</v>
      </c>
      <c r="I44" s="22" t="s">
        <v>19</v>
      </c>
      <c r="J44" s="22" t="s">
        <v>20</v>
      </c>
      <c r="K44" s="23" t="s">
        <v>20</v>
      </c>
      <c r="L44" t="e">
        <f>VLOOKUP(B44,ubah!$B$2:$L$234,4,FALSE)</f>
        <v>#N/A</v>
      </c>
      <c r="M44" t="e">
        <f>VLOOKUP(B44,ubah!$B$2:$L$234,5,FALSE)</f>
        <v>#N/A</v>
      </c>
      <c r="N44" t="e">
        <f>VLOOKUP(B44,ubah!$B$2:$L$234,6,FALSE)</f>
        <v>#N/A</v>
      </c>
    </row>
    <row r="45" spans="1:14" hidden="1" x14ac:dyDescent="0.35">
      <c r="A45" s="21">
        <v>2411174</v>
      </c>
      <c r="B45" s="22" t="str">
        <f>"3327103005870001"</f>
        <v>3327103005870001</v>
      </c>
      <c r="C45" s="22" t="str">
        <f t="shared" si="0"/>
        <v>'3327103005870001</v>
      </c>
      <c r="D45" s="22" t="str">
        <f t="shared" si="1"/>
        <v>tidak ganda</v>
      </c>
      <c r="E45" s="22" t="s">
        <v>198</v>
      </c>
      <c r="F45" s="22" t="s">
        <v>10</v>
      </c>
      <c r="G45" s="22" t="s">
        <v>11</v>
      </c>
      <c r="H45" s="22" t="s">
        <v>18</v>
      </c>
      <c r="I45" s="22" t="s">
        <v>19</v>
      </c>
      <c r="J45" s="22" t="s">
        <v>20</v>
      </c>
      <c r="K45" s="23" t="s">
        <v>55</v>
      </c>
      <c r="L45" t="e">
        <f>VLOOKUP(B45,ubah!$B$2:$L$234,4,FALSE)</f>
        <v>#N/A</v>
      </c>
      <c r="M45" t="e">
        <f>VLOOKUP(B45,ubah!$B$2:$L$234,5,FALSE)</f>
        <v>#N/A</v>
      </c>
      <c r="N45" t="e">
        <f>VLOOKUP(B45,ubah!$B$2:$L$234,6,FALSE)</f>
        <v>#N/A</v>
      </c>
    </row>
    <row r="46" spans="1:14" hidden="1" x14ac:dyDescent="0.35">
      <c r="A46" s="21">
        <v>1838050</v>
      </c>
      <c r="B46" s="22" t="str">
        <f>"3327141304900002"</f>
        <v>3327141304900002</v>
      </c>
      <c r="C46" s="22" t="str">
        <f t="shared" si="0"/>
        <v>'3327141304900002</v>
      </c>
      <c r="D46" s="22" t="str">
        <f t="shared" si="1"/>
        <v>tidak ganda</v>
      </c>
      <c r="E46" s="22" t="s">
        <v>202</v>
      </c>
      <c r="F46" s="22" t="s">
        <v>10</v>
      </c>
      <c r="G46" s="22" t="s">
        <v>11</v>
      </c>
      <c r="H46" s="22" t="s">
        <v>18</v>
      </c>
      <c r="I46" s="22" t="s">
        <v>199</v>
      </c>
      <c r="J46" s="22" t="s">
        <v>203</v>
      </c>
      <c r="K46" s="23" t="s">
        <v>203</v>
      </c>
    </row>
    <row r="47" spans="1:14" hidden="1" x14ac:dyDescent="0.35">
      <c r="A47" s="21">
        <v>2057049</v>
      </c>
      <c r="B47" s="22" t="str">
        <f>"3328010107810080"</f>
        <v>3328010107810080</v>
      </c>
      <c r="C47" s="22" t="str">
        <f t="shared" si="0"/>
        <v>'3328010107810080</v>
      </c>
      <c r="D47" s="22" t="str">
        <f t="shared" si="1"/>
        <v>tidak ganda</v>
      </c>
      <c r="E47" s="22" t="s">
        <v>204</v>
      </c>
      <c r="F47" s="22" t="s">
        <v>10</v>
      </c>
      <c r="G47" s="22" t="s">
        <v>11</v>
      </c>
      <c r="H47" s="22" t="s">
        <v>18</v>
      </c>
      <c r="I47" s="22" t="s">
        <v>19</v>
      </c>
      <c r="J47" s="22" t="s">
        <v>20</v>
      </c>
      <c r="K47" s="23" t="s">
        <v>20</v>
      </c>
      <c r="L47" t="e">
        <f>VLOOKUP(B47,ubah!$B$2:$L$234,4,FALSE)</f>
        <v>#N/A</v>
      </c>
      <c r="M47" t="e">
        <f>VLOOKUP(B47,ubah!$B$2:$L$234,5,FALSE)</f>
        <v>#N/A</v>
      </c>
      <c r="N47" t="e">
        <f>VLOOKUP(B47,ubah!$B$2:$L$234,6,FALSE)</f>
        <v>#N/A</v>
      </c>
    </row>
    <row r="48" spans="1:14" hidden="1" x14ac:dyDescent="0.35">
      <c r="A48" s="21">
        <v>2063387</v>
      </c>
      <c r="B48" s="22" t="str">
        <f>"3328010107870203"</f>
        <v>3328010107870203</v>
      </c>
      <c r="C48" s="22" t="str">
        <f t="shared" si="0"/>
        <v>'3328010107870203</v>
      </c>
      <c r="D48" s="22" t="str">
        <f t="shared" si="1"/>
        <v>ganda</v>
      </c>
      <c r="E48" s="22" t="s">
        <v>207</v>
      </c>
      <c r="F48" s="22" t="s">
        <v>10</v>
      </c>
      <c r="G48" s="22" t="s">
        <v>11</v>
      </c>
      <c r="H48" s="22" t="s">
        <v>18</v>
      </c>
      <c r="I48" s="22" t="s">
        <v>19</v>
      </c>
      <c r="J48" s="22" t="s">
        <v>20</v>
      </c>
      <c r="K48" s="23" t="s">
        <v>20</v>
      </c>
      <c r="L48" t="e">
        <f>VLOOKUP(B48,ubah!$B$2:$L$234,4,FALSE)</f>
        <v>#N/A</v>
      </c>
      <c r="M48" t="e">
        <f>VLOOKUP(B48,ubah!$B$2:$L$234,5,FALSE)</f>
        <v>#N/A</v>
      </c>
      <c r="N48" t="e">
        <f>VLOOKUP(B48,ubah!$B$2:$L$234,6,FALSE)</f>
        <v>#N/A</v>
      </c>
    </row>
    <row r="49" spans="1:14" hidden="1" x14ac:dyDescent="0.35">
      <c r="A49" s="21">
        <v>2662156</v>
      </c>
      <c r="B49" s="22" t="str">
        <f>"3328010107870203"</f>
        <v>3328010107870203</v>
      </c>
      <c r="C49" s="22" t="str">
        <f t="shared" si="0"/>
        <v>'3328010107870203</v>
      </c>
      <c r="D49" s="22" t="str">
        <f t="shared" si="1"/>
        <v>ganda</v>
      </c>
      <c r="E49" s="22" t="s">
        <v>207</v>
      </c>
      <c r="F49" s="22" t="s">
        <v>10</v>
      </c>
      <c r="G49" s="22" t="s">
        <v>57</v>
      </c>
      <c r="H49" s="22" t="s">
        <v>18</v>
      </c>
      <c r="I49" s="22" t="s">
        <v>199</v>
      </c>
      <c r="J49" s="22" t="s">
        <v>208</v>
      </c>
      <c r="K49" s="23" t="s">
        <v>209</v>
      </c>
    </row>
    <row r="50" spans="1:14" hidden="1" x14ac:dyDescent="0.35">
      <c r="A50" s="21">
        <v>60946</v>
      </c>
      <c r="B50" s="22" t="str">
        <f>"3328010108490002"</f>
        <v>3328010108490002</v>
      </c>
      <c r="C50" s="22" t="str">
        <f t="shared" si="0"/>
        <v>'3328010108490002</v>
      </c>
      <c r="D50" s="22" t="str">
        <f t="shared" si="1"/>
        <v>tidak ganda</v>
      </c>
      <c r="E50" s="22" t="s">
        <v>210</v>
      </c>
      <c r="F50" s="22" t="s">
        <v>10</v>
      </c>
      <c r="G50" s="22" t="s">
        <v>11</v>
      </c>
      <c r="H50" s="22" t="s">
        <v>211</v>
      </c>
      <c r="I50" s="22" t="s">
        <v>212</v>
      </c>
      <c r="J50" s="22" t="s">
        <v>213</v>
      </c>
      <c r="K50" s="23" t="s">
        <v>214</v>
      </c>
    </row>
    <row r="51" spans="1:14" hidden="1" x14ac:dyDescent="0.35">
      <c r="A51" s="21">
        <v>2067555</v>
      </c>
      <c r="B51" s="22" t="str">
        <f>"3328010112900007"</f>
        <v>3328010112900007</v>
      </c>
      <c r="C51" s="22" t="str">
        <f t="shared" si="0"/>
        <v>'3328010112900007</v>
      </c>
      <c r="D51" s="22" t="str">
        <f t="shared" si="1"/>
        <v>tidak ganda</v>
      </c>
      <c r="E51" s="22" t="s">
        <v>216</v>
      </c>
      <c r="F51" s="22" t="s">
        <v>10</v>
      </c>
      <c r="G51" s="22" t="s">
        <v>11</v>
      </c>
      <c r="H51" s="22" t="s">
        <v>18</v>
      </c>
      <c r="I51" s="22" t="s">
        <v>19</v>
      </c>
      <c r="J51" s="22" t="s">
        <v>20</v>
      </c>
      <c r="K51" s="23" t="s">
        <v>37</v>
      </c>
      <c r="L51" t="e">
        <f>VLOOKUP(B51,ubah!$B$2:$L$234,4,FALSE)</f>
        <v>#N/A</v>
      </c>
      <c r="M51" t="e">
        <f>VLOOKUP(B51,ubah!$B$2:$L$234,5,FALSE)</f>
        <v>#N/A</v>
      </c>
      <c r="N51" t="e">
        <f>VLOOKUP(B51,ubah!$B$2:$L$234,6,FALSE)</f>
        <v>#N/A</v>
      </c>
    </row>
    <row r="52" spans="1:14" hidden="1" x14ac:dyDescent="0.35">
      <c r="A52" s="21">
        <v>409953</v>
      </c>
      <c r="B52" s="22" t="str">
        <f>"3328010304840003"</f>
        <v>3328010304840003</v>
      </c>
      <c r="C52" s="22" t="str">
        <f t="shared" si="0"/>
        <v>'3328010304840003</v>
      </c>
      <c r="D52" s="22" t="str">
        <f t="shared" si="1"/>
        <v>tidak ganda</v>
      </c>
      <c r="E52" s="22" t="s">
        <v>220</v>
      </c>
      <c r="F52" s="22" t="s">
        <v>10</v>
      </c>
      <c r="G52" s="22" t="s">
        <v>11</v>
      </c>
      <c r="H52" s="22" t="s">
        <v>91</v>
      </c>
      <c r="I52" s="22" t="s">
        <v>221</v>
      </c>
      <c r="J52" s="22" t="s">
        <v>222</v>
      </c>
      <c r="K52" s="23" t="s">
        <v>222</v>
      </c>
    </row>
    <row r="53" spans="1:14" hidden="1" x14ac:dyDescent="0.35">
      <c r="A53" s="21">
        <v>1469913</v>
      </c>
      <c r="B53" s="22" t="str">
        <f>"3328010305910006"</f>
        <v>3328010305910006</v>
      </c>
      <c r="C53" s="22" t="str">
        <f t="shared" si="0"/>
        <v>'3328010305910006</v>
      </c>
      <c r="D53" s="22" t="str">
        <f t="shared" si="1"/>
        <v>tidak ganda</v>
      </c>
      <c r="E53" s="22" t="s">
        <v>224</v>
      </c>
      <c r="F53" s="22" t="s">
        <v>10</v>
      </c>
      <c r="G53" s="22" t="s">
        <v>11</v>
      </c>
      <c r="H53" s="22" t="s">
        <v>18</v>
      </c>
      <c r="I53" s="22" t="s">
        <v>19</v>
      </c>
      <c r="J53" s="22" t="s">
        <v>20</v>
      </c>
      <c r="K53" s="23" t="s">
        <v>145</v>
      </c>
      <c r="L53" t="e">
        <f>VLOOKUP(B53,ubah!$B$2:$L$234,4,FALSE)</f>
        <v>#N/A</v>
      </c>
      <c r="M53" t="e">
        <f>VLOOKUP(B53,ubah!$B$2:$L$234,5,FALSE)</f>
        <v>#N/A</v>
      </c>
      <c r="N53" t="e">
        <f>VLOOKUP(B53,ubah!$B$2:$L$234,6,FALSE)</f>
        <v>#N/A</v>
      </c>
    </row>
    <row r="54" spans="1:14" hidden="1" x14ac:dyDescent="0.35">
      <c r="A54" s="21">
        <v>981017</v>
      </c>
      <c r="B54" s="22" t="str">
        <f>"3328010309900004"</f>
        <v>3328010309900004</v>
      </c>
      <c r="C54" s="22" t="str">
        <f t="shared" si="0"/>
        <v>'3328010309900004</v>
      </c>
      <c r="D54" s="22" t="str">
        <f t="shared" si="1"/>
        <v>tidak ganda</v>
      </c>
      <c r="E54" s="22" t="s">
        <v>229</v>
      </c>
      <c r="F54" s="22" t="s">
        <v>10</v>
      </c>
      <c r="G54" s="22" t="s">
        <v>11</v>
      </c>
      <c r="H54" s="22" t="s">
        <v>50</v>
      </c>
      <c r="I54" s="22" t="s">
        <v>51</v>
      </c>
      <c r="J54" s="22" t="s">
        <v>78</v>
      </c>
      <c r="K54" s="23" t="s">
        <v>81</v>
      </c>
    </row>
    <row r="55" spans="1:14" hidden="1" x14ac:dyDescent="0.35">
      <c r="A55" s="21">
        <v>505097</v>
      </c>
      <c r="B55" s="22" t="str">
        <f>"3328010603030006"</f>
        <v>3328010603030006</v>
      </c>
      <c r="C55" s="22" t="str">
        <f t="shared" si="0"/>
        <v>'3328010603030006</v>
      </c>
      <c r="D55" s="22" t="str">
        <f t="shared" si="1"/>
        <v>tidak ganda</v>
      </c>
      <c r="E55" s="22" t="s">
        <v>231</v>
      </c>
      <c r="F55" s="22" t="s">
        <v>10</v>
      </c>
      <c r="G55" s="22" t="s">
        <v>11</v>
      </c>
      <c r="H55" s="22" t="s">
        <v>232</v>
      </c>
      <c r="I55" s="22" t="s">
        <v>233</v>
      </c>
      <c r="J55" s="22" t="s">
        <v>234</v>
      </c>
      <c r="K55" s="23" t="s">
        <v>235</v>
      </c>
    </row>
    <row r="56" spans="1:14" hidden="1" x14ac:dyDescent="0.35">
      <c r="A56" s="21">
        <v>354549</v>
      </c>
      <c r="B56" s="22" t="str">
        <f>"3328010605750002"</f>
        <v>3328010605750002</v>
      </c>
      <c r="C56" s="22" t="str">
        <f t="shared" si="0"/>
        <v>'3328010605750002</v>
      </c>
      <c r="D56" s="22" t="str">
        <f t="shared" si="1"/>
        <v>tidak ganda</v>
      </c>
      <c r="E56" s="22" t="s">
        <v>236</v>
      </c>
      <c r="F56" s="22" t="s">
        <v>10</v>
      </c>
      <c r="G56" s="22" t="s">
        <v>11</v>
      </c>
      <c r="H56" s="22" t="s">
        <v>91</v>
      </c>
      <c r="I56" s="22" t="s">
        <v>92</v>
      </c>
      <c r="J56" s="22" t="s">
        <v>237</v>
      </c>
      <c r="K56" s="23" t="s">
        <v>150</v>
      </c>
    </row>
    <row r="57" spans="1:14" hidden="1" x14ac:dyDescent="0.35">
      <c r="A57" s="21">
        <v>363417</v>
      </c>
      <c r="B57" s="22" t="str">
        <f>"3328010605920007"</f>
        <v>3328010605920007</v>
      </c>
      <c r="C57" s="22" t="str">
        <f t="shared" si="0"/>
        <v>'3328010605920007</v>
      </c>
      <c r="D57" s="22" t="str">
        <f t="shared" si="1"/>
        <v>tidak ganda</v>
      </c>
      <c r="E57" s="22" t="s">
        <v>239</v>
      </c>
      <c r="F57" s="22" t="s">
        <v>10</v>
      </c>
      <c r="G57" s="22" t="s">
        <v>11</v>
      </c>
      <c r="H57" s="22" t="s">
        <v>240</v>
      </c>
      <c r="I57" s="22" t="s">
        <v>241</v>
      </c>
      <c r="J57" s="22" t="s">
        <v>242</v>
      </c>
      <c r="K57" s="23" t="s">
        <v>243</v>
      </c>
    </row>
    <row r="58" spans="1:14" hidden="1" x14ac:dyDescent="0.35">
      <c r="A58" s="21">
        <v>165725</v>
      </c>
      <c r="B58" s="22" t="str">
        <f>"3328010608800006"</f>
        <v>3328010608800006</v>
      </c>
      <c r="C58" s="22" t="str">
        <f t="shared" si="0"/>
        <v>'3328010608800006</v>
      </c>
      <c r="D58" s="22" t="str">
        <f t="shared" si="1"/>
        <v>tidak ganda</v>
      </c>
      <c r="E58" s="22" t="s">
        <v>245</v>
      </c>
      <c r="F58" s="22" t="s">
        <v>10</v>
      </c>
      <c r="G58" s="22" t="s">
        <v>11</v>
      </c>
      <c r="H58" s="22" t="s">
        <v>50</v>
      </c>
      <c r="I58" s="22" t="s">
        <v>72</v>
      </c>
      <c r="J58" s="22" t="s">
        <v>246</v>
      </c>
      <c r="K58" s="23" t="s">
        <v>247</v>
      </c>
    </row>
    <row r="59" spans="1:14" hidden="1" x14ac:dyDescent="0.35">
      <c r="A59" s="21">
        <v>1466667</v>
      </c>
      <c r="B59" s="22" t="str">
        <f>"3328010703040001"</f>
        <v>3328010703040001</v>
      </c>
      <c r="C59" s="22" t="str">
        <f t="shared" si="0"/>
        <v>'3328010703040001</v>
      </c>
      <c r="D59" s="22" t="str">
        <f t="shared" si="1"/>
        <v>tidak ganda</v>
      </c>
      <c r="E59" s="22" t="s">
        <v>249</v>
      </c>
      <c r="F59" s="22" t="s">
        <v>10</v>
      </c>
      <c r="G59" s="22" t="s">
        <v>11</v>
      </c>
      <c r="H59" s="22" t="s">
        <v>18</v>
      </c>
      <c r="I59" s="22" t="s">
        <v>19</v>
      </c>
      <c r="J59" s="22" t="s">
        <v>20</v>
      </c>
      <c r="K59" s="23" t="s">
        <v>145</v>
      </c>
      <c r="L59" t="e">
        <f>VLOOKUP(B59,ubah!$B$2:$L$234,4,FALSE)</f>
        <v>#N/A</v>
      </c>
      <c r="M59" t="e">
        <f>VLOOKUP(B59,ubah!$B$2:$L$234,5,FALSE)</f>
        <v>#N/A</v>
      </c>
      <c r="N59" t="e">
        <f>VLOOKUP(B59,ubah!$B$2:$L$234,6,FALSE)</f>
        <v>#N/A</v>
      </c>
    </row>
    <row r="60" spans="1:14" hidden="1" x14ac:dyDescent="0.35">
      <c r="A60" s="21">
        <v>259383</v>
      </c>
      <c r="B60" s="22" t="str">
        <f>"3328010704870014"</f>
        <v>3328010704870014</v>
      </c>
      <c r="C60" s="22" t="str">
        <f t="shared" si="0"/>
        <v>'3328010704870014</v>
      </c>
      <c r="D60" s="22" t="str">
        <f t="shared" si="1"/>
        <v>tidak ganda</v>
      </c>
      <c r="E60" s="22" t="s">
        <v>253</v>
      </c>
      <c r="F60" s="22" t="s">
        <v>10</v>
      </c>
      <c r="G60" s="22" t="s">
        <v>11</v>
      </c>
      <c r="H60" s="22" t="s">
        <v>44</v>
      </c>
      <c r="I60" s="22" t="s">
        <v>254</v>
      </c>
      <c r="J60" s="22" t="s">
        <v>255</v>
      </c>
      <c r="K60" s="23" t="s">
        <v>256</v>
      </c>
    </row>
    <row r="61" spans="1:14" hidden="1" x14ac:dyDescent="0.35">
      <c r="A61" s="21">
        <v>1447426</v>
      </c>
      <c r="B61" s="22" t="str">
        <f>"3328010711810002"</f>
        <v>3328010711810002</v>
      </c>
      <c r="C61" s="22" t="str">
        <f t="shared" si="0"/>
        <v>'3328010711810002</v>
      </c>
      <c r="D61" s="22" t="str">
        <f t="shared" si="1"/>
        <v>ganda</v>
      </c>
      <c r="E61" s="22" t="s">
        <v>257</v>
      </c>
      <c r="F61" s="22" t="s">
        <v>10</v>
      </c>
      <c r="G61" s="22" t="s">
        <v>11</v>
      </c>
      <c r="H61" s="22" t="s">
        <v>18</v>
      </c>
      <c r="I61" s="22" t="s">
        <v>19</v>
      </c>
      <c r="J61" s="22" t="s">
        <v>20</v>
      </c>
      <c r="K61" s="23" t="s">
        <v>53</v>
      </c>
      <c r="L61" t="e">
        <f>VLOOKUP(B61,ubah!$B$2:$L$234,4,FALSE)</f>
        <v>#N/A</v>
      </c>
      <c r="M61" t="e">
        <f>VLOOKUP(B61,ubah!$B$2:$L$234,5,FALSE)</f>
        <v>#N/A</v>
      </c>
      <c r="N61" t="e">
        <f>VLOOKUP(B61,ubah!$B$2:$L$234,6,FALSE)</f>
        <v>#N/A</v>
      </c>
    </row>
    <row r="62" spans="1:14" hidden="1" x14ac:dyDescent="0.35">
      <c r="A62" s="21">
        <v>2419007</v>
      </c>
      <c r="B62" s="22" t="str">
        <f>"3328010711810002"</f>
        <v>3328010711810002</v>
      </c>
      <c r="C62" s="22" t="str">
        <f t="shared" si="0"/>
        <v>'3328010711810002</v>
      </c>
      <c r="D62" s="22" t="str">
        <f t="shared" si="1"/>
        <v>ganda</v>
      </c>
      <c r="E62" s="22" t="s">
        <v>258</v>
      </c>
      <c r="F62" s="22" t="s">
        <v>10</v>
      </c>
      <c r="G62" s="22" t="s">
        <v>57</v>
      </c>
      <c r="H62" s="22" t="s">
        <v>50</v>
      </c>
      <c r="I62" s="22" t="s">
        <v>58</v>
      </c>
      <c r="J62" s="22" t="s">
        <v>59</v>
      </c>
      <c r="K62" s="23" t="s">
        <v>60</v>
      </c>
    </row>
    <row r="63" spans="1:14" hidden="1" x14ac:dyDescent="0.35">
      <c r="A63" s="21">
        <v>2005369</v>
      </c>
      <c r="B63" s="22" t="str">
        <f>"3328010909850005"</f>
        <v>3328010909850005</v>
      </c>
      <c r="C63" s="22" t="str">
        <f t="shared" si="0"/>
        <v>'3328010909850005</v>
      </c>
      <c r="D63" s="22" t="str">
        <f t="shared" si="1"/>
        <v>tidak ganda</v>
      </c>
      <c r="E63" s="22" t="s">
        <v>259</v>
      </c>
      <c r="F63" s="22" t="s">
        <v>10</v>
      </c>
      <c r="G63" s="22" t="s">
        <v>11</v>
      </c>
      <c r="H63" s="22" t="s">
        <v>50</v>
      </c>
      <c r="I63" s="22" t="s">
        <v>58</v>
      </c>
      <c r="J63" s="22" t="s">
        <v>260</v>
      </c>
      <c r="K63" s="23" t="s">
        <v>261</v>
      </c>
    </row>
    <row r="64" spans="1:14" hidden="1" x14ac:dyDescent="0.35">
      <c r="A64" s="21">
        <v>1460690</v>
      </c>
      <c r="B64" s="22" t="str">
        <f>"3328011103880005"</f>
        <v>3328011103880005</v>
      </c>
      <c r="C64" s="22" t="str">
        <f t="shared" si="0"/>
        <v>'3328011103880005</v>
      </c>
      <c r="D64" s="22" t="str">
        <f t="shared" si="1"/>
        <v>tidak ganda</v>
      </c>
      <c r="E64" s="22" t="s">
        <v>262</v>
      </c>
      <c r="F64" s="22" t="s">
        <v>10</v>
      </c>
      <c r="G64" s="22" t="s">
        <v>11</v>
      </c>
      <c r="H64" s="22" t="s">
        <v>18</v>
      </c>
      <c r="I64" s="22" t="s">
        <v>19</v>
      </c>
      <c r="J64" s="22" t="s">
        <v>20</v>
      </c>
      <c r="K64" s="23" t="s">
        <v>65</v>
      </c>
      <c r="L64" t="e">
        <f>VLOOKUP(B64,ubah!$B$2:$L$234,4,FALSE)</f>
        <v>#N/A</v>
      </c>
      <c r="M64" t="e">
        <f>VLOOKUP(B64,ubah!$B$2:$L$234,5,FALSE)</f>
        <v>#N/A</v>
      </c>
      <c r="N64" t="e">
        <f>VLOOKUP(B64,ubah!$B$2:$L$234,6,FALSE)</f>
        <v>#N/A</v>
      </c>
    </row>
    <row r="65" spans="1:14" hidden="1" x14ac:dyDescent="0.35">
      <c r="A65" s="21">
        <v>1531152</v>
      </c>
      <c r="B65" s="22" t="str">
        <f>"3328011210850007"</f>
        <v>3328011210850007</v>
      </c>
      <c r="C65" s="22" t="str">
        <f t="shared" si="0"/>
        <v>'3328011210850007</v>
      </c>
      <c r="D65" s="22" t="str">
        <f t="shared" si="1"/>
        <v>tidak ganda</v>
      </c>
      <c r="E65" s="22" t="s">
        <v>272</v>
      </c>
      <c r="F65" s="22" t="s">
        <v>10</v>
      </c>
      <c r="G65" s="22" t="s">
        <v>11</v>
      </c>
      <c r="H65" s="22" t="s">
        <v>18</v>
      </c>
      <c r="I65" s="22" t="s">
        <v>19</v>
      </c>
      <c r="J65" s="22" t="s">
        <v>20</v>
      </c>
      <c r="K65" s="23" t="s">
        <v>21</v>
      </c>
      <c r="L65" t="e">
        <f>VLOOKUP(B65,ubah!$B$2:$L$234,4,FALSE)</f>
        <v>#N/A</v>
      </c>
      <c r="M65" t="e">
        <f>VLOOKUP(B65,ubah!$B$2:$L$234,5,FALSE)</f>
        <v>#N/A</v>
      </c>
      <c r="N65" t="e">
        <f>VLOOKUP(B65,ubah!$B$2:$L$234,6,FALSE)</f>
        <v>#N/A</v>
      </c>
    </row>
    <row r="66" spans="1:14" hidden="1" x14ac:dyDescent="0.35">
      <c r="A66" s="21">
        <v>1459696</v>
      </c>
      <c r="B66" s="22" t="str">
        <f>"3328011212790011"</f>
        <v>3328011212790011</v>
      </c>
      <c r="C66" s="22" t="str">
        <f t="shared" si="0"/>
        <v>'3328011212790011</v>
      </c>
      <c r="D66" s="22" t="str">
        <f t="shared" si="1"/>
        <v>ganda</v>
      </c>
      <c r="E66" s="22" t="s">
        <v>275</v>
      </c>
      <c r="F66" s="22" t="s">
        <v>10</v>
      </c>
      <c r="G66" s="22" t="s">
        <v>11</v>
      </c>
      <c r="H66" s="22" t="s">
        <v>18</v>
      </c>
      <c r="I66" s="22" t="s">
        <v>19</v>
      </c>
      <c r="J66" s="22" t="s">
        <v>20</v>
      </c>
      <c r="K66" s="23" t="s">
        <v>76</v>
      </c>
      <c r="L66" t="e">
        <f>VLOOKUP(B66,ubah!$B$2:$L$234,4,FALSE)</f>
        <v>#N/A</v>
      </c>
      <c r="M66" t="e">
        <f>VLOOKUP(B66,ubah!$B$2:$L$234,5,FALSE)</f>
        <v>#N/A</v>
      </c>
      <c r="N66" t="e">
        <f>VLOOKUP(B66,ubah!$B$2:$L$234,6,FALSE)</f>
        <v>#N/A</v>
      </c>
    </row>
    <row r="67" spans="1:14" hidden="1" x14ac:dyDescent="0.35">
      <c r="A67" s="21">
        <v>423828</v>
      </c>
      <c r="B67" s="22" t="str">
        <f>"3328011212790011"</f>
        <v>3328011212790011</v>
      </c>
      <c r="C67" s="22" t="str">
        <f t="shared" ref="C67:C130" si="2">"'"&amp;B67</f>
        <v>'3328011212790011</v>
      </c>
      <c r="D67" s="22" t="str">
        <f t="shared" ref="D67:D130" si="3">IF(COUNTIF($C:$C,C67)&gt;1,"ganda","tidak ganda")</f>
        <v>ganda</v>
      </c>
      <c r="E67" s="22" t="s">
        <v>276</v>
      </c>
      <c r="F67" s="22" t="s">
        <v>10</v>
      </c>
      <c r="G67" s="22" t="s">
        <v>57</v>
      </c>
      <c r="H67" s="22" t="s">
        <v>18</v>
      </c>
      <c r="I67" s="22" t="s">
        <v>268</v>
      </c>
      <c r="J67" s="22" t="s">
        <v>277</v>
      </c>
      <c r="K67" s="23" t="s">
        <v>278</v>
      </c>
    </row>
    <row r="68" spans="1:14" hidden="1" x14ac:dyDescent="0.35">
      <c r="A68" s="21">
        <v>633126</v>
      </c>
      <c r="B68" s="22" t="str">
        <f>"3328011402030003"</f>
        <v>3328011402030003</v>
      </c>
      <c r="C68" s="22" t="str">
        <f t="shared" si="2"/>
        <v>'3328011402030003</v>
      </c>
      <c r="D68" s="22" t="str">
        <f t="shared" si="3"/>
        <v>tidak ganda</v>
      </c>
      <c r="E68" s="22" t="s">
        <v>279</v>
      </c>
      <c r="F68" s="22" t="s">
        <v>10</v>
      </c>
      <c r="G68" s="22" t="s">
        <v>11</v>
      </c>
      <c r="H68" s="22" t="s">
        <v>50</v>
      </c>
      <c r="I68" s="22" t="s">
        <v>280</v>
      </c>
      <c r="J68" s="22" t="s">
        <v>281</v>
      </c>
      <c r="K68" s="23" t="s">
        <v>282</v>
      </c>
    </row>
    <row r="69" spans="1:14" hidden="1" x14ac:dyDescent="0.35">
      <c r="A69" s="21">
        <v>1357276</v>
      </c>
      <c r="B69" s="22" t="str">
        <f>"3328011502550003"</f>
        <v>3328011502550003</v>
      </c>
      <c r="C69" s="22" t="str">
        <f t="shared" si="2"/>
        <v>'3328011502550003</v>
      </c>
      <c r="D69" s="22" t="str">
        <f t="shared" si="3"/>
        <v>tidak ganda</v>
      </c>
      <c r="E69" s="22" t="s">
        <v>283</v>
      </c>
      <c r="F69" s="22" t="s">
        <v>10</v>
      </c>
      <c r="G69" s="22" t="s">
        <v>11</v>
      </c>
      <c r="H69" s="22" t="s">
        <v>50</v>
      </c>
      <c r="I69" s="22" t="s">
        <v>51</v>
      </c>
      <c r="J69" s="22" t="s">
        <v>284</v>
      </c>
      <c r="K69" s="23" t="s">
        <v>285</v>
      </c>
    </row>
    <row r="70" spans="1:14" hidden="1" x14ac:dyDescent="0.35">
      <c r="A70" s="21">
        <v>2097809</v>
      </c>
      <c r="B70" s="22" t="str">
        <f>"3328011503730004"</f>
        <v>3328011503730004</v>
      </c>
      <c r="C70" s="22" t="str">
        <f t="shared" si="2"/>
        <v>'3328011503730004</v>
      </c>
      <c r="D70" s="22" t="str">
        <f t="shared" si="3"/>
        <v>tidak ganda</v>
      </c>
      <c r="E70" s="22" t="s">
        <v>286</v>
      </c>
      <c r="F70" s="22" t="s">
        <v>10</v>
      </c>
      <c r="G70" s="22" t="s">
        <v>11</v>
      </c>
      <c r="H70" s="22" t="s">
        <v>91</v>
      </c>
      <c r="I70" s="22" t="s">
        <v>92</v>
      </c>
      <c r="J70" s="22" t="s">
        <v>287</v>
      </c>
      <c r="K70" s="23" t="s">
        <v>248</v>
      </c>
    </row>
    <row r="71" spans="1:14" hidden="1" x14ac:dyDescent="0.35">
      <c r="A71" s="21">
        <v>1931531</v>
      </c>
      <c r="B71" s="22" t="str">
        <f>"3328011503930008"</f>
        <v>3328011503930008</v>
      </c>
      <c r="C71" s="22" t="str">
        <f t="shared" si="2"/>
        <v>'3328011503930008</v>
      </c>
      <c r="D71" s="22" t="str">
        <f t="shared" si="3"/>
        <v>tidak ganda</v>
      </c>
      <c r="E71" s="22" t="s">
        <v>288</v>
      </c>
      <c r="F71" s="22" t="s">
        <v>10</v>
      </c>
      <c r="G71" s="22" t="s">
        <v>11</v>
      </c>
      <c r="H71" s="22" t="s">
        <v>18</v>
      </c>
      <c r="I71" s="22" t="s">
        <v>19</v>
      </c>
      <c r="J71" s="22" t="s">
        <v>20</v>
      </c>
      <c r="K71" s="23" t="s">
        <v>48</v>
      </c>
      <c r="L71" t="e">
        <f>VLOOKUP(B71,ubah!$B$2:$L$234,4,FALSE)</f>
        <v>#N/A</v>
      </c>
      <c r="M71" t="e">
        <f>VLOOKUP(B71,ubah!$B$2:$L$234,5,FALSE)</f>
        <v>#N/A</v>
      </c>
      <c r="N71" t="e">
        <f>VLOOKUP(B71,ubah!$B$2:$L$234,6,FALSE)</f>
        <v>#N/A</v>
      </c>
    </row>
    <row r="72" spans="1:14" hidden="1" x14ac:dyDescent="0.35">
      <c r="A72" s="21">
        <v>1677528</v>
      </c>
      <c r="B72" s="22" t="str">
        <f>"3328011511980004"</f>
        <v>3328011511980004</v>
      </c>
      <c r="C72" s="22" t="str">
        <f t="shared" si="2"/>
        <v>'3328011511980004</v>
      </c>
      <c r="D72" s="22" t="str">
        <f t="shared" si="3"/>
        <v>tidak ganda</v>
      </c>
      <c r="E72" s="22" t="s">
        <v>291</v>
      </c>
      <c r="F72" s="22" t="s">
        <v>10</v>
      </c>
      <c r="G72" s="22" t="s">
        <v>11</v>
      </c>
      <c r="H72" s="22" t="s">
        <v>18</v>
      </c>
      <c r="I72" s="22" t="s">
        <v>19</v>
      </c>
      <c r="J72" s="22" t="s">
        <v>20</v>
      </c>
      <c r="K72" s="23" t="s">
        <v>23</v>
      </c>
      <c r="L72" t="e">
        <f>VLOOKUP(B72,ubah!$B$2:$L$234,4,FALSE)</f>
        <v>#N/A</v>
      </c>
      <c r="M72" t="e">
        <f>VLOOKUP(B72,ubah!$B$2:$L$234,5,FALSE)</f>
        <v>#N/A</v>
      </c>
      <c r="N72" t="e">
        <f>VLOOKUP(B72,ubah!$B$2:$L$234,6,FALSE)</f>
        <v>#N/A</v>
      </c>
    </row>
    <row r="73" spans="1:14" hidden="1" x14ac:dyDescent="0.35">
      <c r="A73" s="21">
        <v>2242485</v>
      </c>
      <c r="B73" s="22" t="str">
        <f>"3328011601860003"</f>
        <v>3328011601860003</v>
      </c>
      <c r="C73" s="22" t="str">
        <f t="shared" si="2"/>
        <v>'3328011601860003</v>
      </c>
      <c r="D73" s="22" t="str">
        <f t="shared" si="3"/>
        <v>tidak ganda</v>
      </c>
      <c r="E73" s="22" t="s">
        <v>294</v>
      </c>
      <c r="F73" s="22" t="s">
        <v>10</v>
      </c>
      <c r="G73" s="22" t="s">
        <v>11</v>
      </c>
      <c r="H73" s="22" t="s">
        <v>18</v>
      </c>
      <c r="I73" s="22" t="s">
        <v>199</v>
      </c>
      <c r="J73" s="22" t="s">
        <v>200</v>
      </c>
      <c r="K73" s="23" t="s">
        <v>295</v>
      </c>
    </row>
    <row r="74" spans="1:14" hidden="1" x14ac:dyDescent="0.35">
      <c r="A74" s="21">
        <v>129361</v>
      </c>
      <c r="B74" s="22" t="str">
        <f>"3328011704050003"</f>
        <v>3328011704050003</v>
      </c>
      <c r="C74" s="22" t="str">
        <f t="shared" si="2"/>
        <v>'3328011704050003</v>
      </c>
      <c r="D74" s="22" t="str">
        <f t="shared" si="3"/>
        <v>tidak ganda</v>
      </c>
      <c r="E74" s="22" t="s">
        <v>297</v>
      </c>
      <c r="F74" s="22" t="s">
        <v>10</v>
      </c>
      <c r="G74" s="22" t="s">
        <v>11</v>
      </c>
      <c r="H74" s="22" t="s">
        <v>18</v>
      </c>
      <c r="I74" s="22" t="s">
        <v>298</v>
      </c>
      <c r="J74" s="22" t="s">
        <v>299</v>
      </c>
      <c r="K74" s="23" t="s">
        <v>300</v>
      </c>
    </row>
    <row r="75" spans="1:14" hidden="1" x14ac:dyDescent="0.35">
      <c r="A75" s="21">
        <v>1446587</v>
      </c>
      <c r="B75" s="22" t="str">
        <f>"3328011705820008"</f>
        <v>3328011705820008</v>
      </c>
      <c r="C75" s="22" t="str">
        <f t="shared" si="2"/>
        <v>'3328011705820008</v>
      </c>
      <c r="D75" s="22" t="str">
        <f t="shared" si="3"/>
        <v>tidak ganda</v>
      </c>
      <c r="E75" s="22" t="s">
        <v>302</v>
      </c>
      <c r="F75" s="22" t="s">
        <v>10</v>
      </c>
      <c r="G75" s="22" t="s">
        <v>11</v>
      </c>
      <c r="H75" s="22" t="s">
        <v>18</v>
      </c>
      <c r="I75" s="22" t="s">
        <v>19</v>
      </c>
      <c r="J75" s="22" t="s">
        <v>20</v>
      </c>
      <c r="K75" s="23" t="s">
        <v>53</v>
      </c>
      <c r="L75" t="e">
        <f>VLOOKUP(B75,ubah!$B$2:$L$234,4,FALSE)</f>
        <v>#N/A</v>
      </c>
      <c r="M75" t="e">
        <f>VLOOKUP(B75,ubah!$B$2:$L$234,5,FALSE)</f>
        <v>#N/A</v>
      </c>
      <c r="N75" t="e">
        <f>VLOOKUP(B75,ubah!$B$2:$L$234,6,FALSE)</f>
        <v>#N/A</v>
      </c>
    </row>
    <row r="76" spans="1:14" hidden="1" x14ac:dyDescent="0.35">
      <c r="A76" s="21">
        <v>1679564</v>
      </c>
      <c r="B76" s="22" t="str">
        <f>"3328011707960003"</f>
        <v>3328011707960003</v>
      </c>
      <c r="C76" s="22" t="str">
        <f t="shared" si="2"/>
        <v>'3328011707960003</v>
      </c>
      <c r="D76" s="22" t="str">
        <f t="shared" si="3"/>
        <v>tidak ganda</v>
      </c>
      <c r="E76" s="22" t="s">
        <v>306</v>
      </c>
      <c r="F76" s="22" t="s">
        <v>10</v>
      </c>
      <c r="G76" s="22" t="s">
        <v>11</v>
      </c>
      <c r="H76" s="22" t="s">
        <v>18</v>
      </c>
      <c r="I76" s="22" t="s">
        <v>19</v>
      </c>
      <c r="J76" s="22" t="s">
        <v>20</v>
      </c>
      <c r="K76" s="23" t="s">
        <v>23</v>
      </c>
      <c r="L76" t="e">
        <f>VLOOKUP(B76,ubah!$B$2:$L$234,4,FALSE)</f>
        <v>#N/A</v>
      </c>
      <c r="M76" t="e">
        <f>VLOOKUP(B76,ubah!$B$2:$L$234,5,FALSE)</f>
        <v>#N/A</v>
      </c>
      <c r="N76" t="e">
        <f>VLOOKUP(B76,ubah!$B$2:$L$234,6,FALSE)</f>
        <v>#N/A</v>
      </c>
    </row>
    <row r="77" spans="1:14" hidden="1" x14ac:dyDescent="0.35">
      <c r="A77" s="21">
        <v>356872</v>
      </c>
      <c r="B77" s="22" t="str">
        <f>"3328011712850002"</f>
        <v>3328011712850002</v>
      </c>
      <c r="C77" s="22" t="str">
        <f t="shared" si="2"/>
        <v>'3328011712850002</v>
      </c>
      <c r="D77" s="22" t="str">
        <f t="shared" si="3"/>
        <v>tidak ganda</v>
      </c>
      <c r="E77" s="22" t="s">
        <v>259</v>
      </c>
      <c r="F77" s="22" t="s">
        <v>10</v>
      </c>
      <c r="G77" s="22" t="s">
        <v>11</v>
      </c>
      <c r="H77" s="22" t="s">
        <v>18</v>
      </c>
      <c r="I77" s="22" t="s">
        <v>268</v>
      </c>
      <c r="J77" s="22" t="s">
        <v>269</v>
      </c>
      <c r="K77" s="23" t="s">
        <v>270</v>
      </c>
    </row>
    <row r="78" spans="1:14" hidden="1" x14ac:dyDescent="0.35">
      <c r="A78" s="21">
        <v>1445479</v>
      </c>
      <c r="B78" s="22" t="str">
        <f>"3328012109870002"</f>
        <v>3328012109870002</v>
      </c>
      <c r="C78" s="22" t="str">
        <f t="shared" si="2"/>
        <v>'3328012109870002</v>
      </c>
      <c r="D78" s="22" t="str">
        <f t="shared" si="3"/>
        <v>tidak ganda</v>
      </c>
      <c r="E78" s="22" t="s">
        <v>314</v>
      </c>
      <c r="F78" s="22" t="s">
        <v>10</v>
      </c>
      <c r="G78" s="22" t="s">
        <v>11</v>
      </c>
      <c r="H78" s="22" t="s">
        <v>18</v>
      </c>
      <c r="I78" s="22" t="s">
        <v>19</v>
      </c>
      <c r="J78" s="22" t="s">
        <v>20</v>
      </c>
      <c r="K78" s="23" t="s">
        <v>53</v>
      </c>
      <c r="L78" t="e">
        <f>VLOOKUP(B78,ubah!$B$2:$L$234,4,FALSE)</f>
        <v>#N/A</v>
      </c>
      <c r="M78" t="e">
        <f>VLOOKUP(B78,ubah!$B$2:$L$234,5,FALSE)</f>
        <v>#N/A</v>
      </c>
      <c r="N78" t="e">
        <f>VLOOKUP(B78,ubah!$B$2:$L$234,6,FALSE)</f>
        <v>#N/A</v>
      </c>
    </row>
    <row r="79" spans="1:14" hidden="1" x14ac:dyDescent="0.35">
      <c r="A79" s="21">
        <v>1529288</v>
      </c>
      <c r="B79" s="22" t="str">
        <f>"3328012204990007"</f>
        <v>3328012204990007</v>
      </c>
      <c r="C79" s="22" t="str">
        <f t="shared" si="2"/>
        <v>'3328012204990007</v>
      </c>
      <c r="D79" s="22" t="str">
        <f t="shared" si="3"/>
        <v>tidak ganda</v>
      </c>
      <c r="E79" s="22" t="s">
        <v>318</v>
      </c>
      <c r="F79" s="22" t="s">
        <v>10</v>
      </c>
      <c r="G79" s="22" t="s">
        <v>11</v>
      </c>
      <c r="H79" s="22" t="s">
        <v>18</v>
      </c>
      <c r="I79" s="22" t="s">
        <v>19</v>
      </c>
      <c r="J79" s="22" t="s">
        <v>20</v>
      </c>
      <c r="K79" s="23" t="s">
        <v>21</v>
      </c>
      <c r="L79" t="e">
        <f>VLOOKUP(B79,ubah!$B$2:$L$234,4,FALSE)</f>
        <v>#N/A</v>
      </c>
      <c r="M79" t="e">
        <f>VLOOKUP(B79,ubah!$B$2:$L$234,5,FALSE)</f>
        <v>#N/A</v>
      </c>
      <c r="N79" t="e">
        <f>VLOOKUP(B79,ubah!$B$2:$L$234,6,FALSE)</f>
        <v>#N/A</v>
      </c>
    </row>
    <row r="80" spans="1:14" hidden="1" x14ac:dyDescent="0.35">
      <c r="A80" s="21">
        <v>1452096</v>
      </c>
      <c r="B80" s="22" t="str">
        <f>"3328012205990008"</f>
        <v>3328012205990008</v>
      </c>
      <c r="C80" s="22" t="str">
        <f t="shared" si="2"/>
        <v>'3328012205990008</v>
      </c>
      <c r="D80" s="22" t="str">
        <f t="shared" si="3"/>
        <v>tidak ganda</v>
      </c>
      <c r="E80" s="22" t="s">
        <v>322</v>
      </c>
      <c r="F80" s="22" t="s">
        <v>10</v>
      </c>
      <c r="G80" s="22" t="s">
        <v>11</v>
      </c>
      <c r="H80" s="22" t="s">
        <v>18</v>
      </c>
      <c r="I80" s="22" t="s">
        <v>19</v>
      </c>
      <c r="J80" s="22" t="s">
        <v>20</v>
      </c>
      <c r="K80" s="23" t="s">
        <v>53</v>
      </c>
      <c r="L80" t="e">
        <f>VLOOKUP(B80,ubah!$B$2:$L$234,4,FALSE)</f>
        <v>#N/A</v>
      </c>
      <c r="M80" t="e">
        <f>VLOOKUP(B80,ubah!$B$2:$L$234,5,FALSE)</f>
        <v>#N/A</v>
      </c>
      <c r="N80" t="e">
        <f>VLOOKUP(B80,ubah!$B$2:$L$234,6,FALSE)</f>
        <v>#N/A</v>
      </c>
    </row>
    <row r="81" spans="1:14" hidden="1" x14ac:dyDescent="0.35">
      <c r="A81" s="21">
        <v>683476</v>
      </c>
      <c r="B81" s="22" t="str">
        <f>"3328012211770001"</f>
        <v>3328012211770001</v>
      </c>
      <c r="C81" s="22" t="str">
        <f t="shared" si="2"/>
        <v>'3328012211770001</v>
      </c>
      <c r="D81" s="22" t="str">
        <f t="shared" si="3"/>
        <v>tidak ganda</v>
      </c>
      <c r="E81" s="22" t="s">
        <v>327</v>
      </c>
      <c r="F81" s="22" t="s">
        <v>10</v>
      </c>
      <c r="G81" s="22" t="s">
        <v>11</v>
      </c>
      <c r="H81" s="22" t="s">
        <v>50</v>
      </c>
      <c r="I81" s="22" t="s">
        <v>58</v>
      </c>
      <c r="J81" s="22" t="s">
        <v>97</v>
      </c>
      <c r="K81" s="23" t="s">
        <v>328</v>
      </c>
    </row>
    <row r="82" spans="1:14" hidden="1" x14ac:dyDescent="0.35">
      <c r="A82" s="21">
        <v>1549769</v>
      </c>
      <c r="B82" s="22" t="str">
        <f>"3328012304970005"</f>
        <v>3328012304970005</v>
      </c>
      <c r="C82" s="22" t="str">
        <f t="shared" si="2"/>
        <v>'3328012304970005</v>
      </c>
      <c r="D82" s="22" t="str">
        <f t="shared" si="3"/>
        <v>tidak ganda</v>
      </c>
      <c r="E82" s="22" t="s">
        <v>329</v>
      </c>
      <c r="F82" s="22" t="s">
        <v>10</v>
      </c>
      <c r="G82" s="22" t="s">
        <v>11</v>
      </c>
      <c r="H82" s="22" t="s">
        <v>18</v>
      </c>
      <c r="I82" s="22" t="s">
        <v>264</v>
      </c>
      <c r="J82" s="22" t="s">
        <v>330</v>
      </c>
      <c r="K82" s="23" t="s">
        <v>331</v>
      </c>
    </row>
    <row r="83" spans="1:14" hidden="1" x14ac:dyDescent="0.35">
      <c r="A83" s="21">
        <v>620683</v>
      </c>
      <c r="B83" s="22" t="str">
        <f>"3328012506020005"</f>
        <v>3328012506020005</v>
      </c>
      <c r="C83" s="22" t="str">
        <f t="shared" si="2"/>
        <v>'3328012506020005</v>
      </c>
      <c r="D83" s="22" t="str">
        <f t="shared" si="3"/>
        <v>tidak ganda</v>
      </c>
      <c r="E83" s="22" t="s">
        <v>333</v>
      </c>
      <c r="F83" s="22" t="s">
        <v>10</v>
      </c>
      <c r="G83" s="22" t="s">
        <v>11</v>
      </c>
      <c r="H83" s="22" t="s">
        <v>50</v>
      </c>
      <c r="I83" s="22" t="s">
        <v>51</v>
      </c>
      <c r="J83" s="22" t="s">
        <v>78</v>
      </c>
      <c r="K83" s="23" t="s">
        <v>334</v>
      </c>
    </row>
    <row r="84" spans="1:14" hidden="1" x14ac:dyDescent="0.35">
      <c r="A84" s="21">
        <v>2071840</v>
      </c>
      <c r="B84" s="22" t="str">
        <f>"3328012708940001"</f>
        <v>3328012708940001</v>
      </c>
      <c r="C84" s="22" t="str">
        <f t="shared" si="2"/>
        <v>'3328012708940001</v>
      </c>
      <c r="D84" s="22" t="str">
        <f t="shared" si="3"/>
        <v>tidak ganda</v>
      </c>
      <c r="E84" s="22" t="s">
        <v>335</v>
      </c>
      <c r="F84" s="22" t="s">
        <v>10</v>
      </c>
      <c r="G84" s="22" t="s">
        <v>11</v>
      </c>
      <c r="H84" s="22" t="s">
        <v>18</v>
      </c>
      <c r="I84" s="22" t="s">
        <v>19</v>
      </c>
      <c r="J84" s="22" t="s">
        <v>20</v>
      </c>
      <c r="K84" s="23" t="s">
        <v>37</v>
      </c>
      <c r="L84" t="e">
        <f>VLOOKUP(B84,ubah!$B$2:$L$234,4,FALSE)</f>
        <v>#N/A</v>
      </c>
      <c r="M84" t="e">
        <f>VLOOKUP(B84,ubah!$B$2:$L$234,5,FALSE)</f>
        <v>#N/A</v>
      </c>
      <c r="N84" t="e">
        <f>VLOOKUP(B84,ubah!$B$2:$L$234,6,FALSE)</f>
        <v>#N/A</v>
      </c>
    </row>
    <row r="85" spans="1:14" hidden="1" x14ac:dyDescent="0.35">
      <c r="A85" s="21">
        <v>427090</v>
      </c>
      <c r="B85" s="22" t="str">
        <f>"3328012708970002"</f>
        <v>3328012708970002</v>
      </c>
      <c r="C85" s="22" t="str">
        <f t="shared" si="2"/>
        <v>'3328012708970002</v>
      </c>
      <c r="D85" s="22" t="str">
        <f t="shared" si="3"/>
        <v>tidak ganda</v>
      </c>
      <c r="E85" s="22" t="s">
        <v>337</v>
      </c>
      <c r="F85" s="22" t="s">
        <v>10</v>
      </c>
      <c r="G85" s="22" t="s">
        <v>11</v>
      </c>
      <c r="H85" s="22" t="s">
        <v>33</v>
      </c>
      <c r="I85" s="22" t="s">
        <v>338</v>
      </c>
      <c r="J85" s="22" t="s">
        <v>339</v>
      </c>
      <c r="K85" s="23" t="s">
        <v>340</v>
      </c>
    </row>
    <row r="86" spans="1:14" hidden="1" x14ac:dyDescent="0.35">
      <c r="A86" s="21">
        <v>1890948</v>
      </c>
      <c r="B86" s="22" t="str">
        <f>"3328012806020004"</f>
        <v>3328012806020004</v>
      </c>
      <c r="C86" s="22" t="str">
        <f t="shared" si="2"/>
        <v>'3328012806020004</v>
      </c>
      <c r="D86" s="22" t="str">
        <f t="shared" si="3"/>
        <v>tidak ganda</v>
      </c>
      <c r="E86" s="22" t="s">
        <v>341</v>
      </c>
      <c r="F86" s="22" t="s">
        <v>10</v>
      </c>
      <c r="G86" s="22" t="s">
        <v>11</v>
      </c>
      <c r="H86" s="22" t="s">
        <v>50</v>
      </c>
      <c r="I86" s="22" t="s">
        <v>58</v>
      </c>
      <c r="J86" s="22" t="s">
        <v>97</v>
      </c>
      <c r="K86" s="23" t="s">
        <v>342</v>
      </c>
    </row>
    <row r="87" spans="1:14" hidden="1" x14ac:dyDescent="0.35">
      <c r="A87" s="21">
        <v>816423</v>
      </c>
      <c r="B87" s="22" t="str">
        <f>"3328012904000004"</f>
        <v>3328012904000004</v>
      </c>
      <c r="C87" s="22" t="str">
        <f t="shared" si="2"/>
        <v>'3328012904000004</v>
      </c>
      <c r="D87" s="22" t="str">
        <f t="shared" si="3"/>
        <v>tidak ganda</v>
      </c>
      <c r="E87" s="22" t="s">
        <v>343</v>
      </c>
      <c r="F87" s="22" t="s">
        <v>10</v>
      </c>
      <c r="G87" s="22" t="s">
        <v>11</v>
      </c>
      <c r="H87" s="22" t="s">
        <v>18</v>
      </c>
      <c r="I87" s="22" t="s">
        <v>264</v>
      </c>
      <c r="J87" s="22" t="s">
        <v>344</v>
      </c>
      <c r="K87" s="23" t="s">
        <v>345</v>
      </c>
    </row>
    <row r="88" spans="1:14" hidden="1" x14ac:dyDescent="0.35">
      <c r="A88" s="21">
        <v>2415239</v>
      </c>
      <c r="B88" s="22" t="str">
        <f>"3328013006870006"</f>
        <v>3328013006870006</v>
      </c>
      <c r="C88" s="22" t="str">
        <f t="shared" si="2"/>
        <v>'3328013006870006</v>
      </c>
      <c r="D88" s="22" t="str">
        <f t="shared" si="3"/>
        <v>tidak ganda</v>
      </c>
      <c r="E88" s="22" t="s">
        <v>350</v>
      </c>
      <c r="F88" s="22" t="s">
        <v>10</v>
      </c>
      <c r="G88" s="22" t="s">
        <v>11</v>
      </c>
      <c r="H88" s="22" t="s">
        <v>18</v>
      </c>
      <c r="I88" s="22" t="s">
        <v>19</v>
      </c>
      <c r="J88" s="22" t="s">
        <v>20</v>
      </c>
      <c r="K88" s="23" t="s">
        <v>55</v>
      </c>
      <c r="L88" t="e">
        <f>VLOOKUP(B88,ubah!$B$2:$L$234,4,FALSE)</f>
        <v>#N/A</v>
      </c>
      <c r="M88" t="e">
        <f>VLOOKUP(B88,ubah!$B$2:$L$234,5,FALSE)</f>
        <v>#N/A</v>
      </c>
      <c r="N88" t="e">
        <f>VLOOKUP(B88,ubah!$B$2:$L$234,6,FALSE)</f>
        <v>#N/A</v>
      </c>
    </row>
    <row r="89" spans="1:14" hidden="1" x14ac:dyDescent="0.35">
      <c r="A89" s="21">
        <v>1535076</v>
      </c>
      <c r="B89" s="22" t="str">
        <f>"3328013008970006"</f>
        <v>3328013008970006</v>
      </c>
      <c r="C89" s="22" t="str">
        <f t="shared" si="2"/>
        <v>'3328013008970006</v>
      </c>
      <c r="D89" s="22" t="str">
        <f t="shared" si="3"/>
        <v>tidak ganda</v>
      </c>
      <c r="E89" s="22" t="s">
        <v>354</v>
      </c>
      <c r="F89" s="22" t="s">
        <v>10</v>
      </c>
      <c r="G89" s="22" t="s">
        <v>11</v>
      </c>
      <c r="H89" s="22" t="s">
        <v>18</v>
      </c>
      <c r="I89" s="22" t="s">
        <v>19</v>
      </c>
      <c r="J89" s="22" t="s">
        <v>20</v>
      </c>
      <c r="K89" s="23" t="s">
        <v>21</v>
      </c>
      <c r="L89" t="e">
        <f>VLOOKUP(B89,ubah!$B$2:$L$234,4,FALSE)</f>
        <v>#N/A</v>
      </c>
      <c r="M89" t="e">
        <f>VLOOKUP(B89,ubah!$B$2:$L$234,5,FALSE)</f>
        <v>#N/A</v>
      </c>
      <c r="N89" t="e">
        <f>VLOOKUP(B89,ubah!$B$2:$L$234,6,FALSE)</f>
        <v>#N/A</v>
      </c>
    </row>
    <row r="90" spans="1:14" hidden="1" x14ac:dyDescent="0.35">
      <c r="A90" s="21">
        <v>2071912</v>
      </c>
      <c r="B90" s="22" t="str">
        <f>"3328013112880035"</f>
        <v>3328013112880035</v>
      </c>
      <c r="C90" s="22" t="str">
        <f t="shared" si="2"/>
        <v>'3328013112880035</v>
      </c>
      <c r="D90" s="22" t="str">
        <f t="shared" si="3"/>
        <v>ganda</v>
      </c>
      <c r="E90" s="22" t="s">
        <v>357</v>
      </c>
      <c r="F90" s="22" t="s">
        <v>10</v>
      </c>
      <c r="G90" s="22" t="s">
        <v>11</v>
      </c>
      <c r="H90" s="22" t="s">
        <v>18</v>
      </c>
      <c r="I90" s="22" t="s">
        <v>19</v>
      </c>
      <c r="J90" s="22" t="s">
        <v>20</v>
      </c>
      <c r="K90" s="23" t="s">
        <v>37</v>
      </c>
      <c r="L90" t="e">
        <f>VLOOKUP(B90,ubah!$B$2:$L$234,4,FALSE)</f>
        <v>#N/A</v>
      </c>
      <c r="M90" t="e">
        <f>VLOOKUP(B90,ubah!$B$2:$L$234,5,FALSE)</f>
        <v>#N/A</v>
      </c>
      <c r="N90" t="e">
        <f>VLOOKUP(B90,ubah!$B$2:$L$234,6,FALSE)</f>
        <v>#N/A</v>
      </c>
    </row>
    <row r="91" spans="1:14" hidden="1" x14ac:dyDescent="0.35">
      <c r="A91" s="21">
        <v>1637310</v>
      </c>
      <c r="B91" s="22" t="str">
        <f>"3328013112880035"</f>
        <v>3328013112880035</v>
      </c>
      <c r="C91" s="22" t="str">
        <f t="shared" si="2"/>
        <v>'3328013112880035</v>
      </c>
      <c r="D91" s="22" t="str">
        <f t="shared" si="3"/>
        <v>ganda</v>
      </c>
      <c r="E91" s="22" t="s">
        <v>358</v>
      </c>
      <c r="F91" s="22" t="s">
        <v>10</v>
      </c>
      <c r="G91" s="22" t="s">
        <v>57</v>
      </c>
      <c r="H91" s="22" t="s">
        <v>18</v>
      </c>
      <c r="I91" s="22" t="s">
        <v>264</v>
      </c>
      <c r="J91" s="22" t="s">
        <v>264</v>
      </c>
      <c r="K91" s="23" t="s">
        <v>264</v>
      </c>
    </row>
    <row r="92" spans="1:14" hidden="1" x14ac:dyDescent="0.35">
      <c r="A92" s="21">
        <v>1456558</v>
      </c>
      <c r="B92" s="22" t="str">
        <f>"3328013112920013"</f>
        <v>3328013112920013</v>
      </c>
      <c r="C92" s="22" t="str">
        <f t="shared" si="2"/>
        <v>'3328013112920013</v>
      </c>
      <c r="D92" s="22" t="str">
        <f t="shared" si="3"/>
        <v>tidak ganda</v>
      </c>
      <c r="E92" s="22" t="s">
        <v>359</v>
      </c>
      <c r="F92" s="22" t="s">
        <v>10</v>
      </c>
      <c r="G92" s="22" t="s">
        <v>11</v>
      </c>
      <c r="H92" s="22" t="s">
        <v>18</v>
      </c>
      <c r="I92" s="22" t="s">
        <v>19</v>
      </c>
      <c r="J92" s="22" t="s">
        <v>20</v>
      </c>
      <c r="K92" s="23" t="s">
        <v>76</v>
      </c>
      <c r="L92" t="e">
        <f>VLOOKUP(B92,ubah!$B$2:$L$234,4,FALSE)</f>
        <v>#N/A</v>
      </c>
      <c r="M92" t="e">
        <f>VLOOKUP(B92,ubah!$B$2:$L$234,5,FALSE)</f>
        <v>#N/A</v>
      </c>
      <c r="N92" t="e">
        <f>VLOOKUP(B92,ubah!$B$2:$L$234,6,FALSE)</f>
        <v>#N/A</v>
      </c>
    </row>
    <row r="93" spans="1:14" hidden="1" x14ac:dyDescent="0.35">
      <c r="A93" s="21">
        <v>1457396</v>
      </c>
      <c r="B93" s="22" t="str">
        <f>"3328014107860008"</f>
        <v>3328014107860008</v>
      </c>
      <c r="C93" s="22" t="str">
        <f t="shared" si="2"/>
        <v>'3328014107860008</v>
      </c>
      <c r="D93" s="22" t="str">
        <f t="shared" si="3"/>
        <v>tidak ganda</v>
      </c>
      <c r="E93" s="22" t="s">
        <v>365</v>
      </c>
      <c r="F93" s="22" t="s">
        <v>10</v>
      </c>
      <c r="G93" s="22" t="s">
        <v>11</v>
      </c>
      <c r="H93" s="22" t="s">
        <v>18</v>
      </c>
      <c r="I93" s="22" t="s">
        <v>19</v>
      </c>
      <c r="J93" s="22" t="s">
        <v>20</v>
      </c>
      <c r="K93" s="23" t="s">
        <v>76</v>
      </c>
      <c r="L93" t="e">
        <f>VLOOKUP(B93,ubah!$B$2:$L$234,4,FALSE)</f>
        <v>#N/A</v>
      </c>
      <c r="M93" t="e">
        <f>VLOOKUP(B93,ubah!$B$2:$L$234,5,FALSE)</f>
        <v>#N/A</v>
      </c>
      <c r="N93" t="e">
        <f>VLOOKUP(B93,ubah!$B$2:$L$234,6,FALSE)</f>
        <v>#N/A</v>
      </c>
    </row>
    <row r="94" spans="1:14" hidden="1" x14ac:dyDescent="0.35">
      <c r="A94" s="21">
        <v>596666</v>
      </c>
      <c r="B94" s="22" t="str">
        <f>"3328014111020003"</f>
        <v>3328014111020003</v>
      </c>
      <c r="C94" s="22" t="str">
        <f t="shared" si="2"/>
        <v>'3328014111020003</v>
      </c>
      <c r="D94" s="22" t="str">
        <f t="shared" si="3"/>
        <v>tidak ganda</v>
      </c>
      <c r="E94" s="22" t="s">
        <v>367</v>
      </c>
      <c r="F94" s="22" t="s">
        <v>10</v>
      </c>
      <c r="G94" s="22" t="s">
        <v>11</v>
      </c>
      <c r="H94" s="22" t="s">
        <v>91</v>
      </c>
      <c r="I94" s="22" t="s">
        <v>320</v>
      </c>
      <c r="J94" s="22" t="s">
        <v>368</v>
      </c>
      <c r="K94" s="23" t="s">
        <v>369</v>
      </c>
    </row>
    <row r="95" spans="1:14" hidden="1" x14ac:dyDescent="0.35">
      <c r="A95" s="21">
        <v>233989</v>
      </c>
      <c r="B95" s="22" t="str">
        <f>"3328014208890003"</f>
        <v>3328014208890003</v>
      </c>
      <c r="C95" s="22" t="str">
        <f t="shared" si="2"/>
        <v>'3328014208890003</v>
      </c>
      <c r="D95" s="22" t="str">
        <f t="shared" si="3"/>
        <v>tidak ganda</v>
      </c>
      <c r="E95" s="22" t="s">
        <v>370</v>
      </c>
      <c r="F95" s="22" t="s">
        <v>10</v>
      </c>
      <c r="G95" s="22" t="s">
        <v>11</v>
      </c>
      <c r="H95" s="22" t="s">
        <v>18</v>
      </c>
      <c r="I95" s="22" t="s">
        <v>268</v>
      </c>
      <c r="J95" s="22" t="s">
        <v>371</v>
      </c>
      <c r="K95" s="23" t="s">
        <v>372</v>
      </c>
    </row>
    <row r="96" spans="1:14" hidden="1" x14ac:dyDescent="0.35">
      <c r="A96" s="21">
        <v>2069081</v>
      </c>
      <c r="B96" s="22" t="str">
        <f>"3328014211010003"</f>
        <v>3328014211010003</v>
      </c>
      <c r="C96" s="22" t="str">
        <f t="shared" si="2"/>
        <v>'3328014211010003</v>
      </c>
      <c r="D96" s="22" t="str">
        <f t="shared" si="3"/>
        <v>ganda</v>
      </c>
      <c r="E96" s="22" t="s">
        <v>374</v>
      </c>
      <c r="F96" s="22" t="s">
        <v>10</v>
      </c>
      <c r="G96" s="22" t="s">
        <v>11</v>
      </c>
      <c r="H96" s="22" t="s">
        <v>18</v>
      </c>
      <c r="I96" s="22" t="s">
        <v>19</v>
      </c>
      <c r="J96" s="22" t="s">
        <v>20</v>
      </c>
      <c r="K96" s="23" t="s">
        <v>37</v>
      </c>
      <c r="L96" t="e">
        <f>VLOOKUP(B96,ubah!$B$2:$L$234,4,FALSE)</f>
        <v>#N/A</v>
      </c>
      <c r="M96" t="e">
        <f>VLOOKUP(B96,ubah!$B$2:$L$234,5,FALSE)</f>
        <v>#N/A</v>
      </c>
      <c r="N96" t="e">
        <f>VLOOKUP(B96,ubah!$B$2:$L$234,6,FALSE)</f>
        <v>#N/A</v>
      </c>
    </row>
    <row r="97" spans="1:14" hidden="1" x14ac:dyDescent="0.35">
      <c r="A97" s="21">
        <v>2595323</v>
      </c>
      <c r="B97" s="22" t="str">
        <f>"3328014211010003"</f>
        <v>3328014211010003</v>
      </c>
      <c r="C97" s="22" t="str">
        <f t="shared" si="2"/>
        <v>'3328014211010003</v>
      </c>
      <c r="D97" s="22" t="str">
        <f t="shared" si="3"/>
        <v>ganda</v>
      </c>
      <c r="E97" s="22" t="s">
        <v>374</v>
      </c>
      <c r="F97" s="22" t="s">
        <v>10</v>
      </c>
      <c r="G97" s="22" t="s">
        <v>57</v>
      </c>
      <c r="H97" s="22" t="s">
        <v>67</v>
      </c>
      <c r="I97" s="22" t="s">
        <v>375</v>
      </c>
      <c r="J97" s="22" t="s">
        <v>376</v>
      </c>
      <c r="K97" s="23" t="s">
        <v>377</v>
      </c>
    </row>
    <row r="98" spans="1:14" hidden="1" x14ac:dyDescent="0.35">
      <c r="A98" s="21">
        <v>227697</v>
      </c>
      <c r="B98" s="22" t="str">
        <f>"3328014304960006"</f>
        <v>3328014304960006</v>
      </c>
      <c r="C98" s="22" t="str">
        <f t="shared" si="2"/>
        <v>'3328014304960006</v>
      </c>
      <c r="D98" s="22" t="str">
        <f t="shared" si="3"/>
        <v>tidak ganda</v>
      </c>
      <c r="E98" s="22" t="s">
        <v>378</v>
      </c>
      <c r="F98" s="22" t="s">
        <v>10</v>
      </c>
      <c r="G98" s="22" t="s">
        <v>11</v>
      </c>
      <c r="H98" s="22" t="s">
        <v>379</v>
      </c>
      <c r="I98" s="22" t="s">
        <v>380</v>
      </c>
      <c r="J98" s="22" t="s">
        <v>381</v>
      </c>
      <c r="K98" s="23" t="s">
        <v>382</v>
      </c>
    </row>
    <row r="99" spans="1:14" hidden="1" x14ac:dyDescent="0.35">
      <c r="A99" s="21">
        <v>2415020</v>
      </c>
      <c r="B99" s="22" t="str">
        <f>"3328014306870013"</f>
        <v>3328014306870013</v>
      </c>
      <c r="C99" s="22" t="str">
        <f t="shared" si="2"/>
        <v>'3328014306870013</v>
      </c>
      <c r="D99" s="22" t="str">
        <f t="shared" si="3"/>
        <v>tidak ganda</v>
      </c>
      <c r="E99" s="22" t="s">
        <v>384</v>
      </c>
      <c r="F99" s="22" t="s">
        <v>10</v>
      </c>
      <c r="G99" s="22" t="s">
        <v>11</v>
      </c>
      <c r="H99" s="22" t="s">
        <v>18</v>
      </c>
      <c r="I99" s="22" t="s">
        <v>19</v>
      </c>
      <c r="J99" s="22" t="s">
        <v>20</v>
      </c>
      <c r="K99" s="23" t="s">
        <v>55</v>
      </c>
      <c r="L99" t="e">
        <f>VLOOKUP(B99,ubah!$B$2:$L$234,4,FALSE)</f>
        <v>#N/A</v>
      </c>
      <c r="M99" t="e">
        <f>VLOOKUP(B99,ubah!$B$2:$L$234,5,FALSE)</f>
        <v>#N/A</v>
      </c>
      <c r="N99" t="e">
        <f>VLOOKUP(B99,ubah!$B$2:$L$234,6,FALSE)</f>
        <v>#N/A</v>
      </c>
    </row>
    <row r="100" spans="1:14" hidden="1" x14ac:dyDescent="0.35">
      <c r="A100" s="21">
        <v>1465458</v>
      </c>
      <c r="B100" s="22" t="str">
        <f>"3328014308860005"</f>
        <v>3328014308860005</v>
      </c>
      <c r="C100" s="22" t="str">
        <f t="shared" si="2"/>
        <v>'3328014308860005</v>
      </c>
      <c r="D100" s="22" t="str">
        <f t="shared" si="3"/>
        <v>tidak ganda</v>
      </c>
      <c r="E100" s="22" t="s">
        <v>388</v>
      </c>
      <c r="F100" s="22" t="s">
        <v>10</v>
      </c>
      <c r="G100" s="22" t="s">
        <v>11</v>
      </c>
      <c r="H100" s="22" t="s">
        <v>18</v>
      </c>
      <c r="I100" s="22" t="s">
        <v>19</v>
      </c>
      <c r="J100" s="22" t="s">
        <v>20</v>
      </c>
      <c r="K100" s="23" t="s">
        <v>145</v>
      </c>
      <c r="L100" t="e">
        <f>VLOOKUP(B100,ubah!$B$2:$L$234,4,FALSE)</f>
        <v>#N/A</v>
      </c>
      <c r="M100" t="e">
        <f>VLOOKUP(B100,ubah!$B$2:$L$234,5,FALSE)</f>
        <v>#N/A</v>
      </c>
      <c r="N100" t="e">
        <f>VLOOKUP(B100,ubah!$B$2:$L$234,6,FALSE)</f>
        <v>#N/A</v>
      </c>
    </row>
    <row r="101" spans="1:14" hidden="1" x14ac:dyDescent="0.35">
      <c r="A101" s="21">
        <v>354550</v>
      </c>
      <c r="B101" s="22" t="str">
        <f>"3328014507800004"</f>
        <v>3328014507800004</v>
      </c>
      <c r="C101" s="22" t="str">
        <f t="shared" si="2"/>
        <v>'3328014507800004</v>
      </c>
      <c r="D101" s="22" t="str">
        <f t="shared" si="3"/>
        <v>tidak ganda</v>
      </c>
      <c r="E101" s="22" t="s">
        <v>389</v>
      </c>
      <c r="F101" s="22" t="s">
        <v>10</v>
      </c>
      <c r="G101" s="22" t="s">
        <v>11</v>
      </c>
      <c r="H101" s="22" t="s">
        <v>91</v>
      </c>
      <c r="I101" s="22" t="s">
        <v>92</v>
      </c>
      <c r="J101" s="22" t="s">
        <v>237</v>
      </c>
      <c r="K101" s="23" t="s">
        <v>150</v>
      </c>
    </row>
    <row r="102" spans="1:14" hidden="1" x14ac:dyDescent="0.35">
      <c r="A102" s="21">
        <v>1463046</v>
      </c>
      <c r="B102" s="22" t="str">
        <f>"3328014507820008"</f>
        <v>3328014507820008</v>
      </c>
      <c r="C102" s="22" t="str">
        <f t="shared" si="2"/>
        <v>'3328014507820008</v>
      </c>
      <c r="D102" s="22" t="str">
        <f t="shared" si="3"/>
        <v>tidak ganda</v>
      </c>
      <c r="E102" s="22" t="s">
        <v>391</v>
      </c>
      <c r="F102" s="22" t="s">
        <v>10</v>
      </c>
      <c r="G102" s="22" t="s">
        <v>11</v>
      </c>
      <c r="H102" s="22" t="s">
        <v>18</v>
      </c>
      <c r="I102" s="22" t="s">
        <v>19</v>
      </c>
      <c r="J102" s="22" t="s">
        <v>20</v>
      </c>
      <c r="K102" s="23" t="s">
        <v>145</v>
      </c>
      <c r="L102" t="e">
        <f>VLOOKUP(B102,ubah!$B$2:$L$234,4,FALSE)</f>
        <v>#N/A</v>
      </c>
      <c r="M102" t="e">
        <f>VLOOKUP(B102,ubah!$B$2:$L$234,5,FALSE)</f>
        <v>#N/A</v>
      </c>
      <c r="N102" t="e">
        <f>VLOOKUP(B102,ubah!$B$2:$L$234,6,FALSE)</f>
        <v>#N/A</v>
      </c>
    </row>
    <row r="103" spans="1:14" hidden="1" x14ac:dyDescent="0.35">
      <c r="A103" s="21">
        <v>1457089</v>
      </c>
      <c r="B103" s="22" t="str">
        <f>"3328014508990005"</f>
        <v>3328014508990005</v>
      </c>
      <c r="C103" s="22" t="str">
        <f t="shared" si="2"/>
        <v>'3328014508990005</v>
      </c>
      <c r="D103" s="22" t="str">
        <f t="shared" si="3"/>
        <v>tidak ganda</v>
      </c>
      <c r="E103" s="22" t="s">
        <v>395</v>
      </c>
      <c r="F103" s="22" t="s">
        <v>10</v>
      </c>
      <c r="G103" s="22" t="s">
        <v>11</v>
      </c>
      <c r="H103" s="22" t="s">
        <v>18</v>
      </c>
      <c r="I103" s="22" t="s">
        <v>19</v>
      </c>
      <c r="J103" s="22" t="s">
        <v>20</v>
      </c>
      <c r="K103" s="23" t="s">
        <v>76</v>
      </c>
      <c r="L103" t="e">
        <f>VLOOKUP(B103,ubah!$B$2:$L$234,4,FALSE)</f>
        <v>#N/A</v>
      </c>
      <c r="M103" t="e">
        <f>VLOOKUP(B103,ubah!$B$2:$L$234,5,FALSE)</f>
        <v>#N/A</v>
      </c>
      <c r="N103" t="e">
        <f>VLOOKUP(B103,ubah!$B$2:$L$234,6,FALSE)</f>
        <v>#N/A</v>
      </c>
    </row>
    <row r="104" spans="1:14" hidden="1" x14ac:dyDescent="0.35">
      <c r="A104" s="21">
        <v>2412348</v>
      </c>
      <c r="B104" s="22" t="str">
        <f>"3328014705960007"</f>
        <v>3328014705960007</v>
      </c>
      <c r="C104" s="22" t="str">
        <f t="shared" si="2"/>
        <v>'3328014705960007</v>
      </c>
      <c r="D104" s="22" t="str">
        <f t="shared" si="3"/>
        <v>tidak ganda</v>
      </c>
      <c r="E104" s="22" t="s">
        <v>398</v>
      </c>
      <c r="F104" s="22" t="s">
        <v>10</v>
      </c>
      <c r="G104" s="22" t="s">
        <v>11</v>
      </c>
      <c r="H104" s="22" t="s">
        <v>18</v>
      </c>
      <c r="I104" s="22" t="s">
        <v>19</v>
      </c>
      <c r="J104" s="22" t="s">
        <v>20</v>
      </c>
      <c r="K104" s="23" t="s">
        <v>55</v>
      </c>
      <c r="L104" t="e">
        <f>VLOOKUP(B104,ubah!$B$2:$L$234,4,FALSE)</f>
        <v>#N/A</v>
      </c>
      <c r="M104" t="e">
        <f>VLOOKUP(B104,ubah!$B$2:$L$234,5,FALSE)</f>
        <v>#N/A</v>
      </c>
      <c r="N104" t="e">
        <f>VLOOKUP(B104,ubah!$B$2:$L$234,6,FALSE)</f>
        <v>#N/A</v>
      </c>
    </row>
    <row r="105" spans="1:14" hidden="1" x14ac:dyDescent="0.35">
      <c r="A105" s="21">
        <v>658534</v>
      </c>
      <c r="B105" s="22" t="str">
        <f>"3328014812780010"</f>
        <v>3328014812780010</v>
      </c>
      <c r="C105" s="22" t="str">
        <f t="shared" si="2"/>
        <v>'3328014812780010</v>
      </c>
      <c r="D105" s="22" t="str">
        <f t="shared" si="3"/>
        <v>tidak ganda</v>
      </c>
      <c r="E105" s="22" t="s">
        <v>401</v>
      </c>
      <c r="F105" s="22" t="s">
        <v>10</v>
      </c>
      <c r="G105" s="22" t="s">
        <v>11</v>
      </c>
      <c r="H105" s="22" t="s">
        <v>50</v>
      </c>
      <c r="I105" s="22" t="s">
        <v>280</v>
      </c>
      <c r="J105" s="22" t="s">
        <v>402</v>
      </c>
      <c r="K105" s="23" t="s">
        <v>402</v>
      </c>
    </row>
    <row r="106" spans="1:14" hidden="1" x14ac:dyDescent="0.35">
      <c r="A106" s="21">
        <v>165726</v>
      </c>
      <c r="B106" s="22" t="str">
        <f>"3328014911870006"</f>
        <v>3328014911870006</v>
      </c>
      <c r="C106" s="22" t="str">
        <f t="shared" si="2"/>
        <v>'3328014911870006</v>
      </c>
      <c r="D106" s="22" t="str">
        <f t="shared" si="3"/>
        <v>tidak ganda</v>
      </c>
      <c r="E106" s="22" t="s">
        <v>404</v>
      </c>
      <c r="F106" s="22" t="s">
        <v>10</v>
      </c>
      <c r="G106" s="22" t="s">
        <v>11</v>
      </c>
      <c r="H106" s="22" t="s">
        <v>50</v>
      </c>
      <c r="I106" s="22" t="s">
        <v>72</v>
      </c>
      <c r="J106" s="22" t="s">
        <v>246</v>
      </c>
      <c r="K106" s="23" t="s">
        <v>247</v>
      </c>
    </row>
    <row r="107" spans="1:14" hidden="1" x14ac:dyDescent="0.35">
      <c r="A107" s="21">
        <v>2414525</v>
      </c>
      <c r="B107" s="22" t="str">
        <f>"3328015002880012"</f>
        <v>3328015002880012</v>
      </c>
      <c r="C107" s="22" t="str">
        <f t="shared" si="2"/>
        <v>'3328015002880012</v>
      </c>
      <c r="D107" s="22" t="str">
        <f t="shared" si="3"/>
        <v>tidak ganda</v>
      </c>
      <c r="E107" s="22" t="s">
        <v>405</v>
      </c>
      <c r="F107" s="22" t="s">
        <v>10</v>
      </c>
      <c r="G107" s="22" t="s">
        <v>11</v>
      </c>
      <c r="H107" s="22" t="s">
        <v>18</v>
      </c>
      <c r="I107" s="22" t="s">
        <v>19</v>
      </c>
      <c r="J107" s="22" t="s">
        <v>20</v>
      </c>
      <c r="K107" s="23" t="s">
        <v>55</v>
      </c>
      <c r="L107" t="e">
        <f>VLOOKUP(B107,ubah!$B$2:$L$234,4,FALSE)</f>
        <v>#N/A</v>
      </c>
      <c r="M107" t="e">
        <f>VLOOKUP(B107,ubah!$B$2:$L$234,5,FALSE)</f>
        <v>#N/A</v>
      </c>
      <c r="N107" t="e">
        <f>VLOOKUP(B107,ubah!$B$2:$L$234,6,FALSE)</f>
        <v>#N/A</v>
      </c>
    </row>
    <row r="108" spans="1:14" hidden="1" x14ac:dyDescent="0.35">
      <c r="A108" s="21">
        <v>1064368</v>
      </c>
      <c r="B108" s="22" t="str">
        <f>"3328015104010001"</f>
        <v>3328015104010001</v>
      </c>
      <c r="C108" s="22" t="str">
        <f t="shared" si="2"/>
        <v>'3328015104010001</v>
      </c>
      <c r="D108" s="22" t="str">
        <f t="shared" si="3"/>
        <v>tidak ganda</v>
      </c>
      <c r="E108" s="22" t="s">
        <v>408</v>
      </c>
      <c r="F108" s="22" t="s">
        <v>10</v>
      </c>
      <c r="G108" s="22" t="s">
        <v>11</v>
      </c>
      <c r="H108" s="22" t="s">
        <v>91</v>
      </c>
      <c r="I108" s="22" t="s">
        <v>320</v>
      </c>
      <c r="J108" s="22" t="s">
        <v>409</v>
      </c>
      <c r="K108" s="23" t="s">
        <v>410</v>
      </c>
    </row>
    <row r="109" spans="1:14" hidden="1" x14ac:dyDescent="0.35">
      <c r="A109" s="21">
        <v>67224</v>
      </c>
      <c r="B109" s="22" t="str">
        <f>"3328015106960004"</f>
        <v>3328015106960004</v>
      </c>
      <c r="C109" s="22" t="str">
        <f t="shared" si="2"/>
        <v>'3328015106960004</v>
      </c>
      <c r="D109" s="22" t="str">
        <f t="shared" si="3"/>
        <v>tidak ganda</v>
      </c>
      <c r="E109" s="22" t="s">
        <v>411</v>
      </c>
      <c r="F109" s="22" t="s">
        <v>10</v>
      </c>
      <c r="G109" s="22" t="s">
        <v>11</v>
      </c>
      <c r="H109" s="22" t="s">
        <v>412</v>
      </c>
      <c r="I109" s="22" t="s">
        <v>413</v>
      </c>
      <c r="J109" s="22" t="s">
        <v>414</v>
      </c>
      <c r="K109" s="23" t="s">
        <v>415</v>
      </c>
    </row>
    <row r="110" spans="1:14" hidden="1" x14ac:dyDescent="0.35">
      <c r="A110" s="21">
        <v>2250600</v>
      </c>
      <c r="B110" s="22" t="str">
        <f>"3328015204780003"</f>
        <v>3328015204780003</v>
      </c>
      <c r="C110" s="22" t="str">
        <f t="shared" si="2"/>
        <v>'3328015204780003</v>
      </c>
      <c r="D110" s="22" t="str">
        <f t="shared" si="3"/>
        <v>tidak ganda</v>
      </c>
      <c r="E110" s="22" t="s">
        <v>416</v>
      </c>
      <c r="F110" s="22" t="s">
        <v>10</v>
      </c>
      <c r="G110" s="22" t="s">
        <v>11</v>
      </c>
      <c r="H110" s="22" t="s">
        <v>50</v>
      </c>
      <c r="I110" s="22" t="s">
        <v>58</v>
      </c>
      <c r="J110" s="22" t="s">
        <v>417</v>
      </c>
      <c r="K110" s="23" t="s">
        <v>418</v>
      </c>
    </row>
    <row r="111" spans="1:14" hidden="1" x14ac:dyDescent="0.35">
      <c r="A111" s="21">
        <v>50886</v>
      </c>
      <c r="B111" s="22" t="str">
        <f>"3328015305660003"</f>
        <v>3328015305660003</v>
      </c>
      <c r="C111" s="22" t="str">
        <f t="shared" si="2"/>
        <v>'3328015305660003</v>
      </c>
      <c r="D111" s="22" t="str">
        <f t="shared" si="3"/>
        <v>tidak ganda</v>
      </c>
      <c r="E111" s="22" t="s">
        <v>420</v>
      </c>
      <c r="F111" s="22" t="s">
        <v>10</v>
      </c>
      <c r="G111" s="22" t="s">
        <v>11</v>
      </c>
      <c r="H111" s="22" t="s">
        <v>211</v>
      </c>
      <c r="I111" s="22" t="s">
        <v>212</v>
      </c>
      <c r="J111" s="22" t="s">
        <v>213</v>
      </c>
      <c r="K111" s="23" t="s">
        <v>213</v>
      </c>
    </row>
    <row r="112" spans="1:14" hidden="1" x14ac:dyDescent="0.35">
      <c r="A112" s="21">
        <v>2418124</v>
      </c>
      <c r="B112" s="22" t="str">
        <f>"3328015306940001"</f>
        <v>3328015306940001</v>
      </c>
      <c r="C112" s="22" t="str">
        <f t="shared" si="2"/>
        <v>'3328015306940001</v>
      </c>
      <c r="D112" s="22" t="str">
        <f t="shared" si="3"/>
        <v>tidak ganda</v>
      </c>
      <c r="E112" s="22" t="s">
        <v>421</v>
      </c>
      <c r="F112" s="22" t="s">
        <v>10</v>
      </c>
      <c r="G112" s="22" t="s">
        <v>11</v>
      </c>
      <c r="H112" s="22" t="s">
        <v>18</v>
      </c>
      <c r="I112" s="22" t="s">
        <v>19</v>
      </c>
      <c r="J112" s="22" t="s">
        <v>20</v>
      </c>
      <c r="K112" s="23" t="s">
        <v>55</v>
      </c>
      <c r="L112" t="e">
        <f>VLOOKUP(B112,ubah!$B$2:$L$234,4,FALSE)</f>
        <v>#N/A</v>
      </c>
      <c r="M112" t="e">
        <f>VLOOKUP(B112,ubah!$B$2:$L$234,5,FALSE)</f>
        <v>#N/A</v>
      </c>
      <c r="N112" t="e">
        <f>VLOOKUP(B112,ubah!$B$2:$L$234,6,FALSE)</f>
        <v>#N/A</v>
      </c>
    </row>
    <row r="113" spans="1:14" hidden="1" x14ac:dyDescent="0.35">
      <c r="A113" s="21">
        <v>414876</v>
      </c>
      <c r="B113" s="22" t="str">
        <f>"3328015801840001"</f>
        <v>3328015801840001</v>
      </c>
      <c r="C113" s="22" t="str">
        <f t="shared" si="2"/>
        <v>'3328015801840001</v>
      </c>
      <c r="D113" s="22" t="str">
        <f t="shared" si="3"/>
        <v>tidak ganda</v>
      </c>
      <c r="E113" s="22" t="s">
        <v>424</v>
      </c>
      <c r="F113" s="22" t="s">
        <v>10</v>
      </c>
      <c r="G113" s="22" t="s">
        <v>11</v>
      </c>
      <c r="H113" s="22" t="s">
        <v>50</v>
      </c>
      <c r="I113" s="22" t="s">
        <v>51</v>
      </c>
      <c r="J113" s="22" t="s">
        <v>425</v>
      </c>
      <c r="K113" s="23" t="s">
        <v>426</v>
      </c>
    </row>
    <row r="114" spans="1:14" hidden="1" x14ac:dyDescent="0.35">
      <c r="A114" s="21">
        <v>2064912</v>
      </c>
      <c r="B114" s="22" t="str">
        <f>"3328015811970002"</f>
        <v>3328015811970002</v>
      </c>
      <c r="C114" s="22" t="str">
        <f t="shared" si="2"/>
        <v>'3328015811970002</v>
      </c>
      <c r="D114" s="22" t="str">
        <f t="shared" si="3"/>
        <v>tidak ganda</v>
      </c>
      <c r="E114" s="22" t="s">
        <v>427</v>
      </c>
      <c r="F114" s="22" t="s">
        <v>10</v>
      </c>
      <c r="G114" s="22" t="s">
        <v>11</v>
      </c>
      <c r="H114" s="22" t="s">
        <v>18</v>
      </c>
      <c r="I114" s="22" t="s">
        <v>19</v>
      </c>
      <c r="J114" s="22" t="s">
        <v>20</v>
      </c>
      <c r="K114" s="23" t="s">
        <v>20</v>
      </c>
      <c r="L114" t="e">
        <f>VLOOKUP(B114,ubah!$B$2:$L$234,4,FALSE)</f>
        <v>#N/A</v>
      </c>
      <c r="M114" t="e">
        <f>VLOOKUP(B114,ubah!$B$2:$L$234,5,FALSE)</f>
        <v>#N/A</v>
      </c>
      <c r="N114" t="e">
        <f>VLOOKUP(B114,ubah!$B$2:$L$234,6,FALSE)</f>
        <v>#N/A</v>
      </c>
    </row>
    <row r="115" spans="1:14" hidden="1" x14ac:dyDescent="0.35">
      <c r="A115" s="21">
        <v>2413840</v>
      </c>
      <c r="B115" s="22" t="str">
        <f>"3328016009880010"</f>
        <v>3328016009880010</v>
      </c>
      <c r="C115" s="22" t="str">
        <f t="shared" si="2"/>
        <v>'3328016009880010</v>
      </c>
      <c r="D115" s="22" t="str">
        <f t="shared" si="3"/>
        <v>tidak ganda</v>
      </c>
      <c r="E115" s="22" t="s">
        <v>430</v>
      </c>
      <c r="F115" s="22" t="s">
        <v>10</v>
      </c>
      <c r="G115" s="22" t="s">
        <v>11</v>
      </c>
      <c r="H115" s="22" t="s">
        <v>18</v>
      </c>
      <c r="I115" s="22" t="s">
        <v>19</v>
      </c>
      <c r="J115" s="22" t="s">
        <v>20</v>
      </c>
      <c r="K115" s="23" t="s">
        <v>55</v>
      </c>
      <c r="L115" t="e">
        <f>VLOOKUP(B115,ubah!$B$2:$L$234,4,FALSE)</f>
        <v>#N/A</v>
      </c>
      <c r="M115" t="e">
        <f>VLOOKUP(B115,ubah!$B$2:$L$234,5,FALSE)</f>
        <v>#N/A</v>
      </c>
      <c r="N115" t="e">
        <f>VLOOKUP(B115,ubah!$B$2:$L$234,6,FALSE)</f>
        <v>#N/A</v>
      </c>
    </row>
    <row r="116" spans="1:14" hidden="1" x14ac:dyDescent="0.35">
      <c r="A116" s="21">
        <v>683477</v>
      </c>
      <c r="B116" s="22" t="str">
        <f>"3328016011820001"</f>
        <v>3328016011820001</v>
      </c>
      <c r="C116" s="22" t="str">
        <f t="shared" si="2"/>
        <v>'3328016011820001</v>
      </c>
      <c r="D116" s="22" t="str">
        <f t="shared" si="3"/>
        <v>tidak ganda</v>
      </c>
      <c r="E116" s="22" t="s">
        <v>432</v>
      </c>
      <c r="F116" s="22" t="s">
        <v>10</v>
      </c>
      <c r="G116" s="22" t="s">
        <v>11</v>
      </c>
      <c r="H116" s="22" t="s">
        <v>50</v>
      </c>
      <c r="I116" s="22" t="s">
        <v>58</v>
      </c>
      <c r="J116" s="22" t="s">
        <v>97</v>
      </c>
      <c r="K116" s="23" t="s">
        <v>328</v>
      </c>
    </row>
    <row r="117" spans="1:14" hidden="1" x14ac:dyDescent="0.35">
      <c r="A117" s="21">
        <v>414875</v>
      </c>
      <c r="B117" s="22" t="str">
        <f>"3328016101060005"</f>
        <v>3328016101060005</v>
      </c>
      <c r="C117" s="22" t="str">
        <f t="shared" si="2"/>
        <v>'3328016101060005</v>
      </c>
      <c r="D117" s="22" t="str">
        <f t="shared" si="3"/>
        <v>tidak ganda</v>
      </c>
      <c r="E117" s="22" t="s">
        <v>433</v>
      </c>
      <c r="F117" s="22" t="s">
        <v>10</v>
      </c>
      <c r="G117" s="22" t="s">
        <v>11</v>
      </c>
      <c r="H117" s="22" t="s">
        <v>50</v>
      </c>
      <c r="I117" s="22" t="s">
        <v>51</v>
      </c>
      <c r="J117" s="22" t="s">
        <v>425</v>
      </c>
      <c r="K117" s="23" t="s">
        <v>426</v>
      </c>
    </row>
    <row r="118" spans="1:14" hidden="1" x14ac:dyDescent="0.35">
      <c r="A118" s="21">
        <v>1459919</v>
      </c>
      <c r="B118" s="22" t="str">
        <f>"3328016208910016"</f>
        <v>3328016208910016</v>
      </c>
      <c r="C118" s="22" t="str">
        <f t="shared" si="2"/>
        <v>'3328016208910016</v>
      </c>
      <c r="D118" s="22" t="str">
        <f t="shared" si="3"/>
        <v>tidak ganda</v>
      </c>
      <c r="E118" s="22" t="s">
        <v>434</v>
      </c>
      <c r="F118" s="22" t="s">
        <v>10</v>
      </c>
      <c r="G118" s="22" t="s">
        <v>11</v>
      </c>
      <c r="H118" s="22" t="s">
        <v>18</v>
      </c>
      <c r="I118" s="22" t="s">
        <v>19</v>
      </c>
      <c r="J118" s="22" t="s">
        <v>20</v>
      </c>
      <c r="K118" s="23" t="s">
        <v>76</v>
      </c>
      <c r="L118" t="e">
        <f>VLOOKUP(B118,ubah!$B$2:$L$234,4,FALSE)</f>
        <v>#N/A</v>
      </c>
      <c r="M118" t="e">
        <f>VLOOKUP(B118,ubah!$B$2:$L$234,5,FALSE)</f>
        <v>#N/A</v>
      </c>
      <c r="N118" t="e">
        <f>VLOOKUP(B118,ubah!$B$2:$L$234,6,FALSE)</f>
        <v>#N/A</v>
      </c>
    </row>
    <row r="119" spans="1:14" hidden="1" x14ac:dyDescent="0.35">
      <c r="A119" s="21">
        <v>650018</v>
      </c>
      <c r="B119" s="22" t="str">
        <f>"3328016312880005"</f>
        <v>3328016312880005</v>
      </c>
      <c r="C119" s="22" t="str">
        <f t="shared" si="2"/>
        <v>'3328016312880005</v>
      </c>
      <c r="D119" s="22" t="str">
        <f t="shared" si="3"/>
        <v>tidak ganda</v>
      </c>
      <c r="E119" s="22" t="s">
        <v>437</v>
      </c>
      <c r="F119" s="22" t="s">
        <v>10</v>
      </c>
      <c r="G119" s="22" t="s">
        <v>11</v>
      </c>
      <c r="H119" s="22" t="s">
        <v>91</v>
      </c>
      <c r="I119" s="22" t="s">
        <v>438</v>
      </c>
      <c r="J119" s="22" t="s">
        <v>439</v>
      </c>
      <c r="K119" s="23" t="s">
        <v>440</v>
      </c>
    </row>
    <row r="120" spans="1:14" hidden="1" x14ac:dyDescent="0.35">
      <c r="A120" s="21">
        <v>1468522</v>
      </c>
      <c r="B120" s="22" t="str">
        <f>"3328016703640001"</f>
        <v>3328016703640001</v>
      </c>
      <c r="C120" s="22" t="str">
        <f t="shared" si="2"/>
        <v>'3328016703640001</v>
      </c>
      <c r="D120" s="22" t="str">
        <f t="shared" si="3"/>
        <v>tidak ganda</v>
      </c>
      <c r="E120" s="22" t="s">
        <v>442</v>
      </c>
      <c r="F120" s="22" t="s">
        <v>10</v>
      </c>
      <c r="G120" s="22" t="s">
        <v>11</v>
      </c>
      <c r="H120" s="22" t="s">
        <v>18</v>
      </c>
      <c r="I120" s="22" t="s">
        <v>19</v>
      </c>
      <c r="J120" s="22" t="s">
        <v>20</v>
      </c>
      <c r="K120" s="23" t="s">
        <v>145</v>
      </c>
      <c r="L120" t="e">
        <f>VLOOKUP(B120,ubah!$B$2:$L$234,4,FALSE)</f>
        <v>#N/A</v>
      </c>
      <c r="M120" t="e">
        <f>VLOOKUP(B120,ubah!$B$2:$L$234,5,FALSE)</f>
        <v>#N/A</v>
      </c>
      <c r="N120" t="e">
        <f>VLOOKUP(B120,ubah!$B$2:$L$234,6,FALSE)</f>
        <v>#N/A</v>
      </c>
    </row>
    <row r="121" spans="1:14" hidden="1" x14ac:dyDescent="0.35">
      <c r="A121" s="21">
        <v>1729047</v>
      </c>
      <c r="B121" s="22" t="str">
        <f>"3328016804970001"</f>
        <v>3328016804970001</v>
      </c>
      <c r="C121" s="22" t="str">
        <f t="shared" si="2"/>
        <v>'3328016804970001</v>
      </c>
      <c r="D121" s="22" t="str">
        <f t="shared" si="3"/>
        <v>tidak ganda</v>
      </c>
      <c r="E121" s="22" t="s">
        <v>444</v>
      </c>
      <c r="F121" s="22" t="s">
        <v>10</v>
      </c>
      <c r="G121" s="22" t="s">
        <v>11</v>
      </c>
      <c r="H121" s="22" t="s">
        <v>50</v>
      </c>
      <c r="I121" s="22" t="s">
        <v>86</v>
      </c>
      <c r="J121" s="22" t="s">
        <v>445</v>
      </c>
      <c r="K121" s="23" t="s">
        <v>446</v>
      </c>
    </row>
    <row r="122" spans="1:14" hidden="1" x14ac:dyDescent="0.35">
      <c r="A122" s="21">
        <v>2421743</v>
      </c>
      <c r="B122" s="22" t="str">
        <f>"3328016809000004"</f>
        <v>3328016809000004</v>
      </c>
      <c r="C122" s="22" t="str">
        <f t="shared" si="2"/>
        <v>'3328016809000004</v>
      </c>
      <c r="D122" s="22" t="str">
        <f t="shared" si="3"/>
        <v>tidak ganda</v>
      </c>
      <c r="E122" s="22" t="s">
        <v>447</v>
      </c>
      <c r="F122" s="22" t="s">
        <v>10</v>
      </c>
      <c r="G122" s="22" t="s">
        <v>11</v>
      </c>
      <c r="H122" s="22" t="s">
        <v>18</v>
      </c>
      <c r="I122" s="22" t="s">
        <v>19</v>
      </c>
      <c r="J122" s="22" t="s">
        <v>20</v>
      </c>
      <c r="K122" s="23" t="s">
        <v>55</v>
      </c>
      <c r="L122" t="e">
        <f>VLOOKUP(B122,ubah!$B$2:$L$234,4,FALSE)</f>
        <v>#N/A</v>
      </c>
      <c r="M122" t="e">
        <f>VLOOKUP(B122,ubah!$B$2:$L$234,5,FALSE)</f>
        <v>#N/A</v>
      </c>
      <c r="N122" t="e">
        <f>VLOOKUP(B122,ubah!$B$2:$L$234,6,FALSE)</f>
        <v>#N/A</v>
      </c>
    </row>
    <row r="123" spans="1:14" hidden="1" x14ac:dyDescent="0.35">
      <c r="A123" s="21">
        <v>1187723</v>
      </c>
      <c r="B123" s="22" t="str">
        <f>"3328016810860005"</f>
        <v>3328016810860005</v>
      </c>
      <c r="C123" s="22" t="str">
        <f t="shared" si="2"/>
        <v>'3328016810860005</v>
      </c>
      <c r="D123" s="22" t="str">
        <f t="shared" si="3"/>
        <v>tidak ganda</v>
      </c>
      <c r="E123" s="22" t="s">
        <v>450</v>
      </c>
      <c r="F123" s="22" t="s">
        <v>10</v>
      </c>
      <c r="G123" s="22" t="s">
        <v>11</v>
      </c>
      <c r="H123" s="22" t="s">
        <v>91</v>
      </c>
      <c r="I123" s="22" t="s">
        <v>92</v>
      </c>
      <c r="J123" s="22" t="s">
        <v>128</v>
      </c>
      <c r="K123" s="23" t="s">
        <v>451</v>
      </c>
    </row>
    <row r="124" spans="1:14" hidden="1" x14ac:dyDescent="0.35">
      <c r="A124" s="21">
        <v>683478</v>
      </c>
      <c r="B124" s="22" t="str">
        <f>"3328016911990003"</f>
        <v>3328016911990003</v>
      </c>
      <c r="C124" s="22" t="str">
        <f t="shared" si="2"/>
        <v>'3328016911990003</v>
      </c>
      <c r="D124" s="22" t="str">
        <f t="shared" si="3"/>
        <v>tidak ganda</v>
      </c>
      <c r="E124" s="22" t="s">
        <v>453</v>
      </c>
      <c r="F124" s="22" t="s">
        <v>10</v>
      </c>
      <c r="G124" s="22" t="s">
        <v>11</v>
      </c>
      <c r="H124" s="22" t="s">
        <v>50</v>
      </c>
      <c r="I124" s="22" t="s">
        <v>58</v>
      </c>
      <c r="J124" s="22" t="s">
        <v>97</v>
      </c>
      <c r="K124" s="23" t="s">
        <v>328</v>
      </c>
    </row>
    <row r="125" spans="1:14" hidden="1" x14ac:dyDescent="0.35">
      <c r="A125" s="21">
        <v>75417</v>
      </c>
      <c r="B125" s="22" t="str">
        <f>"3328017112730044"</f>
        <v>3328017112730044</v>
      </c>
      <c r="C125" s="22" t="str">
        <f t="shared" si="2"/>
        <v>'3328017112730044</v>
      </c>
      <c r="D125" s="22" t="str">
        <f t="shared" si="3"/>
        <v>tidak ganda</v>
      </c>
      <c r="E125" s="22" t="s">
        <v>454</v>
      </c>
      <c r="F125" s="22" t="s">
        <v>10</v>
      </c>
      <c r="G125" s="22" t="s">
        <v>11</v>
      </c>
      <c r="H125" s="22" t="s">
        <v>50</v>
      </c>
      <c r="I125" s="22" t="s">
        <v>280</v>
      </c>
      <c r="J125" s="22" t="s">
        <v>455</v>
      </c>
      <c r="K125" s="23" t="s">
        <v>456</v>
      </c>
    </row>
    <row r="126" spans="1:14" hidden="1" x14ac:dyDescent="0.35">
      <c r="A126" s="21">
        <v>1300541</v>
      </c>
      <c r="B126" s="22" t="str">
        <f>"3328180602800007"</f>
        <v>3328180602800007</v>
      </c>
      <c r="C126" s="22" t="str">
        <f t="shared" si="2"/>
        <v>'3328180602800007</v>
      </c>
      <c r="D126" s="22" t="str">
        <f t="shared" si="3"/>
        <v>tidak ganda</v>
      </c>
      <c r="E126" s="22" t="s">
        <v>458</v>
      </c>
      <c r="F126" s="22" t="s">
        <v>10</v>
      </c>
      <c r="G126" s="22" t="s">
        <v>11</v>
      </c>
      <c r="H126" s="22" t="s">
        <v>18</v>
      </c>
      <c r="I126" s="22" t="s">
        <v>264</v>
      </c>
      <c r="J126" s="22" t="s">
        <v>265</v>
      </c>
      <c r="K126" s="23" t="s">
        <v>459</v>
      </c>
    </row>
    <row r="127" spans="1:14" hidden="1" x14ac:dyDescent="0.35">
      <c r="A127" s="21">
        <v>1444376</v>
      </c>
      <c r="B127" s="22" t="str">
        <f>"3329032002930004"</f>
        <v>3329032002930004</v>
      </c>
      <c r="C127" s="22" t="str">
        <f t="shared" si="2"/>
        <v>'3329032002930004</v>
      </c>
      <c r="D127" s="22" t="str">
        <f t="shared" si="3"/>
        <v>tidak ganda</v>
      </c>
      <c r="E127" s="22" t="s">
        <v>460</v>
      </c>
      <c r="F127" s="22" t="s">
        <v>10</v>
      </c>
      <c r="G127" s="22" t="s">
        <v>11</v>
      </c>
      <c r="H127" s="22" t="s">
        <v>18</v>
      </c>
      <c r="I127" s="22" t="s">
        <v>19</v>
      </c>
      <c r="J127" s="22" t="s">
        <v>20</v>
      </c>
      <c r="K127" s="23" t="s">
        <v>53</v>
      </c>
      <c r="L127" t="e">
        <f>VLOOKUP(B127,ubah!$B$2:$L$234,4,FALSE)</f>
        <v>#N/A</v>
      </c>
      <c r="M127" t="e">
        <f>VLOOKUP(B127,ubah!$B$2:$L$234,5,FALSE)</f>
        <v>#N/A</v>
      </c>
      <c r="N127" t="e">
        <f>VLOOKUP(B127,ubah!$B$2:$L$234,6,FALSE)</f>
        <v>#N/A</v>
      </c>
    </row>
    <row r="128" spans="1:14" hidden="1" x14ac:dyDescent="0.35">
      <c r="A128" s="21">
        <v>1444378</v>
      </c>
      <c r="B128" s="22" t="str">
        <f>"3329035203730006"</f>
        <v>3329035203730006</v>
      </c>
      <c r="C128" s="22" t="str">
        <f t="shared" si="2"/>
        <v>'3329035203730006</v>
      </c>
      <c r="D128" s="22" t="str">
        <f t="shared" si="3"/>
        <v>tidak ganda</v>
      </c>
      <c r="E128" s="22" t="s">
        <v>463</v>
      </c>
      <c r="F128" s="22" t="s">
        <v>10</v>
      </c>
      <c r="G128" s="22" t="s">
        <v>11</v>
      </c>
      <c r="H128" s="22" t="s">
        <v>18</v>
      </c>
      <c r="I128" s="22" t="s">
        <v>19</v>
      </c>
      <c r="J128" s="22" t="s">
        <v>20</v>
      </c>
      <c r="K128" s="23" t="s">
        <v>53</v>
      </c>
      <c r="L128" t="e">
        <f>VLOOKUP(B128,ubah!$B$2:$L$234,4,FALSE)</f>
        <v>#N/A</v>
      </c>
      <c r="M128" t="e">
        <f>VLOOKUP(B128,ubah!$B$2:$L$234,5,FALSE)</f>
        <v>#N/A</v>
      </c>
      <c r="N128" t="e">
        <f>VLOOKUP(B128,ubah!$B$2:$L$234,6,FALSE)</f>
        <v>#N/A</v>
      </c>
    </row>
    <row r="129" spans="1:14" hidden="1" x14ac:dyDescent="0.35">
      <c r="A129" s="21">
        <v>1933382</v>
      </c>
      <c r="B129" s="22" t="str">
        <f>"3329055208680003"</f>
        <v>3329055208680003</v>
      </c>
      <c r="C129" s="22" t="str">
        <f t="shared" si="2"/>
        <v>'3329055208680003</v>
      </c>
      <c r="D129" s="22" t="str">
        <f t="shared" si="3"/>
        <v>tidak ganda</v>
      </c>
      <c r="E129" s="22" t="s">
        <v>464</v>
      </c>
      <c r="F129" s="22" t="s">
        <v>10</v>
      </c>
      <c r="G129" s="22" t="s">
        <v>11</v>
      </c>
      <c r="H129" s="22" t="s">
        <v>18</v>
      </c>
      <c r="I129" s="22" t="s">
        <v>19</v>
      </c>
      <c r="J129" s="22" t="s">
        <v>20</v>
      </c>
      <c r="K129" s="23" t="s">
        <v>48</v>
      </c>
      <c r="L129" t="e">
        <f>VLOOKUP(B129,ubah!$B$2:$L$234,4,FALSE)</f>
        <v>#N/A</v>
      </c>
      <c r="M129" t="e">
        <f>VLOOKUP(B129,ubah!$B$2:$L$234,5,FALSE)</f>
        <v>#N/A</v>
      </c>
      <c r="N129" t="e">
        <f>VLOOKUP(B129,ubah!$B$2:$L$234,6,FALSE)</f>
        <v>#N/A</v>
      </c>
    </row>
    <row r="130" spans="1:14" hidden="1" x14ac:dyDescent="0.35">
      <c r="A130" s="21">
        <v>168342</v>
      </c>
      <c r="B130" s="22" t="str">
        <f>"3329061404920001"</f>
        <v>3329061404920001</v>
      </c>
      <c r="C130" s="22" t="str">
        <f t="shared" si="2"/>
        <v>'3329061404920001</v>
      </c>
      <c r="D130" s="22" t="str">
        <f t="shared" si="3"/>
        <v>tidak ganda</v>
      </c>
      <c r="E130" s="22" t="s">
        <v>467</v>
      </c>
      <c r="F130" s="22" t="s">
        <v>10</v>
      </c>
      <c r="G130" s="22" t="s">
        <v>11</v>
      </c>
      <c r="H130" s="22" t="s">
        <v>18</v>
      </c>
      <c r="I130" s="22" t="s">
        <v>264</v>
      </c>
      <c r="J130" s="22" t="s">
        <v>468</v>
      </c>
      <c r="K130" s="23" t="s">
        <v>469</v>
      </c>
    </row>
    <row r="131" spans="1:14" hidden="1" x14ac:dyDescent="0.35">
      <c r="A131" s="21">
        <v>1241964</v>
      </c>
      <c r="B131" s="22" t="str">
        <f>"3329070301830006"</f>
        <v>3329070301830006</v>
      </c>
      <c r="C131" s="22" t="str">
        <f t="shared" ref="C131:C194" si="4">"'"&amp;B131</f>
        <v>'3329070301830006</v>
      </c>
      <c r="D131" s="22" t="str">
        <f t="shared" ref="D131:D194" si="5">IF(COUNTIF($C:$C,C131)&gt;1,"ganda","tidak ganda")</f>
        <v>tidak ganda</v>
      </c>
      <c r="E131" s="22" t="s">
        <v>288</v>
      </c>
      <c r="F131" s="22" t="s">
        <v>10</v>
      </c>
      <c r="G131" s="22" t="s">
        <v>11</v>
      </c>
      <c r="H131" s="22" t="s">
        <v>18</v>
      </c>
      <c r="I131" s="22" t="s">
        <v>264</v>
      </c>
      <c r="J131" s="22" t="s">
        <v>265</v>
      </c>
      <c r="K131" s="23" t="s">
        <v>470</v>
      </c>
    </row>
    <row r="132" spans="1:14" hidden="1" x14ac:dyDescent="0.35">
      <c r="A132" s="21">
        <v>1033303</v>
      </c>
      <c r="B132" s="22" t="str">
        <f>"3329081801890004"</f>
        <v>3329081801890004</v>
      </c>
      <c r="C132" s="22" t="str">
        <f t="shared" si="4"/>
        <v>'3329081801890004</v>
      </c>
      <c r="D132" s="22" t="str">
        <f t="shared" si="5"/>
        <v>tidak ganda</v>
      </c>
      <c r="E132" s="22" t="s">
        <v>471</v>
      </c>
      <c r="F132" s="22" t="s">
        <v>10</v>
      </c>
      <c r="G132" s="22" t="s">
        <v>11</v>
      </c>
      <c r="H132" s="22" t="s">
        <v>18</v>
      </c>
      <c r="I132" s="22" t="s">
        <v>264</v>
      </c>
      <c r="J132" s="22" t="s">
        <v>248</v>
      </c>
      <c r="K132" s="23" t="s">
        <v>472</v>
      </c>
    </row>
    <row r="133" spans="1:14" hidden="1" x14ac:dyDescent="0.35">
      <c r="A133" s="21">
        <v>655230</v>
      </c>
      <c r="B133" s="22" t="str">
        <f>"3329092308900005"</f>
        <v>3329092308900005</v>
      </c>
      <c r="C133" s="22" t="str">
        <f t="shared" si="4"/>
        <v>'3329092308900005</v>
      </c>
      <c r="D133" s="22" t="str">
        <f t="shared" si="5"/>
        <v>tidak ganda</v>
      </c>
      <c r="E133" s="22" t="s">
        <v>473</v>
      </c>
      <c r="F133" s="22" t="s">
        <v>10</v>
      </c>
      <c r="G133" s="22" t="s">
        <v>11</v>
      </c>
      <c r="H133" s="22" t="s">
        <v>18</v>
      </c>
      <c r="I133" s="22" t="s">
        <v>264</v>
      </c>
      <c r="J133" s="22" t="s">
        <v>264</v>
      </c>
      <c r="K133" s="23" t="s">
        <v>474</v>
      </c>
    </row>
    <row r="134" spans="1:14" hidden="1" x14ac:dyDescent="0.35">
      <c r="A134" s="21">
        <v>1516903</v>
      </c>
      <c r="B134" s="22" t="str">
        <f>"3329100308760001"</f>
        <v>3329100308760001</v>
      </c>
      <c r="C134" s="22" t="str">
        <f t="shared" si="4"/>
        <v>'3329100308760001</v>
      </c>
      <c r="D134" s="22" t="str">
        <f t="shared" si="5"/>
        <v>tidak ganda</v>
      </c>
      <c r="E134" s="22" t="s">
        <v>475</v>
      </c>
      <c r="F134" s="22" t="s">
        <v>10</v>
      </c>
      <c r="G134" s="22" t="s">
        <v>11</v>
      </c>
      <c r="H134" s="22" t="s">
        <v>18</v>
      </c>
      <c r="I134" s="22" t="s">
        <v>264</v>
      </c>
      <c r="J134" s="22" t="s">
        <v>273</v>
      </c>
      <c r="K134" s="23" t="s">
        <v>273</v>
      </c>
    </row>
    <row r="135" spans="1:14" hidden="1" x14ac:dyDescent="0.35">
      <c r="A135" s="21">
        <v>1684032</v>
      </c>
      <c r="B135" s="22" t="str">
        <f>"3329145002880015"</f>
        <v>3329145002880015</v>
      </c>
      <c r="C135" s="22" t="str">
        <f t="shared" si="4"/>
        <v>'3329145002880015</v>
      </c>
      <c r="D135" s="22" t="str">
        <f t="shared" si="5"/>
        <v>tidak ganda</v>
      </c>
      <c r="E135" s="22" t="s">
        <v>476</v>
      </c>
      <c r="F135" s="22" t="s">
        <v>10</v>
      </c>
      <c r="G135" s="22" t="s">
        <v>11</v>
      </c>
      <c r="H135" s="22" t="s">
        <v>18</v>
      </c>
      <c r="I135" s="22" t="s">
        <v>19</v>
      </c>
      <c r="J135" s="22" t="s">
        <v>20</v>
      </c>
      <c r="K135" s="23" t="s">
        <v>23</v>
      </c>
      <c r="L135" t="e">
        <f>VLOOKUP(B135,ubah!$B$2:$L$234,4,FALSE)</f>
        <v>#N/A</v>
      </c>
      <c r="M135" t="e">
        <f>VLOOKUP(B135,ubah!$B$2:$L$234,5,FALSE)</f>
        <v>#N/A</v>
      </c>
      <c r="N135" t="e">
        <f>VLOOKUP(B135,ubah!$B$2:$L$234,6,FALSE)</f>
        <v>#N/A</v>
      </c>
    </row>
    <row r="136" spans="1:14" hidden="1" x14ac:dyDescent="0.35">
      <c r="A136" s="21">
        <v>1685188</v>
      </c>
      <c r="B136" s="22" t="str">
        <f>"3329146811610001"</f>
        <v>3329146811610001</v>
      </c>
      <c r="C136" s="22" t="str">
        <f t="shared" si="4"/>
        <v>'3329146811610001</v>
      </c>
      <c r="D136" s="22" t="str">
        <f t="shared" si="5"/>
        <v>tidak ganda</v>
      </c>
      <c r="E136" s="22" t="s">
        <v>479</v>
      </c>
      <c r="F136" s="22" t="s">
        <v>10</v>
      </c>
      <c r="G136" s="22" t="s">
        <v>11</v>
      </c>
      <c r="H136" s="22" t="s">
        <v>18</v>
      </c>
      <c r="I136" s="22" t="s">
        <v>19</v>
      </c>
      <c r="J136" s="22" t="s">
        <v>20</v>
      </c>
      <c r="K136" s="23" t="s">
        <v>23</v>
      </c>
      <c r="L136" t="e">
        <f>VLOOKUP(B136,ubah!$B$2:$L$234,4,FALSE)</f>
        <v>#N/A</v>
      </c>
      <c r="M136" t="e">
        <f>VLOOKUP(B136,ubah!$B$2:$L$234,5,FALSE)</f>
        <v>#N/A</v>
      </c>
      <c r="N136" t="e">
        <f>VLOOKUP(B136,ubah!$B$2:$L$234,6,FALSE)</f>
        <v>#N/A</v>
      </c>
    </row>
    <row r="137" spans="1:14" hidden="1" x14ac:dyDescent="0.35">
      <c r="A137" s="21">
        <v>1558639</v>
      </c>
      <c r="B137" s="22" t="str">
        <f>"3329151401910001"</f>
        <v>3329151401910001</v>
      </c>
      <c r="C137" s="22" t="str">
        <f t="shared" si="4"/>
        <v>'3329151401910001</v>
      </c>
      <c r="D137" s="22" t="str">
        <f t="shared" si="5"/>
        <v>tidak ganda</v>
      </c>
      <c r="E137" s="22" t="s">
        <v>481</v>
      </c>
      <c r="F137" s="22" t="s">
        <v>10</v>
      </c>
      <c r="G137" s="22" t="s">
        <v>11</v>
      </c>
      <c r="H137" s="22" t="s">
        <v>18</v>
      </c>
      <c r="I137" s="22" t="s">
        <v>264</v>
      </c>
      <c r="J137" s="22" t="s">
        <v>330</v>
      </c>
      <c r="K137" s="23" t="s">
        <v>330</v>
      </c>
    </row>
    <row r="138" spans="1:14" hidden="1" x14ac:dyDescent="0.35">
      <c r="A138" s="21">
        <v>1546663</v>
      </c>
      <c r="B138" s="22" t="str">
        <f>"3329152304800004"</f>
        <v>3329152304800004</v>
      </c>
      <c r="C138" s="22" t="str">
        <f t="shared" si="4"/>
        <v>'3329152304800004</v>
      </c>
      <c r="D138" s="22" t="str">
        <f t="shared" si="5"/>
        <v>tidak ganda</v>
      </c>
      <c r="E138" s="22" t="s">
        <v>483</v>
      </c>
      <c r="F138" s="22" t="s">
        <v>10</v>
      </c>
      <c r="G138" s="22" t="s">
        <v>11</v>
      </c>
      <c r="H138" s="22" t="s">
        <v>18</v>
      </c>
      <c r="I138" s="22" t="s">
        <v>264</v>
      </c>
      <c r="J138" s="22" t="s">
        <v>330</v>
      </c>
      <c r="K138" s="23" t="s">
        <v>331</v>
      </c>
    </row>
    <row r="139" spans="1:14" hidden="1" x14ac:dyDescent="0.35">
      <c r="A139" s="21">
        <v>1547491</v>
      </c>
      <c r="B139" s="22" t="str">
        <f>"3329154312990002"</f>
        <v>3329154312990002</v>
      </c>
      <c r="C139" s="22" t="str">
        <f t="shared" si="4"/>
        <v>'3329154312990002</v>
      </c>
      <c r="D139" s="22" t="str">
        <f t="shared" si="5"/>
        <v>tidak ganda</v>
      </c>
      <c r="E139" s="22" t="s">
        <v>373</v>
      </c>
      <c r="F139" s="22" t="s">
        <v>10</v>
      </c>
      <c r="G139" s="22" t="s">
        <v>11</v>
      </c>
      <c r="H139" s="22" t="s">
        <v>18</v>
      </c>
      <c r="I139" s="22" t="s">
        <v>264</v>
      </c>
      <c r="J139" s="22" t="s">
        <v>330</v>
      </c>
      <c r="K139" s="23" t="s">
        <v>331</v>
      </c>
    </row>
    <row r="140" spans="1:14" hidden="1" x14ac:dyDescent="0.35">
      <c r="A140" s="21">
        <v>1546664</v>
      </c>
      <c r="B140" s="22" t="str">
        <f>"3329154711880001"</f>
        <v>3329154711880001</v>
      </c>
      <c r="C140" s="22" t="str">
        <f t="shared" si="4"/>
        <v>'3329154711880001</v>
      </c>
      <c r="D140" s="22" t="str">
        <f t="shared" si="5"/>
        <v>tidak ganda</v>
      </c>
      <c r="E140" s="22" t="s">
        <v>485</v>
      </c>
      <c r="F140" s="22" t="s">
        <v>10</v>
      </c>
      <c r="G140" s="22" t="s">
        <v>11</v>
      </c>
      <c r="H140" s="22" t="s">
        <v>18</v>
      </c>
      <c r="I140" s="22" t="s">
        <v>264</v>
      </c>
      <c r="J140" s="22" t="s">
        <v>330</v>
      </c>
      <c r="K140" s="23" t="s">
        <v>331</v>
      </c>
    </row>
    <row r="141" spans="1:14" x14ac:dyDescent="0.35">
      <c r="A141" s="13">
        <v>1683597</v>
      </c>
      <c r="B141" s="14" t="str">
        <f>"3329155803920004"</f>
        <v>3329155803920004</v>
      </c>
      <c r="C141" s="14" t="str">
        <f t="shared" si="4"/>
        <v>'3329155803920004</v>
      </c>
      <c r="D141" s="14" t="str">
        <f t="shared" si="5"/>
        <v>tidak ganda</v>
      </c>
      <c r="E141" s="14" t="s">
        <v>487</v>
      </c>
      <c r="F141" s="14" t="s">
        <v>10</v>
      </c>
      <c r="G141" s="14" t="s">
        <v>11</v>
      </c>
      <c r="H141" s="14" t="s">
        <v>18</v>
      </c>
      <c r="I141" s="14" t="s">
        <v>19</v>
      </c>
      <c r="J141" s="14" t="s">
        <v>20</v>
      </c>
      <c r="K141" s="15" t="s">
        <v>23</v>
      </c>
      <c r="L141" s="16" t="str">
        <f>VLOOKUP(B141,ubah!$B$2:$L$234,4,FALSE)</f>
        <v>Reguler</v>
      </c>
      <c r="M141" s="16" t="str">
        <f>VLOOKUP(B141,ubah!$B$2:$L$234,5,FALSE)</f>
        <v>JAWA TENGAH</v>
      </c>
      <c r="N141" s="16" t="str">
        <f>VLOOKUP(B141,ubah!$B$2:$L$234,6,FALSE)</f>
        <v>BREBES</v>
      </c>
    </row>
    <row r="142" spans="1:14" hidden="1" x14ac:dyDescent="0.35">
      <c r="A142" s="21">
        <v>1549770</v>
      </c>
      <c r="B142" s="22" t="str">
        <f>"3329156207990004"</f>
        <v>3329156207990004</v>
      </c>
      <c r="C142" s="22" t="str">
        <f t="shared" si="4"/>
        <v>'3329156207990004</v>
      </c>
      <c r="D142" s="22" t="str">
        <f t="shared" si="5"/>
        <v>tidak ganda</v>
      </c>
      <c r="E142" s="22" t="s">
        <v>490</v>
      </c>
      <c r="F142" s="22" t="s">
        <v>10</v>
      </c>
      <c r="G142" s="22" t="s">
        <v>11</v>
      </c>
      <c r="H142" s="22" t="s">
        <v>18</v>
      </c>
      <c r="I142" s="22" t="s">
        <v>264</v>
      </c>
      <c r="J142" s="22" t="s">
        <v>330</v>
      </c>
      <c r="K142" s="23" t="s">
        <v>331</v>
      </c>
    </row>
    <row r="143" spans="1:14" hidden="1" x14ac:dyDescent="0.35">
      <c r="A143" s="21">
        <v>2418193</v>
      </c>
      <c r="B143" s="22" t="str">
        <f>"3329163103590003"</f>
        <v>3329163103590003</v>
      </c>
      <c r="C143" s="22" t="str">
        <f t="shared" si="4"/>
        <v>'3329163103590003</v>
      </c>
      <c r="D143" s="22" t="str">
        <f t="shared" si="5"/>
        <v>tidak ganda</v>
      </c>
      <c r="E143" s="22" t="s">
        <v>288</v>
      </c>
      <c r="F143" s="22" t="s">
        <v>10</v>
      </c>
      <c r="G143" s="22" t="s">
        <v>11</v>
      </c>
      <c r="H143" s="22" t="s">
        <v>18</v>
      </c>
      <c r="I143" s="22" t="s">
        <v>19</v>
      </c>
      <c r="J143" s="22" t="s">
        <v>20</v>
      </c>
      <c r="K143" s="23" t="s">
        <v>55</v>
      </c>
      <c r="L143" t="e">
        <f>VLOOKUP(B143,ubah!$B$2:$L$234,4,FALSE)</f>
        <v>#N/A</v>
      </c>
      <c r="M143" t="e">
        <f>VLOOKUP(B143,ubah!$B$2:$L$234,5,FALSE)</f>
        <v>#N/A</v>
      </c>
      <c r="N143" t="e">
        <f>VLOOKUP(B143,ubah!$B$2:$L$234,6,FALSE)</f>
        <v>#N/A</v>
      </c>
    </row>
    <row r="144" spans="1:14" hidden="1" x14ac:dyDescent="0.35">
      <c r="A144" s="21">
        <v>1680866</v>
      </c>
      <c r="B144" s="22" t="str">
        <f>"3329165706770006"</f>
        <v>3329165706770006</v>
      </c>
      <c r="C144" s="22" t="str">
        <f t="shared" si="4"/>
        <v>'3329165706770006</v>
      </c>
      <c r="D144" s="22" t="str">
        <f t="shared" si="5"/>
        <v>tidak ganda</v>
      </c>
      <c r="E144" s="22" t="s">
        <v>493</v>
      </c>
      <c r="F144" s="22" t="s">
        <v>10</v>
      </c>
      <c r="G144" s="22" t="s">
        <v>11</v>
      </c>
      <c r="H144" s="22" t="s">
        <v>18</v>
      </c>
      <c r="I144" s="22" t="s">
        <v>19</v>
      </c>
      <c r="J144" s="22" t="s">
        <v>20</v>
      </c>
      <c r="K144" s="23" t="s">
        <v>23</v>
      </c>
      <c r="L144" t="e">
        <f>VLOOKUP(B144,ubah!$B$2:$L$234,4,FALSE)</f>
        <v>#N/A</v>
      </c>
      <c r="M144" t="e">
        <f>VLOOKUP(B144,ubah!$B$2:$L$234,5,FALSE)</f>
        <v>#N/A</v>
      </c>
      <c r="N144" t="e">
        <f>VLOOKUP(B144,ubah!$B$2:$L$234,6,FALSE)</f>
        <v>#N/A</v>
      </c>
    </row>
    <row r="145" spans="1:14" hidden="1" x14ac:dyDescent="0.35">
      <c r="A145" s="21">
        <v>247333</v>
      </c>
      <c r="B145" s="22" t="str">
        <f>"3376020801850002"</f>
        <v>3376020801850002</v>
      </c>
      <c r="C145" s="22" t="str">
        <f t="shared" si="4"/>
        <v>'3376020801850002</v>
      </c>
      <c r="D145" s="22" t="str">
        <f t="shared" si="5"/>
        <v>tidak ganda</v>
      </c>
      <c r="E145" s="22" t="s">
        <v>496</v>
      </c>
      <c r="F145" s="22" t="s">
        <v>10</v>
      </c>
      <c r="G145" s="22" t="s">
        <v>11</v>
      </c>
      <c r="H145" s="22" t="s">
        <v>18</v>
      </c>
      <c r="I145" s="22" t="s">
        <v>268</v>
      </c>
      <c r="J145" s="22" t="s">
        <v>371</v>
      </c>
      <c r="K145" s="23" t="s">
        <v>497</v>
      </c>
    </row>
    <row r="146" spans="1:14" hidden="1" x14ac:dyDescent="0.35">
      <c r="A146" s="21">
        <v>233990</v>
      </c>
      <c r="B146" s="22" t="str">
        <f>"3376021712900002"</f>
        <v>3376021712900002</v>
      </c>
      <c r="C146" s="22" t="str">
        <f t="shared" si="4"/>
        <v>'3376021712900002</v>
      </c>
      <c r="D146" s="22" t="str">
        <f t="shared" si="5"/>
        <v>tidak ganda</v>
      </c>
      <c r="E146" s="22" t="s">
        <v>498</v>
      </c>
      <c r="F146" s="22" t="s">
        <v>10</v>
      </c>
      <c r="G146" s="22" t="s">
        <v>11</v>
      </c>
      <c r="H146" s="22" t="s">
        <v>18</v>
      </c>
      <c r="I146" s="22" t="s">
        <v>268</v>
      </c>
      <c r="J146" s="22" t="s">
        <v>371</v>
      </c>
      <c r="K146" s="23" t="s">
        <v>372</v>
      </c>
    </row>
    <row r="147" spans="1:14" hidden="1" x14ac:dyDescent="0.35">
      <c r="A147" s="21">
        <v>1446723</v>
      </c>
      <c r="B147" s="22" t="str">
        <f>"3507320502910002"</f>
        <v>3507320502910002</v>
      </c>
      <c r="C147" s="22" t="str">
        <f t="shared" si="4"/>
        <v>'3507320502910002</v>
      </c>
      <c r="D147" s="22" t="str">
        <f t="shared" si="5"/>
        <v>tidak ganda</v>
      </c>
      <c r="E147" s="22" t="s">
        <v>499</v>
      </c>
      <c r="F147" s="22" t="s">
        <v>10</v>
      </c>
      <c r="G147" s="22" t="s">
        <v>11</v>
      </c>
      <c r="H147" s="22" t="s">
        <v>18</v>
      </c>
      <c r="I147" s="22" t="s">
        <v>19</v>
      </c>
      <c r="J147" s="22" t="s">
        <v>20</v>
      </c>
      <c r="K147" s="23" t="s">
        <v>53</v>
      </c>
      <c r="L147" t="e">
        <f>VLOOKUP(B147,ubah!$B$2:$L$234,4,FALSE)</f>
        <v>#N/A</v>
      </c>
      <c r="M147" t="e">
        <f>VLOOKUP(B147,ubah!$B$2:$L$234,5,FALSE)</f>
        <v>#N/A</v>
      </c>
      <c r="N147" t="e">
        <f>VLOOKUP(B147,ubah!$B$2:$L$234,6,FALSE)</f>
        <v>#N/A</v>
      </c>
    </row>
    <row r="148" spans="1:14" hidden="1" x14ac:dyDescent="0.35">
      <c r="A148" s="21">
        <v>1446724</v>
      </c>
      <c r="B148" s="22" t="str">
        <f>"3507320601020003"</f>
        <v>3507320601020003</v>
      </c>
      <c r="C148" s="22" t="str">
        <f t="shared" si="4"/>
        <v>'3507320601020003</v>
      </c>
      <c r="D148" s="22" t="str">
        <f t="shared" si="5"/>
        <v>tidak ganda</v>
      </c>
      <c r="E148" s="22" t="s">
        <v>502</v>
      </c>
      <c r="F148" s="22" t="s">
        <v>10</v>
      </c>
      <c r="G148" s="22" t="s">
        <v>11</v>
      </c>
      <c r="H148" s="22" t="s">
        <v>18</v>
      </c>
      <c r="I148" s="22" t="s">
        <v>19</v>
      </c>
      <c r="J148" s="22" t="s">
        <v>20</v>
      </c>
      <c r="K148" s="23" t="s">
        <v>53</v>
      </c>
      <c r="L148" t="e">
        <f>VLOOKUP(B148,ubah!$B$2:$L$234,4,FALSE)</f>
        <v>#N/A</v>
      </c>
      <c r="M148" t="e">
        <f>VLOOKUP(B148,ubah!$B$2:$L$234,5,FALSE)</f>
        <v>#N/A</v>
      </c>
      <c r="N148" t="e">
        <f>VLOOKUP(B148,ubah!$B$2:$L$234,6,FALSE)</f>
        <v>#N/A</v>
      </c>
    </row>
    <row r="149" spans="1:14" hidden="1" x14ac:dyDescent="0.35">
      <c r="A149" s="21">
        <v>1446725</v>
      </c>
      <c r="B149" s="22" t="str">
        <f>"3507322806960001"</f>
        <v>3507322806960001</v>
      </c>
      <c r="C149" s="22" t="str">
        <f t="shared" si="4"/>
        <v>'3507322806960001</v>
      </c>
      <c r="D149" s="22" t="str">
        <f t="shared" si="5"/>
        <v>tidak ganda</v>
      </c>
      <c r="E149" s="22" t="s">
        <v>503</v>
      </c>
      <c r="F149" s="22" t="s">
        <v>10</v>
      </c>
      <c r="G149" s="22" t="s">
        <v>11</v>
      </c>
      <c r="H149" s="22" t="s">
        <v>18</v>
      </c>
      <c r="I149" s="22" t="s">
        <v>19</v>
      </c>
      <c r="J149" s="22" t="s">
        <v>20</v>
      </c>
      <c r="K149" s="23" t="s">
        <v>53</v>
      </c>
      <c r="L149" t="e">
        <f>VLOOKUP(B149,ubah!$B$2:$L$234,4,FALSE)</f>
        <v>#N/A</v>
      </c>
      <c r="M149" t="e">
        <f>VLOOKUP(B149,ubah!$B$2:$L$234,5,FALSE)</f>
        <v>#N/A</v>
      </c>
      <c r="N149" t="e">
        <f>VLOOKUP(B149,ubah!$B$2:$L$234,6,FALSE)</f>
        <v>#N/A</v>
      </c>
    </row>
    <row r="150" spans="1:14" hidden="1" x14ac:dyDescent="0.35">
      <c r="A150" s="21">
        <v>1169569</v>
      </c>
      <c r="B150" s="22" t="str">
        <f>"3521120609780005"</f>
        <v>3521120609780005</v>
      </c>
      <c r="C150" s="22" t="str">
        <f t="shared" si="4"/>
        <v>'3521120609780005</v>
      </c>
      <c r="D150" s="22" t="str">
        <f t="shared" si="5"/>
        <v>tidak ganda</v>
      </c>
      <c r="E150" s="22" t="s">
        <v>504</v>
      </c>
      <c r="F150" s="22" t="s">
        <v>10</v>
      </c>
      <c r="G150" s="22" t="s">
        <v>11</v>
      </c>
      <c r="H150" s="22" t="s">
        <v>303</v>
      </c>
      <c r="I150" s="22" t="s">
        <v>304</v>
      </c>
      <c r="J150" s="22" t="s">
        <v>505</v>
      </c>
      <c r="K150" s="23" t="s">
        <v>506</v>
      </c>
    </row>
    <row r="151" spans="1:14" hidden="1" x14ac:dyDescent="0.35">
      <c r="A151" s="21">
        <v>2060209</v>
      </c>
      <c r="B151" s="22" t="str">
        <f>"3527071609970001"</f>
        <v>3527071609970001</v>
      </c>
      <c r="C151" s="22" t="str">
        <f t="shared" si="4"/>
        <v>'3527071609970001</v>
      </c>
      <c r="D151" s="22" t="str">
        <f t="shared" si="5"/>
        <v>tidak ganda</v>
      </c>
      <c r="E151" s="22" t="s">
        <v>508</v>
      </c>
      <c r="F151" s="22" t="s">
        <v>10</v>
      </c>
      <c r="G151" s="22" t="s">
        <v>11</v>
      </c>
      <c r="H151" s="22" t="s">
        <v>18</v>
      </c>
      <c r="I151" s="22" t="s">
        <v>19</v>
      </c>
      <c r="J151" s="22" t="s">
        <v>20</v>
      </c>
      <c r="K151" s="23" t="s">
        <v>20</v>
      </c>
      <c r="L151" t="e">
        <f>VLOOKUP(B151,ubah!$B$2:$L$234,4,FALSE)</f>
        <v>#N/A</v>
      </c>
      <c r="M151" t="e">
        <f>VLOOKUP(B151,ubah!$B$2:$L$234,5,FALSE)</f>
        <v>#N/A</v>
      </c>
      <c r="N151" t="e">
        <f>VLOOKUP(B151,ubah!$B$2:$L$234,6,FALSE)</f>
        <v>#N/A</v>
      </c>
    </row>
    <row r="152" spans="1:14" hidden="1" x14ac:dyDescent="0.35">
      <c r="A152" s="21">
        <v>2542265</v>
      </c>
      <c r="B152" s="22" t="str">
        <f>"3671064604020002"</f>
        <v>3671064604020002</v>
      </c>
      <c r="C152" s="22" t="str">
        <f t="shared" si="4"/>
        <v>'3671064604020002</v>
      </c>
      <c r="D152" s="22" t="str">
        <f t="shared" si="5"/>
        <v>tidak ganda</v>
      </c>
      <c r="E152" s="22" t="s">
        <v>511</v>
      </c>
      <c r="F152" s="22" t="s">
        <v>10</v>
      </c>
      <c r="G152" s="22" t="s">
        <v>11</v>
      </c>
      <c r="H152" s="22" t="s">
        <v>67</v>
      </c>
      <c r="I152" s="22" t="s">
        <v>512</v>
      </c>
      <c r="J152" s="22" t="s">
        <v>513</v>
      </c>
      <c r="K152" s="23" t="s">
        <v>514</v>
      </c>
    </row>
    <row r="153" spans="1:14" hidden="1" x14ac:dyDescent="0.35">
      <c r="A153" s="21">
        <v>1536984</v>
      </c>
      <c r="B153" s="22" t="str">
        <f>"6107030711940001"</f>
        <v>6107030711940001</v>
      </c>
      <c r="C153" s="22" t="str">
        <f t="shared" si="4"/>
        <v>'6107030711940001</v>
      </c>
      <c r="D153" s="22" t="str">
        <f t="shared" si="5"/>
        <v>tidak ganda</v>
      </c>
      <c r="E153" s="22" t="s">
        <v>515</v>
      </c>
      <c r="F153" s="22" t="s">
        <v>10</v>
      </c>
      <c r="G153" s="22" t="s">
        <v>11</v>
      </c>
      <c r="H153" s="22" t="s">
        <v>18</v>
      </c>
      <c r="I153" s="22" t="s">
        <v>19</v>
      </c>
      <c r="J153" s="22" t="s">
        <v>20</v>
      </c>
      <c r="K153" s="23" t="s">
        <v>21</v>
      </c>
      <c r="L153" t="e">
        <f>VLOOKUP(B153,ubah!$B$2:$L$234,4,FALSE)</f>
        <v>#N/A</v>
      </c>
      <c r="M153" t="e">
        <f>VLOOKUP(B153,ubah!$B$2:$L$234,5,FALSE)</f>
        <v>#N/A</v>
      </c>
      <c r="N153" t="e">
        <f>VLOOKUP(B153,ubah!$B$2:$L$234,6,FALSE)</f>
        <v>#N/A</v>
      </c>
    </row>
    <row r="154" spans="1:14" hidden="1" x14ac:dyDescent="0.35">
      <c r="A154" s="21">
        <v>601103</v>
      </c>
      <c r="B154" s="22" t="str">
        <f>"6203075208950004"</f>
        <v>6203075208950004</v>
      </c>
      <c r="C154" s="22" t="str">
        <f t="shared" si="4"/>
        <v>'6203075208950004</v>
      </c>
      <c r="D154" s="22" t="str">
        <f t="shared" si="5"/>
        <v>tidak ganda</v>
      </c>
      <c r="E154" s="22" t="s">
        <v>520</v>
      </c>
      <c r="F154" s="22" t="s">
        <v>10</v>
      </c>
      <c r="G154" s="22" t="s">
        <v>11</v>
      </c>
      <c r="H154" s="22" t="s">
        <v>521</v>
      </c>
      <c r="I154" s="22" t="s">
        <v>522</v>
      </c>
      <c r="J154" s="22" t="s">
        <v>523</v>
      </c>
      <c r="K154" s="23" t="s">
        <v>524</v>
      </c>
    </row>
    <row r="155" spans="1:14" hidden="1" x14ac:dyDescent="0.35">
      <c r="A155" s="21">
        <v>1762287</v>
      </c>
      <c r="B155" s="22" t="str">
        <f>"3173042006730019"</f>
        <v>3173042006730019</v>
      </c>
      <c r="C155" s="22" t="str">
        <f t="shared" si="4"/>
        <v>'3173042006730019</v>
      </c>
      <c r="D155" s="22" t="str">
        <f t="shared" si="5"/>
        <v>tidak ganda</v>
      </c>
      <c r="E155" s="22" t="s">
        <v>525</v>
      </c>
      <c r="F155" s="22" t="s">
        <v>10</v>
      </c>
      <c r="G155" s="22" t="s">
        <v>11</v>
      </c>
      <c r="H155" s="22" t="s">
        <v>50</v>
      </c>
      <c r="I155" s="22" t="s">
        <v>86</v>
      </c>
      <c r="J155" s="22" t="s">
        <v>445</v>
      </c>
      <c r="K155" s="23" t="s">
        <v>445</v>
      </c>
    </row>
    <row r="156" spans="1:14" hidden="1" x14ac:dyDescent="0.35">
      <c r="A156" s="21">
        <v>907939</v>
      </c>
      <c r="B156" s="22" t="str">
        <f>"3173074707980005"</f>
        <v>3173074707980005</v>
      </c>
      <c r="C156" s="22" t="str">
        <f t="shared" si="4"/>
        <v>'3173074707980005</v>
      </c>
      <c r="D156" s="22" t="str">
        <f t="shared" si="5"/>
        <v>tidak ganda</v>
      </c>
      <c r="E156" s="22" t="s">
        <v>529</v>
      </c>
      <c r="F156" s="22" t="s">
        <v>10</v>
      </c>
      <c r="G156" s="22" t="s">
        <v>11</v>
      </c>
      <c r="H156" s="22" t="s">
        <v>50</v>
      </c>
      <c r="I156" s="22" t="s">
        <v>86</v>
      </c>
      <c r="J156" s="22" t="s">
        <v>530</v>
      </c>
      <c r="K156" s="23" t="s">
        <v>531</v>
      </c>
    </row>
    <row r="157" spans="1:14" hidden="1" x14ac:dyDescent="0.35">
      <c r="A157" s="21">
        <v>670187</v>
      </c>
      <c r="B157" s="22" t="str">
        <f>"3173084407590008"</f>
        <v>3173084407590008</v>
      </c>
      <c r="C157" s="22" t="str">
        <f t="shared" si="4"/>
        <v>'3173084407590008</v>
      </c>
      <c r="D157" s="22" t="str">
        <f t="shared" si="5"/>
        <v>tidak ganda</v>
      </c>
      <c r="E157" s="22" t="s">
        <v>533</v>
      </c>
      <c r="F157" s="22" t="s">
        <v>10</v>
      </c>
      <c r="G157" s="22" t="s">
        <v>11</v>
      </c>
      <c r="H157" s="22" t="s">
        <v>50</v>
      </c>
      <c r="I157" s="22" t="s">
        <v>86</v>
      </c>
      <c r="J157" s="22" t="s">
        <v>530</v>
      </c>
      <c r="K157" s="23" t="s">
        <v>534</v>
      </c>
    </row>
    <row r="158" spans="1:14" hidden="1" x14ac:dyDescent="0.35">
      <c r="A158" s="21">
        <v>823344</v>
      </c>
      <c r="B158" s="22" t="str">
        <f>"3173085001830007"</f>
        <v>3173085001830007</v>
      </c>
      <c r="C158" s="22" t="str">
        <f t="shared" si="4"/>
        <v>'3173085001830007</v>
      </c>
      <c r="D158" s="22" t="str">
        <f t="shared" si="5"/>
        <v>tidak ganda</v>
      </c>
      <c r="E158" s="22" t="s">
        <v>536</v>
      </c>
      <c r="F158" s="22" t="s">
        <v>10</v>
      </c>
      <c r="G158" s="22" t="s">
        <v>11</v>
      </c>
      <c r="H158" s="22" t="s">
        <v>50</v>
      </c>
      <c r="I158" s="22" t="s">
        <v>86</v>
      </c>
      <c r="J158" s="22" t="s">
        <v>530</v>
      </c>
      <c r="K158" s="23" t="s">
        <v>537</v>
      </c>
    </row>
    <row r="159" spans="1:14" hidden="1" x14ac:dyDescent="0.35">
      <c r="A159" s="21">
        <v>1122060</v>
      </c>
      <c r="B159" s="22" t="str">
        <f>"3174104604580003"</f>
        <v>3174104604580003</v>
      </c>
      <c r="C159" s="22" t="str">
        <f t="shared" si="4"/>
        <v>'3174104604580003</v>
      </c>
      <c r="D159" s="22" t="str">
        <f t="shared" si="5"/>
        <v>tidak ganda</v>
      </c>
      <c r="E159" s="22" t="s">
        <v>540</v>
      </c>
      <c r="F159" s="22" t="s">
        <v>10</v>
      </c>
      <c r="G159" s="22" t="s">
        <v>11</v>
      </c>
      <c r="H159" s="22" t="s">
        <v>50</v>
      </c>
      <c r="I159" s="22" t="s">
        <v>72</v>
      </c>
      <c r="J159" s="22" t="s">
        <v>541</v>
      </c>
      <c r="K159" s="23" t="s">
        <v>542</v>
      </c>
    </row>
    <row r="160" spans="1:14" hidden="1" x14ac:dyDescent="0.35">
      <c r="A160" s="21">
        <v>989219</v>
      </c>
      <c r="B160" s="22" t="str">
        <f>"3175010707720002"</f>
        <v>3175010707720002</v>
      </c>
      <c r="C160" s="22" t="str">
        <f t="shared" si="4"/>
        <v>'3175010707720002</v>
      </c>
      <c r="D160" s="22" t="str">
        <f t="shared" si="5"/>
        <v>tidak ganda</v>
      </c>
      <c r="E160" s="22" t="s">
        <v>544</v>
      </c>
      <c r="F160" s="22" t="s">
        <v>10</v>
      </c>
      <c r="G160" s="22" t="s">
        <v>11</v>
      </c>
      <c r="H160" s="22" t="s">
        <v>50</v>
      </c>
      <c r="I160" s="22" t="s">
        <v>58</v>
      </c>
      <c r="J160" s="22" t="s">
        <v>406</v>
      </c>
      <c r="K160" s="23" t="s">
        <v>545</v>
      </c>
    </row>
    <row r="161" spans="1:11" hidden="1" x14ac:dyDescent="0.35">
      <c r="A161" s="21">
        <v>823932</v>
      </c>
      <c r="B161" s="22" t="str">
        <f>"3175041702790012"</f>
        <v>3175041702790012</v>
      </c>
      <c r="C161" s="22" t="str">
        <f t="shared" si="4"/>
        <v>'3175041702790012</v>
      </c>
      <c r="D161" s="22" t="str">
        <f t="shared" si="5"/>
        <v>tidak ganda</v>
      </c>
      <c r="E161" s="22" t="s">
        <v>547</v>
      </c>
      <c r="F161" s="22" t="s">
        <v>10</v>
      </c>
      <c r="G161" s="22" t="s">
        <v>11</v>
      </c>
      <c r="H161" s="22" t="s">
        <v>50</v>
      </c>
      <c r="I161" s="22" t="s">
        <v>58</v>
      </c>
      <c r="J161" s="22" t="s">
        <v>97</v>
      </c>
      <c r="K161" s="23" t="s">
        <v>548</v>
      </c>
    </row>
    <row r="162" spans="1:11" hidden="1" x14ac:dyDescent="0.35">
      <c r="A162" s="21">
        <v>832243</v>
      </c>
      <c r="B162" s="22" t="str">
        <f>"3175046710580006"</f>
        <v>3175046710580006</v>
      </c>
      <c r="C162" s="22" t="str">
        <f t="shared" si="4"/>
        <v>'3175046710580006</v>
      </c>
      <c r="D162" s="22" t="str">
        <f t="shared" si="5"/>
        <v>tidak ganda</v>
      </c>
      <c r="E162" s="22" t="s">
        <v>549</v>
      </c>
      <c r="F162" s="22" t="s">
        <v>10</v>
      </c>
      <c r="G162" s="22" t="s">
        <v>11</v>
      </c>
      <c r="H162" s="22" t="s">
        <v>50</v>
      </c>
      <c r="I162" s="22" t="s">
        <v>58</v>
      </c>
      <c r="J162" s="22" t="s">
        <v>97</v>
      </c>
      <c r="K162" s="23" t="s">
        <v>548</v>
      </c>
    </row>
    <row r="163" spans="1:11" hidden="1" x14ac:dyDescent="0.35">
      <c r="A163" s="21">
        <v>2043065</v>
      </c>
      <c r="B163" s="22" t="str">
        <f>"3202241102820004"</f>
        <v>3202241102820004</v>
      </c>
      <c r="C163" s="22" t="str">
        <f t="shared" si="4"/>
        <v>'3202241102820004</v>
      </c>
      <c r="D163" s="22" t="str">
        <f t="shared" si="5"/>
        <v>tidak ganda</v>
      </c>
      <c r="E163" s="22" t="s">
        <v>550</v>
      </c>
      <c r="F163" s="22" t="s">
        <v>10</v>
      </c>
      <c r="G163" s="22" t="s">
        <v>11</v>
      </c>
      <c r="H163" s="22" t="s">
        <v>91</v>
      </c>
      <c r="I163" s="22" t="s">
        <v>101</v>
      </c>
      <c r="J163" s="22" t="s">
        <v>551</v>
      </c>
      <c r="K163" s="23" t="s">
        <v>552</v>
      </c>
    </row>
    <row r="164" spans="1:11" hidden="1" x14ac:dyDescent="0.35">
      <c r="A164" s="21">
        <v>2043023</v>
      </c>
      <c r="B164" s="22" t="str">
        <f>"3202245002840005"</f>
        <v>3202245002840005</v>
      </c>
      <c r="C164" s="22" t="str">
        <f t="shared" si="4"/>
        <v>'3202245002840005</v>
      </c>
      <c r="D164" s="22" t="str">
        <f t="shared" si="5"/>
        <v>tidak ganda</v>
      </c>
      <c r="E164" s="22" t="s">
        <v>553</v>
      </c>
      <c r="F164" s="22" t="s">
        <v>10</v>
      </c>
      <c r="G164" s="22" t="s">
        <v>11</v>
      </c>
      <c r="H164" s="22" t="s">
        <v>91</v>
      </c>
      <c r="I164" s="22" t="s">
        <v>101</v>
      </c>
      <c r="J164" s="22" t="s">
        <v>551</v>
      </c>
      <c r="K164" s="23" t="s">
        <v>552</v>
      </c>
    </row>
    <row r="165" spans="1:11" hidden="1" x14ac:dyDescent="0.35">
      <c r="A165" s="21">
        <v>1858089</v>
      </c>
      <c r="B165" s="22" t="str">
        <f>"3203150506850008"</f>
        <v>3203150506850008</v>
      </c>
      <c r="C165" s="22" t="str">
        <f t="shared" si="4"/>
        <v>'3203150506850008</v>
      </c>
      <c r="D165" s="22" t="str">
        <f t="shared" si="5"/>
        <v>tidak ganda</v>
      </c>
      <c r="E165" s="22" t="s">
        <v>554</v>
      </c>
      <c r="F165" s="22" t="s">
        <v>10</v>
      </c>
      <c r="G165" s="22" t="s">
        <v>11</v>
      </c>
      <c r="H165" s="22" t="s">
        <v>91</v>
      </c>
      <c r="I165" s="22" t="s">
        <v>555</v>
      </c>
      <c r="J165" s="22" t="s">
        <v>556</v>
      </c>
      <c r="K165" s="23" t="s">
        <v>557</v>
      </c>
    </row>
    <row r="166" spans="1:11" hidden="1" x14ac:dyDescent="0.35">
      <c r="A166" s="21">
        <v>1858049</v>
      </c>
      <c r="B166" s="22" t="str">
        <f>"3203151101900005"</f>
        <v>3203151101900005</v>
      </c>
      <c r="C166" s="22" t="str">
        <f t="shared" si="4"/>
        <v>'3203151101900005</v>
      </c>
      <c r="D166" s="22" t="str">
        <f t="shared" si="5"/>
        <v>tidak ganda</v>
      </c>
      <c r="E166" s="22" t="s">
        <v>558</v>
      </c>
      <c r="F166" s="22" t="s">
        <v>10</v>
      </c>
      <c r="G166" s="22" t="s">
        <v>11</v>
      </c>
      <c r="H166" s="22" t="s">
        <v>91</v>
      </c>
      <c r="I166" s="22" t="s">
        <v>555</v>
      </c>
      <c r="J166" s="22" t="s">
        <v>556</v>
      </c>
      <c r="K166" s="23" t="s">
        <v>557</v>
      </c>
    </row>
    <row r="167" spans="1:11" hidden="1" x14ac:dyDescent="0.35">
      <c r="A167" s="21">
        <v>299738</v>
      </c>
      <c r="B167" s="22" t="str">
        <f>"3212100211950001"</f>
        <v>3212100211950001</v>
      </c>
      <c r="C167" s="22" t="str">
        <f t="shared" si="4"/>
        <v>'3212100211950001</v>
      </c>
      <c r="D167" s="22" t="str">
        <f t="shared" si="5"/>
        <v>tidak ganda</v>
      </c>
      <c r="E167" s="22" t="s">
        <v>561</v>
      </c>
      <c r="F167" s="22" t="s">
        <v>10</v>
      </c>
      <c r="G167" s="22" t="s">
        <v>11</v>
      </c>
      <c r="H167" s="22" t="s">
        <v>91</v>
      </c>
      <c r="I167" s="22" t="s">
        <v>114</v>
      </c>
      <c r="J167" s="22" t="s">
        <v>562</v>
      </c>
      <c r="K167" s="23" t="s">
        <v>563</v>
      </c>
    </row>
    <row r="168" spans="1:11" hidden="1" x14ac:dyDescent="0.35">
      <c r="A168" s="21">
        <v>618592</v>
      </c>
      <c r="B168" s="22" t="str">
        <f>"3215082603840001"</f>
        <v>3215082603840001</v>
      </c>
      <c r="C168" s="22" t="str">
        <f t="shared" si="4"/>
        <v>'3215082603840001</v>
      </c>
      <c r="D168" s="22" t="str">
        <f t="shared" si="5"/>
        <v>tidak ganda</v>
      </c>
      <c r="E168" s="22" t="s">
        <v>565</v>
      </c>
      <c r="F168" s="22" t="s">
        <v>10</v>
      </c>
      <c r="G168" s="22" t="s">
        <v>11</v>
      </c>
      <c r="H168" s="22" t="s">
        <v>91</v>
      </c>
      <c r="I168" s="22" t="s">
        <v>320</v>
      </c>
      <c r="J168" s="22" t="s">
        <v>566</v>
      </c>
      <c r="K168" s="23" t="s">
        <v>566</v>
      </c>
    </row>
    <row r="169" spans="1:11" hidden="1" x14ac:dyDescent="0.35">
      <c r="A169" s="21">
        <v>809228</v>
      </c>
      <c r="B169" s="22" t="str">
        <f>"3215202106890002"</f>
        <v>3215202106890002</v>
      </c>
      <c r="C169" s="22" t="str">
        <f t="shared" si="4"/>
        <v>'3215202106890002</v>
      </c>
      <c r="D169" s="22" t="str">
        <f t="shared" si="5"/>
        <v>tidak ganda</v>
      </c>
      <c r="E169" s="22" t="s">
        <v>567</v>
      </c>
      <c r="F169" s="22" t="s">
        <v>10</v>
      </c>
      <c r="G169" s="22" t="s">
        <v>11</v>
      </c>
      <c r="H169" s="22" t="s">
        <v>91</v>
      </c>
      <c r="I169" s="22" t="s">
        <v>320</v>
      </c>
      <c r="J169" s="22" t="s">
        <v>568</v>
      </c>
      <c r="K169" s="23" t="s">
        <v>569</v>
      </c>
    </row>
    <row r="170" spans="1:11" hidden="1" x14ac:dyDescent="0.35">
      <c r="A170" s="21">
        <v>1471685</v>
      </c>
      <c r="B170" s="22" t="str">
        <f>"3216191501830003"</f>
        <v>3216191501830003</v>
      </c>
      <c r="C170" s="22" t="str">
        <f t="shared" si="4"/>
        <v>'3216191501830003</v>
      </c>
      <c r="D170" s="22" t="str">
        <f t="shared" si="5"/>
        <v>tidak ganda</v>
      </c>
      <c r="E170" s="22" t="s">
        <v>570</v>
      </c>
      <c r="F170" s="22" t="s">
        <v>10</v>
      </c>
      <c r="G170" s="22" t="s">
        <v>11</v>
      </c>
      <c r="H170" s="22" t="s">
        <v>91</v>
      </c>
      <c r="I170" s="22" t="s">
        <v>92</v>
      </c>
      <c r="J170" s="22" t="s">
        <v>571</v>
      </c>
      <c r="K170" s="23" t="s">
        <v>572</v>
      </c>
    </row>
    <row r="171" spans="1:11" hidden="1" x14ac:dyDescent="0.35">
      <c r="A171" s="21">
        <v>42158</v>
      </c>
      <c r="B171" s="22" t="str">
        <f>"3275092108930005"</f>
        <v>3275092108930005</v>
      </c>
      <c r="C171" s="22" t="str">
        <f t="shared" si="4"/>
        <v>'3275092108930005</v>
      </c>
      <c r="D171" s="22" t="str">
        <f t="shared" si="5"/>
        <v>tidak ganda</v>
      </c>
      <c r="E171" s="22" t="s">
        <v>573</v>
      </c>
      <c r="F171" s="22" t="s">
        <v>10</v>
      </c>
      <c r="G171" s="22" t="s">
        <v>11</v>
      </c>
      <c r="H171" s="22" t="s">
        <v>412</v>
      </c>
      <c r="I171" s="22" t="s">
        <v>574</v>
      </c>
      <c r="J171" s="22" t="s">
        <v>575</v>
      </c>
      <c r="K171" s="23" t="s">
        <v>576</v>
      </c>
    </row>
    <row r="172" spans="1:11" hidden="1" x14ac:dyDescent="0.35">
      <c r="A172" s="21">
        <v>42159</v>
      </c>
      <c r="B172" s="22" t="str">
        <f>"3275094403650008"</f>
        <v>3275094403650008</v>
      </c>
      <c r="C172" s="22" t="str">
        <f t="shared" si="4"/>
        <v>'3275094403650008</v>
      </c>
      <c r="D172" s="22" t="str">
        <f t="shared" si="5"/>
        <v>tidak ganda</v>
      </c>
      <c r="E172" s="22" t="s">
        <v>577</v>
      </c>
      <c r="F172" s="22" t="s">
        <v>10</v>
      </c>
      <c r="G172" s="22" t="s">
        <v>11</v>
      </c>
      <c r="H172" s="22" t="s">
        <v>412</v>
      </c>
      <c r="I172" s="22" t="s">
        <v>574</v>
      </c>
      <c r="J172" s="22" t="s">
        <v>575</v>
      </c>
      <c r="K172" s="23" t="s">
        <v>576</v>
      </c>
    </row>
    <row r="173" spans="1:11" hidden="1" x14ac:dyDescent="0.35">
      <c r="A173" s="21">
        <v>1281633</v>
      </c>
      <c r="B173" s="22" t="str">
        <f>"3311060908960001"</f>
        <v>3311060908960001</v>
      </c>
      <c r="C173" s="22" t="str">
        <f t="shared" si="4"/>
        <v>'3311060908960001</v>
      </c>
      <c r="D173" s="22" t="str">
        <f t="shared" si="5"/>
        <v>tidak ganda</v>
      </c>
      <c r="E173" s="22" t="s">
        <v>580</v>
      </c>
      <c r="F173" s="22" t="s">
        <v>10</v>
      </c>
      <c r="G173" s="22" t="s">
        <v>11</v>
      </c>
      <c r="H173" s="22" t="s">
        <v>18</v>
      </c>
      <c r="I173" s="22" t="s">
        <v>581</v>
      </c>
      <c r="J173" s="22" t="s">
        <v>582</v>
      </c>
      <c r="K173" s="23" t="s">
        <v>583</v>
      </c>
    </row>
    <row r="174" spans="1:11" hidden="1" x14ac:dyDescent="0.35">
      <c r="A174" s="21">
        <v>863336</v>
      </c>
      <c r="B174" s="22" t="str">
        <f>"3326022907850002"</f>
        <v>3326022907850002</v>
      </c>
      <c r="C174" s="22" t="str">
        <f t="shared" si="4"/>
        <v>'3326022907850002</v>
      </c>
      <c r="D174" s="22" t="str">
        <f t="shared" si="5"/>
        <v>tidak ganda</v>
      </c>
      <c r="E174" s="22" t="s">
        <v>585</v>
      </c>
      <c r="F174" s="22" t="s">
        <v>10</v>
      </c>
      <c r="G174" s="22" t="s">
        <v>11</v>
      </c>
      <c r="H174" s="22" t="s">
        <v>18</v>
      </c>
      <c r="I174" s="22" t="s">
        <v>195</v>
      </c>
      <c r="J174" s="22" t="s">
        <v>586</v>
      </c>
      <c r="K174" s="23" t="s">
        <v>587</v>
      </c>
    </row>
    <row r="175" spans="1:11" hidden="1" x14ac:dyDescent="0.35">
      <c r="A175" s="21">
        <v>950279</v>
      </c>
      <c r="B175" s="22" t="str">
        <f>"3326094807900003"</f>
        <v>3326094807900003</v>
      </c>
      <c r="C175" s="22" t="str">
        <f t="shared" si="4"/>
        <v>'3326094807900003</v>
      </c>
      <c r="D175" s="22" t="str">
        <f t="shared" si="5"/>
        <v>tidak ganda</v>
      </c>
      <c r="E175" s="22" t="s">
        <v>589</v>
      </c>
      <c r="F175" s="22" t="s">
        <v>10</v>
      </c>
      <c r="G175" s="22" t="s">
        <v>11</v>
      </c>
      <c r="H175" s="22" t="s">
        <v>50</v>
      </c>
      <c r="I175" s="22" t="s">
        <v>86</v>
      </c>
      <c r="J175" s="22" t="s">
        <v>530</v>
      </c>
      <c r="K175" s="23" t="s">
        <v>531</v>
      </c>
    </row>
    <row r="176" spans="1:11" hidden="1" x14ac:dyDescent="0.35">
      <c r="A176" s="21">
        <v>1816995</v>
      </c>
      <c r="B176" s="22" t="str">
        <f>"3327023112820010"</f>
        <v>3327023112820010</v>
      </c>
      <c r="C176" s="22" t="str">
        <f t="shared" si="4"/>
        <v>'3327023112820010</v>
      </c>
      <c r="D176" s="22" t="str">
        <f t="shared" si="5"/>
        <v>tidak ganda</v>
      </c>
      <c r="E176" s="22" t="s">
        <v>594</v>
      </c>
      <c r="F176" s="22" t="s">
        <v>10</v>
      </c>
      <c r="G176" s="22" t="s">
        <v>11</v>
      </c>
      <c r="H176" s="22" t="s">
        <v>18</v>
      </c>
      <c r="I176" s="22" t="s">
        <v>199</v>
      </c>
      <c r="J176" s="22" t="s">
        <v>595</v>
      </c>
      <c r="K176" s="23" t="s">
        <v>596</v>
      </c>
    </row>
    <row r="177" spans="1:14" hidden="1" x14ac:dyDescent="0.35">
      <c r="A177" s="21">
        <v>1960277</v>
      </c>
      <c r="B177" s="22" t="str">
        <f>"3327032409840005"</f>
        <v>3327032409840005</v>
      </c>
      <c r="C177" s="22" t="str">
        <f t="shared" si="4"/>
        <v>'3327032409840005</v>
      </c>
      <c r="D177" s="22" t="str">
        <f t="shared" si="5"/>
        <v>tidak ganda</v>
      </c>
      <c r="E177" s="22" t="s">
        <v>598</v>
      </c>
      <c r="F177" s="22" t="s">
        <v>10</v>
      </c>
      <c r="G177" s="22" t="s">
        <v>11</v>
      </c>
      <c r="H177" s="22" t="s">
        <v>18</v>
      </c>
      <c r="I177" s="22" t="s">
        <v>199</v>
      </c>
      <c r="J177" s="22" t="s">
        <v>599</v>
      </c>
      <c r="K177" s="23" t="s">
        <v>600</v>
      </c>
    </row>
    <row r="178" spans="1:14" hidden="1" x14ac:dyDescent="0.35">
      <c r="A178" s="21">
        <v>1980944</v>
      </c>
      <c r="B178" s="22" t="str">
        <f>"3327103009950044"</f>
        <v>3327103009950044</v>
      </c>
      <c r="C178" s="22" t="str">
        <f t="shared" si="4"/>
        <v>'3327103009950044</v>
      </c>
      <c r="D178" s="22" t="str">
        <f t="shared" si="5"/>
        <v>tidak ganda</v>
      </c>
      <c r="E178" s="22" t="s">
        <v>603</v>
      </c>
      <c r="F178" s="22" t="s">
        <v>10</v>
      </c>
      <c r="G178" s="22" t="s">
        <v>11</v>
      </c>
      <c r="H178" s="22" t="s">
        <v>18</v>
      </c>
      <c r="I178" s="22" t="s">
        <v>199</v>
      </c>
      <c r="J178" s="22" t="s">
        <v>200</v>
      </c>
      <c r="K178" s="23" t="s">
        <v>201</v>
      </c>
    </row>
    <row r="179" spans="1:14" hidden="1" x14ac:dyDescent="0.35">
      <c r="A179" s="21">
        <v>1349035</v>
      </c>
      <c r="B179" s="22" t="str">
        <f>"3328020101070012"</f>
        <v>3328020101070012</v>
      </c>
      <c r="C179" s="22" t="str">
        <f t="shared" si="4"/>
        <v>'3328020101070012</v>
      </c>
      <c r="D179" s="22" t="str">
        <f t="shared" si="5"/>
        <v>tidak ganda</v>
      </c>
      <c r="E179" s="22" t="s">
        <v>607</v>
      </c>
      <c r="F179" s="22" t="s">
        <v>10</v>
      </c>
      <c r="G179" s="22" t="s">
        <v>57</v>
      </c>
      <c r="H179" s="22" t="s">
        <v>303</v>
      </c>
      <c r="I179" s="22" t="s">
        <v>608</v>
      </c>
      <c r="J179" s="22" t="s">
        <v>609</v>
      </c>
      <c r="K179" s="23" t="s">
        <v>610</v>
      </c>
    </row>
    <row r="180" spans="1:14" hidden="1" x14ac:dyDescent="0.35">
      <c r="A180" s="21">
        <v>521889</v>
      </c>
      <c r="B180" s="22" t="str">
        <f>"3328020107000059"</f>
        <v>3328020107000059</v>
      </c>
      <c r="C180" s="22" t="str">
        <f t="shared" si="4"/>
        <v>'3328020107000059</v>
      </c>
      <c r="D180" s="22" t="str">
        <f t="shared" si="5"/>
        <v>tidak ganda</v>
      </c>
      <c r="E180" s="22" t="s">
        <v>614</v>
      </c>
      <c r="F180" s="22" t="s">
        <v>10</v>
      </c>
      <c r="G180" s="22" t="s">
        <v>11</v>
      </c>
      <c r="H180" s="22" t="s">
        <v>50</v>
      </c>
      <c r="I180" s="22" t="s">
        <v>51</v>
      </c>
      <c r="J180" s="22" t="s">
        <v>62</v>
      </c>
      <c r="K180" s="23" t="s">
        <v>615</v>
      </c>
    </row>
    <row r="181" spans="1:14" hidden="1" x14ac:dyDescent="0.35">
      <c r="A181" s="21">
        <v>1349034</v>
      </c>
      <c r="B181" s="22" t="str">
        <f>"3328020107060019"</f>
        <v>3328020107060019</v>
      </c>
      <c r="C181" s="22" t="str">
        <f t="shared" si="4"/>
        <v>'3328020107060019</v>
      </c>
      <c r="D181" s="22" t="str">
        <f t="shared" si="5"/>
        <v>tidak ganda</v>
      </c>
      <c r="E181" s="22" t="s">
        <v>617</v>
      </c>
      <c r="F181" s="22" t="s">
        <v>10</v>
      </c>
      <c r="G181" s="22" t="s">
        <v>57</v>
      </c>
      <c r="H181" s="22" t="s">
        <v>303</v>
      </c>
      <c r="I181" s="22" t="s">
        <v>608</v>
      </c>
      <c r="J181" s="22" t="s">
        <v>609</v>
      </c>
      <c r="K181" s="23" t="s">
        <v>610</v>
      </c>
    </row>
    <row r="182" spans="1:14" hidden="1" x14ac:dyDescent="0.35">
      <c r="A182" s="21">
        <v>2484224</v>
      </c>
      <c r="B182" s="22" t="str">
        <f>"3328020107990051"</f>
        <v>3328020107990051</v>
      </c>
      <c r="C182" s="22" t="str">
        <f t="shared" si="4"/>
        <v>'3328020107990051</v>
      </c>
      <c r="D182" s="22" t="str">
        <f t="shared" si="5"/>
        <v>ganda</v>
      </c>
      <c r="E182" s="22" t="s">
        <v>618</v>
      </c>
      <c r="F182" s="22" t="s">
        <v>10</v>
      </c>
      <c r="G182" s="22" t="s">
        <v>11</v>
      </c>
      <c r="H182" s="22" t="s">
        <v>18</v>
      </c>
      <c r="I182" s="22" t="s">
        <v>19</v>
      </c>
      <c r="J182" s="22" t="s">
        <v>527</v>
      </c>
      <c r="K182" s="23" t="s">
        <v>590</v>
      </c>
      <c r="L182" t="e">
        <f>VLOOKUP(B182,ubah!$B$2:$L$234,4,FALSE)</f>
        <v>#N/A</v>
      </c>
      <c r="M182" t="e">
        <f>VLOOKUP(B182,ubah!$B$2:$L$234,5,FALSE)</f>
        <v>#N/A</v>
      </c>
      <c r="N182" t="e">
        <f>VLOOKUP(B182,ubah!$B$2:$L$234,6,FALSE)</f>
        <v>#N/A</v>
      </c>
    </row>
    <row r="183" spans="1:14" hidden="1" x14ac:dyDescent="0.35">
      <c r="A183" s="21">
        <v>423775</v>
      </c>
      <c r="B183" s="22" t="str">
        <f>"3328020107990051"</f>
        <v>3328020107990051</v>
      </c>
      <c r="C183" s="22" t="str">
        <f t="shared" si="4"/>
        <v>'3328020107990051</v>
      </c>
      <c r="D183" s="22" t="str">
        <f t="shared" si="5"/>
        <v>ganda</v>
      </c>
      <c r="E183" s="22" t="s">
        <v>619</v>
      </c>
      <c r="F183" s="22" t="s">
        <v>10</v>
      </c>
      <c r="G183" s="22" t="s">
        <v>57</v>
      </c>
      <c r="H183" s="22" t="s">
        <v>18</v>
      </c>
      <c r="I183" s="22" t="s">
        <v>268</v>
      </c>
      <c r="J183" s="22" t="s">
        <v>277</v>
      </c>
      <c r="K183" s="23" t="s">
        <v>278</v>
      </c>
    </row>
    <row r="184" spans="1:14" hidden="1" x14ac:dyDescent="0.35">
      <c r="A184" s="21">
        <v>55772</v>
      </c>
      <c r="B184" s="22" t="str">
        <f>"3328020209970008"</f>
        <v>3328020209970008</v>
      </c>
      <c r="C184" s="22" t="str">
        <f t="shared" si="4"/>
        <v>'3328020209970008</v>
      </c>
      <c r="D184" s="22" t="str">
        <f t="shared" si="5"/>
        <v>tidak ganda</v>
      </c>
      <c r="E184" s="22" t="s">
        <v>620</v>
      </c>
      <c r="F184" s="22" t="s">
        <v>10</v>
      </c>
      <c r="G184" s="22" t="s">
        <v>11</v>
      </c>
      <c r="H184" s="22" t="s">
        <v>18</v>
      </c>
      <c r="I184" s="22" t="s">
        <v>264</v>
      </c>
      <c r="J184" s="22" t="s">
        <v>468</v>
      </c>
      <c r="K184" s="23" t="s">
        <v>621</v>
      </c>
    </row>
    <row r="185" spans="1:14" hidden="1" x14ac:dyDescent="0.35">
      <c r="A185" s="21">
        <v>2430745</v>
      </c>
      <c r="B185" s="22" t="str">
        <f>"3328020501870011"</f>
        <v>3328020501870011</v>
      </c>
      <c r="C185" s="22" t="str">
        <f t="shared" si="4"/>
        <v>'3328020501870011</v>
      </c>
      <c r="D185" s="22" t="str">
        <f t="shared" si="5"/>
        <v>ganda</v>
      </c>
      <c r="E185" s="22" t="s">
        <v>623</v>
      </c>
      <c r="F185" s="22" t="s">
        <v>10</v>
      </c>
      <c r="G185" s="22" t="s">
        <v>11</v>
      </c>
      <c r="H185" s="22" t="s">
        <v>18</v>
      </c>
      <c r="I185" s="22" t="s">
        <v>19</v>
      </c>
      <c r="J185" s="22" t="s">
        <v>527</v>
      </c>
      <c r="K185" s="23" t="s">
        <v>539</v>
      </c>
      <c r="L185" t="e">
        <f>VLOOKUP(B185,ubah!$B$2:$L$234,4,FALSE)</f>
        <v>#N/A</v>
      </c>
      <c r="M185" t="e">
        <f>VLOOKUP(B185,ubah!$B$2:$L$234,5,FALSE)</f>
        <v>#N/A</v>
      </c>
      <c r="N185" t="e">
        <f>VLOOKUP(B185,ubah!$B$2:$L$234,6,FALSE)</f>
        <v>#N/A</v>
      </c>
    </row>
    <row r="186" spans="1:14" hidden="1" x14ac:dyDescent="0.35">
      <c r="A186" s="21">
        <v>1178476</v>
      </c>
      <c r="B186" s="22" t="str">
        <f>"3328020501870011"</f>
        <v>3328020501870011</v>
      </c>
      <c r="C186" s="22" t="str">
        <f t="shared" si="4"/>
        <v>'3328020501870011</v>
      </c>
      <c r="D186" s="22" t="str">
        <f t="shared" si="5"/>
        <v>ganda</v>
      </c>
      <c r="E186" s="22" t="s">
        <v>623</v>
      </c>
      <c r="F186" s="22" t="s">
        <v>10</v>
      </c>
      <c r="G186" s="22" t="s">
        <v>11</v>
      </c>
      <c r="H186" s="22" t="s">
        <v>18</v>
      </c>
      <c r="I186" s="22" t="s">
        <v>180</v>
      </c>
      <c r="J186" s="22" t="s">
        <v>181</v>
      </c>
      <c r="K186" s="23" t="s">
        <v>624</v>
      </c>
    </row>
    <row r="187" spans="1:14" hidden="1" x14ac:dyDescent="0.35">
      <c r="A187" s="21">
        <v>1728890</v>
      </c>
      <c r="B187" s="22" t="str">
        <f>"3328020502950007"</f>
        <v>3328020502950007</v>
      </c>
      <c r="C187" s="22" t="str">
        <f t="shared" si="4"/>
        <v>'3328020502950007</v>
      </c>
      <c r="D187" s="22" t="str">
        <f t="shared" si="5"/>
        <v>tidak ganda</v>
      </c>
      <c r="E187" s="22" t="s">
        <v>625</v>
      </c>
      <c r="F187" s="22" t="s">
        <v>10</v>
      </c>
      <c r="G187" s="22" t="s">
        <v>11</v>
      </c>
      <c r="H187" s="22" t="s">
        <v>50</v>
      </c>
      <c r="I187" s="22" t="s">
        <v>58</v>
      </c>
      <c r="J187" s="22" t="s">
        <v>260</v>
      </c>
      <c r="K187" s="23" t="s">
        <v>626</v>
      </c>
    </row>
    <row r="188" spans="1:14" hidden="1" x14ac:dyDescent="0.35">
      <c r="A188" s="21">
        <v>1378267</v>
      </c>
      <c r="B188" s="22" t="str">
        <f>"3328020802720001"</f>
        <v>3328020802720001</v>
      </c>
      <c r="C188" s="22" t="str">
        <f t="shared" si="4"/>
        <v>'3328020802720001</v>
      </c>
      <c r="D188" s="22" t="str">
        <f t="shared" si="5"/>
        <v>tidak ganda</v>
      </c>
      <c r="E188" s="22" t="s">
        <v>627</v>
      </c>
      <c r="F188" s="22" t="s">
        <v>10</v>
      </c>
      <c r="G188" s="22" t="s">
        <v>11</v>
      </c>
      <c r="H188" s="22" t="s">
        <v>50</v>
      </c>
      <c r="I188" s="22" t="s">
        <v>72</v>
      </c>
      <c r="J188" s="22" t="s">
        <v>628</v>
      </c>
      <c r="K188" s="23" t="s">
        <v>629</v>
      </c>
    </row>
    <row r="189" spans="1:14" hidden="1" x14ac:dyDescent="0.35">
      <c r="A189" s="21">
        <v>2437831</v>
      </c>
      <c r="B189" s="22" t="str">
        <f>"3328020804730005"</f>
        <v>3328020804730005</v>
      </c>
      <c r="C189" s="22" t="str">
        <f t="shared" si="4"/>
        <v>'3328020804730005</v>
      </c>
      <c r="D189" s="22" t="str">
        <f t="shared" si="5"/>
        <v>tidak ganda</v>
      </c>
      <c r="E189" s="22" t="s">
        <v>630</v>
      </c>
      <c r="F189" s="22" t="s">
        <v>10</v>
      </c>
      <c r="G189" s="22" t="s">
        <v>11</v>
      </c>
      <c r="H189" s="22" t="s">
        <v>18</v>
      </c>
      <c r="I189" s="22" t="s">
        <v>19</v>
      </c>
      <c r="J189" s="22" t="s">
        <v>527</v>
      </c>
      <c r="K189" s="23" t="s">
        <v>535</v>
      </c>
      <c r="L189" t="e">
        <f>VLOOKUP(B189,ubah!$B$2:$L$234,4,FALSE)</f>
        <v>#N/A</v>
      </c>
      <c r="M189" t="e">
        <f>VLOOKUP(B189,ubah!$B$2:$L$234,5,FALSE)</f>
        <v>#N/A</v>
      </c>
      <c r="N189" t="e">
        <f>VLOOKUP(B189,ubah!$B$2:$L$234,6,FALSE)</f>
        <v>#N/A</v>
      </c>
    </row>
    <row r="190" spans="1:14" hidden="1" x14ac:dyDescent="0.35">
      <c r="A190" s="21">
        <v>1665252</v>
      </c>
      <c r="B190" s="22" t="str">
        <f>"3328020910950004"</f>
        <v>3328020910950004</v>
      </c>
      <c r="C190" s="22" t="str">
        <f t="shared" si="4"/>
        <v>'3328020910950004</v>
      </c>
      <c r="D190" s="22" t="str">
        <f t="shared" si="5"/>
        <v>tidak ganda</v>
      </c>
      <c r="E190" s="22" t="s">
        <v>636</v>
      </c>
      <c r="F190" s="22" t="s">
        <v>10</v>
      </c>
      <c r="G190" s="22" t="s">
        <v>11</v>
      </c>
      <c r="H190" s="22" t="s">
        <v>67</v>
      </c>
      <c r="I190" s="22" t="s">
        <v>375</v>
      </c>
      <c r="J190" s="22" t="s">
        <v>637</v>
      </c>
      <c r="K190" s="23" t="s">
        <v>638</v>
      </c>
    </row>
    <row r="191" spans="1:14" hidden="1" x14ac:dyDescent="0.35">
      <c r="A191" s="21">
        <v>2471959</v>
      </c>
      <c r="B191" s="22" t="str">
        <f>"3328021002990002"</f>
        <v>3328021002990002</v>
      </c>
      <c r="C191" s="22" t="str">
        <f t="shared" si="4"/>
        <v>'3328021002990002</v>
      </c>
      <c r="D191" s="22" t="str">
        <f t="shared" si="5"/>
        <v>tidak ganda</v>
      </c>
      <c r="E191" s="22" t="s">
        <v>639</v>
      </c>
      <c r="F191" s="22" t="s">
        <v>10</v>
      </c>
      <c r="G191" s="22" t="s">
        <v>11</v>
      </c>
      <c r="H191" s="22" t="s">
        <v>18</v>
      </c>
      <c r="I191" s="22" t="s">
        <v>19</v>
      </c>
      <c r="J191" s="22" t="s">
        <v>527</v>
      </c>
      <c r="K191" s="23" t="s">
        <v>640</v>
      </c>
      <c r="L191" t="e">
        <f>VLOOKUP(B191,ubah!$B$2:$L$234,4,FALSE)</f>
        <v>#N/A</v>
      </c>
      <c r="M191" t="e">
        <f>VLOOKUP(B191,ubah!$B$2:$L$234,5,FALSE)</f>
        <v>#N/A</v>
      </c>
      <c r="N191" t="e">
        <f>VLOOKUP(B191,ubah!$B$2:$L$234,6,FALSE)</f>
        <v>#N/A</v>
      </c>
    </row>
    <row r="192" spans="1:14" hidden="1" x14ac:dyDescent="0.35">
      <c r="A192" s="21">
        <v>2491013</v>
      </c>
      <c r="B192" s="22" t="str">
        <f>"3328021005920013"</f>
        <v>3328021005920013</v>
      </c>
      <c r="C192" s="22" t="str">
        <f t="shared" si="4"/>
        <v>'3328021005920013</v>
      </c>
      <c r="D192" s="22" t="str">
        <f t="shared" si="5"/>
        <v>ganda</v>
      </c>
      <c r="E192" s="22" t="s">
        <v>645</v>
      </c>
      <c r="F192" s="22" t="s">
        <v>10</v>
      </c>
      <c r="G192" s="22" t="s">
        <v>11</v>
      </c>
      <c r="H192" s="22" t="s">
        <v>18</v>
      </c>
      <c r="I192" s="22" t="s">
        <v>19</v>
      </c>
      <c r="J192" s="22" t="s">
        <v>527</v>
      </c>
      <c r="K192" s="23" t="s">
        <v>532</v>
      </c>
      <c r="L192" t="e">
        <f>VLOOKUP(B192,ubah!$B$2:$L$234,4,FALSE)</f>
        <v>#N/A</v>
      </c>
      <c r="M192" t="e">
        <f>VLOOKUP(B192,ubah!$B$2:$L$234,5,FALSE)</f>
        <v>#N/A</v>
      </c>
      <c r="N192" t="e">
        <f>VLOOKUP(B192,ubah!$B$2:$L$234,6,FALSE)</f>
        <v>#N/A</v>
      </c>
    </row>
    <row r="193" spans="1:14" hidden="1" x14ac:dyDescent="0.35">
      <c r="A193" s="21">
        <v>212498</v>
      </c>
      <c r="B193" s="22" t="str">
        <f>"3328021005920013"</f>
        <v>3328021005920013</v>
      </c>
      <c r="C193" s="22" t="str">
        <f t="shared" si="4"/>
        <v>'3328021005920013</v>
      </c>
      <c r="D193" s="22" t="str">
        <f t="shared" si="5"/>
        <v>ganda</v>
      </c>
      <c r="E193" s="22" t="s">
        <v>646</v>
      </c>
      <c r="F193" s="22" t="s">
        <v>10</v>
      </c>
      <c r="G193" s="22" t="s">
        <v>57</v>
      </c>
      <c r="H193" s="22" t="s">
        <v>240</v>
      </c>
      <c r="I193" s="22" t="s">
        <v>647</v>
      </c>
      <c r="J193" s="22" t="s">
        <v>640</v>
      </c>
      <c r="K193" s="23" t="s">
        <v>648</v>
      </c>
    </row>
    <row r="194" spans="1:14" hidden="1" x14ac:dyDescent="0.35">
      <c r="A194" s="21">
        <v>3305908</v>
      </c>
      <c r="B194" s="22" t="str">
        <f>"3328021012750001"</f>
        <v>3328021012750001</v>
      </c>
      <c r="C194" s="22" t="str">
        <f t="shared" si="4"/>
        <v>'3328021012750001</v>
      </c>
      <c r="D194" s="22" t="str">
        <f t="shared" si="5"/>
        <v>tidak ganda</v>
      </c>
      <c r="E194" s="22" t="s">
        <v>649</v>
      </c>
      <c r="F194" s="22" t="s">
        <v>10</v>
      </c>
      <c r="G194" s="22" t="s">
        <v>11</v>
      </c>
      <c r="H194" s="22" t="s">
        <v>91</v>
      </c>
      <c r="I194" s="22" t="s">
        <v>650</v>
      </c>
      <c r="J194" s="22" t="s">
        <v>651</v>
      </c>
      <c r="K194" s="23" t="s">
        <v>652</v>
      </c>
    </row>
    <row r="195" spans="1:14" hidden="1" x14ac:dyDescent="0.35">
      <c r="A195" s="21">
        <v>2456598</v>
      </c>
      <c r="B195" s="22" t="str">
        <f>"3328021202000001"</f>
        <v>3328021202000001</v>
      </c>
      <c r="C195" s="22" t="str">
        <f t="shared" ref="C195:C258" si="6">"'"&amp;B195</f>
        <v>'3328021202000001</v>
      </c>
      <c r="D195" s="22" t="str">
        <f t="shared" ref="D195:D258" si="7">IF(COUNTIF($C:$C,C195)&gt;1,"ganda","tidak ganda")</f>
        <v>ganda</v>
      </c>
      <c r="E195" s="22" t="s">
        <v>653</v>
      </c>
      <c r="F195" s="22" t="s">
        <v>10</v>
      </c>
      <c r="G195" s="22" t="s">
        <v>11</v>
      </c>
      <c r="H195" s="22" t="s">
        <v>18</v>
      </c>
      <c r="I195" s="22" t="s">
        <v>19</v>
      </c>
      <c r="J195" s="22" t="s">
        <v>527</v>
      </c>
      <c r="K195" s="23" t="s">
        <v>602</v>
      </c>
      <c r="L195" t="e">
        <f>VLOOKUP(B195,ubah!$B$2:$L$234,4,FALSE)</f>
        <v>#N/A</v>
      </c>
      <c r="M195" t="e">
        <f>VLOOKUP(B195,ubah!$B$2:$L$234,5,FALSE)</f>
        <v>#N/A</v>
      </c>
      <c r="N195" t="e">
        <f>VLOOKUP(B195,ubah!$B$2:$L$234,6,FALSE)</f>
        <v>#N/A</v>
      </c>
    </row>
    <row r="196" spans="1:14" hidden="1" x14ac:dyDescent="0.35">
      <c r="A196" s="21">
        <v>1351186</v>
      </c>
      <c r="B196" s="22" t="str">
        <f>"3328021202000001"</f>
        <v>3328021202000001</v>
      </c>
      <c r="C196" s="22" t="str">
        <f t="shared" si="6"/>
        <v>'3328021202000001</v>
      </c>
      <c r="D196" s="22" t="str">
        <f t="shared" si="7"/>
        <v>ganda</v>
      </c>
      <c r="E196" s="22" t="s">
        <v>653</v>
      </c>
      <c r="F196" s="22" t="s">
        <v>10</v>
      </c>
      <c r="G196" s="22" t="s">
        <v>57</v>
      </c>
      <c r="H196" s="22" t="s">
        <v>303</v>
      </c>
      <c r="I196" s="22" t="s">
        <v>608</v>
      </c>
      <c r="J196" s="22" t="s">
        <v>609</v>
      </c>
      <c r="K196" s="23" t="s">
        <v>610</v>
      </c>
    </row>
    <row r="197" spans="1:14" hidden="1" x14ac:dyDescent="0.35">
      <c r="A197" s="21">
        <v>2426510</v>
      </c>
      <c r="B197" s="22" t="str">
        <f>"3328021204000007"</f>
        <v>3328021204000007</v>
      </c>
      <c r="C197" s="22" t="str">
        <f t="shared" si="6"/>
        <v>'3328021204000007</v>
      </c>
      <c r="D197" s="22" t="str">
        <f t="shared" si="7"/>
        <v>ganda</v>
      </c>
      <c r="E197" s="22" t="s">
        <v>654</v>
      </c>
      <c r="F197" s="22" t="s">
        <v>10</v>
      </c>
      <c r="G197" s="22" t="s">
        <v>11</v>
      </c>
      <c r="H197" s="22" t="s">
        <v>18</v>
      </c>
      <c r="I197" s="22" t="s">
        <v>19</v>
      </c>
      <c r="J197" s="22" t="s">
        <v>527</v>
      </c>
      <c r="K197" s="23" t="s">
        <v>539</v>
      </c>
      <c r="L197" t="e">
        <f>VLOOKUP(B197,ubah!$B$2:$L$234,4,FALSE)</f>
        <v>#N/A</v>
      </c>
      <c r="M197" t="e">
        <f>VLOOKUP(B197,ubah!$B$2:$L$234,5,FALSE)</f>
        <v>#N/A</v>
      </c>
      <c r="N197" t="e">
        <f>VLOOKUP(B197,ubah!$B$2:$L$234,6,FALSE)</f>
        <v>#N/A</v>
      </c>
    </row>
    <row r="198" spans="1:14" hidden="1" x14ac:dyDescent="0.35">
      <c r="A198" s="21">
        <v>1351189</v>
      </c>
      <c r="B198" s="22" t="str">
        <f>"3328021204000007"</f>
        <v>3328021204000007</v>
      </c>
      <c r="C198" s="22" t="str">
        <f t="shared" si="6"/>
        <v>'3328021204000007</v>
      </c>
      <c r="D198" s="22" t="str">
        <f t="shared" si="7"/>
        <v>ganda</v>
      </c>
      <c r="E198" s="22" t="s">
        <v>655</v>
      </c>
      <c r="F198" s="22" t="s">
        <v>10</v>
      </c>
      <c r="G198" s="22" t="s">
        <v>57</v>
      </c>
      <c r="H198" s="22" t="s">
        <v>303</v>
      </c>
      <c r="I198" s="22" t="s">
        <v>608</v>
      </c>
      <c r="J198" s="22" t="s">
        <v>609</v>
      </c>
      <c r="K198" s="23" t="s">
        <v>610</v>
      </c>
    </row>
    <row r="199" spans="1:14" hidden="1" x14ac:dyDescent="0.35">
      <c r="A199" s="21">
        <v>2474242</v>
      </c>
      <c r="B199" s="22" t="str">
        <f>"3328021210920003"</f>
        <v>3328021210920003</v>
      </c>
      <c r="C199" s="22" t="str">
        <f t="shared" si="6"/>
        <v>'3328021210920003</v>
      </c>
      <c r="D199" s="22" t="str">
        <f t="shared" si="7"/>
        <v>ganda</v>
      </c>
      <c r="E199" s="22" t="s">
        <v>656</v>
      </c>
      <c r="F199" s="22" t="s">
        <v>10</v>
      </c>
      <c r="G199" s="22" t="s">
        <v>11</v>
      </c>
      <c r="H199" s="22" t="s">
        <v>18</v>
      </c>
      <c r="I199" s="22" t="s">
        <v>19</v>
      </c>
      <c r="J199" s="22" t="s">
        <v>527</v>
      </c>
      <c r="K199" s="23" t="s">
        <v>640</v>
      </c>
      <c r="L199" t="e">
        <f>VLOOKUP(B199,ubah!$B$2:$L$234,4,FALSE)</f>
        <v>#N/A</v>
      </c>
      <c r="M199" t="e">
        <f>VLOOKUP(B199,ubah!$B$2:$L$234,5,FALSE)</f>
        <v>#N/A</v>
      </c>
      <c r="N199" t="e">
        <f>VLOOKUP(B199,ubah!$B$2:$L$234,6,FALSE)</f>
        <v>#N/A</v>
      </c>
    </row>
    <row r="200" spans="1:14" hidden="1" x14ac:dyDescent="0.35">
      <c r="A200" s="21">
        <v>257586</v>
      </c>
      <c r="B200" s="22" t="str">
        <f>"3328021210920003"</f>
        <v>3328021210920003</v>
      </c>
      <c r="C200" s="22" t="str">
        <f t="shared" si="6"/>
        <v>'3328021210920003</v>
      </c>
      <c r="D200" s="22" t="str">
        <f t="shared" si="7"/>
        <v>ganda</v>
      </c>
      <c r="E200" s="22" t="s">
        <v>656</v>
      </c>
      <c r="F200" s="22" t="s">
        <v>10</v>
      </c>
      <c r="G200" s="22" t="s">
        <v>57</v>
      </c>
      <c r="H200" s="22" t="s">
        <v>521</v>
      </c>
      <c r="I200" s="22" t="s">
        <v>657</v>
      </c>
      <c r="J200" s="22" t="s">
        <v>658</v>
      </c>
      <c r="K200" s="23" t="s">
        <v>659</v>
      </c>
    </row>
    <row r="201" spans="1:14" hidden="1" x14ac:dyDescent="0.35">
      <c r="A201" s="21">
        <v>2484219</v>
      </c>
      <c r="B201" s="22" t="str">
        <f>"3328021303010002"</f>
        <v>3328021303010002</v>
      </c>
      <c r="C201" s="22" t="str">
        <f t="shared" si="6"/>
        <v>'3328021303010002</v>
      </c>
      <c r="D201" s="22" t="str">
        <f t="shared" si="7"/>
        <v>ganda</v>
      </c>
      <c r="E201" s="22" t="s">
        <v>660</v>
      </c>
      <c r="F201" s="22" t="s">
        <v>10</v>
      </c>
      <c r="G201" s="22" t="s">
        <v>11</v>
      </c>
      <c r="H201" s="22" t="s">
        <v>18</v>
      </c>
      <c r="I201" s="22" t="s">
        <v>19</v>
      </c>
      <c r="J201" s="22" t="s">
        <v>527</v>
      </c>
      <c r="K201" s="23" t="s">
        <v>590</v>
      </c>
      <c r="L201" t="e">
        <f>VLOOKUP(B201,ubah!$B$2:$L$234,4,FALSE)</f>
        <v>#N/A</v>
      </c>
      <c r="M201" t="e">
        <f>VLOOKUP(B201,ubah!$B$2:$L$234,5,FALSE)</f>
        <v>#N/A</v>
      </c>
      <c r="N201" t="e">
        <f>VLOOKUP(B201,ubah!$B$2:$L$234,6,FALSE)</f>
        <v>#N/A</v>
      </c>
    </row>
    <row r="202" spans="1:14" hidden="1" x14ac:dyDescent="0.35">
      <c r="A202" s="21">
        <v>423688</v>
      </c>
      <c r="B202" s="22" t="str">
        <f>"3328021303010002"</f>
        <v>3328021303010002</v>
      </c>
      <c r="C202" s="22" t="str">
        <f t="shared" si="6"/>
        <v>'3328021303010002</v>
      </c>
      <c r="D202" s="22" t="str">
        <f t="shared" si="7"/>
        <v>ganda</v>
      </c>
      <c r="E202" s="22" t="s">
        <v>661</v>
      </c>
      <c r="F202" s="22" t="s">
        <v>10</v>
      </c>
      <c r="G202" s="22" t="s">
        <v>57</v>
      </c>
      <c r="H202" s="22" t="s">
        <v>18</v>
      </c>
      <c r="I202" s="22" t="s">
        <v>268</v>
      </c>
      <c r="J202" s="22" t="s">
        <v>277</v>
      </c>
      <c r="K202" s="23" t="s">
        <v>278</v>
      </c>
    </row>
    <row r="203" spans="1:14" hidden="1" x14ac:dyDescent="0.35">
      <c r="A203" s="21">
        <v>2455644</v>
      </c>
      <c r="B203" s="22" t="str">
        <f>"3328021306030002"</f>
        <v>3328021306030002</v>
      </c>
      <c r="C203" s="22" t="str">
        <f t="shared" si="6"/>
        <v>'3328021306030002</v>
      </c>
      <c r="D203" s="22" t="str">
        <f t="shared" si="7"/>
        <v>ganda</v>
      </c>
      <c r="E203" s="22" t="s">
        <v>662</v>
      </c>
      <c r="F203" s="22" t="s">
        <v>10</v>
      </c>
      <c r="G203" s="22" t="s">
        <v>11</v>
      </c>
      <c r="H203" s="22" t="s">
        <v>18</v>
      </c>
      <c r="I203" s="22" t="s">
        <v>19</v>
      </c>
      <c r="J203" s="22" t="s">
        <v>527</v>
      </c>
      <c r="K203" s="23" t="s">
        <v>602</v>
      </c>
      <c r="L203" t="e">
        <f>VLOOKUP(B203,ubah!$B$2:$L$234,4,FALSE)</f>
        <v>#N/A</v>
      </c>
      <c r="M203" t="e">
        <f>VLOOKUP(B203,ubah!$B$2:$L$234,5,FALSE)</f>
        <v>#N/A</v>
      </c>
      <c r="N203" t="e">
        <f>VLOOKUP(B203,ubah!$B$2:$L$234,6,FALSE)</f>
        <v>#N/A</v>
      </c>
    </row>
    <row r="204" spans="1:14" hidden="1" x14ac:dyDescent="0.35">
      <c r="A204" s="21">
        <v>1351187</v>
      </c>
      <c r="B204" s="22" t="str">
        <f>"3328021306030002"</f>
        <v>3328021306030002</v>
      </c>
      <c r="C204" s="22" t="str">
        <f t="shared" si="6"/>
        <v>'3328021306030002</v>
      </c>
      <c r="D204" s="22" t="str">
        <f t="shared" si="7"/>
        <v>ganda</v>
      </c>
      <c r="E204" s="22" t="s">
        <v>662</v>
      </c>
      <c r="F204" s="22" t="s">
        <v>10</v>
      </c>
      <c r="G204" s="22" t="s">
        <v>57</v>
      </c>
      <c r="H204" s="22" t="s">
        <v>303</v>
      </c>
      <c r="I204" s="22" t="s">
        <v>608</v>
      </c>
      <c r="J204" s="22" t="s">
        <v>609</v>
      </c>
      <c r="K204" s="23" t="s">
        <v>610</v>
      </c>
    </row>
    <row r="205" spans="1:14" hidden="1" x14ac:dyDescent="0.35">
      <c r="A205" s="21">
        <v>349025</v>
      </c>
      <c r="B205" s="22" t="str">
        <f>"3328021408860001"</f>
        <v>3328021408860001</v>
      </c>
      <c r="C205" s="22" t="str">
        <f t="shared" si="6"/>
        <v>'3328021408860001</v>
      </c>
      <c r="D205" s="22" t="str">
        <f t="shared" si="7"/>
        <v>tidak ganda</v>
      </c>
      <c r="E205" s="22" t="s">
        <v>663</v>
      </c>
      <c r="F205" s="22" t="s">
        <v>10</v>
      </c>
      <c r="G205" s="22" t="s">
        <v>11</v>
      </c>
      <c r="H205" s="22" t="s">
        <v>91</v>
      </c>
      <c r="I205" s="22" t="s">
        <v>320</v>
      </c>
      <c r="J205" s="22" t="s">
        <v>664</v>
      </c>
      <c r="K205" s="23" t="s">
        <v>665</v>
      </c>
    </row>
    <row r="206" spans="1:14" hidden="1" x14ac:dyDescent="0.35">
      <c r="A206" s="21">
        <v>584556</v>
      </c>
      <c r="B206" s="22" t="str">
        <f>"3328021412980009"</f>
        <v>3328021412980009</v>
      </c>
      <c r="C206" s="22" t="str">
        <f t="shared" si="6"/>
        <v>'3328021412980009</v>
      </c>
      <c r="D206" s="22" t="str">
        <f t="shared" si="7"/>
        <v>tidak ganda</v>
      </c>
      <c r="E206" s="22" t="s">
        <v>666</v>
      </c>
      <c r="F206" s="22" t="s">
        <v>10</v>
      </c>
      <c r="G206" s="22" t="s">
        <v>11</v>
      </c>
      <c r="H206" s="22" t="s">
        <v>667</v>
      </c>
      <c r="I206" s="22" t="s">
        <v>668</v>
      </c>
      <c r="J206" s="22" t="s">
        <v>669</v>
      </c>
      <c r="K206" s="23" t="s">
        <v>670</v>
      </c>
    </row>
    <row r="207" spans="1:14" hidden="1" x14ac:dyDescent="0.35">
      <c r="A207" s="21">
        <v>1370247</v>
      </c>
      <c r="B207" s="22" t="str">
        <f>"3328021502860003"</f>
        <v>3328021502860003</v>
      </c>
      <c r="C207" s="22" t="str">
        <f t="shared" si="6"/>
        <v>'3328021502860003</v>
      </c>
      <c r="D207" s="22" t="str">
        <f t="shared" si="7"/>
        <v>tidak ganda</v>
      </c>
      <c r="E207" s="22" t="s">
        <v>672</v>
      </c>
      <c r="F207" s="22" t="s">
        <v>10</v>
      </c>
      <c r="G207" s="22" t="s">
        <v>11</v>
      </c>
      <c r="H207" s="22" t="s">
        <v>91</v>
      </c>
      <c r="I207" s="22" t="s">
        <v>92</v>
      </c>
      <c r="J207" s="22" t="s">
        <v>673</v>
      </c>
      <c r="K207" s="23" t="s">
        <v>674</v>
      </c>
    </row>
    <row r="208" spans="1:14" hidden="1" x14ac:dyDescent="0.35">
      <c r="A208" s="21">
        <v>2456241</v>
      </c>
      <c r="B208" s="22" t="str">
        <f>"3328021504030002"</f>
        <v>3328021504030002</v>
      </c>
      <c r="C208" s="22" t="str">
        <f t="shared" si="6"/>
        <v>'3328021504030002</v>
      </c>
      <c r="D208" s="22" t="str">
        <f t="shared" si="7"/>
        <v>ganda</v>
      </c>
      <c r="E208" s="22" t="s">
        <v>675</v>
      </c>
      <c r="F208" s="22" t="s">
        <v>10</v>
      </c>
      <c r="G208" s="22" t="s">
        <v>11</v>
      </c>
      <c r="H208" s="22" t="s">
        <v>18</v>
      </c>
      <c r="I208" s="22" t="s">
        <v>19</v>
      </c>
      <c r="J208" s="22" t="s">
        <v>527</v>
      </c>
      <c r="K208" s="23" t="s">
        <v>602</v>
      </c>
      <c r="L208" t="e">
        <f>VLOOKUP(B208,ubah!$B$2:$L$234,4,FALSE)</f>
        <v>#N/A</v>
      </c>
      <c r="M208" t="e">
        <f>VLOOKUP(B208,ubah!$B$2:$L$234,5,FALSE)</f>
        <v>#N/A</v>
      </c>
      <c r="N208" t="e">
        <f>VLOOKUP(B208,ubah!$B$2:$L$234,6,FALSE)</f>
        <v>#N/A</v>
      </c>
    </row>
    <row r="209" spans="1:14" hidden="1" x14ac:dyDescent="0.35">
      <c r="A209" s="21">
        <v>1351188</v>
      </c>
      <c r="B209" s="22" t="str">
        <f>"3328021504030002"</f>
        <v>3328021504030002</v>
      </c>
      <c r="C209" s="22" t="str">
        <f t="shared" si="6"/>
        <v>'3328021504030002</v>
      </c>
      <c r="D209" s="22" t="str">
        <f t="shared" si="7"/>
        <v>ganda</v>
      </c>
      <c r="E209" s="22" t="s">
        <v>676</v>
      </c>
      <c r="F209" s="22" t="s">
        <v>10</v>
      </c>
      <c r="G209" s="22" t="s">
        <v>57</v>
      </c>
      <c r="H209" s="22" t="s">
        <v>303</v>
      </c>
      <c r="I209" s="22" t="s">
        <v>608</v>
      </c>
      <c r="J209" s="22" t="s">
        <v>609</v>
      </c>
      <c r="K209" s="23" t="s">
        <v>610</v>
      </c>
    </row>
    <row r="210" spans="1:14" hidden="1" x14ac:dyDescent="0.35">
      <c r="A210" s="21">
        <v>324022</v>
      </c>
      <c r="B210" s="22" t="str">
        <f>"3328021506851458"</f>
        <v>3328021506851458</v>
      </c>
      <c r="C210" s="22" t="str">
        <f t="shared" si="6"/>
        <v>'3328021506851458</v>
      </c>
      <c r="D210" s="22" t="str">
        <f t="shared" si="7"/>
        <v>tidak ganda</v>
      </c>
      <c r="E210" s="22" t="s">
        <v>677</v>
      </c>
      <c r="F210" s="22" t="s">
        <v>10</v>
      </c>
      <c r="G210" s="22" t="s">
        <v>11</v>
      </c>
      <c r="H210" s="22" t="s">
        <v>50</v>
      </c>
      <c r="I210" s="22" t="s">
        <v>58</v>
      </c>
      <c r="J210" s="22" t="s">
        <v>316</v>
      </c>
      <c r="K210" s="23" t="s">
        <v>678</v>
      </c>
    </row>
    <row r="211" spans="1:14" hidden="1" x14ac:dyDescent="0.35">
      <c r="A211" s="21">
        <v>1183648</v>
      </c>
      <c r="B211" s="22" t="str">
        <f>"3328021508850006"</f>
        <v>3328021508850006</v>
      </c>
      <c r="C211" s="22" t="str">
        <f t="shared" si="6"/>
        <v>'3328021508850006</v>
      </c>
      <c r="D211" s="22" t="str">
        <f t="shared" si="7"/>
        <v>tidak ganda</v>
      </c>
      <c r="E211" s="22" t="s">
        <v>679</v>
      </c>
      <c r="F211" s="22" t="s">
        <v>10</v>
      </c>
      <c r="G211" s="22" t="s">
        <v>11</v>
      </c>
      <c r="H211" s="22" t="s">
        <v>50</v>
      </c>
      <c r="I211" s="22" t="s">
        <v>51</v>
      </c>
      <c r="J211" s="22" t="s">
        <v>78</v>
      </c>
      <c r="K211" s="23" t="s">
        <v>680</v>
      </c>
    </row>
    <row r="212" spans="1:14" hidden="1" x14ac:dyDescent="0.35">
      <c r="A212" s="21">
        <v>2148693</v>
      </c>
      <c r="B212" s="22" t="str">
        <f>"3328021607020001"</f>
        <v>3328021607020001</v>
      </c>
      <c r="C212" s="22" t="str">
        <f t="shared" si="6"/>
        <v>'3328021607020001</v>
      </c>
      <c r="D212" s="22" t="str">
        <f t="shared" si="7"/>
        <v>ganda</v>
      </c>
      <c r="E212" s="22" t="s">
        <v>681</v>
      </c>
      <c r="F212" s="22" t="s">
        <v>10</v>
      </c>
      <c r="G212" s="22" t="s">
        <v>11</v>
      </c>
      <c r="H212" s="22" t="s">
        <v>18</v>
      </c>
      <c r="I212" s="22" t="s">
        <v>19</v>
      </c>
      <c r="J212" s="22" t="s">
        <v>527</v>
      </c>
      <c r="K212" s="23" t="s">
        <v>682</v>
      </c>
      <c r="L212" t="e">
        <f>VLOOKUP(B212,ubah!$B$2:$L$234,4,FALSE)</f>
        <v>#N/A</v>
      </c>
      <c r="M212" t="e">
        <f>VLOOKUP(B212,ubah!$B$2:$L$234,5,FALSE)</f>
        <v>#N/A</v>
      </c>
      <c r="N212" t="e">
        <f>VLOOKUP(B212,ubah!$B$2:$L$234,6,FALSE)</f>
        <v>#N/A</v>
      </c>
    </row>
    <row r="213" spans="1:14" hidden="1" x14ac:dyDescent="0.35">
      <c r="A213" s="21">
        <v>1351184</v>
      </c>
      <c r="B213" s="22" t="str">
        <f>"3328021607020001"</f>
        <v>3328021607020001</v>
      </c>
      <c r="C213" s="22" t="str">
        <f t="shared" si="6"/>
        <v>'3328021607020001</v>
      </c>
      <c r="D213" s="22" t="str">
        <f t="shared" si="7"/>
        <v>ganda</v>
      </c>
      <c r="E213" s="22" t="s">
        <v>681</v>
      </c>
      <c r="F213" s="22" t="s">
        <v>10</v>
      </c>
      <c r="G213" s="22" t="s">
        <v>57</v>
      </c>
      <c r="H213" s="22" t="s">
        <v>303</v>
      </c>
      <c r="I213" s="22" t="s">
        <v>608</v>
      </c>
      <c r="J213" s="22" t="s">
        <v>609</v>
      </c>
      <c r="K213" s="23" t="s">
        <v>610</v>
      </c>
    </row>
    <row r="214" spans="1:14" hidden="1" x14ac:dyDescent="0.35">
      <c r="A214" s="21">
        <v>2425875</v>
      </c>
      <c r="B214" s="22" t="str">
        <f>"3328021610840003"</f>
        <v>3328021610840003</v>
      </c>
      <c r="C214" s="22" t="str">
        <f t="shared" si="6"/>
        <v>'3328021610840003</v>
      </c>
      <c r="D214" s="22" t="str">
        <f t="shared" si="7"/>
        <v>tidak ganda</v>
      </c>
      <c r="E214" s="22" t="s">
        <v>683</v>
      </c>
      <c r="F214" s="22" t="s">
        <v>10</v>
      </c>
      <c r="G214" s="22" t="s">
        <v>11</v>
      </c>
      <c r="H214" s="22" t="s">
        <v>18</v>
      </c>
      <c r="I214" s="22" t="s">
        <v>19</v>
      </c>
      <c r="J214" s="22" t="s">
        <v>527</v>
      </c>
      <c r="K214" s="23" t="s">
        <v>684</v>
      </c>
      <c r="L214" t="e">
        <f>VLOOKUP(B214,ubah!$B$2:$L$234,4,FALSE)</f>
        <v>#N/A</v>
      </c>
      <c r="M214" t="e">
        <f>VLOOKUP(B214,ubah!$B$2:$L$234,5,FALSE)</f>
        <v>#N/A</v>
      </c>
      <c r="N214" t="e">
        <f>VLOOKUP(B214,ubah!$B$2:$L$234,6,FALSE)</f>
        <v>#N/A</v>
      </c>
    </row>
    <row r="215" spans="1:14" hidden="1" x14ac:dyDescent="0.35">
      <c r="A215" s="21">
        <v>1579832</v>
      </c>
      <c r="B215" s="22" t="str">
        <f>"3328021612030003"</f>
        <v>3328021612030003</v>
      </c>
      <c r="C215" s="22" t="str">
        <f t="shared" si="6"/>
        <v>'3328021612030003</v>
      </c>
      <c r="D215" s="22" t="str">
        <f t="shared" si="7"/>
        <v>tidak ganda</v>
      </c>
      <c r="E215" s="22" t="s">
        <v>687</v>
      </c>
      <c r="F215" s="22" t="s">
        <v>10</v>
      </c>
      <c r="G215" s="22" t="s">
        <v>11</v>
      </c>
      <c r="H215" s="22" t="s">
        <v>91</v>
      </c>
      <c r="I215" s="22" t="s">
        <v>650</v>
      </c>
      <c r="J215" s="22" t="s">
        <v>688</v>
      </c>
      <c r="K215" s="23" t="s">
        <v>689</v>
      </c>
    </row>
    <row r="216" spans="1:14" hidden="1" x14ac:dyDescent="0.35">
      <c r="A216" s="21">
        <v>712683</v>
      </c>
      <c r="B216" s="22" t="str">
        <f>"3328021711920004"</f>
        <v>3328021711920004</v>
      </c>
      <c r="C216" s="22" t="str">
        <f t="shared" si="6"/>
        <v>'3328021711920004</v>
      </c>
      <c r="D216" s="22" t="str">
        <f t="shared" si="7"/>
        <v>tidak ganda</v>
      </c>
      <c r="E216" s="22" t="s">
        <v>695</v>
      </c>
      <c r="F216" s="22" t="s">
        <v>10</v>
      </c>
      <c r="G216" s="22" t="s">
        <v>11</v>
      </c>
      <c r="H216" s="22" t="s">
        <v>67</v>
      </c>
      <c r="I216" s="22" t="s">
        <v>696</v>
      </c>
      <c r="J216" s="22" t="s">
        <v>697</v>
      </c>
      <c r="K216" s="23" t="s">
        <v>697</v>
      </c>
    </row>
    <row r="217" spans="1:14" hidden="1" x14ac:dyDescent="0.35">
      <c r="A217" s="21">
        <v>1335006</v>
      </c>
      <c r="B217" s="22" t="str">
        <f>"3328021802960002"</f>
        <v>3328021802960002</v>
      </c>
      <c r="C217" s="22" t="str">
        <f t="shared" si="6"/>
        <v>'3328021802960002</v>
      </c>
      <c r="D217" s="22" t="str">
        <f t="shared" si="7"/>
        <v>tidak ganda</v>
      </c>
      <c r="E217" s="22" t="s">
        <v>699</v>
      </c>
      <c r="F217" s="22" t="s">
        <v>10</v>
      </c>
      <c r="G217" s="22" t="s">
        <v>11</v>
      </c>
      <c r="H217" s="22" t="s">
        <v>18</v>
      </c>
      <c r="I217" s="22" t="s">
        <v>264</v>
      </c>
      <c r="J217" s="22" t="s">
        <v>273</v>
      </c>
      <c r="K217" s="23" t="s">
        <v>700</v>
      </c>
    </row>
    <row r="218" spans="1:14" hidden="1" x14ac:dyDescent="0.35">
      <c r="A218" s="21">
        <v>501965</v>
      </c>
      <c r="B218" s="22" t="str">
        <f>"3328021910920004"</f>
        <v>3328021910920004</v>
      </c>
      <c r="C218" s="22" t="str">
        <f t="shared" si="6"/>
        <v>'3328021910920004</v>
      </c>
      <c r="D218" s="22" t="str">
        <f t="shared" si="7"/>
        <v>tidak ganda</v>
      </c>
      <c r="E218" s="22" t="s">
        <v>702</v>
      </c>
      <c r="F218" s="22" t="s">
        <v>10</v>
      </c>
      <c r="G218" s="22" t="s">
        <v>11</v>
      </c>
      <c r="H218" s="22" t="s">
        <v>50</v>
      </c>
      <c r="I218" s="22" t="s">
        <v>72</v>
      </c>
      <c r="J218" s="22" t="s">
        <v>703</v>
      </c>
      <c r="K218" s="23" t="s">
        <v>704</v>
      </c>
    </row>
    <row r="219" spans="1:14" hidden="1" x14ac:dyDescent="0.35">
      <c r="A219" s="21">
        <v>2128852</v>
      </c>
      <c r="B219" s="22" t="str">
        <f>"3328022006970005"</f>
        <v>3328022006970005</v>
      </c>
      <c r="C219" s="22" t="str">
        <f t="shared" si="6"/>
        <v>'3328022006970005</v>
      </c>
      <c r="D219" s="22" t="str">
        <f t="shared" si="7"/>
        <v>tidak ganda</v>
      </c>
      <c r="E219" s="22" t="s">
        <v>705</v>
      </c>
      <c r="F219" s="22" t="s">
        <v>10</v>
      </c>
      <c r="G219" s="22" t="s">
        <v>11</v>
      </c>
      <c r="H219" s="22" t="s">
        <v>18</v>
      </c>
      <c r="I219" s="22" t="s">
        <v>199</v>
      </c>
      <c r="J219" s="22" t="s">
        <v>706</v>
      </c>
      <c r="K219" s="23" t="s">
        <v>707</v>
      </c>
    </row>
    <row r="220" spans="1:14" hidden="1" x14ac:dyDescent="0.35">
      <c r="A220" s="21">
        <v>1351190</v>
      </c>
      <c r="B220" s="22" t="str">
        <f>"3328022011030002"</f>
        <v>3328022011030002</v>
      </c>
      <c r="C220" s="22" t="str">
        <f t="shared" si="6"/>
        <v>'3328022011030002</v>
      </c>
      <c r="D220" s="22" t="str">
        <f t="shared" si="7"/>
        <v>tidak ganda</v>
      </c>
      <c r="E220" s="22" t="s">
        <v>709</v>
      </c>
      <c r="F220" s="22" t="s">
        <v>10</v>
      </c>
      <c r="G220" s="22" t="s">
        <v>57</v>
      </c>
      <c r="H220" s="22" t="s">
        <v>303</v>
      </c>
      <c r="I220" s="22" t="s">
        <v>608</v>
      </c>
      <c r="J220" s="22" t="s">
        <v>609</v>
      </c>
      <c r="K220" s="23" t="s">
        <v>610</v>
      </c>
    </row>
    <row r="221" spans="1:14" hidden="1" x14ac:dyDescent="0.35">
      <c r="A221" s="21">
        <v>2431763</v>
      </c>
      <c r="B221" s="22" t="str">
        <f>"3328022105960002"</f>
        <v>3328022105960002</v>
      </c>
      <c r="C221" s="22" t="str">
        <f t="shared" si="6"/>
        <v>'3328022105960002</v>
      </c>
      <c r="D221" s="22" t="str">
        <f t="shared" si="7"/>
        <v>tidak ganda</v>
      </c>
      <c r="E221" s="22" t="s">
        <v>710</v>
      </c>
      <c r="F221" s="22" t="s">
        <v>10</v>
      </c>
      <c r="G221" s="22" t="s">
        <v>11</v>
      </c>
      <c r="H221" s="22" t="s">
        <v>18</v>
      </c>
      <c r="I221" s="22" t="s">
        <v>19</v>
      </c>
      <c r="J221" s="22" t="s">
        <v>527</v>
      </c>
      <c r="K221" s="23" t="s">
        <v>539</v>
      </c>
      <c r="L221" t="e">
        <f>VLOOKUP(B221,ubah!$B$2:$L$234,4,FALSE)</f>
        <v>#N/A</v>
      </c>
      <c r="M221" t="e">
        <f>VLOOKUP(B221,ubah!$B$2:$L$234,5,FALSE)</f>
        <v>#N/A</v>
      </c>
      <c r="N221" t="e">
        <f>VLOOKUP(B221,ubah!$B$2:$L$234,6,FALSE)</f>
        <v>#N/A</v>
      </c>
    </row>
    <row r="222" spans="1:14" hidden="1" x14ac:dyDescent="0.35">
      <c r="A222" s="21">
        <v>2491917</v>
      </c>
      <c r="B222" s="22" t="str">
        <f>"3328022211990003"</f>
        <v>3328022211990003</v>
      </c>
      <c r="C222" s="22" t="str">
        <f t="shared" si="6"/>
        <v>'3328022211990003</v>
      </c>
      <c r="D222" s="22" t="str">
        <f t="shared" si="7"/>
        <v>ganda</v>
      </c>
      <c r="E222" s="22" t="s">
        <v>716</v>
      </c>
      <c r="F222" s="22" t="s">
        <v>10</v>
      </c>
      <c r="G222" s="22" t="s">
        <v>11</v>
      </c>
      <c r="H222" s="22" t="s">
        <v>18</v>
      </c>
      <c r="I222" s="22" t="s">
        <v>19</v>
      </c>
      <c r="J222" s="22" t="s">
        <v>527</v>
      </c>
      <c r="K222" s="23" t="s">
        <v>532</v>
      </c>
      <c r="L222" t="e">
        <f>VLOOKUP(B222,ubah!$B$2:$L$234,4,FALSE)</f>
        <v>#N/A</v>
      </c>
      <c r="M222" t="e">
        <f>VLOOKUP(B222,ubah!$B$2:$L$234,5,FALSE)</f>
        <v>#N/A</v>
      </c>
      <c r="N222" t="e">
        <f>VLOOKUP(B222,ubah!$B$2:$L$234,6,FALSE)</f>
        <v>#N/A</v>
      </c>
    </row>
    <row r="223" spans="1:14" hidden="1" x14ac:dyDescent="0.35">
      <c r="A223" s="21">
        <v>762475</v>
      </c>
      <c r="B223" s="22" t="str">
        <f>"3328022211990003"</f>
        <v>3328022211990003</v>
      </c>
      <c r="C223" s="22" t="str">
        <f t="shared" si="6"/>
        <v>'3328022211990003</v>
      </c>
      <c r="D223" s="22" t="str">
        <f t="shared" si="7"/>
        <v>ganda</v>
      </c>
      <c r="E223" s="22" t="s">
        <v>717</v>
      </c>
      <c r="F223" s="22" t="s">
        <v>10</v>
      </c>
      <c r="G223" s="22" t="s">
        <v>57</v>
      </c>
      <c r="H223" s="22" t="s">
        <v>379</v>
      </c>
      <c r="I223" s="22" t="s">
        <v>711</v>
      </c>
      <c r="J223" s="22" t="s">
        <v>718</v>
      </c>
      <c r="K223" s="23" t="s">
        <v>719</v>
      </c>
    </row>
    <row r="224" spans="1:14" hidden="1" x14ac:dyDescent="0.35">
      <c r="A224" s="21">
        <v>2425902</v>
      </c>
      <c r="B224" s="22" t="str">
        <f>"3328022305780001"</f>
        <v>3328022305780001</v>
      </c>
      <c r="C224" s="22" t="str">
        <f t="shared" si="6"/>
        <v>'3328022305780001</v>
      </c>
      <c r="D224" s="22" t="str">
        <f t="shared" si="7"/>
        <v>tidak ganda</v>
      </c>
      <c r="E224" s="22" t="s">
        <v>720</v>
      </c>
      <c r="F224" s="22" t="s">
        <v>10</v>
      </c>
      <c r="G224" s="22" t="s">
        <v>11</v>
      </c>
      <c r="H224" s="22" t="s">
        <v>18</v>
      </c>
      <c r="I224" s="22" t="s">
        <v>19</v>
      </c>
      <c r="J224" s="22" t="s">
        <v>527</v>
      </c>
      <c r="K224" s="23" t="s">
        <v>684</v>
      </c>
      <c r="L224" t="e">
        <f>VLOOKUP(B224,ubah!$B$2:$L$234,4,FALSE)</f>
        <v>#N/A</v>
      </c>
      <c r="M224" t="e">
        <f>VLOOKUP(B224,ubah!$B$2:$L$234,5,FALSE)</f>
        <v>#N/A</v>
      </c>
      <c r="N224" t="e">
        <f>VLOOKUP(B224,ubah!$B$2:$L$234,6,FALSE)</f>
        <v>#N/A</v>
      </c>
    </row>
    <row r="225" spans="1:14" hidden="1" x14ac:dyDescent="0.35">
      <c r="A225" s="21">
        <v>2426419</v>
      </c>
      <c r="B225" s="22" t="str">
        <f>"3328022409010004"</f>
        <v>3328022409010004</v>
      </c>
      <c r="C225" s="22" t="str">
        <f t="shared" si="6"/>
        <v>'3328022409010004</v>
      </c>
      <c r="D225" s="22" t="str">
        <f t="shared" si="7"/>
        <v>tidak ganda</v>
      </c>
      <c r="E225" s="22" t="s">
        <v>721</v>
      </c>
      <c r="F225" s="22" t="s">
        <v>10</v>
      </c>
      <c r="G225" s="22" t="s">
        <v>11</v>
      </c>
      <c r="H225" s="22" t="s">
        <v>18</v>
      </c>
      <c r="I225" s="22" t="s">
        <v>19</v>
      </c>
      <c r="J225" s="22" t="s">
        <v>527</v>
      </c>
      <c r="K225" s="23" t="s">
        <v>539</v>
      </c>
      <c r="L225" t="e">
        <f>VLOOKUP(B225,ubah!$B$2:$L$234,4,FALSE)</f>
        <v>#N/A</v>
      </c>
      <c r="M225" t="e">
        <f>VLOOKUP(B225,ubah!$B$2:$L$234,5,FALSE)</f>
        <v>#N/A</v>
      </c>
      <c r="N225" t="e">
        <f>VLOOKUP(B225,ubah!$B$2:$L$234,6,FALSE)</f>
        <v>#N/A</v>
      </c>
    </row>
    <row r="226" spans="1:14" hidden="1" x14ac:dyDescent="0.35">
      <c r="A226" s="21">
        <v>476391</v>
      </c>
      <c r="B226" s="22" t="str">
        <f>"3328022505020001"</f>
        <v>3328022505020001</v>
      </c>
      <c r="C226" s="22" t="str">
        <f t="shared" si="6"/>
        <v>'3328022505020001</v>
      </c>
      <c r="D226" s="22" t="str">
        <f t="shared" si="7"/>
        <v>tidak ganda</v>
      </c>
      <c r="E226" s="22" t="s">
        <v>726</v>
      </c>
      <c r="F226" s="22" t="s">
        <v>10</v>
      </c>
      <c r="G226" s="22" t="s">
        <v>57</v>
      </c>
      <c r="H226" s="22" t="s">
        <v>727</v>
      </c>
      <c r="I226" s="22" t="s">
        <v>728</v>
      </c>
      <c r="J226" s="22" t="s">
        <v>729</v>
      </c>
      <c r="K226" s="23" t="s">
        <v>729</v>
      </c>
    </row>
    <row r="227" spans="1:14" hidden="1" x14ac:dyDescent="0.35">
      <c r="A227" s="21">
        <v>1729436</v>
      </c>
      <c r="B227" s="22" t="str">
        <f>"3328022510030005"</f>
        <v>3328022510030005</v>
      </c>
      <c r="C227" s="22" t="str">
        <f t="shared" si="6"/>
        <v>'3328022510030005</v>
      </c>
      <c r="D227" s="22" t="str">
        <f t="shared" si="7"/>
        <v>tidak ganda</v>
      </c>
      <c r="E227" s="22" t="s">
        <v>730</v>
      </c>
      <c r="F227" s="22" t="s">
        <v>10</v>
      </c>
      <c r="G227" s="22" t="s">
        <v>11</v>
      </c>
      <c r="H227" s="22" t="s">
        <v>50</v>
      </c>
      <c r="I227" s="22" t="s">
        <v>58</v>
      </c>
      <c r="J227" s="22" t="s">
        <v>260</v>
      </c>
      <c r="K227" s="23" t="s">
        <v>626</v>
      </c>
    </row>
    <row r="228" spans="1:14" hidden="1" x14ac:dyDescent="0.35">
      <c r="A228" s="21">
        <v>2468864</v>
      </c>
      <c r="B228" s="22" t="str">
        <f>"3328022601960002"</f>
        <v>3328022601960002</v>
      </c>
      <c r="C228" s="22" t="str">
        <f t="shared" si="6"/>
        <v>'3328022601960002</v>
      </c>
      <c r="D228" s="22" t="str">
        <f t="shared" si="7"/>
        <v>ganda</v>
      </c>
      <c r="E228" s="22" t="s">
        <v>715</v>
      </c>
      <c r="F228" s="22" t="s">
        <v>10</v>
      </c>
      <c r="G228" s="22" t="s">
        <v>11</v>
      </c>
      <c r="H228" s="22" t="s">
        <v>18</v>
      </c>
      <c r="I228" s="22" t="s">
        <v>19</v>
      </c>
      <c r="J228" s="22" t="s">
        <v>527</v>
      </c>
      <c r="K228" s="23" t="s">
        <v>671</v>
      </c>
      <c r="L228" t="e">
        <f>VLOOKUP(B228,ubah!$B$2:$L$234,4,FALSE)</f>
        <v>#N/A</v>
      </c>
      <c r="M228" t="e">
        <f>VLOOKUP(B228,ubah!$B$2:$L$234,5,FALSE)</f>
        <v>#N/A</v>
      </c>
      <c r="N228" t="e">
        <f>VLOOKUP(B228,ubah!$B$2:$L$234,6,FALSE)</f>
        <v>#N/A</v>
      </c>
    </row>
    <row r="229" spans="1:14" hidden="1" x14ac:dyDescent="0.35">
      <c r="A229" s="21">
        <v>1862133</v>
      </c>
      <c r="B229" s="22" t="str">
        <f>"3328022601960002"</f>
        <v>3328022601960002</v>
      </c>
      <c r="C229" s="22" t="str">
        <f t="shared" si="6"/>
        <v>'3328022601960002</v>
      </c>
      <c r="D229" s="22" t="str">
        <f t="shared" si="7"/>
        <v>ganda</v>
      </c>
      <c r="E229" s="22" t="s">
        <v>732</v>
      </c>
      <c r="F229" s="22" t="s">
        <v>10</v>
      </c>
      <c r="G229" s="22" t="s">
        <v>57</v>
      </c>
      <c r="H229" s="22" t="s">
        <v>18</v>
      </c>
      <c r="I229" s="22" t="s">
        <v>733</v>
      </c>
      <c r="J229" s="22" t="s">
        <v>733</v>
      </c>
      <c r="K229" s="23" t="s">
        <v>734</v>
      </c>
    </row>
    <row r="230" spans="1:14" hidden="1" x14ac:dyDescent="0.35">
      <c r="A230" s="21">
        <v>2506481</v>
      </c>
      <c r="B230" s="22" t="str">
        <f>"3328022608990003"</f>
        <v>3328022608990003</v>
      </c>
      <c r="C230" s="22" t="str">
        <f t="shared" si="6"/>
        <v>'3328022608990003</v>
      </c>
      <c r="D230" s="22" t="str">
        <f t="shared" si="7"/>
        <v>ganda</v>
      </c>
      <c r="E230" s="22" t="s">
        <v>735</v>
      </c>
      <c r="F230" s="22" t="s">
        <v>10</v>
      </c>
      <c r="G230" s="22" t="s">
        <v>11</v>
      </c>
      <c r="H230" s="22" t="s">
        <v>18</v>
      </c>
      <c r="I230" s="22" t="s">
        <v>19</v>
      </c>
      <c r="J230" s="22" t="s">
        <v>527</v>
      </c>
      <c r="K230" s="23" t="s">
        <v>527</v>
      </c>
      <c r="L230" t="e">
        <f>VLOOKUP(B230,ubah!$B$2:$L$234,4,FALSE)</f>
        <v>#N/A</v>
      </c>
      <c r="M230" t="e">
        <f>VLOOKUP(B230,ubah!$B$2:$L$234,5,FALSE)</f>
        <v>#N/A</v>
      </c>
      <c r="N230" t="e">
        <f>VLOOKUP(B230,ubah!$B$2:$L$234,6,FALSE)</f>
        <v>#N/A</v>
      </c>
    </row>
    <row r="231" spans="1:14" hidden="1" x14ac:dyDescent="0.35">
      <c r="A231" s="21">
        <v>423750</v>
      </c>
      <c r="B231" s="22" t="str">
        <f>"3328022608990003"</f>
        <v>3328022608990003</v>
      </c>
      <c r="C231" s="22" t="str">
        <f t="shared" si="6"/>
        <v>'3328022608990003</v>
      </c>
      <c r="D231" s="22" t="str">
        <f t="shared" si="7"/>
        <v>ganda</v>
      </c>
      <c r="E231" s="22" t="s">
        <v>736</v>
      </c>
      <c r="F231" s="22" t="s">
        <v>10</v>
      </c>
      <c r="G231" s="22" t="s">
        <v>57</v>
      </c>
      <c r="H231" s="22" t="s">
        <v>18</v>
      </c>
      <c r="I231" s="22" t="s">
        <v>268</v>
      </c>
      <c r="J231" s="22" t="s">
        <v>277</v>
      </c>
      <c r="K231" s="23" t="s">
        <v>278</v>
      </c>
    </row>
    <row r="232" spans="1:14" hidden="1" x14ac:dyDescent="0.35">
      <c r="A232" s="21">
        <v>1745644</v>
      </c>
      <c r="B232" s="22" t="str">
        <f>"3328022609900006"</f>
        <v>3328022609900006</v>
      </c>
      <c r="C232" s="22" t="str">
        <f t="shared" si="6"/>
        <v>'3328022609900006</v>
      </c>
      <c r="D232" s="22" t="str">
        <f t="shared" si="7"/>
        <v>tidak ganda</v>
      </c>
      <c r="E232" s="22" t="s">
        <v>737</v>
      </c>
      <c r="F232" s="22" t="s">
        <v>10</v>
      </c>
      <c r="G232" s="22" t="s">
        <v>11</v>
      </c>
      <c r="H232" s="22" t="s">
        <v>50</v>
      </c>
      <c r="I232" s="22" t="s">
        <v>72</v>
      </c>
      <c r="J232" s="22" t="s">
        <v>738</v>
      </c>
      <c r="K232" s="23" t="s">
        <v>739</v>
      </c>
    </row>
    <row r="233" spans="1:14" hidden="1" x14ac:dyDescent="0.35">
      <c r="A233" s="21">
        <v>2430644</v>
      </c>
      <c r="B233" s="22" t="str">
        <f>"3328022704030002"</f>
        <v>3328022704030002</v>
      </c>
      <c r="C233" s="22" t="str">
        <f t="shared" si="6"/>
        <v>'3328022704030002</v>
      </c>
      <c r="D233" s="22" t="str">
        <f t="shared" si="7"/>
        <v>ganda</v>
      </c>
      <c r="E233" s="22" t="s">
        <v>740</v>
      </c>
      <c r="F233" s="22" t="s">
        <v>10</v>
      </c>
      <c r="G233" s="22" t="s">
        <v>11</v>
      </c>
      <c r="H233" s="22" t="s">
        <v>18</v>
      </c>
      <c r="I233" s="22" t="s">
        <v>19</v>
      </c>
      <c r="J233" s="22" t="s">
        <v>527</v>
      </c>
      <c r="K233" s="23" t="s">
        <v>539</v>
      </c>
      <c r="L233" t="e">
        <f>VLOOKUP(B233,ubah!$B$2:$L$234,4,FALSE)</f>
        <v>#N/A</v>
      </c>
      <c r="M233" t="e">
        <f>VLOOKUP(B233,ubah!$B$2:$L$234,5,FALSE)</f>
        <v>#N/A</v>
      </c>
      <c r="N233" t="e">
        <f>VLOOKUP(B233,ubah!$B$2:$L$234,6,FALSE)</f>
        <v>#N/A</v>
      </c>
    </row>
    <row r="234" spans="1:14" hidden="1" x14ac:dyDescent="0.35">
      <c r="A234" s="21">
        <v>1351191</v>
      </c>
      <c r="B234" s="22" t="str">
        <f>"3328022704030002"</f>
        <v>3328022704030002</v>
      </c>
      <c r="C234" s="22" t="str">
        <f t="shared" si="6"/>
        <v>'3328022704030002</v>
      </c>
      <c r="D234" s="22" t="str">
        <f t="shared" si="7"/>
        <v>ganda</v>
      </c>
      <c r="E234" s="22" t="s">
        <v>740</v>
      </c>
      <c r="F234" s="22" t="s">
        <v>10</v>
      </c>
      <c r="G234" s="22" t="s">
        <v>57</v>
      </c>
      <c r="H234" s="22" t="s">
        <v>303</v>
      </c>
      <c r="I234" s="22" t="s">
        <v>608</v>
      </c>
      <c r="J234" s="22" t="s">
        <v>609</v>
      </c>
      <c r="K234" s="23" t="s">
        <v>610</v>
      </c>
    </row>
    <row r="235" spans="1:14" hidden="1" x14ac:dyDescent="0.35">
      <c r="A235" s="21">
        <v>2479870</v>
      </c>
      <c r="B235" s="22" t="str">
        <f>"3328022807010003"</f>
        <v>3328022807010003</v>
      </c>
      <c r="C235" s="22" t="str">
        <f t="shared" si="6"/>
        <v>'3328022807010003</v>
      </c>
      <c r="D235" s="22" t="str">
        <f t="shared" si="7"/>
        <v>tidak ganda</v>
      </c>
      <c r="E235" s="22" t="s">
        <v>741</v>
      </c>
      <c r="F235" s="22" t="s">
        <v>10</v>
      </c>
      <c r="G235" s="22" t="s">
        <v>11</v>
      </c>
      <c r="H235" s="22" t="s">
        <v>18</v>
      </c>
      <c r="I235" s="22" t="s">
        <v>19</v>
      </c>
      <c r="J235" s="22" t="s">
        <v>527</v>
      </c>
      <c r="K235" s="23" t="s">
        <v>543</v>
      </c>
      <c r="L235" t="e">
        <f>VLOOKUP(B235,ubah!$B$2:$L$234,4,FALSE)</f>
        <v>#N/A</v>
      </c>
      <c r="M235" t="e">
        <f>VLOOKUP(B235,ubah!$B$2:$L$234,5,FALSE)</f>
        <v>#N/A</v>
      </c>
      <c r="N235" t="e">
        <f>VLOOKUP(B235,ubah!$B$2:$L$234,6,FALSE)</f>
        <v>#N/A</v>
      </c>
    </row>
    <row r="236" spans="1:14" hidden="1" x14ac:dyDescent="0.35">
      <c r="A236" s="21">
        <v>2449115</v>
      </c>
      <c r="B236" s="22" t="str">
        <f>"3328023112750077"</f>
        <v>3328023112750077</v>
      </c>
      <c r="C236" s="22" t="str">
        <f t="shared" si="6"/>
        <v>'3328023112750077</v>
      </c>
      <c r="D236" s="22" t="str">
        <f t="shared" si="7"/>
        <v>tidak ganda</v>
      </c>
      <c r="E236" s="22" t="s">
        <v>744</v>
      </c>
      <c r="F236" s="22" t="s">
        <v>10</v>
      </c>
      <c r="G236" s="22" t="s">
        <v>11</v>
      </c>
      <c r="H236" s="22" t="s">
        <v>18</v>
      </c>
      <c r="I236" s="22" t="s">
        <v>19</v>
      </c>
      <c r="J236" s="22" t="s">
        <v>527</v>
      </c>
      <c r="K236" s="23" t="s">
        <v>616</v>
      </c>
      <c r="L236" t="e">
        <f>VLOOKUP(B236,ubah!$B$2:$L$234,4,FALSE)</f>
        <v>#N/A</v>
      </c>
      <c r="M236" t="e">
        <f>VLOOKUP(B236,ubah!$B$2:$L$234,5,FALSE)</f>
        <v>#N/A</v>
      </c>
      <c r="N236" t="e">
        <f>VLOOKUP(B236,ubah!$B$2:$L$234,6,FALSE)</f>
        <v>#N/A</v>
      </c>
    </row>
    <row r="237" spans="1:14" hidden="1" x14ac:dyDescent="0.35">
      <c r="A237" s="21">
        <v>302638</v>
      </c>
      <c r="B237" s="22" t="str">
        <f>"3328024107770163"</f>
        <v>3328024107770163</v>
      </c>
      <c r="C237" s="22" t="str">
        <f t="shared" si="6"/>
        <v>'3328024107770163</v>
      </c>
      <c r="D237" s="22" t="str">
        <f t="shared" si="7"/>
        <v>tidak ganda</v>
      </c>
      <c r="E237" s="22" t="s">
        <v>488</v>
      </c>
      <c r="F237" s="22" t="s">
        <v>10</v>
      </c>
      <c r="G237" s="22" t="s">
        <v>11</v>
      </c>
      <c r="H237" s="22" t="s">
        <v>50</v>
      </c>
      <c r="I237" s="22" t="s">
        <v>51</v>
      </c>
      <c r="J237" s="22" t="s">
        <v>52</v>
      </c>
      <c r="K237" s="23" t="s">
        <v>747</v>
      </c>
    </row>
    <row r="238" spans="1:14" hidden="1" x14ac:dyDescent="0.35">
      <c r="A238" s="21">
        <v>1762285</v>
      </c>
      <c r="B238" s="22" t="str">
        <f>"3328024107790181"</f>
        <v>3328024107790181</v>
      </c>
      <c r="C238" s="22" t="str">
        <f t="shared" si="6"/>
        <v>'3328024107790181</v>
      </c>
      <c r="D238" s="22" t="str">
        <f t="shared" si="7"/>
        <v>tidak ganda</v>
      </c>
      <c r="E238" s="22" t="s">
        <v>748</v>
      </c>
      <c r="F238" s="22" t="s">
        <v>10</v>
      </c>
      <c r="G238" s="22" t="s">
        <v>11</v>
      </c>
      <c r="H238" s="22" t="s">
        <v>50</v>
      </c>
      <c r="I238" s="22" t="s">
        <v>86</v>
      </c>
      <c r="J238" s="22" t="s">
        <v>445</v>
      </c>
      <c r="K238" s="23" t="s">
        <v>445</v>
      </c>
    </row>
    <row r="239" spans="1:14" hidden="1" x14ac:dyDescent="0.35">
      <c r="A239" s="21">
        <v>2448109</v>
      </c>
      <c r="B239" s="22" t="str">
        <f>"3328024405020009"</f>
        <v>3328024405020009</v>
      </c>
      <c r="C239" s="22" t="str">
        <f t="shared" si="6"/>
        <v>'3328024405020009</v>
      </c>
      <c r="D239" s="22" t="str">
        <f t="shared" si="7"/>
        <v>tidak ganda</v>
      </c>
      <c r="E239" s="22" t="s">
        <v>751</v>
      </c>
      <c r="F239" s="22" t="s">
        <v>10</v>
      </c>
      <c r="G239" s="22" t="s">
        <v>11</v>
      </c>
      <c r="H239" s="22" t="s">
        <v>18</v>
      </c>
      <c r="I239" s="22" t="s">
        <v>19</v>
      </c>
      <c r="J239" s="22" t="s">
        <v>527</v>
      </c>
      <c r="K239" s="23" t="s">
        <v>616</v>
      </c>
      <c r="L239" t="e">
        <f>VLOOKUP(B239,ubah!$B$2:$L$234,4,FALSE)</f>
        <v>#N/A</v>
      </c>
      <c r="M239" t="e">
        <f>VLOOKUP(B239,ubah!$B$2:$L$234,5,FALSE)</f>
        <v>#N/A</v>
      </c>
      <c r="N239" t="e">
        <f>VLOOKUP(B239,ubah!$B$2:$L$234,6,FALSE)</f>
        <v>#N/A</v>
      </c>
    </row>
    <row r="240" spans="1:14" hidden="1" x14ac:dyDescent="0.35">
      <c r="A240" s="21">
        <v>2493391</v>
      </c>
      <c r="B240" s="22" t="str">
        <f>"3328024410870002"</f>
        <v>3328024410870002</v>
      </c>
      <c r="C240" s="22" t="str">
        <f t="shared" si="6"/>
        <v>'3328024410870002</v>
      </c>
      <c r="D240" s="22" t="str">
        <f t="shared" si="7"/>
        <v>tidak ganda</v>
      </c>
      <c r="E240" s="22" t="s">
        <v>752</v>
      </c>
      <c r="F240" s="22" t="s">
        <v>10</v>
      </c>
      <c r="G240" s="22" t="s">
        <v>11</v>
      </c>
      <c r="H240" s="22" t="s">
        <v>18</v>
      </c>
      <c r="I240" s="22" t="s">
        <v>19</v>
      </c>
      <c r="J240" s="22" t="s">
        <v>527</v>
      </c>
      <c r="K240" s="23" t="s">
        <v>532</v>
      </c>
      <c r="L240" t="e">
        <f>VLOOKUP(B240,ubah!$B$2:$L$234,4,FALSE)</f>
        <v>#N/A</v>
      </c>
      <c r="M240" t="e">
        <f>VLOOKUP(B240,ubah!$B$2:$L$234,5,FALSE)</f>
        <v>#N/A</v>
      </c>
      <c r="N240" t="e">
        <f>VLOOKUP(B240,ubah!$B$2:$L$234,6,FALSE)</f>
        <v>#N/A</v>
      </c>
    </row>
    <row r="241" spans="1:14" hidden="1" x14ac:dyDescent="0.35">
      <c r="A241" s="21">
        <v>1434339</v>
      </c>
      <c r="B241" s="22" t="str">
        <f>"3328024410950005"</f>
        <v>3328024410950005</v>
      </c>
      <c r="C241" s="22" t="str">
        <f t="shared" si="6"/>
        <v>'3328024410950005</v>
      </c>
      <c r="D241" s="22" t="str">
        <f t="shared" si="7"/>
        <v>tidak ganda</v>
      </c>
      <c r="E241" s="22" t="s">
        <v>757</v>
      </c>
      <c r="F241" s="22" t="s">
        <v>10</v>
      </c>
      <c r="G241" s="22" t="s">
        <v>11</v>
      </c>
      <c r="H241" s="22" t="s">
        <v>18</v>
      </c>
      <c r="I241" s="22" t="s">
        <v>264</v>
      </c>
      <c r="J241" s="22" t="s">
        <v>289</v>
      </c>
      <c r="K241" s="23" t="s">
        <v>758</v>
      </c>
    </row>
    <row r="242" spans="1:14" hidden="1" x14ac:dyDescent="0.35">
      <c r="A242" s="21">
        <v>296909</v>
      </c>
      <c r="B242" s="22" t="str">
        <f>"3328024508740007"</f>
        <v>3328024508740007</v>
      </c>
      <c r="C242" s="22" t="str">
        <f t="shared" si="6"/>
        <v>'3328024508740007</v>
      </c>
      <c r="D242" s="22" t="str">
        <f t="shared" si="7"/>
        <v>tidak ganda</v>
      </c>
      <c r="E242" s="22" t="s">
        <v>759</v>
      </c>
      <c r="F242" s="22" t="s">
        <v>10</v>
      </c>
      <c r="G242" s="22" t="s">
        <v>11</v>
      </c>
      <c r="H242" s="22" t="s">
        <v>91</v>
      </c>
      <c r="I242" s="22" t="s">
        <v>438</v>
      </c>
      <c r="J242" s="22" t="s">
        <v>760</v>
      </c>
      <c r="K242" s="23" t="s">
        <v>761</v>
      </c>
    </row>
    <row r="243" spans="1:14" hidden="1" x14ac:dyDescent="0.35">
      <c r="A243" s="21">
        <v>1352892</v>
      </c>
      <c r="B243" s="22" t="str">
        <f>"3328024510040004"</f>
        <v>3328024510040004</v>
      </c>
      <c r="C243" s="22" t="str">
        <f t="shared" si="6"/>
        <v>'3328024510040004</v>
      </c>
      <c r="D243" s="22" t="str">
        <f t="shared" si="7"/>
        <v>tidak ganda</v>
      </c>
      <c r="E243" s="22" t="s">
        <v>763</v>
      </c>
      <c r="F243" s="22" t="s">
        <v>10</v>
      </c>
      <c r="G243" s="22" t="s">
        <v>57</v>
      </c>
      <c r="H243" s="22" t="s">
        <v>303</v>
      </c>
      <c r="I243" s="22" t="s">
        <v>608</v>
      </c>
      <c r="J243" s="22" t="s">
        <v>609</v>
      </c>
      <c r="K243" s="23" t="s">
        <v>610</v>
      </c>
    </row>
    <row r="244" spans="1:14" hidden="1" x14ac:dyDescent="0.35">
      <c r="A244" s="21">
        <v>2478082</v>
      </c>
      <c r="B244" s="22" t="str">
        <f>"3328024701770003"</f>
        <v>3328024701770003</v>
      </c>
      <c r="C244" s="22" t="str">
        <f t="shared" si="6"/>
        <v>'3328024701770003</v>
      </c>
      <c r="D244" s="22" t="str">
        <f t="shared" si="7"/>
        <v>tidak ganda</v>
      </c>
      <c r="E244" s="22" t="s">
        <v>764</v>
      </c>
      <c r="F244" s="22" t="s">
        <v>10</v>
      </c>
      <c r="G244" s="22" t="s">
        <v>11</v>
      </c>
      <c r="H244" s="22" t="s">
        <v>18</v>
      </c>
      <c r="I244" s="22" t="s">
        <v>19</v>
      </c>
      <c r="J244" s="22" t="s">
        <v>527</v>
      </c>
      <c r="K244" s="23" t="s">
        <v>543</v>
      </c>
      <c r="L244" t="e">
        <f>VLOOKUP(B244,ubah!$B$2:$L$234,4,FALSE)</f>
        <v>#N/A</v>
      </c>
      <c r="M244" t="e">
        <f>VLOOKUP(B244,ubah!$B$2:$L$234,5,FALSE)</f>
        <v>#N/A</v>
      </c>
      <c r="N244" t="e">
        <f>VLOOKUP(B244,ubah!$B$2:$L$234,6,FALSE)</f>
        <v>#N/A</v>
      </c>
    </row>
    <row r="245" spans="1:14" hidden="1" x14ac:dyDescent="0.35">
      <c r="A245" s="21">
        <v>179930</v>
      </c>
      <c r="B245" s="22" t="str">
        <f>"3328024807990005"</f>
        <v>3328024807990005</v>
      </c>
      <c r="C245" s="22" t="str">
        <f t="shared" si="6"/>
        <v>'3328024807990005</v>
      </c>
      <c r="D245" s="22" t="str">
        <f t="shared" si="7"/>
        <v>tidak ganda</v>
      </c>
      <c r="E245" s="22" t="s">
        <v>765</v>
      </c>
      <c r="F245" s="22" t="s">
        <v>10</v>
      </c>
      <c r="G245" s="22" t="s">
        <v>11</v>
      </c>
      <c r="H245" s="22" t="s">
        <v>18</v>
      </c>
      <c r="I245" s="22" t="s">
        <v>392</v>
      </c>
      <c r="J245" s="22" t="s">
        <v>766</v>
      </c>
      <c r="K245" s="23" t="s">
        <v>767</v>
      </c>
    </row>
    <row r="246" spans="1:14" hidden="1" x14ac:dyDescent="0.35">
      <c r="A246" s="21">
        <v>2499607</v>
      </c>
      <c r="B246" s="22" t="str">
        <f>"3328024811920002"</f>
        <v>3328024811920002</v>
      </c>
      <c r="C246" s="22" t="str">
        <f t="shared" si="6"/>
        <v>'3328024811920002</v>
      </c>
      <c r="D246" s="22" t="str">
        <f t="shared" si="7"/>
        <v>tidak ganda</v>
      </c>
      <c r="E246" s="22" t="s">
        <v>768</v>
      </c>
      <c r="F246" s="22" t="s">
        <v>10</v>
      </c>
      <c r="G246" s="22" t="s">
        <v>11</v>
      </c>
      <c r="H246" s="22" t="s">
        <v>18</v>
      </c>
      <c r="I246" s="22" t="s">
        <v>19</v>
      </c>
      <c r="J246" s="22" t="s">
        <v>527</v>
      </c>
      <c r="K246" s="23" t="s">
        <v>528</v>
      </c>
      <c r="L246" t="e">
        <f>VLOOKUP(B246,ubah!$B$2:$L$234,4,FALSE)</f>
        <v>#N/A</v>
      </c>
      <c r="M246" t="e">
        <f>VLOOKUP(B246,ubah!$B$2:$L$234,5,FALSE)</f>
        <v>#N/A</v>
      </c>
      <c r="N246" t="e">
        <f>VLOOKUP(B246,ubah!$B$2:$L$234,6,FALSE)</f>
        <v>#N/A</v>
      </c>
    </row>
    <row r="247" spans="1:14" hidden="1" x14ac:dyDescent="0.35">
      <c r="A247" s="21">
        <v>935742</v>
      </c>
      <c r="B247" s="22" t="str">
        <f>"3328024911020005"</f>
        <v>3328024911020005</v>
      </c>
      <c r="C247" s="22" t="str">
        <f t="shared" si="6"/>
        <v>'3328024911020005</v>
      </c>
      <c r="D247" s="22" t="str">
        <f t="shared" si="7"/>
        <v>tidak ganda</v>
      </c>
      <c r="E247" s="22" t="s">
        <v>772</v>
      </c>
      <c r="F247" s="22" t="s">
        <v>10</v>
      </c>
      <c r="G247" s="22" t="s">
        <v>11</v>
      </c>
      <c r="H247" s="22" t="s">
        <v>18</v>
      </c>
      <c r="I247" s="22" t="s">
        <v>264</v>
      </c>
      <c r="J247" s="22" t="s">
        <v>773</v>
      </c>
      <c r="K247" s="23" t="s">
        <v>774</v>
      </c>
    </row>
    <row r="248" spans="1:14" hidden="1" x14ac:dyDescent="0.35">
      <c r="A248" s="21">
        <v>2472019</v>
      </c>
      <c r="B248" s="22" t="str">
        <f>"3328025005930011"</f>
        <v>3328025005930011</v>
      </c>
      <c r="C248" s="22" t="str">
        <f t="shared" si="6"/>
        <v>'3328025005930011</v>
      </c>
      <c r="D248" s="22" t="str">
        <f t="shared" si="7"/>
        <v>tidak ganda</v>
      </c>
      <c r="E248" s="22" t="s">
        <v>775</v>
      </c>
      <c r="F248" s="22" t="s">
        <v>10</v>
      </c>
      <c r="G248" s="22" t="s">
        <v>11</v>
      </c>
      <c r="H248" s="22" t="s">
        <v>18</v>
      </c>
      <c r="I248" s="22" t="s">
        <v>19</v>
      </c>
      <c r="J248" s="22" t="s">
        <v>527</v>
      </c>
      <c r="K248" s="23" t="s">
        <v>640</v>
      </c>
      <c r="L248" t="e">
        <f>VLOOKUP(B248,ubah!$B$2:$L$234,4,FALSE)</f>
        <v>#N/A</v>
      </c>
      <c r="M248" t="e">
        <f>VLOOKUP(B248,ubah!$B$2:$L$234,5,FALSE)</f>
        <v>#N/A</v>
      </c>
      <c r="N248" t="e">
        <f>VLOOKUP(B248,ubah!$B$2:$L$234,6,FALSE)</f>
        <v>#N/A</v>
      </c>
    </row>
    <row r="249" spans="1:14" hidden="1" x14ac:dyDescent="0.35">
      <c r="A249" s="21">
        <v>117510</v>
      </c>
      <c r="B249" s="22" t="str">
        <f>"3328025007960006"</f>
        <v>3328025007960006</v>
      </c>
      <c r="C249" s="22" t="str">
        <f t="shared" si="6"/>
        <v>'3328025007960006</v>
      </c>
      <c r="D249" s="22" t="str">
        <f t="shared" si="7"/>
        <v>tidak ganda</v>
      </c>
      <c r="E249" s="22" t="s">
        <v>778</v>
      </c>
      <c r="F249" s="22" t="s">
        <v>10</v>
      </c>
      <c r="G249" s="22" t="s">
        <v>11</v>
      </c>
      <c r="H249" s="22" t="s">
        <v>33</v>
      </c>
      <c r="I249" s="22" t="s">
        <v>338</v>
      </c>
      <c r="J249" s="22" t="s">
        <v>779</v>
      </c>
      <c r="K249" s="23" t="s">
        <v>780</v>
      </c>
    </row>
    <row r="250" spans="1:14" hidden="1" x14ac:dyDescent="0.35">
      <c r="A250" s="21">
        <v>83290</v>
      </c>
      <c r="B250" s="22" t="str">
        <f>"3328025106810002"</f>
        <v>3328025106810002</v>
      </c>
      <c r="C250" s="22" t="str">
        <f t="shared" si="6"/>
        <v>'3328025106810002</v>
      </c>
      <c r="D250" s="22" t="str">
        <f t="shared" si="7"/>
        <v>tidak ganda</v>
      </c>
      <c r="E250" s="22" t="s">
        <v>782</v>
      </c>
      <c r="F250" s="22" t="s">
        <v>10</v>
      </c>
      <c r="G250" s="22" t="s">
        <v>11</v>
      </c>
      <c r="H250" s="22" t="s">
        <v>783</v>
      </c>
      <c r="I250" s="22" t="s">
        <v>784</v>
      </c>
      <c r="J250" s="22" t="s">
        <v>785</v>
      </c>
      <c r="K250" s="23" t="s">
        <v>786</v>
      </c>
    </row>
    <row r="251" spans="1:14" hidden="1" x14ac:dyDescent="0.35">
      <c r="A251" s="21">
        <v>2488796</v>
      </c>
      <c r="B251" s="22" t="str">
        <f>"3328025109920002"</f>
        <v>3328025109920002</v>
      </c>
      <c r="C251" s="22" t="str">
        <f t="shared" si="6"/>
        <v>'3328025109920002</v>
      </c>
      <c r="D251" s="22" t="str">
        <f t="shared" si="7"/>
        <v>tidak ganda</v>
      </c>
      <c r="E251" s="22" t="s">
        <v>787</v>
      </c>
      <c r="F251" s="22" t="s">
        <v>10</v>
      </c>
      <c r="G251" s="22" t="s">
        <v>11</v>
      </c>
      <c r="H251" s="22" t="s">
        <v>18</v>
      </c>
      <c r="I251" s="22" t="s">
        <v>19</v>
      </c>
      <c r="J251" s="22" t="s">
        <v>527</v>
      </c>
      <c r="K251" s="23" t="s">
        <v>564</v>
      </c>
      <c r="L251" t="e">
        <f>VLOOKUP(B251,ubah!$B$2:$L$234,4,FALSE)</f>
        <v>#N/A</v>
      </c>
      <c r="M251" t="e">
        <f>VLOOKUP(B251,ubah!$B$2:$L$234,5,FALSE)</f>
        <v>#N/A</v>
      </c>
      <c r="N251" t="e">
        <f>VLOOKUP(B251,ubah!$B$2:$L$234,6,FALSE)</f>
        <v>#N/A</v>
      </c>
    </row>
    <row r="252" spans="1:14" hidden="1" x14ac:dyDescent="0.35">
      <c r="A252" s="21">
        <v>2341826</v>
      </c>
      <c r="B252" s="22" t="str">
        <f>"3328025111980001"</f>
        <v>3328025111980001</v>
      </c>
      <c r="C252" s="22" t="str">
        <f t="shared" si="6"/>
        <v>'3328025111980001</v>
      </c>
      <c r="D252" s="22" t="str">
        <f t="shared" si="7"/>
        <v>tidak ganda</v>
      </c>
      <c r="E252" s="22" t="s">
        <v>790</v>
      </c>
      <c r="F252" s="22" t="s">
        <v>10</v>
      </c>
      <c r="G252" s="22" t="s">
        <v>11</v>
      </c>
      <c r="H252" s="22" t="s">
        <v>67</v>
      </c>
      <c r="I252" s="22" t="s">
        <v>791</v>
      </c>
      <c r="J252" s="22" t="s">
        <v>792</v>
      </c>
      <c r="K252" s="23" t="s">
        <v>793</v>
      </c>
    </row>
    <row r="253" spans="1:14" hidden="1" x14ac:dyDescent="0.35">
      <c r="A253" s="21">
        <v>1290148</v>
      </c>
      <c r="B253" s="22" t="str">
        <f>"3328025206950007"</f>
        <v>3328025206950007</v>
      </c>
      <c r="C253" s="22" t="str">
        <f t="shared" si="6"/>
        <v>'3328025206950007</v>
      </c>
      <c r="D253" s="22" t="str">
        <f t="shared" si="7"/>
        <v>tidak ganda</v>
      </c>
      <c r="E253" s="22" t="s">
        <v>794</v>
      </c>
      <c r="F253" s="22" t="s">
        <v>10</v>
      </c>
      <c r="G253" s="22" t="s">
        <v>11</v>
      </c>
      <c r="H253" s="22" t="s">
        <v>91</v>
      </c>
      <c r="I253" s="22" t="s">
        <v>137</v>
      </c>
      <c r="J253" s="22" t="s">
        <v>218</v>
      </c>
      <c r="K253" s="23" t="s">
        <v>795</v>
      </c>
    </row>
    <row r="254" spans="1:14" hidden="1" x14ac:dyDescent="0.35">
      <c r="A254" s="21">
        <v>2430854</v>
      </c>
      <c r="B254" s="22" t="str">
        <f>"3328025405940006"</f>
        <v>3328025405940006</v>
      </c>
      <c r="C254" s="22" t="str">
        <f t="shared" si="6"/>
        <v>'3328025405940006</v>
      </c>
      <c r="D254" s="22" t="str">
        <f t="shared" si="7"/>
        <v>ganda</v>
      </c>
      <c r="E254" s="22" t="s">
        <v>797</v>
      </c>
      <c r="F254" s="22" t="s">
        <v>10</v>
      </c>
      <c r="G254" s="22" t="s">
        <v>11</v>
      </c>
      <c r="H254" s="22" t="s">
        <v>18</v>
      </c>
      <c r="I254" s="22" t="s">
        <v>19</v>
      </c>
      <c r="J254" s="22" t="s">
        <v>527</v>
      </c>
      <c r="K254" s="23" t="s">
        <v>539</v>
      </c>
      <c r="L254" t="e">
        <f>VLOOKUP(B254,ubah!$B$2:$L$234,4,FALSE)</f>
        <v>#N/A</v>
      </c>
      <c r="M254" t="e">
        <f>VLOOKUP(B254,ubah!$B$2:$L$234,5,FALSE)</f>
        <v>#N/A</v>
      </c>
      <c r="N254" t="e">
        <f>VLOOKUP(B254,ubah!$B$2:$L$234,6,FALSE)</f>
        <v>#N/A</v>
      </c>
    </row>
    <row r="255" spans="1:14" hidden="1" x14ac:dyDescent="0.35">
      <c r="A255" s="21">
        <v>1178477</v>
      </c>
      <c r="B255" s="22" t="str">
        <f>"3328025405940006"</f>
        <v>3328025405940006</v>
      </c>
      <c r="C255" s="22" t="str">
        <f t="shared" si="6"/>
        <v>'3328025405940006</v>
      </c>
      <c r="D255" s="22" t="str">
        <f t="shared" si="7"/>
        <v>ganda</v>
      </c>
      <c r="E255" s="22" t="s">
        <v>797</v>
      </c>
      <c r="F255" s="22" t="s">
        <v>10</v>
      </c>
      <c r="G255" s="22" t="s">
        <v>11</v>
      </c>
      <c r="H255" s="22" t="s">
        <v>18</v>
      </c>
      <c r="I255" s="22" t="s">
        <v>180</v>
      </c>
      <c r="J255" s="22" t="s">
        <v>181</v>
      </c>
      <c r="K255" s="23" t="s">
        <v>624</v>
      </c>
    </row>
    <row r="256" spans="1:14" hidden="1" x14ac:dyDescent="0.35">
      <c r="A256" s="21">
        <v>2426036</v>
      </c>
      <c r="B256" s="22" t="str">
        <f>"3328025406920007"</f>
        <v>3328025406920007</v>
      </c>
      <c r="C256" s="22" t="str">
        <f t="shared" si="6"/>
        <v>'3328025406920007</v>
      </c>
      <c r="D256" s="22" t="str">
        <f t="shared" si="7"/>
        <v>tidak ganda</v>
      </c>
      <c r="E256" s="22" t="s">
        <v>798</v>
      </c>
      <c r="F256" s="22" t="s">
        <v>10</v>
      </c>
      <c r="G256" s="22" t="s">
        <v>11</v>
      </c>
      <c r="H256" s="22" t="s">
        <v>18</v>
      </c>
      <c r="I256" s="22" t="s">
        <v>19</v>
      </c>
      <c r="J256" s="22" t="s">
        <v>527</v>
      </c>
      <c r="K256" s="23" t="s">
        <v>684</v>
      </c>
      <c r="L256" t="e">
        <f>VLOOKUP(B256,ubah!$B$2:$L$234,4,FALSE)</f>
        <v>#N/A</v>
      </c>
      <c r="M256" t="e">
        <f>VLOOKUP(B256,ubah!$B$2:$L$234,5,FALSE)</f>
        <v>#N/A</v>
      </c>
      <c r="N256" t="e">
        <f>VLOOKUP(B256,ubah!$B$2:$L$234,6,FALSE)</f>
        <v>#N/A</v>
      </c>
    </row>
    <row r="257" spans="1:14" hidden="1" x14ac:dyDescent="0.35">
      <c r="A257" s="21">
        <v>844664</v>
      </c>
      <c r="B257" s="22" t="str">
        <f>"3328025410910001"</f>
        <v>3328025410910001</v>
      </c>
      <c r="C257" s="22" t="str">
        <f t="shared" si="6"/>
        <v>'3328025410910001</v>
      </c>
      <c r="D257" s="22" t="str">
        <f t="shared" si="7"/>
        <v>tidak ganda</v>
      </c>
      <c r="E257" s="22" t="s">
        <v>799</v>
      </c>
      <c r="F257" s="22" t="s">
        <v>10</v>
      </c>
      <c r="G257" s="22" t="s">
        <v>11</v>
      </c>
      <c r="H257" s="22" t="s">
        <v>50</v>
      </c>
      <c r="I257" s="22" t="s">
        <v>72</v>
      </c>
      <c r="J257" s="22" t="s">
        <v>73</v>
      </c>
      <c r="K257" s="23" t="s">
        <v>800</v>
      </c>
    </row>
    <row r="258" spans="1:14" hidden="1" x14ac:dyDescent="0.35">
      <c r="A258" s="21">
        <v>965769</v>
      </c>
      <c r="B258" s="22" t="str">
        <f>"3328025502960004"</f>
        <v>3328025502960004</v>
      </c>
      <c r="C258" s="22" t="str">
        <f t="shared" si="6"/>
        <v>'3328025502960004</v>
      </c>
      <c r="D258" s="22" t="str">
        <f t="shared" si="7"/>
        <v>tidak ganda</v>
      </c>
      <c r="E258" s="22" t="s">
        <v>802</v>
      </c>
      <c r="F258" s="22" t="s">
        <v>10</v>
      </c>
      <c r="G258" s="22" t="s">
        <v>11</v>
      </c>
      <c r="H258" s="22" t="s">
        <v>50</v>
      </c>
      <c r="I258" s="22" t="s">
        <v>72</v>
      </c>
      <c r="J258" s="22" t="s">
        <v>803</v>
      </c>
      <c r="K258" s="23" t="s">
        <v>804</v>
      </c>
    </row>
    <row r="259" spans="1:14" hidden="1" x14ac:dyDescent="0.35">
      <c r="A259" s="21">
        <v>286379</v>
      </c>
      <c r="B259" s="22" t="str">
        <f>"3328025601990005"</f>
        <v>3328025601990005</v>
      </c>
      <c r="C259" s="22" t="str">
        <f t="shared" ref="C259:C322" si="8">"'"&amp;B259</f>
        <v>'3328025601990005</v>
      </c>
      <c r="D259" s="22" t="str">
        <f t="shared" ref="D259:D322" si="9">IF(COUNTIF($C:$C,C259)&gt;1,"ganda","tidak ganda")</f>
        <v>tidak ganda</v>
      </c>
      <c r="E259" s="22" t="s">
        <v>805</v>
      </c>
      <c r="F259" s="22" t="s">
        <v>10</v>
      </c>
      <c r="G259" s="22" t="s">
        <v>11</v>
      </c>
      <c r="H259" s="22" t="s">
        <v>33</v>
      </c>
      <c r="I259" s="22" t="s">
        <v>806</v>
      </c>
      <c r="J259" s="22" t="s">
        <v>807</v>
      </c>
      <c r="K259" s="23" t="s">
        <v>808</v>
      </c>
    </row>
    <row r="260" spans="1:14" hidden="1" x14ac:dyDescent="0.35">
      <c r="A260" s="21">
        <v>540110</v>
      </c>
      <c r="B260" s="22" t="str">
        <f>"3328025705920002"</f>
        <v>3328025705920002</v>
      </c>
      <c r="C260" s="22" t="str">
        <f t="shared" si="8"/>
        <v>'3328025705920002</v>
      </c>
      <c r="D260" s="22" t="str">
        <f t="shared" si="9"/>
        <v>tidak ganda</v>
      </c>
      <c r="E260" s="22" t="s">
        <v>810</v>
      </c>
      <c r="F260" s="22" t="s">
        <v>10</v>
      </c>
      <c r="G260" s="22" t="s">
        <v>11</v>
      </c>
      <c r="H260" s="22" t="s">
        <v>811</v>
      </c>
      <c r="I260" s="22" t="s">
        <v>812</v>
      </c>
      <c r="J260" s="22" t="s">
        <v>813</v>
      </c>
      <c r="K260" s="23" t="s">
        <v>814</v>
      </c>
    </row>
    <row r="261" spans="1:14" hidden="1" x14ac:dyDescent="0.35">
      <c r="A261" s="21">
        <v>2452347</v>
      </c>
      <c r="B261" s="22" t="str">
        <f>"3328025711040003"</f>
        <v>3328025711040003</v>
      </c>
      <c r="C261" s="22" t="str">
        <f t="shared" si="8"/>
        <v>'3328025711040003</v>
      </c>
      <c r="D261" s="22" t="str">
        <f t="shared" si="9"/>
        <v>ganda</v>
      </c>
      <c r="E261" s="22" t="s">
        <v>815</v>
      </c>
      <c r="F261" s="22" t="s">
        <v>10</v>
      </c>
      <c r="G261" s="22" t="s">
        <v>11</v>
      </c>
      <c r="H261" s="22" t="s">
        <v>18</v>
      </c>
      <c r="I261" s="22" t="s">
        <v>19</v>
      </c>
      <c r="J261" s="22" t="s">
        <v>527</v>
      </c>
      <c r="K261" s="23" t="s">
        <v>691</v>
      </c>
      <c r="L261" t="e">
        <f>VLOOKUP(B261,ubah!$B$2:$L$234,4,FALSE)</f>
        <v>#N/A</v>
      </c>
      <c r="M261" t="e">
        <f>VLOOKUP(B261,ubah!$B$2:$L$234,5,FALSE)</f>
        <v>#N/A</v>
      </c>
      <c r="N261" t="e">
        <f>VLOOKUP(B261,ubah!$B$2:$L$234,6,FALSE)</f>
        <v>#N/A</v>
      </c>
    </row>
    <row r="262" spans="1:14" hidden="1" x14ac:dyDescent="0.35">
      <c r="A262" s="21">
        <v>1352891</v>
      </c>
      <c r="B262" s="22" t="str">
        <f>"3328025711040003"</f>
        <v>3328025711040003</v>
      </c>
      <c r="C262" s="22" t="str">
        <f t="shared" si="8"/>
        <v>'3328025711040003</v>
      </c>
      <c r="D262" s="22" t="str">
        <f t="shared" si="9"/>
        <v>ganda</v>
      </c>
      <c r="E262" s="22" t="s">
        <v>815</v>
      </c>
      <c r="F262" s="22" t="s">
        <v>10</v>
      </c>
      <c r="G262" s="22" t="s">
        <v>57</v>
      </c>
      <c r="H262" s="22" t="s">
        <v>303</v>
      </c>
      <c r="I262" s="22" t="s">
        <v>608</v>
      </c>
      <c r="J262" s="22" t="s">
        <v>609</v>
      </c>
      <c r="K262" s="23" t="s">
        <v>610</v>
      </c>
    </row>
    <row r="263" spans="1:14" hidden="1" x14ac:dyDescent="0.35">
      <c r="A263" s="21">
        <v>2440387</v>
      </c>
      <c r="B263" s="22" t="str">
        <f>"3328025802020002"</f>
        <v>3328025802020002</v>
      </c>
      <c r="C263" s="22" t="str">
        <f t="shared" si="8"/>
        <v>'3328025802020002</v>
      </c>
      <c r="D263" s="22" t="str">
        <f t="shared" si="9"/>
        <v>ganda</v>
      </c>
      <c r="E263" s="22" t="s">
        <v>816</v>
      </c>
      <c r="F263" s="22" t="s">
        <v>10</v>
      </c>
      <c r="G263" s="22" t="s">
        <v>11</v>
      </c>
      <c r="H263" s="22" t="s">
        <v>18</v>
      </c>
      <c r="I263" s="22" t="s">
        <v>19</v>
      </c>
      <c r="J263" s="22" t="s">
        <v>527</v>
      </c>
      <c r="K263" s="23" t="s">
        <v>535</v>
      </c>
      <c r="L263" t="e">
        <f>VLOOKUP(B263,ubah!$B$2:$L$234,4,FALSE)</f>
        <v>#N/A</v>
      </c>
      <c r="M263" t="e">
        <f>VLOOKUP(B263,ubah!$B$2:$L$234,5,FALSE)</f>
        <v>#N/A</v>
      </c>
      <c r="N263" t="e">
        <f>VLOOKUP(B263,ubah!$B$2:$L$234,6,FALSE)</f>
        <v>#N/A</v>
      </c>
    </row>
    <row r="264" spans="1:14" hidden="1" x14ac:dyDescent="0.35">
      <c r="A264" s="21">
        <v>1352890</v>
      </c>
      <c r="B264" s="22" t="str">
        <f>"3328025802020002"</f>
        <v>3328025802020002</v>
      </c>
      <c r="C264" s="22" t="str">
        <f t="shared" si="8"/>
        <v>'3328025802020002</v>
      </c>
      <c r="D264" s="22" t="str">
        <f t="shared" si="9"/>
        <v>ganda</v>
      </c>
      <c r="E264" s="22" t="s">
        <v>817</v>
      </c>
      <c r="F264" s="22" t="s">
        <v>10</v>
      </c>
      <c r="G264" s="22" t="s">
        <v>57</v>
      </c>
      <c r="H264" s="22" t="s">
        <v>303</v>
      </c>
      <c r="I264" s="22" t="s">
        <v>608</v>
      </c>
      <c r="J264" s="22" t="s">
        <v>609</v>
      </c>
      <c r="K264" s="23" t="s">
        <v>610</v>
      </c>
    </row>
    <row r="265" spans="1:14" hidden="1" x14ac:dyDescent="0.35">
      <c r="A265" s="21">
        <v>1352894</v>
      </c>
      <c r="B265" s="22" t="str">
        <f>"3328025802060001"</f>
        <v>3328025802060001</v>
      </c>
      <c r="C265" s="22" t="str">
        <f t="shared" si="8"/>
        <v>'3328025802060001</v>
      </c>
      <c r="D265" s="22" t="str">
        <f t="shared" si="9"/>
        <v>tidak ganda</v>
      </c>
      <c r="E265" s="22" t="s">
        <v>818</v>
      </c>
      <c r="F265" s="22" t="s">
        <v>10</v>
      </c>
      <c r="G265" s="22" t="s">
        <v>57</v>
      </c>
      <c r="H265" s="22" t="s">
        <v>303</v>
      </c>
      <c r="I265" s="22" t="s">
        <v>608</v>
      </c>
      <c r="J265" s="22" t="s">
        <v>609</v>
      </c>
      <c r="K265" s="23" t="s">
        <v>610</v>
      </c>
    </row>
    <row r="266" spans="1:14" hidden="1" x14ac:dyDescent="0.35">
      <c r="A266" s="21">
        <v>2456736</v>
      </c>
      <c r="B266" s="22" t="str">
        <f>"3328025807060002"</f>
        <v>3328025807060002</v>
      </c>
      <c r="C266" s="22" t="str">
        <f t="shared" si="8"/>
        <v>'3328025807060002</v>
      </c>
      <c r="D266" s="22" t="str">
        <f t="shared" si="9"/>
        <v>ganda</v>
      </c>
      <c r="E266" s="22" t="s">
        <v>819</v>
      </c>
      <c r="F266" s="22" t="s">
        <v>10</v>
      </c>
      <c r="G266" s="22" t="s">
        <v>11</v>
      </c>
      <c r="H266" s="22" t="s">
        <v>18</v>
      </c>
      <c r="I266" s="22" t="s">
        <v>19</v>
      </c>
      <c r="J266" s="22" t="s">
        <v>527</v>
      </c>
      <c r="K266" s="23" t="s">
        <v>602</v>
      </c>
      <c r="L266" t="e">
        <f>VLOOKUP(B266,ubah!$B$2:$L$234,4,FALSE)</f>
        <v>#N/A</v>
      </c>
      <c r="M266" t="e">
        <f>VLOOKUP(B266,ubah!$B$2:$L$234,5,FALSE)</f>
        <v>#N/A</v>
      </c>
      <c r="N266" t="e">
        <f>VLOOKUP(B266,ubah!$B$2:$L$234,6,FALSE)</f>
        <v>#N/A</v>
      </c>
    </row>
    <row r="267" spans="1:14" hidden="1" x14ac:dyDescent="0.35">
      <c r="A267" s="21">
        <v>1352893</v>
      </c>
      <c r="B267" s="22" t="str">
        <f>"3328025807060002"</f>
        <v>3328025807060002</v>
      </c>
      <c r="C267" s="22" t="str">
        <f t="shared" si="8"/>
        <v>'3328025807060002</v>
      </c>
      <c r="D267" s="22" t="str">
        <f t="shared" si="9"/>
        <v>ganda</v>
      </c>
      <c r="E267" s="22" t="s">
        <v>819</v>
      </c>
      <c r="F267" s="22" t="s">
        <v>10</v>
      </c>
      <c r="G267" s="22" t="s">
        <v>57</v>
      </c>
      <c r="H267" s="22" t="s">
        <v>303</v>
      </c>
      <c r="I267" s="22" t="s">
        <v>608</v>
      </c>
      <c r="J267" s="22" t="s">
        <v>609</v>
      </c>
      <c r="K267" s="23" t="s">
        <v>610</v>
      </c>
    </row>
    <row r="268" spans="1:14" hidden="1" x14ac:dyDescent="0.35">
      <c r="A268" s="21">
        <v>2448093</v>
      </c>
      <c r="B268" s="22" t="str">
        <f>"3328025902050003"</f>
        <v>3328025902050003</v>
      </c>
      <c r="C268" s="22" t="str">
        <f t="shared" si="8"/>
        <v>'3328025902050003</v>
      </c>
      <c r="D268" s="22" t="str">
        <f t="shared" si="9"/>
        <v>tidak ganda</v>
      </c>
      <c r="E268" s="22" t="s">
        <v>820</v>
      </c>
      <c r="F268" s="22" t="s">
        <v>10</v>
      </c>
      <c r="G268" s="22" t="s">
        <v>11</v>
      </c>
      <c r="H268" s="22" t="s">
        <v>18</v>
      </c>
      <c r="I268" s="22" t="s">
        <v>19</v>
      </c>
      <c r="J268" s="22" t="s">
        <v>527</v>
      </c>
      <c r="K268" s="23" t="s">
        <v>616</v>
      </c>
      <c r="L268" t="e">
        <f>VLOOKUP(B268,ubah!$B$2:$L$234,4,FALSE)</f>
        <v>#N/A</v>
      </c>
      <c r="M268" t="e">
        <f>VLOOKUP(B268,ubah!$B$2:$L$234,5,FALSE)</f>
        <v>#N/A</v>
      </c>
      <c r="N268" t="e">
        <f>VLOOKUP(B268,ubah!$B$2:$L$234,6,FALSE)</f>
        <v>#N/A</v>
      </c>
    </row>
    <row r="269" spans="1:14" hidden="1" x14ac:dyDescent="0.35">
      <c r="A269" s="21">
        <v>898724</v>
      </c>
      <c r="B269" s="22" t="str">
        <f>"3328026401010001"</f>
        <v>3328026401010001</v>
      </c>
      <c r="C269" s="22" t="str">
        <f t="shared" si="8"/>
        <v>'3328026401010001</v>
      </c>
      <c r="D269" s="22" t="str">
        <f t="shared" si="9"/>
        <v>tidak ganda</v>
      </c>
      <c r="E269" s="22" t="s">
        <v>823</v>
      </c>
      <c r="F269" s="22" t="s">
        <v>10</v>
      </c>
      <c r="G269" s="22" t="s">
        <v>11</v>
      </c>
      <c r="H269" s="22" t="s">
        <v>50</v>
      </c>
      <c r="I269" s="22" t="s">
        <v>58</v>
      </c>
      <c r="J269" s="22" t="s">
        <v>59</v>
      </c>
      <c r="K269" s="23" t="s">
        <v>824</v>
      </c>
    </row>
    <row r="270" spans="1:14" hidden="1" x14ac:dyDescent="0.35">
      <c r="A270" s="21">
        <v>1056203</v>
      </c>
      <c r="B270" s="22" t="str">
        <f>"3328026410760001"</f>
        <v>3328026410760001</v>
      </c>
      <c r="C270" s="22" t="str">
        <f t="shared" si="8"/>
        <v>'3328026410760001</v>
      </c>
      <c r="D270" s="22" t="str">
        <f t="shared" si="9"/>
        <v>tidak ganda</v>
      </c>
      <c r="E270" s="22" t="s">
        <v>825</v>
      </c>
      <c r="F270" s="22" t="s">
        <v>10</v>
      </c>
      <c r="G270" s="22" t="s">
        <v>11</v>
      </c>
      <c r="H270" s="22" t="s">
        <v>91</v>
      </c>
      <c r="I270" s="22" t="s">
        <v>159</v>
      </c>
      <c r="J270" s="22" t="s">
        <v>160</v>
      </c>
      <c r="K270" s="23" t="s">
        <v>826</v>
      </c>
    </row>
    <row r="271" spans="1:14" hidden="1" x14ac:dyDescent="0.35">
      <c r="A271" s="21">
        <v>1432595</v>
      </c>
      <c r="B271" s="22" t="str">
        <f>"3328026509990009"</f>
        <v>3328026509990009</v>
      </c>
      <c r="C271" s="22" t="str">
        <f t="shared" si="8"/>
        <v>'3328026509990009</v>
      </c>
      <c r="D271" s="22" t="str">
        <f t="shared" si="9"/>
        <v>tidak ganda</v>
      </c>
      <c r="E271" s="22" t="s">
        <v>828</v>
      </c>
      <c r="F271" s="22" t="s">
        <v>10</v>
      </c>
      <c r="G271" s="22" t="s">
        <v>11</v>
      </c>
      <c r="H271" s="22" t="s">
        <v>18</v>
      </c>
      <c r="I271" s="22" t="s">
        <v>264</v>
      </c>
      <c r="J271" s="22" t="s">
        <v>289</v>
      </c>
      <c r="K271" s="23" t="s">
        <v>758</v>
      </c>
    </row>
    <row r="272" spans="1:14" hidden="1" x14ac:dyDescent="0.35">
      <c r="A272" s="21">
        <v>1361655</v>
      </c>
      <c r="B272" s="22" t="str">
        <f>"3328026906050001"</f>
        <v>3328026906050001</v>
      </c>
      <c r="C272" s="22" t="str">
        <f t="shared" si="8"/>
        <v>'3328026906050001</v>
      </c>
      <c r="D272" s="22" t="str">
        <f t="shared" si="9"/>
        <v>tidak ganda</v>
      </c>
      <c r="E272" s="22" t="s">
        <v>831</v>
      </c>
      <c r="F272" s="22" t="s">
        <v>10</v>
      </c>
      <c r="G272" s="22" t="s">
        <v>57</v>
      </c>
      <c r="H272" s="22" t="s">
        <v>303</v>
      </c>
      <c r="I272" s="22" t="s">
        <v>608</v>
      </c>
      <c r="J272" s="22" t="s">
        <v>609</v>
      </c>
      <c r="K272" s="23" t="s">
        <v>610</v>
      </c>
    </row>
    <row r="273" spans="1:14" hidden="1" x14ac:dyDescent="0.35">
      <c r="A273" s="21">
        <v>1745645</v>
      </c>
      <c r="B273" s="22" t="str">
        <f>"3328027101920003"</f>
        <v>3328027101920003</v>
      </c>
      <c r="C273" s="22" t="str">
        <f t="shared" si="8"/>
        <v>'3328027101920003</v>
      </c>
      <c r="D273" s="22" t="str">
        <f t="shared" si="9"/>
        <v>tidak ganda</v>
      </c>
      <c r="E273" s="22" t="s">
        <v>832</v>
      </c>
      <c r="F273" s="22" t="s">
        <v>10</v>
      </c>
      <c r="G273" s="22" t="s">
        <v>11</v>
      </c>
      <c r="H273" s="22" t="s">
        <v>50</v>
      </c>
      <c r="I273" s="22" t="s">
        <v>72</v>
      </c>
      <c r="J273" s="22" t="s">
        <v>738</v>
      </c>
      <c r="K273" s="23" t="s">
        <v>739</v>
      </c>
    </row>
    <row r="274" spans="1:14" hidden="1" x14ac:dyDescent="0.35">
      <c r="A274" s="21">
        <v>2446795</v>
      </c>
      <c r="B274" s="22" t="str">
        <f>"3328027112030004"</f>
        <v>3328027112030004</v>
      </c>
      <c r="C274" s="22" t="str">
        <f t="shared" si="8"/>
        <v>'3328027112030004</v>
      </c>
      <c r="D274" s="22" t="str">
        <f t="shared" si="9"/>
        <v>tidak ganda</v>
      </c>
      <c r="E274" s="22" t="s">
        <v>833</v>
      </c>
      <c r="F274" s="22" t="s">
        <v>10</v>
      </c>
      <c r="G274" s="22" t="s">
        <v>11</v>
      </c>
      <c r="H274" s="22" t="s">
        <v>18</v>
      </c>
      <c r="I274" s="22" t="s">
        <v>19</v>
      </c>
      <c r="J274" s="22" t="s">
        <v>527</v>
      </c>
      <c r="K274" s="23" t="s">
        <v>616</v>
      </c>
      <c r="L274" t="e">
        <f>VLOOKUP(B274,ubah!$B$2:$L$234,4,FALSE)</f>
        <v>#N/A</v>
      </c>
      <c r="M274" t="e">
        <f>VLOOKUP(B274,ubah!$B$2:$L$234,5,FALSE)</f>
        <v>#N/A</v>
      </c>
      <c r="N274" t="e">
        <f>VLOOKUP(B274,ubah!$B$2:$L$234,6,FALSE)</f>
        <v>#N/A</v>
      </c>
    </row>
    <row r="275" spans="1:14" hidden="1" x14ac:dyDescent="0.35">
      <c r="A275" s="21">
        <v>2471357</v>
      </c>
      <c r="B275" s="22" t="str">
        <f>"3328040906920010"</f>
        <v>3328040906920010</v>
      </c>
      <c r="C275" s="22" t="str">
        <f t="shared" si="8"/>
        <v>'3328040906920010</v>
      </c>
      <c r="D275" s="22" t="str">
        <f t="shared" si="9"/>
        <v>tidak ganda</v>
      </c>
      <c r="E275" s="22" t="s">
        <v>835</v>
      </c>
      <c r="F275" s="22" t="s">
        <v>10</v>
      </c>
      <c r="G275" s="22" t="s">
        <v>11</v>
      </c>
      <c r="H275" s="22" t="s">
        <v>18</v>
      </c>
      <c r="I275" s="22" t="s">
        <v>19</v>
      </c>
      <c r="J275" s="22" t="s">
        <v>527</v>
      </c>
      <c r="K275" s="23" t="s">
        <v>605</v>
      </c>
      <c r="L275" t="e">
        <f>VLOOKUP(B275,ubah!$B$2:$L$234,4,FALSE)</f>
        <v>#N/A</v>
      </c>
      <c r="M275" t="e">
        <f>VLOOKUP(B275,ubah!$B$2:$L$234,5,FALSE)</f>
        <v>#N/A</v>
      </c>
      <c r="N275" t="e">
        <f>VLOOKUP(B275,ubah!$B$2:$L$234,6,FALSE)</f>
        <v>#N/A</v>
      </c>
    </row>
    <row r="276" spans="1:14" hidden="1" x14ac:dyDescent="0.35">
      <c r="A276" s="21">
        <v>2511823</v>
      </c>
      <c r="B276" s="22" t="str">
        <f>"3328111106190003"</f>
        <v>3328111106190003</v>
      </c>
      <c r="C276" s="22" t="str">
        <f t="shared" si="8"/>
        <v>'3328111106190003</v>
      </c>
      <c r="D276" s="22" t="str">
        <f t="shared" si="9"/>
        <v>ganda</v>
      </c>
      <c r="E276" s="22" t="s">
        <v>837</v>
      </c>
      <c r="F276" s="22" t="s">
        <v>10</v>
      </c>
      <c r="G276" s="22" t="s">
        <v>11</v>
      </c>
      <c r="H276" s="22" t="s">
        <v>18</v>
      </c>
      <c r="I276" s="22" t="s">
        <v>19</v>
      </c>
      <c r="J276" s="22" t="s">
        <v>527</v>
      </c>
      <c r="K276" s="23" t="s">
        <v>527</v>
      </c>
      <c r="L276" t="e">
        <f>VLOOKUP(B276,ubah!$B$2:$L$234,4,FALSE)</f>
        <v>#N/A</v>
      </c>
      <c r="M276" t="e">
        <f>VLOOKUP(B276,ubah!$B$2:$L$234,5,FALSE)</f>
        <v>#N/A</v>
      </c>
      <c r="N276" t="e">
        <f>VLOOKUP(B276,ubah!$B$2:$L$234,6,FALSE)</f>
        <v>#N/A</v>
      </c>
    </row>
    <row r="277" spans="1:14" hidden="1" x14ac:dyDescent="0.35">
      <c r="A277" s="21">
        <v>2662274</v>
      </c>
      <c r="B277" s="22" t="str">
        <f>"3328111106190003"</f>
        <v>3328111106190003</v>
      </c>
      <c r="C277" s="22" t="str">
        <f t="shared" si="8"/>
        <v>'3328111106190003</v>
      </c>
      <c r="D277" s="22" t="str">
        <f t="shared" si="9"/>
        <v>ganda</v>
      </c>
      <c r="E277" s="22" t="s">
        <v>838</v>
      </c>
      <c r="F277" s="22" t="s">
        <v>10</v>
      </c>
      <c r="G277" s="22" t="s">
        <v>57</v>
      </c>
      <c r="H277" s="22" t="s">
        <v>18</v>
      </c>
      <c r="I277" s="22" t="s">
        <v>199</v>
      </c>
      <c r="J277" s="22" t="s">
        <v>199</v>
      </c>
      <c r="K277" s="23" t="s">
        <v>839</v>
      </c>
    </row>
    <row r="278" spans="1:14" hidden="1" x14ac:dyDescent="0.35">
      <c r="A278" s="21">
        <v>2490448</v>
      </c>
      <c r="B278" s="22" t="str">
        <f>"3329034511940004"</f>
        <v>3329034511940004</v>
      </c>
      <c r="C278" s="22" t="str">
        <f t="shared" si="8"/>
        <v>'3329034511940004</v>
      </c>
      <c r="D278" s="22" t="str">
        <f t="shared" si="9"/>
        <v>tidak ganda</v>
      </c>
      <c r="E278" s="22" t="s">
        <v>840</v>
      </c>
      <c r="F278" s="22" t="s">
        <v>10</v>
      </c>
      <c r="G278" s="22" t="s">
        <v>11</v>
      </c>
      <c r="H278" s="22" t="s">
        <v>18</v>
      </c>
      <c r="I278" s="22" t="s">
        <v>19</v>
      </c>
      <c r="J278" s="22" t="s">
        <v>527</v>
      </c>
      <c r="K278" s="23" t="s">
        <v>532</v>
      </c>
      <c r="L278" t="e">
        <f>VLOOKUP(B278,ubah!$B$2:$L$234,4,FALSE)</f>
        <v>#N/A</v>
      </c>
      <c r="M278" t="e">
        <f>VLOOKUP(B278,ubah!$B$2:$L$234,5,FALSE)</f>
        <v>#N/A</v>
      </c>
      <c r="N278" t="e">
        <f>VLOOKUP(B278,ubah!$B$2:$L$234,6,FALSE)</f>
        <v>#N/A</v>
      </c>
    </row>
    <row r="279" spans="1:14" hidden="1" x14ac:dyDescent="0.35">
      <c r="A279" s="21">
        <v>1185547</v>
      </c>
      <c r="B279" s="22" t="str">
        <f>"3329045102020009"</f>
        <v>3329045102020009</v>
      </c>
      <c r="C279" s="22" t="str">
        <f t="shared" si="8"/>
        <v>'3329045102020009</v>
      </c>
      <c r="D279" s="22" t="str">
        <f t="shared" si="9"/>
        <v>tidak ganda</v>
      </c>
      <c r="E279" s="22" t="s">
        <v>843</v>
      </c>
      <c r="F279" s="22" t="s">
        <v>10</v>
      </c>
      <c r="G279" s="22" t="s">
        <v>11</v>
      </c>
      <c r="H279" s="22" t="s">
        <v>18</v>
      </c>
      <c r="I279" s="22" t="s">
        <v>264</v>
      </c>
      <c r="J279" s="22" t="s">
        <v>396</v>
      </c>
      <c r="K279" s="23" t="s">
        <v>844</v>
      </c>
    </row>
    <row r="280" spans="1:14" hidden="1" x14ac:dyDescent="0.35">
      <c r="A280" s="21">
        <v>405435</v>
      </c>
      <c r="B280" s="22" t="str">
        <f>"3329046402980003"</f>
        <v>3329046402980003</v>
      </c>
      <c r="C280" s="22" t="str">
        <f t="shared" si="8"/>
        <v>'3329046402980003</v>
      </c>
      <c r="D280" s="22" t="str">
        <f t="shared" si="9"/>
        <v>tidak ganda</v>
      </c>
      <c r="E280" s="22" t="s">
        <v>845</v>
      </c>
      <c r="F280" s="22" t="s">
        <v>10</v>
      </c>
      <c r="G280" s="22" t="s">
        <v>11</v>
      </c>
      <c r="H280" s="22" t="s">
        <v>18</v>
      </c>
      <c r="I280" s="22" t="s">
        <v>264</v>
      </c>
      <c r="J280" s="22" t="s">
        <v>396</v>
      </c>
      <c r="K280" s="23" t="s">
        <v>846</v>
      </c>
    </row>
    <row r="281" spans="1:14" hidden="1" x14ac:dyDescent="0.35">
      <c r="A281" s="21">
        <v>2447997</v>
      </c>
      <c r="B281" s="22" t="str">
        <f>"3329050107990033"</f>
        <v>3329050107990033</v>
      </c>
      <c r="C281" s="22" t="str">
        <f t="shared" si="8"/>
        <v>'3329050107990033</v>
      </c>
      <c r="D281" s="22" t="str">
        <f t="shared" si="9"/>
        <v>tidak ganda</v>
      </c>
      <c r="E281" s="22" t="s">
        <v>848</v>
      </c>
      <c r="F281" s="22" t="s">
        <v>10</v>
      </c>
      <c r="G281" s="22" t="s">
        <v>11</v>
      </c>
      <c r="H281" s="22" t="s">
        <v>18</v>
      </c>
      <c r="I281" s="22" t="s">
        <v>19</v>
      </c>
      <c r="J281" s="22" t="s">
        <v>527</v>
      </c>
      <c r="K281" s="23" t="s">
        <v>616</v>
      </c>
      <c r="L281" t="e">
        <f>VLOOKUP(B281,ubah!$B$2:$L$234,4,FALSE)</f>
        <v>#N/A</v>
      </c>
      <c r="M281" t="e">
        <f>VLOOKUP(B281,ubah!$B$2:$L$234,5,FALSE)</f>
        <v>#N/A</v>
      </c>
      <c r="N281" t="e">
        <f>VLOOKUP(B281,ubah!$B$2:$L$234,6,FALSE)</f>
        <v>#N/A</v>
      </c>
    </row>
    <row r="282" spans="1:14" hidden="1" x14ac:dyDescent="0.35">
      <c r="A282" s="21">
        <v>1433197</v>
      </c>
      <c r="B282" s="22" t="str">
        <f>"3329050109960001"</f>
        <v>3329050109960001</v>
      </c>
      <c r="C282" s="22" t="str">
        <f t="shared" si="8"/>
        <v>'3329050109960001</v>
      </c>
      <c r="D282" s="22" t="str">
        <f t="shared" si="9"/>
        <v>tidak ganda</v>
      </c>
      <c r="E282" s="22" t="s">
        <v>849</v>
      </c>
      <c r="F282" s="22" t="s">
        <v>10</v>
      </c>
      <c r="G282" s="22" t="s">
        <v>11</v>
      </c>
      <c r="H282" s="22" t="s">
        <v>18</v>
      </c>
      <c r="I282" s="22" t="s">
        <v>264</v>
      </c>
      <c r="J282" s="22" t="s">
        <v>289</v>
      </c>
      <c r="K282" s="23" t="s">
        <v>758</v>
      </c>
    </row>
    <row r="283" spans="1:14" hidden="1" x14ac:dyDescent="0.35">
      <c r="A283" s="21">
        <v>1323333</v>
      </c>
      <c r="B283" s="22" t="str">
        <f>"3329050611820001"</f>
        <v>3329050611820001</v>
      </c>
      <c r="C283" s="22" t="str">
        <f t="shared" si="8"/>
        <v>'3329050611820001</v>
      </c>
      <c r="D283" s="22" t="str">
        <f t="shared" si="9"/>
        <v>tidak ganda</v>
      </c>
      <c r="E283" s="22" t="s">
        <v>850</v>
      </c>
      <c r="F283" s="22" t="s">
        <v>10</v>
      </c>
      <c r="G283" s="22" t="s">
        <v>11</v>
      </c>
      <c r="H283" s="22" t="s">
        <v>18</v>
      </c>
      <c r="I283" s="22" t="s">
        <v>264</v>
      </c>
      <c r="J283" s="22" t="s">
        <v>289</v>
      </c>
      <c r="K283" s="23" t="s">
        <v>290</v>
      </c>
    </row>
    <row r="284" spans="1:14" hidden="1" x14ac:dyDescent="0.35">
      <c r="A284" s="21">
        <v>1494721</v>
      </c>
      <c r="B284" s="22" t="str">
        <f>"3329051212830003"</f>
        <v>3329051212830003</v>
      </c>
      <c r="C284" s="22" t="str">
        <f t="shared" si="8"/>
        <v>'3329051212830003</v>
      </c>
      <c r="D284" s="22" t="str">
        <f t="shared" si="9"/>
        <v>tidak ganda</v>
      </c>
      <c r="E284" s="22" t="s">
        <v>852</v>
      </c>
      <c r="F284" s="22" t="s">
        <v>10</v>
      </c>
      <c r="G284" s="22" t="s">
        <v>11</v>
      </c>
      <c r="H284" s="22" t="s">
        <v>18</v>
      </c>
      <c r="I284" s="22" t="s">
        <v>264</v>
      </c>
      <c r="J284" s="22" t="s">
        <v>289</v>
      </c>
      <c r="K284" s="23" t="s">
        <v>853</v>
      </c>
    </row>
    <row r="285" spans="1:14" hidden="1" x14ac:dyDescent="0.35">
      <c r="A285" s="21">
        <v>2447998</v>
      </c>
      <c r="B285" s="22" t="str">
        <f>"3329051811950001"</f>
        <v>3329051811950001</v>
      </c>
      <c r="C285" s="22" t="str">
        <f t="shared" si="8"/>
        <v>'3329051811950001</v>
      </c>
      <c r="D285" s="22" t="str">
        <f t="shared" si="9"/>
        <v>tidak ganda</v>
      </c>
      <c r="E285" s="22" t="s">
        <v>855</v>
      </c>
      <c r="F285" s="22" t="s">
        <v>10</v>
      </c>
      <c r="G285" s="22" t="s">
        <v>11</v>
      </c>
      <c r="H285" s="22" t="s">
        <v>18</v>
      </c>
      <c r="I285" s="22" t="s">
        <v>19</v>
      </c>
      <c r="J285" s="22" t="s">
        <v>527</v>
      </c>
      <c r="K285" s="23" t="s">
        <v>616</v>
      </c>
      <c r="L285" t="e">
        <f>VLOOKUP(B285,ubah!$B$2:$L$234,4,FALSE)</f>
        <v>#N/A</v>
      </c>
      <c r="M285" t="e">
        <f>VLOOKUP(B285,ubah!$B$2:$L$234,5,FALSE)</f>
        <v>#N/A</v>
      </c>
      <c r="N285" t="e">
        <f>VLOOKUP(B285,ubah!$B$2:$L$234,6,FALSE)</f>
        <v>#N/A</v>
      </c>
    </row>
    <row r="286" spans="1:14" hidden="1" x14ac:dyDescent="0.35">
      <c r="A286" s="21">
        <v>1337340</v>
      </c>
      <c r="B286" s="22" t="str">
        <f>"3329053108060004"</f>
        <v>3329053108060004</v>
      </c>
      <c r="C286" s="22" t="str">
        <f t="shared" si="8"/>
        <v>'3329053108060004</v>
      </c>
      <c r="D286" s="22" t="str">
        <f t="shared" si="9"/>
        <v>tidak ganda</v>
      </c>
      <c r="E286" s="22" t="s">
        <v>857</v>
      </c>
      <c r="F286" s="22" t="s">
        <v>10</v>
      </c>
      <c r="G286" s="22" t="s">
        <v>11</v>
      </c>
      <c r="H286" s="22" t="s">
        <v>18</v>
      </c>
      <c r="I286" s="22" t="s">
        <v>264</v>
      </c>
      <c r="J286" s="22" t="s">
        <v>289</v>
      </c>
      <c r="K286" s="23" t="s">
        <v>613</v>
      </c>
    </row>
    <row r="287" spans="1:14" hidden="1" x14ac:dyDescent="0.35">
      <c r="A287" s="21">
        <v>1339005</v>
      </c>
      <c r="B287" s="22" t="str">
        <f>"3329054404960006"</f>
        <v>3329054404960006</v>
      </c>
      <c r="C287" s="22" t="str">
        <f t="shared" si="8"/>
        <v>'3329054404960006</v>
      </c>
      <c r="D287" s="22" t="str">
        <f t="shared" si="9"/>
        <v>tidak ganda</v>
      </c>
      <c r="E287" s="22" t="s">
        <v>858</v>
      </c>
      <c r="F287" s="22" t="s">
        <v>10</v>
      </c>
      <c r="G287" s="22" t="s">
        <v>11</v>
      </c>
      <c r="H287" s="22" t="s">
        <v>18</v>
      </c>
      <c r="I287" s="22" t="s">
        <v>264</v>
      </c>
      <c r="J287" s="22" t="s">
        <v>289</v>
      </c>
      <c r="K287" s="23" t="s">
        <v>613</v>
      </c>
    </row>
    <row r="288" spans="1:14" hidden="1" x14ac:dyDescent="0.35">
      <c r="A288" s="21">
        <v>1338555</v>
      </c>
      <c r="B288" s="22" t="str">
        <f>"3329054809850002"</f>
        <v>3329054809850002</v>
      </c>
      <c r="C288" s="22" t="str">
        <f t="shared" si="8"/>
        <v>'3329054809850002</v>
      </c>
      <c r="D288" s="22" t="str">
        <f t="shared" si="9"/>
        <v>tidak ganda</v>
      </c>
      <c r="E288" s="22" t="s">
        <v>859</v>
      </c>
      <c r="F288" s="22" t="s">
        <v>10</v>
      </c>
      <c r="G288" s="22" t="s">
        <v>11</v>
      </c>
      <c r="H288" s="22" t="s">
        <v>18</v>
      </c>
      <c r="I288" s="22" t="s">
        <v>264</v>
      </c>
      <c r="J288" s="22" t="s">
        <v>289</v>
      </c>
      <c r="K288" s="23" t="s">
        <v>613</v>
      </c>
    </row>
    <row r="289" spans="1:14" hidden="1" x14ac:dyDescent="0.35">
      <c r="A289" s="21">
        <v>248592</v>
      </c>
      <c r="B289" s="22" t="str">
        <f>"3329064307950005"</f>
        <v>3329064307950005</v>
      </c>
      <c r="C289" s="22" t="str">
        <f t="shared" si="8"/>
        <v>'3329064307950005</v>
      </c>
      <c r="D289" s="22" t="str">
        <f t="shared" si="9"/>
        <v>tidak ganda</v>
      </c>
      <c r="E289" s="22" t="s">
        <v>860</v>
      </c>
      <c r="F289" s="22" t="s">
        <v>10</v>
      </c>
      <c r="G289" s="22" t="s">
        <v>11</v>
      </c>
      <c r="H289" s="22" t="s">
        <v>18</v>
      </c>
      <c r="I289" s="22" t="s">
        <v>264</v>
      </c>
      <c r="J289" s="22" t="s">
        <v>468</v>
      </c>
      <c r="K289" s="23" t="s">
        <v>861</v>
      </c>
    </row>
    <row r="290" spans="1:14" hidden="1" x14ac:dyDescent="0.35">
      <c r="A290" s="21">
        <v>2491837</v>
      </c>
      <c r="B290" s="22" t="str">
        <f>"3329071911850003"</f>
        <v>3329071911850003</v>
      </c>
      <c r="C290" s="22" t="str">
        <f t="shared" si="8"/>
        <v>'3329071911850003</v>
      </c>
      <c r="D290" s="22" t="str">
        <f t="shared" si="9"/>
        <v>tidak ganda</v>
      </c>
      <c r="E290" s="22" t="s">
        <v>862</v>
      </c>
      <c r="F290" s="22" t="s">
        <v>10</v>
      </c>
      <c r="G290" s="22" t="s">
        <v>11</v>
      </c>
      <c r="H290" s="22" t="s">
        <v>18</v>
      </c>
      <c r="I290" s="22" t="s">
        <v>19</v>
      </c>
      <c r="J290" s="22" t="s">
        <v>527</v>
      </c>
      <c r="K290" s="23" t="s">
        <v>532</v>
      </c>
      <c r="L290" t="e">
        <f>VLOOKUP(B290,ubah!$B$2:$L$234,4,FALSE)</f>
        <v>#N/A</v>
      </c>
      <c r="M290" t="e">
        <f>VLOOKUP(B290,ubah!$B$2:$L$234,5,FALSE)</f>
        <v>#N/A</v>
      </c>
      <c r="N290" t="e">
        <f>VLOOKUP(B290,ubah!$B$2:$L$234,6,FALSE)</f>
        <v>#N/A</v>
      </c>
    </row>
    <row r="291" spans="1:14" hidden="1" x14ac:dyDescent="0.35">
      <c r="A291" s="21">
        <v>1311664</v>
      </c>
      <c r="B291" s="22" t="str">
        <f>"3329072812850009"</f>
        <v>3329072812850009</v>
      </c>
      <c r="C291" s="22" t="str">
        <f t="shared" si="8"/>
        <v>'3329072812850009</v>
      </c>
      <c r="D291" s="22" t="str">
        <f t="shared" si="9"/>
        <v>tidak ganda</v>
      </c>
      <c r="E291" s="22" t="s">
        <v>864</v>
      </c>
      <c r="F291" s="22" t="s">
        <v>10</v>
      </c>
      <c r="G291" s="22" t="s">
        <v>11</v>
      </c>
      <c r="H291" s="22" t="s">
        <v>18</v>
      </c>
      <c r="I291" s="22" t="s">
        <v>264</v>
      </c>
      <c r="J291" s="22" t="s">
        <v>265</v>
      </c>
      <c r="K291" s="23" t="s">
        <v>865</v>
      </c>
    </row>
    <row r="292" spans="1:14" hidden="1" x14ac:dyDescent="0.35">
      <c r="A292" s="21">
        <v>1271370</v>
      </c>
      <c r="B292" s="22" t="str">
        <f>"3329085903860006"</f>
        <v>3329085903860006</v>
      </c>
      <c r="C292" s="22" t="str">
        <f t="shared" si="8"/>
        <v>'3329085903860006</v>
      </c>
      <c r="D292" s="22" t="str">
        <f t="shared" si="9"/>
        <v>tidak ganda</v>
      </c>
      <c r="E292" s="22" t="s">
        <v>867</v>
      </c>
      <c r="F292" s="22" t="s">
        <v>10</v>
      </c>
      <c r="G292" s="22" t="s">
        <v>11</v>
      </c>
      <c r="H292" s="22" t="s">
        <v>18</v>
      </c>
      <c r="I292" s="22" t="s">
        <v>264</v>
      </c>
      <c r="J292" s="22" t="s">
        <v>248</v>
      </c>
      <c r="K292" s="23" t="s">
        <v>868</v>
      </c>
    </row>
    <row r="293" spans="1:14" hidden="1" x14ac:dyDescent="0.35">
      <c r="A293" s="21">
        <v>2496908</v>
      </c>
      <c r="B293" s="22" t="str">
        <f>"3329092711870007"</f>
        <v>3329092711870007</v>
      </c>
      <c r="C293" s="22" t="str">
        <f t="shared" si="8"/>
        <v>'3329092711870007</v>
      </c>
      <c r="D293" s="22" t="str">
        <f t="shared" si="9"/>
        <v>ganda</v>
      </c>
      <c r="E293" s="22" t="s">
        <v>869</v>
      </c>
      <c r="F293" s="22" t="s">
        <v>10</v>
      </c>
      <c r="G293" s="22" t="s">
        <v>11</v>
      </c>
      <c r="H293" s="22" t="s">
        <v>18</v>
      </c>
      <c r="I293" s="22" t="s">
        <v>19</v>
      </c>
      <c r="J293" s="22" t="s">
        <v>527</v>
      </c>
      <c r="K293" s="23" t="s">
        <v>528</v>
      </c>
      <c r="L293" t="e">
        <f>VLOOKUP(B293,ubah!$B$2:$L$234,4,FALSE)</f>
        <v>#N/A</v>
      </c>
      <c r="M293" t="e">
        <f>VLOOKUP(B293,ubah!$B$2:$L$234,5,FALSE)</f>
        <v>#N/A</v>
      </c>
      <c r="N293" t="e">
        <f>VLOOKUP(B293,ubah!$B$2:$L$234,6,FALSE)</f>
        <v>#N/A</v>
      </c>
    </row>
    <row r="294" spans="1:14" hidden="1" x14ac:dyDescent="0.35">
      <c r="A294" s="21">
        <v>254129</v>
      </c>
      <c r="B294" s="22" t="str">
        <f>"3329092711870007"</f>
        <v>3329092711870007</v>
      </c>
      <c r="C294" s="22" t="str">
        <f t="shared" si="8"/>
        <v>'3329092711870007</v>
      </c>
      <c r="D294" s="22" t="str">
        <f t="shared" si="9"/>
        <v>ganda</v>
      </c>
      <c r="E294" s="22" t="s">
        <v>870</v>
      </c>
      <c r="F294" s="22" t="s">
        <v>10</v>
      </c>
      <c r="G294" s="22" t="s">
        <v>57</v>
      </c>
      <c r="H294" s="22" t="s">
        <v>521</v>
      </c>
      <c r="I294" s="22" t="s">
        <v>657</v>
      </c>
      <c r="J294" s="22" t="s">
        <v>658</v>
      </c>
      <c r="K294" s="23" t="s">
        <v>871</v>
      </c>
    </row>
    <row r="295" spans="1:14" hidden="1" x14ac:dyDescent="0.35">
      <c r="A295" s="21">
        <v>1442093</v>
      </c>
      <c r="B295" s="22" t="str">
        <f>"3329100901820003"</f>
        <v>3329100901820003</v>
      </c>
      <c r="C295" s="22" t="str">
        <f t="shared" si="8"/>
        <v>'3329100901820003</v>
      </c>
      <c r="D295" s="22" t="str">
        <f t="shared" si="9"/>
        <v>tidak ganda</v>
      </c>
      <c r="E295" s="22" t="s">
        <v>874</v>
      </c>
      <c r="F295" s="22" t="s">
        <v>10</v>
      </c>
      <c r="G295" s="22" t="s">
        <v>11</v>
      </c>
      <c r="H295" s="22" t="s">
        <v>18</v>
      </c>
      <c r="I295" s="22" t="s">
        <v>264</v>
      </c>
      <c r="J295" s="22" t="s">
        <v>273</v>
      </c>
      <c r="K295" s="23" t="s">
        <v>875</v>
      </c>
    </row>
    <row r="296" spans="1:14" hidden="1" x14ac:dyDescent="0.35">
      <c r="A296" s="21">
        <v>542319</v>
      </c>
      <c r="B296" s="22" t="str">
        <f>"3329122003000005"</f>
        <v>3329122003000005</v>
      </c>
      <c r="C296" s="22" t="str">
        <f t="shared" si="8"/>
        <v>'3329122003000005</v>
      </c>
      <c r="D296" s="22" t="str">
        <f t="shared" si="9"/>
        <v>tidak ganda</v>
      </c>
      <c r="E296" s="22" t="s">
        <v>876</v>
      </c>
      <c r="F296" s="22" t="s">
        <v>10</v>
      </c>
      <c r="G296" s="22" t="s">
        <v>11</v>
      </c>
      <c r="H296" s="22" t="s">
        <v>18</v>
      </c>
      <c r="I296" s="22" t="s">
        <v>264</v>
      </c>
      <c r="J296" s="22" t="s">
        <v>877</v>
      </c>
      <c r="K296" s="23" t="s">
        <v>878</v>
      </c>
    </row>
    <row r="297" spans="1:14" hidden="1" x14ac:dyDescent="0.35">
      <c r="A297" s="21">
        <v>811421</v>
      </c>
      <c r="B297" s="22" t="str">
        <f>"3329164809890002"</f>
        <v>3329164809890002</v>
      </c>
      <c r="C297" s="22" t="str">
        <f t="shared" si="8"/>
        <v>'3329164809890002</v>
      </c>
      <c r="D297" s="22" t="str">
        <f t="shared" si="9"/>
        <v>tidak ganda</v>
      </c>
      <c r="E297" s="22" t="s">
        <v>879</v>
      </c>
      <c r="F297" s="22" t="s">
        <v>10</v>
      </c>
      <c r="G297" s="22" t="s">
        <v>11</v>
      </c>
      <c r="H297" s="22" t="s">
        <v>18</v>
      </c>
      <c r="I297" s="22" t="s">
        <v>264</v>
      </c>
      <c r="J297" s="22" t="s">
        <v>344</v>
      </c>
      <c r="K297" s="23" t="s">
        <v>344</v>
      </c>
    </row>
    <row r="298" spans="1:14" hidden="1" x14ac:dyDescent="0.35">
      <c r="A298" s="21">
        <v>946615</v>
      </c>
      <c r="B298" s="22" t="str">
        <f>"3329170809810004"</f>
        <v>3329170809810004</v>
      </c>
      <c r="C298" s="22" t="str">
        <f t="shared" si="8"/>
        <v>'3329170809810004</v>
      </c>
      <c r="D298" s="22" t="str">
        <f t="shared" si="9"/>
        <v>tidak ganda</v>
      </c>
      <c r="E298" s="22" t="s">
        <v>880</v>
      </c>
      <c r="F298" s="22" t="s">
        <v>10</v>
      </c>
      <c r="G298" s="22" t="s">
        <v>11</v>
      </c>
      <c r="H298" s="22" t="s">
        <v>18</v>
      </c>
      <c r="I298" s="22" t="s">
        <v>264</v>
      </c>
      <c r="J298" s="22" t="s">
        <v>881</v>
      </c>
      <c r="K298" s="23" t="s">
        <v>882</v>
      </c>
    </row>
    <row r="299" spans="1:14" hidden="1" x14ac:dyDescent="0.35">
      <c r="A299" s="21">
        <v>283092</v>
      </c>
      <c r="B299" s="22" t="str">
        <f>"3376016105660002"</f>
        <v>3376016105660002</v>
      </c>
      <c r="C299" s="22" t="str">
        <f t="shared" si="8"/>
        <v>'3376016105660002</v>
      </c>
      <c r="D299" s="22" t="str">
        <f t="shared" si="9"/>
        <v>tidak ganda</v>
      </c>
      <c r="E299" s="22" t="s">
        <v>883</v>
      </c>
      <c r="F299" s="22" t="s">
        <v>10</v>
      </c>
      <c r="G299" s="22" t="s">
        <v>11</v>
      </c>
      <c r="H299" s="22" t="s">
        <v>18</v>
      </c>
      <c r="I299" s="22" t="s">
        <v>268</v>
      </c>
      <c r="J299" s="22" t="s">
        <v>277</v>
      </c>
      <c r="K299" s="23" t="s">
        <v>884</v>
      </c>
    </row>
    <row r="300" spans="1:14" hidden="1" x14ac:dyDescent="0.35">
      <c r="A300" s="21">
        <v>264870</v>
      </c>
      <c r="B300" s="22" t="str">
        <f>"3376022003560002"</f>
        <v>3376022003560002</v>
      </c>
      <c r="C300" s="22" t="str">
        <f t="shared" si="8"/>
        <v>'3376022003560002</v>
      </c>
      <c r="D300" s="22" t="str">
        <f t="shared" si="9"/>
        <v>tidak ganda</v>
      </c>
      <c r="E300" s="22" t="s">
        <v>885</v>
      </c>
      <c r="F300" s="22" t="s">
        <v>10</v>
      </c>
      <c r="G300" s="22" t="s">
        <v>11</v>
      </c>
      <c r="H300" s="22" t="s">
        <v>18</v>
      </c>
      <c r="I300" s="22" t="s">
        <v>268</v>
      </c>
      <c r="J300" s="22" t="s">
        <v>371</v>
      </c>
      <c r="K300" s="23" t="s">
        <v>497</v>
      </c>
    </row>
    <row r="301" spans="1:14" hidden="1" x14ac:dyDescent="0.35">
      <c r="A301" s="21">
        <v>264869</v>
      </c>
      <c r="B301" s="22" t="str">
        <f>"3376025602760001"</f>
        <v>3376025602760001</v>
      </c>
      <c r="C301" s="22" t="str">
        <f t="shared" si="8"/>
        <v>'3376025602760001</v>
      </c>
      <c r="D301" s="22" t="str">
        <f t="shared" si="9"/>
        <v>tidak ganda</v>
      </c>
      <c r="E301" s="22" t="s">
        <v>886</v>
      </c>
      <c r="F301" s="22" t="s">
        <v>10</v>
      </c>
      <c r="G301" s="22" t="s">
        <v>11</v>
      </c>
      <c r="H301" s="22" t="s">
        <v>18</v>
      </c>
      <c r="I301" s="22" t="s">
        <v>268</v>
      </c>
      <c r="J301" s="22" t="s">
        <v>371</v>
      </c>
      <c r="K301" s="23" t="s">
        <v>497</v>
      </c>
    </row>
    <row r="302" spans="1:14" hidden="1" x14ac:dyDescent="0.35">
      <c r="A302" s="21">
        <v>413738</v>
      </c>
      <c r="B302" s="22" t="str">
        <f>"3376043112730005"</f>
        <v>3376043112730005</v>
      </c>
      <c r="C302" s="22" t="str">
        <f t="shared" si="8"/>
        <v>'3376043112730005</v>
      </c>
      <c r="D302" s="22" t="str">
        <f t="shared" si="9"/>
        <v>tidak ganda</v>
      </c>
      <c r="E302" s="22" t="s">
        <v>887</v>
      </c>
      <c r="F302" s="22" t="s">
        <v>10</v>
      </c>
      <c r="G302" s="22" t="s">
        <v>11</v>
      </c>
      <c r="H302" s="22" t="s">
        <v>18</v>
      </c>
      <c r="I302" s="22" t="s">
        <v>268</v>
      </c>
      <c r="J302" s="22" t="s">
        <v>448</v>
      </c>
      <c r="K302" s="23" t="s">
        <v>888</v>
      </c>
    </row>
    <row r="303" spans="1:14" hidden="1" x14ac:dyDescent="0.35">
      <c r="A303" s="21">
        <v>1246626</v>
      </c>
      <c r="B303" s="22" t="str">
        <f>"3601094904830002"</f>
        <v>3601094904830002</v>
      </c>
      <c r="C303" s="22" t="str">
        <f t="shared" si="8"/>
        <v>'3601094904830002</v>
      </c>
      <c r="D303" s="22" t="str">
        <f t="shared" si="9"/>
        <v>tidak ganda</v>
      </c>
      <c r="E303" s="22" t="s">
        <v>889</v>
      </c>
      <c r="F303" s="22" t="s">
        <v>10</v>
      </c>
      <c r="G303" s="22" t="s">
        <v>11</v>
      </c>
      <c r="H303" s="22" t="s">
        <v>67</v>
      </c>
      <c r="I303" s="22" t="s">
        <v>890</v>
      </c>
      <c r="J303" s="22" t="s">
        <v>891</v>
      </c>
      <c r="K303" s="23" t="s">
        <v>891</v>
      </c>
    </row>
    <row r="304" spans="1:14" hidden="1" x14ac:dyDescent="0.35">
      <c r="A304" s="21">
        <v>1323000</v>
      </c>
      <c r="B304" s="22" t="str">
        <f>"3602116808930002"</f>
        <v>3602116808930002</v>
      </c>
      <c r="C304" s="22" t="str">
        <f t="shared" si="8"/>
        <v>'3602116808930002</v>
      </c>
      <c r="D304" s="22" t="str">
        <f t="shared" si="9"/>
        <v>tidak ganda</v>
      </c>
      <c r="E304" s="22" t="s">
        <v>893</v>
      </c>
      <c r="F304" s="22" t="s">
        <v>10</v>
      </c>
      <c r="G304" s="22" t="s">
        <v>11</v>
      </c>
      <c r="H304" s="22" t="s">
        <v>67</v>
      </c>
      <c r="I304" s="22" t="s">
        <v>638</v>
      </c>
      <c r="J304" s="22" t="s">
        <v>894</v>
      </c>
      <c r="K304" s="23" t="s">
        <v>895</v>
      </c>
    </row>
    <row r="305" spans="1:14" hidden="1" x14ac:dyDescent="0.35">
      <c r="A305" s="21">
        <v>2493907</v>
      </c>
      <c r="B305" s="22" t="str">
        <f>"3603135703960001"</f>
        <v>3603135703960001</v>
      </c>
      <c r="C305" s="22" t="str">
        <f t="shared" si="8"/>
        <v>'3603135703960001</v>
      </c>
      <c r="D305" s="22" t="str">
        <f t="shared" si="9"/>
        <v>tidak ganda</v>
      </c>
      <c r="E305" s="22" t="s">
        <v>896</v>
      </c>
      <c r="F305" s="22" t="s">
        <v>10</v>
      </c>
      <c r="G305" s="22" t="s">
        <v>11</v>
      </c>
      <c r="H305" s="22" t="s">
        <v>18</v>
      </c>
      <c r="I305" s="22" t="s">
        <v>19</v>
      </c>
      <c r="J305" s="22" t="s">
        <v>527</v>
      </c>
      <c r="K305" s="23" t="s">
        <v>532</v>
      </c>
      <c r="L305" t="e">
        <f>VLOOKUP(B305,ubah!$B$2:$L$234,4,FALSE)</f>
        <v>#N/A</v>
      </c>
      <c r="M305" t="e">
        <f>VLOOKUP(B305,ubah!$B$2:$L$234,5,FALSE)</f>
        <v>#N/A</v>
      </c>
      <c r="N305" t="e">
        <f>VLOOKUP(B305,ubah!$B$2:$L$234,6,FALSE)</f>
        <v>#N/A</v>
      </c>
    </row>
    <row r="306" spans="1:14" hidden="1" x14ac:dyDescent="0.35">
      <c r="A306" s="21">
        <v>2498966</v>
      </c>
      <c r="B306" s="22" t="str">
        <f>"3604295407880006"</f>
        <v>3604295407880006</v>
      </c>
      <c r="C306" s="22" t="str">
        <f t="shared" si="8"/>
        <v>'3604295407880006</v>
      </c>
      <c r="D306" s="22" t="str">
        <f t="shared" si="9"/>
        <v>tidak ganda</v>
      </c>
      <c r="E306" s="22" t="s">
        <v>900</v>
      </c>
      <c r="F306" s="22" t="s">
        <v>10</v>
      </c>
      <c r="G306" s="22" t="s">
        <v>11</v>
      </c>
      <c r="H306" s="22" t="s">
        <v>18</v>
      </c>
      <c r="I306" s="22" t="s">
        <v>19</v>
      </c>
      <c r="J306" s="22" t="s">
        <v>527</v>
      </c>
      <c r="K306" s="23" t="s">
        <v>528</v>
      </c>
      <c r="L306" t="e">
        <f>VLOOKUP(B306,ubah!$B$2:$L$234,4,FALSE)</f>
        <v>#N/A</v>
      </c>
      <c r="M306" t="e">
        <f>VLOOKUP(B306,ubah!$B$2:$L$234,5,FALSE)</f>
        <v>#N/A</v>
      </c>
      <c r="N306" t="e">
        <f>VLOOKUP(B306,ubah!$B$2:$L$234,6,FALSE)</f>
        <v>#N/A</v>
      </c>
    </row>
    <row r="307" spans="1:14" hidden="1" x14ac:dyDescent="0.35">
      <c r="A307" s="21">
        <v>1288964</v>
      </c>
      <c r="B307" s="22" t="str">
        <f>"1304080308940003"</f>
        <v>1304080308940003</v>
      </c>
      <c r="C307" s="22" t="str">
        <f t="shared" si="8"/>
        <v>'1304080308940003</v>
      </c>
      <c r="D307" s="22" t="str">
        <f t="shared" si="9"/>
        <v>tidak ganda</v>
      </c>
      <c r="E307" s="22" t="s">
        <v>902</v>
      </c>
      <c r="F307" s="22" t="s">
        <v>10</v>
      </c>
      <c r="G307" s="22" t="s">
        <v>11</v>
      </c>
      <c r="H307" s="22" t="s">
        <v>91</v>
      </c>
      <c r="I307" s="22" t="s">
        <v>903</v>
      </c>
      <c r="J307" s="22" t="s">
        <v>904</v>
      </c>
      <c r="K307" s="23" t="s">
        <v>905</v>
      </c>
    </row>
    <row r="308" spans="1:14" hidden="1" x14ac:dyDescent="0.35">
      <c r="A308" s="21">
        <v>135967</v>
      </c>
      <c r="B308" s="22" t="str">
        <f>"1801175508930004"</f>
        <v>1801175508930004</v>
      </c>
      <c r="C308" s="22" t="str">
        <f t="shared" si="8"/>
        <v>'1801175508930004</v>
      </c>
      <c r="D308" s="22" t="str">
        <f t="shared" si="9"/>
        <v>tidak ganda</v>
      </c>
      <c r="E308" s="22" t="s">
        <v>908</v>
      </c>
      <c r="F308" s="22" t="s">
        <v>10</v>
      </c>
      <c r="G308" s="22" t="s">
        <v>11</v>
      </c>
      <c r="H308" s="22" t="s">
        <v>44</v>
      </c>
      <c r="I308" s="22" t="s">
        <v>909</v>
      </c>
      <c r="J308" s="22" t="s">
        <v>910</v>
      </c>
      <c r="K308" s="23" t="s">
        <v>911</v>
      </c>
    </row>
    <row r="309" spans="1:14" hidden="1" x14ac:dyDescent="0.35">
      <c r="A309" s="21">
        <v>895514</v>
      </c>
      <c r="B309" s="22" t="str">
        <f>"3172015410800008"</f>
        <v>3172015410800008</v>
      </c>
      <c r="C309" s="22" t="str">
        <f t="shared" si="8"/>
        <v>'3172015410800008</v>
      </c>
      <c r="D309" s="22" t="str">
        <f t="shared" si="9"/>
        <v>tidak ganda</v>
      </c>
      <c r="E309" s="22" t="s">
        <v>914</v>
      </c>
      <c r="F309" s="22" t="s">
        <v>10</v>
      </c>
      <c r="G309" s="22" t="s">
        <v>11</v>
      </c>
      <c r="H309" s="22" t="s">
        <v>91</v>
      </c>
      <c r="I309" s="22" t="s">
        <v>903</v>
      </c>
      <c r="J309" s="22" t="s">
        <v>915</v>
      </c>
      <c r="K309" s="23" t="s">
        <v>916</v>
      </c>
    </row>
    <row r="310" spans="1:14" hidden="1" x14ac:dyDescent="0.35">
      <c r="A310" s="21">
        <v>353365</v>
      </c>
      <c r="B310" s="22" t="str">
        <f>"3172020711880014"</f>
        <v>3172020711880014</v>
      </c>
      <c r="C310" s="22" t="str">
        <f t="shared" si="8"/>
        <v>'3172020711880014</v>
      </c>
      <c r="D310" s="22" t="str">
        <f t="shared" si="9"/>
        <v>tidak ganda</v>
      </c>
      <c r="E310" s="22" t="s">
        <v>917</v>
      </c>
      <c r="F310" s="22" t="s">
        <v>10</v>
      </c>
      <c r="G310" s="22" t="s">
        <v>11</v>
      </c>
      <c r="H310" s="22" t="s">
        <v>50</v>
      </c>
      <c r="I310" s="22" t="s">
        <v>51</v>
      </c>
      <c r="J310" s="22" t="s">
        <v>62</v>
      </c>
      <c r="K310" s="23" t="s">
        <v>918</v>
      </c>
    </row>
    <row r="311" spans="1:14" hidden="1" x14ac:dyDescent="0.35">
      <c r="A311" s="21">
        <v>866475</v>
      </c>
      <c r="B311" s="22" t="str">
        <f>"3172052607811001"</f>
        <v>3172052607811001</v>
      </c>
      <c r="C311" s="22" t="str">
        <f t="shared" si="8"/>
        <v>'3172052607811001</v>
      </c>
      <c r="D311" s="22" t="str">
        <f t="shared" si="9"/>
        <v>tidak ganda</v>
      </c>
      <c r="E311" s="22" t="s">
        <v>921</v>
      </c>
      <c r="F311" s="22" t="s">
        <v>10</v>
      </c>
      <c r="G311" s="22" t="s">
        <v>11</v>
      </c>
      <c r="H311" s="22" t="s">
        <v>50</v>
      </c>
      <c r="I311" s="22" t="s">
        <v>51</v>
      </c>
      <c r="J311" s="22" t="s">
        <v>922</v>
      </c>
      <c r="K311" s="23" t="s">
        <v>923</v>
      </c>
    </row>
    <row r="312" spans="1:14" hidden="1" x14ac:dyDescent="0.35">
      <c r="A312" s="21">
        <v>171460</v>
      </c>
      <c r="B312" s="22" t="str">
        <f>"3173070309801001"</f>
        <v>3173070309801001</v>
      </c>
      <c r="C312" s="22" t="str">
        <f t="shared" si="8"/>
        <v>'3173070309801001</v>
      </c>
      <c r="D312" s="22" t="str">
        <f t="shared" si="9"/>
        <v>tidak ganda</v>
      </c>
      <c r="E312" s="22" t="s">
        <v>924</v>
      </c>
      <c r="F312" s="22" t="s">
        <v>10</v>
      </c>
      <c r="G312" s="22" t="s">
        <v>11</v>
      </c>
      <c r="H312" s="22" t="s">
        <v>50</v>
      </c>
      <c r="I312" s="22" t="s">
        <v>86</v>
      </c>
      <c r="J312" s="22" t="s">
        <v>925</v>
      </c>
      <c r="K312" s="23" t="s">
        <v>926</v>
      </c>
    </row>
    <row r="313" spans="1:14" hidden="1" x14ac:dyDescent="0.35">
      <c r="A313" s="21">
        <v>172274</v>
      </c>
      <c r="B313" s="22" t="str">
        <f>"3173074606840014"</f>
        <v>3173074606840014</v>
      </c>
      <c r="C313" s="22" t="str">
        <f t="shared" si="8"/>
        <v>'3173074606840014</v>
      </c>
      <c r="D313" s="22" t="str">
        <f t="shared" si="9"/>
        <v>tidak ganda</v>
      </c>
      <c r="E313" s="22" t="s">
        <v>928</v>
      </c>
      <c r="F313" s="22" t="s">
        <v>10</v>
      </c>
      <c r="G313" s="22" t="s">
        <v>11</v>
      </c>
      <c r="H313" s="22" t="s">
        <v>50</v>
      </c>
      <c r="I313" s="22" t="s">
        <v>86</v>
      </c>
      <c r="J313" s="22" t="s">
        <v>925</v>
      </c>
      <c r="K313" s="23" t="s">
        <v>926</v>
      </c>
    </row>
    <row r="314" spans="1:14" hidden="1" x14ac:dyDescent="0.35">
      <c r="A314" s="21">
        <v>172272</v>
      </c>
      <c r="B314" s="22" t="str">
        <f>"3173076206060006"</f>
        <v>3173076206060006</v>
      </c>
      <c r="C314" s="22" t="str">
        <f t="shared" si="8"/>
        <v>'3173076206060006</v>
      </c>
      <c r="D314" s="22" t="str">
        <f t="shared" si="9"/>
        <v>tidak ganda</v>
      </c>
      <c r="E314" s="22" t="s">
        <v>930</v>
      </c>
      <c r="F314" s="22" t="s">
        <v>10</v>
      </c>
      <c r="G314" s="22" t="s">
        <v>11</v>
      </c>
      <c r="H314" s="22" t="s">
        <v>50</v>
      </c>
      <c r="I314" s="22" t="s">
        <v>86</v>
      </c>
      <c r="J314" s="22" t="s">
        <v>925</v>
      </c>
      <c r="K314" s="23" t="s">
        <v>926</v>
      </c>
    </row>
    <row r="315" spans="1:14" hidden="1" x14ac:dyDescent="0.35">
      <c r="A315" s="21">
        <v>1436281</v>
      </c>
      <c r="B315" s="22" t="str">
        <f>"3174092405770009"</f>
        <v>3174092405770009</v>
      </c>
      <c r="C315" s="22" t="str">
        <f t="shared" si="8"/>
        <v>'3174092405770009</v>
      </c>
      <c r="D315" s="22" t="str">
        <f t="shared" si="9"/>
        <v>tidak ganda</v>
      </c>
      <c r="E315" s="22" t="s">
        <v>931</v>
      </c>
      <c r="F315" s="22" t="s">
        <v>10</v>
      </c>
      <c r="G315" s="22" t="s">
        <v>11</v>
      </c>
      <c r="H315" s="22" t="s">
        <v>50</v>
      </c>
      <c r="I315" s="22" t="s">
        <v>72</v>
      </c>
      <c r="J315" s="22" t="s">
        <v>738</v>
      </c>
      <c r="K315" s="23" t="s">
        <v>738</v>
      </c>
    </row>
    <row r="316" spans="1:14" hidden="1" x14ac:dyDescent="0.35">
      <c r="A316" s="21">
        <v>917684</v>
      </c>
      <c r="B316" s="22" t="str">
        <f>"3175046511750009"</f>
        <v>3175046511750009</v>
      </c>
      <c r="C316" s="22" t="str">
        <f t="shared" si="8"/>
        <v>'3175046511750009</v>
      </c>
      <c r="D316" s="22" t="str">
        <f t="shared" si="9"/>
        <v>tidak ganda</v>
      </c>
      <c r="E316" s="22" t="s">
        <v>934</v>
      </c>
      <c r="F316" s="22" t="s">
        <v>10</v>
      </c>
      <c r="G316" s="22" t="s">
        <v>11</v>
      </c>
      <c r="H316" s="22" t="s">
        <v>50</v>
      </c>
      <c r="I316" s="22" t="s">
        <v>58</v>
      </c>
      <c r="J316" s="22" t="s">
        <v>97</v>
      </c>
      <c r="K316" s="23" t="s">
        <v>935</v>
      </c>
    </row>
    <row r="317" spans="1:14" hidden="1" x14ac:dyDescent="0.35">
      <c r="A317" s="21">
        <v>178540</v>
      </c>
      <c r="B317" s="22" t="str">
        <f>"3201145806930005"</f>
        <v>3201145806930005</v>
      </c>
      <c r="C317" s="22" t="str">
        <f t="shared" si="8"/>
        <v>'3201145806930005</v>
      </c>
      <c r="D317" s="22" t="str">
        <f t="shared" si="9"/>
        <v>tidak ganda</v>
      </c>
      <c r="E317" s="22" t="s">
        <v>937</v>
      </c>
      <c r="F317" s="22" t="s">
        <v>10</v>
      </c>
      <c r="G317" s="22" t="s">
        <v>11</v>
      </c>
      <c r="H317" s="22" t="s">
        <v>91</v>
      </c>
      <c r="I317" s="22" t="s">
        <v>903</v>
      </c>
      <c r="J317" s="22" t="s">
        <v>938</v>
      </c>
      <c r="K317" s="23" t="s">
        <v>938</v>
      </c>
    </row>
    <row r="318" spans="1:14" hidden="1" x14ac:dyDescent="0.35">
      <c r="A318" s="21">
        <v>930826</v>
      </c>
      <c r="B318" s="22" t="str">
        <f>"3212035206950001"</f>
        <v>3212035206950001</v>
      </c>
      <c r="C318" s="22" t="str">
        <f t="shared" si="8"/>
        <v>'3212035206950001</v>
      </c>
      <c r="D318" s="22" t="str">
        <f t="shared" si="9"/>
        <v>tidak ganda</v>
      </c>
      <c r="E318" s="22" t="s">
        <v>940</v>
      </c>
      <c r="F318" s="22" t="s">
        <v>10</v>
      </c>
      <c r="G318" s="22" t="s">
        <v>11</v>
      </c>
      <c r="H318" s="22" t="s">
        <v>91</v>
      </c>
      <c r="I318" s="22" t="s">
        <v>114</v>
      </c>
      <c r="J318" s="22" t="s">
        <v>941</v>
      </c>
      <c r="K318" s="23" t="s">
        <v>941</v>
      </c>
    </row>
    <row r="319" spans="1:14" hidden="1" x14ac:dyDescent="0.35">
      <c r="A319" s="21">
        <v>207628</v>
      </c>
      <c r="B319" s="22" t="str">
        <f>"3212081409870004"</f>
        <v>3212081409870004</v>
      </c>
      <c r="C319" s="22" t="str">
        <f t="shared" si="8"/>
        <v>'3212081409870004</v>
      </c>
      <c r="D319" s="22" t="str">
        <f t="shared" si="9"/>
        <v>tidak ganda</v>
      </c>
      <c r="E319" s="22" t="s">
        <v>943</v>
      </c>
      <c r="F319" s="22" t="s">
        <v>10</v>
      </c>
      <c r="G319" s="22" t="s">
        <v>11</v>
      </c>
      <c r="H319" s="22" t="s">
        <v>91</v>
      </c>
      <c r="I319" s="22" t="s">
        <v>114</v>
      </c>
      <c r="J319" s="22" t="s">
        <v>944</v>
      </c>
      <c r="K319" s="23" t="s">
        <v>945</v>
      </c>
    </row>
    <row r="320" spans="1:14" hidden="1" x14ac:dyDescent="0.35">
      <c r="A320" s="21">
        <v>1589651</v>
      </c>
      <c r="B320" s="22" t="str">
        <f>"3216082004890006"</f>
        <v>3216082004890006</v>
      </c>
      <c r="C320" s="22" t="str">
        <f t="shared" si="8"/>
        <v>'3216082004890006</v>
      </c>
      <c r="D320" s="22" t="str">
        <f t="shared" si="9"/>
        <v>tidak ganda</v>
      </c>
      <c r="E320" s="22" t="s">
        <v>946</v>
      </c>
      <c r="F320" s="22" t="s">
        <v>10</v>
      </c>
      <c r="G320" s="22" t="s">
        <v>11</v>
      </c>
      <c r="H320" s="22" t="s">
        <v>18</v>
      </c>
      <c r="I320" s="22" t="s">
        <v>19</v>
      </c>
      <c r="J320" s="22" t="s">
        <v>906</v>
      </c>
      <c r="K320" s="23" t="s">
        <v>929</v>
      </c>
      <c r="L320" t="e">
        <f>VLOOKUP(B320,ubah!$B$2:$L$234,4,FALSE)</f>
        <v>#N/A</v>
      </c>
      <c r="M320" t="e">
        <f>VLOOKUP(B320,ubah!$B$2:$L$234,5,FALSE)</f>
        <v>#N/A</v>
      </c>
      <c r="N320" t="e">
        <f>VLOOKUP(B320,ubah!$B$2:$L$234,6,FALSE)</f>
        <v>#N/A</v>
      </c>
    </row>
    <row r="321" spans="1:14" hidden="1" x14ac:dyDescent="0.35">
      <c r="A321" s="21">
        <v>551440</v>
      </c>
      <c r="B321" s="22" t="str">
        <f>"3275045106010009"</f>
        <v>3275045106010009</v>
      </c>
      <c r="C321" s="22" t="str">
        <f t="shared" si="8"/>
        <v>'3275045106010009</v>
      </c>
      <c r="D321" s="22" t="str">
        <f t="shared" si="9"/>
        <v>tidak ganda</v>
      </c>
      <c r="E321" s="22" t="s">
        <v>947</v>
      </c>
      <c r="F321" s="22" t="s">
        <v>10</v>
      </c>
      <c r="G321" s="22" t="s">
        <v>11</v>
      </c>
      <c r="H321" s="22" t="s">
        <v>91</v>
      </c>
      <c r="I321" s="22" t="s">
        <v>320</v>
      </c>
      <c r="J321" s="22" t="s">
        <v>948</v>
      </c>
      <c r="K321" s="23" t="s">
        <v>949</v>
      </c>
    </row>
    <row r="322" spans="1:14" hidden="1" x14ac:dyDescent="0.35">
      <c r="A322" s="21">
        <v>207250</v>
      </c>
      <c r="B322" s="22" t="str">
        <f>"3304046008970002"</f>
        <v>3304046008970002</v>
      </c>
      <c r="C322" s="22" t="str">
        <f t="shared" si="8"/>
        <v>'3304046008970002</v>
      </c>
      <c r="D322" s="22" t="str">
        <f t="shared" si="9"/>
        <v>tidak ganda</v>
      </c>
      <c r="E322" s="22" t="s">
        <v>950</v>
      </c>
      <c r="F322" s="22" t="s">
        <v>10</v>
      </c>
      <c r="G322" s="22" t="s">
        <v>11</v>
      </c>
      <c r="H322" s="22" t="s">
        <v>18</v>
      </c>
      <c r="I322" s="22" t="s">
        <v>951</v>
      </c>
      <c r="J322" s="22" t="s">
        <v>952</v>
      </c>
      <c r="K322" s="23" t="s">
        <v>65</v>
      </c>
    </row>
    <row r="323" spans="1:14" hidden="1" x14ac:dyDescent="0.35">
      <c r="A323" s="21">
        <v>1565480</v>
      </c>
      <c r="B323" s="22" t="str">
        <f>"3321011410920002"</f>
        <v>3321011410920002</v>
      </c>
      <c r="C323" s="22" t="str">
        <f t="shared" ref="C323:C386" si="10">"'"&amp;B323</f>
        <v>'3321011410920002</v>
      </c>
      <c r="D323" s="22" t="str">
        <f t="shared" ref="D323:D386" si="11">IF(COUNTIF($C:$C,C323)&gt;1,"ganda","tidak ganda")</f>
        <v>ganda</v>
      </c>
      <c r="E323" s="22" t="s">
        <v>958</v>
      </c>
      <c r="F323" s="22" t="s">
        <v>10</v>
      </c>
      <c r="G323" s="22" t="s">
        <v>11</v>
      </c>
      <c r="H323" s="22" t="s">
        <v>18</v>
      </c>
      <c r="I323" s="22" t="s">
        <v>19</v>
      </c>
      <c r="J323" s="22" t="s">
        <v>906</v>
      </c>
      <c r="K323" s="23" t="s">
        <v>959</v>
      </c>
      <c r="L323" t="e">
        <f>VLOOKUP(B323,ubah!$B$2:$L$234,4,FALSE)</f>
        <v>#N/A</v>
      </c>
      <c r="M323" t="e">
        <f>VLOOKUP(B323,ubah!$B$2:$L$234,5,FALSE)</f>
        <v>#N/A</v>
      </c>
      <c r="N323" t="e">
        <f>VLOOKUP(B323,ubah!$B$2:$L$234,6,FALSE)</f>
        <v>#N/A</v>
      </c>
    </row>
    <row r="324" spans="1:14" hidden="1" x14ac:dyDescent="0.35">
      <c r="A324" s="21">
        <v>2662276</v>
      </c>
      <c r="B324" s="22" t="str">
        <f>"3321011410920002"</f>
        <v>3321011410920002</v>
      </c>
      <c r="C324" s="22" t="str">
        <f t="shared" si="10"/>
        <v>'3321011410920002</v>
      </c>
      <c r="D324" s="22" t="str">
        <f t="shared" si="11"/>
        <v>ganda</v>
      </c>
      <c r="E324" s="22" t="s">
        <v>960</v>
      </c>
      <c r="F324" s="22" t="s">
        <v>10</v>
      </c>
      <c r="G324" s="22" t="s">
        <v>57</v>
      </c>
      <c r="H324" s="22" t="s">
        <v>18</v>
      </c>
      <c r="I324" s="22" t="s">
        <v>199</v>
      </c>
      <c r="J324" s="22" t="s">
        <v>199</v>
      </c>
      <c r="K324" s="23" t="s">
        <v>839</v>
      </c>
    </row>
    <row r="325" spans="1:14" hidden="1" x14ac:dyDescent="0.35">
      <c r="A325" s="21">
        <v>1520017</v>
      </c>
      <c r="B325" s="22" t="str">
        <f>"3323036203820001"</f>
        <v>3323036203820001</v>
      </c>
      <c r="C325" s="22" t="str">
        <f t="shared" si="10"/>
        <v>'3323036203820001</v>
      </c>
      <c r="D325" s="22" t="str">
        <f t="shared" si="11"/>
        <v>tidak ganda</v>
      </c>
      <c r="E325" s="22" t="s">
        <v>961</v>
      </c>
      <c r="F325" s="22" t="s">
        <v>10</v>
      </c>
      <c r="G325" s="22" t="s">
        <v>11</v>
      </c>
      <c r="H325" s="22" t="s">
        <v>18</v>
      </c>
      <c r="I325" s="22" t="s">
        <v>962</v>
      </c>
      <c r="J325" s="22" t="s">
        <v>963</v>
      </c>
      <c r="K325" s="23" t="s">
        <v>964</v>
      </c>
    </row>
    <row r="326" spans="1:14" hidden="1" x14ac:dyDescent="0.35">
      <c r="A326" s="21">
        <v>1935947</v>
      </c>
      <c r="B326" s="22" t="str">
        <f>"3325090609860003"</f>
        <v>3325090609860003</v>
      </c>
      <c r="C326" s="22" t="str">
        <f t="shared" si="10"/>
        <v>'3325090609860003</v>
      </c>
      <c r="D326" s="22" t="str">
        <f t="shared" si="11"/>
        <v>tidak ganda</v>
      </c>
      <c r="E326" s="22" t="s">
        <v>967</v>
      </c>
      <c r="F326" s="22" t="s">
        <v>10</v>
      </c>
      <c r="G326" s="22" t="s">
        <v>11</v>
      </c>
      <c r="H326" s="22" t="s">
        <v>18</v>
      </c>
      <c r="I326" s="22" t="s">
        <v>19</v>
      </c>
      <c r="J326" s="22" t="s">
        <v>906</v>
      </c>
      <c r="K326" s="23" t="s">
        <v>913</v>
      </c>
      <c r="L326" t="e">
        <f>VLOOKUP(B326,ubah!$B$2:$L$234,4,FALSE)</f>
        <v>#N/A</v>
      </c>
      <c r="M326" t="e">
        <f>VLOOKUP(B326,ubah!$B$2:$L$234,5,FALSE)</f>
        <v>#N/A</v>
      </c>
      <c r="N326" t="e">
        <f>VLOOKUP(B326,ubah!$B$2:$L$234,6,FALSE)</f>
        <v>#N/A</v>
      </c>
    </row>
    <row r="327" spans="1:14" hidden="1" x14ac:dyDescent="0.35">
      <c r="A327" s="21">
        <v>1833901</v>
      </c>
      <c r="B327" s="22" t="str">
        <f>"3327034508700005"</f>
        <v>3327034508700005</v>
      </c>
      <c r="C327" s="22" t="str">
        <f t="shared" si="10"/>
        <v>'3327034508700005</v>
      </c>
      <c r="D327" s="22" t="str">
        <f t="shared" si="11"/>
        <v>tidak ganda</v>
      </c>
      <c r="E327" s="22" t="s">
        <v>969</v>
      </c>
      <c r="F327" s="22" t="s">
        <v>10</v>
      </c>
      <c r="G327" s="22" t="s">
        <v>11</v>
      </c>
      <c r="H327" s="22" t="s">
        <v>18</v>
      </c>
      <c r="I327" s="22" t="s">
        <v>199</v>
      </c>
      <c r="J327" s="22" t="s">
        <v>599</v>
      </c>
      <c r="K327" s="23" t="s">
        <v>970</v>
      </c>
    </row>
    <row r="328" spans="1:14" hidden="1" x14ac:dyDescent="0.35">
      <c r="A328" s="21">
        <v>2200329</v>
      </c>
      <c r="B328" s="22" t="str">
        <f>"3327065210950004"</f>
        <v>3327065210950004</v>
      </c>
      <c r="C328" s="22" t="str">
        <f t="shared" si="10"/>
        <v>'3327065210950004</v>
      </c>
      <c r="D328" s="22" t="str">
        <f t="shared" si="11"/>
        <v>tidak ganda</v>
      </c>
      <c r="E328" s="22" t="s">
        <v>973</v>
      </c>
      <c r="F328" s="22" t="s">
        <v>10</v>
      </c>
      <c r="G328" s="22" t="s">
        <v>11</v>
      </c>
      <c r="H328" s="22" t="s">
        <v>18</v>
      </c>
      <c r="I328" s="22" t="s">
        <v>199</v>
      </c>
      <c r="J328" s="22" t="s">
        <v>974</v>
      </c>
      <c r="K328" s="23" t="s">
        <v>975</v>
      </c>
    </row>
    <row r="329" spans="1:14" hidden="1" x14ac:dyDescent="0.35">
      <c r="A329" s="21">
        <v>1414194</v>
      </c>
      <c r="B329" s="22" t="str">
        <f>"3328012904870003"</f>
        <v>3328012904870003</v>
      </c>
      <c r="C329" s="22" t="str">
        <f t="shared" si="10"/>
        <v>'3328012904870003</v>
      </c>
      <c r="D329" s="22" t="str">
        <f t="shared" si="11"/>
        <v>tidak ganda</v>
      </c>
      <c r="E329" s="22" t="s">
        <v>976</v>
      </c>
      <c r="F329" s="22" t="s">
        <v>10</v>
      </c>
      <c r="G329" s="22" t="s">
        <v>11</v>
      </c>
      <c r="H329" s="22" t="s">
        <v>50</v>
      </c>
      <c r="I329" s="22" t="s">
        <v>86</v>
      </c>
      <c r="J329" s="22" t="s">
        <v>313</v>
      </c>
      <c r="K329" s="23" t="s">
        <v>977</v>
      </c>
    </row>
    <row r="330" spans="1:14" hidden="1" x14ac:dyDescent="0.35">
      <c r="A330" s="21">
        <v>1492706</v>
      </c>
      <c r="B330" s="22" t="str">
        <f>"3328030101820001"</f>
        <v>3328030101820001</v>
      </c>
      <c r="C330" s="22" t="str">
        <f t="shared" si="10"/>
        <v>'3328030101820001</v>
      </c>
      <c r="D330" s="22" t="str">
        <f t="shared" si="11"/>
        <v>tidak ganda</v>
      </c>
      <c r="E330" s="22" t="s">
        <v>979</v>
      </c>
      <c r="F330" s="22" t="s">
        <v>10</v>
      </c>
      <c r="G330" s="22" t="s">
        <v>11</v>
      </c>
      <c r="H330" s="22" t="s">
        <v>91</v>
      </c>
      <c r="I330" s="22" t="s">
        <v>159</v>
      </c>
      <c r="J330" s="22" t="s">
        <v>160</v>
      </c>
      <c r="K330" s="23" t="s">
        <v>980</v>
      </c>
    </row>
    <row r="331" spans="1:14" hidden="1" x14ac:dyDescent="0.35">
      <c r="A331" s="21">
        <v>1236803</v>
      </c>
      <c r="B331" s="22" t="str">
        <f>"3328030101940001"</f>
        <v>3328030101940001</v>
      </c>
      <c r="C331" s="22" t="str">
        <f t="shared" si="10"/>
        <v>'3328030101940001</v>
      </c>
      <c r="D331" s="22" t="str">
        <f t="shared" si="11"/>
        <v>tidak ganda</v>
      </c>
      <c r="E331" s="22" t="s">
        <v>981</v>
      </c>
      <c r="F331" s="22" t="s">
        <v>10</v>
      </c>
      <c r="G331" s="22" t="s">
        <v>11</v>
      </c>
      <c r="H331" s="22" t="s">
        <v>18</v>
      </c>
      <c r="I331" s="22" t="s">
        <v>264</v>
      </c>
      <c r="J331" s="22" t="s">
        <v>265</v>
      </c>
      <c r="K331" s="23" t="s">
        <v>982</v>
      </c>
    </row>
    <row r="332" spans="1:14" hidden="1" x14ac:dyDescent="0.35">
      <c r="A332" s="21">
        <v>880829</v>
      </c>
      <c r="B332" s="22" t="str">
        <f>"3328030107050012"</f>
        <v>3328030107050012</v>
      </c>
      <c r="C332" s="22" t="str">
        <f t="shared" si="10"/>
        <v>'3328030107050012</v>
      </c>
      <c r="D332" s="22" t="str">
        <f t="shared" si="11"/>
        <v>tidak ganda</v>
      </c>
      <c r="E332" s="22" t="s">
        <v>984</v>
      </c>
      <c r="F332" s="22" t="s">
        <v>10</v>
      </c>
      <c r="G332" s="22" t="s">
        <v>11</v>
      </c>
      <c r="H332" s="22" t="s">
        <v>91</v>
      </c>
      <c r="I332" s="22" t="s">
        <v>985</v>
      </c>
      <c r="J332" s="22" t="s">
        <v>986</v>
      </c>
      <c r="K332" s="23" t="s">
        <v>987</v>
      </c>
    </row>
    <row r="333" spans="1:14" hidden="1" x14ac:dyDescent="0.35">
      <c r="A333" s="21">
        <v>167007</v>
      </c>
      <c r="B333" s="22" t="str">
        <f>"3328030107700021"</f>
        <v>3328030107700021</v>
      </c>
      <c r="C333" s="22" t="str">
        <f t="shared" si="10"/>
        <v>'3328030107700021</v>
      </c>
      <c r="D333" s="22" t="str">
        <f t="shared" si="11"/>
        <v>tidak ganda</v>
      </c>
      <c r="E333" s="22" t="s">
        <v>990</v>
      </c>
      <c r="F333" s="22" t="s">
        <v>10</v>
      </c>
      <c r="G333" s="22" t="s">
        <v>11</v>
      </c>
      <c r="H333" s="22" t="s">
        <v>50</v>
      </c>
      <c r="I333" s="22" t="s">
        <v>86</v>
      </c>
      <c r="J333" s="22" t="s">
        <v>925</v>
      </c>
      <c r="K333" s="23" t="s">
        <v>926</v>
      </c>
    </row>
    <row r="334" spans="1:14" hidden="1" x14ac:dyDescent="0.35">
      <c r="A334" s="21">
        <v>1593158</v>
      </c>
      <c r="B334" s="22" t="str">
        <f>"3328030211990008"</f>
        <v>3328030211990008</v>
      </c>
      <c r="C334" s="22" t="str">
        <f t="shared" si="10"/>
        <v>'3328030211990008</v>
      </c>
      <c r="D334" s="22" t="str">
        <f t="shared" si="11"/>
        <v>ganda</v>
      </c>
      <c r="E334" s="22" t="s">
        <v>991</v>
      </c>
      <c r="F334" s="22" t="s">
        <v>10</v>
      </c>
      <c r="G334" s="22" t="s">
        <v>11</v>
      </c>
      <c r="H334" s="22" t="s">
        <v>18</v>
      </c>
      <c r="I334" s="22" t="s">
        <v>19</v>
      </c>
      <c r="J334" s="22" t="s">
        <v>906</v>
      </c>
      <c r="K334" s="23" t="s">
        <v>992</v>
      </c>
      <c r="L334" t="e">
        <f>VLOOKUP(B334,ubah!$B$2:$L$234,4,FALSE)</f>
        <v>#N/A</v>
      </c>
      <c r="M334" t="e">
        <f>VLOOKUP(B334,ubah!$B$2:$L$234,5,FALSE)</f>
        <v>#N/A</v>
      </c>
      <c r="N334" t="e">
        <f>VLOOKUP(B334,ubah!$B$2:$L$234,6,FALSE)</f>
        <v>#N/A</v>
      </c>
    </row>
    <row r="335" spans="1:14" hidden="1" x14ac:dyDescent="0.35">
      <c r="A335" s="21">
        <v>1351155</v>
      </c>
      <c r="B335" s="22" t="str">
        <f>"3328030211990008"</f>
        <v>3328030211990008</v>
      </c>
      <c r="C335" s="22" t="str">
        <f t="shared" si="10"/>
        <v>'3328030211990008</v>
      </c>
      <c r="D335" s="22" t="str">
        <f t="shared" si="11"/>
        <v>ganda</v>
      </c>
      <c r="E335" s="22" t="s">
        <v>993</v>
      </c>
      <c r="F335" s="22" t="s">
        <v>10</v>
      </c>
      <c r="G335" s="22" t="s">
        <v>57</v>
      </c>
      <c r="H335" s="22" t="s">
        <v>303</v>
      </c>
      <c r="I335" s="22" t="s">
        <v>608</v>
      </c>
      <c r="J335" s="22" t="s">
        <v>609</v>
      </c>
      <c r="K335" s="23" t="s">
        <v>610</v>
      </c>
    </row>
    <row r="336" spans="1:14" hidden="1" x14ac:dyDescent="0.35">
      <c r="A336" s="21">
        <v>1589129</v>
      </c>
      <c r="B336" s="22" t="str">
        <f>"3328030305020002"</f>
        <v>3328030305020002</v>
      </c>
      <c r="C336" s="22" t="str">
        <f t="shared" si="10"/>
        <v>'3328030305020002</v>
      </c>
      <c r="D336" s="22" t="str">
        <f t="shared" si="11"/>
        <v>ganda</v>
      </c>
      <c r="E336" s="22" t="s">
        <v>994</v>
      </c>
      <c r="F336" s="22" t="s">
        <v>10</v>
      </c>
      <c r="G336" s="22" t="s">
        <v>11</v>
      </c>
      <c r="H336" s="22" t="s">
        <v>18</v>
      </c>
      <c r="I336" s="22" t="s">
        <v>19</v>
      </c>
      <c r="J336" s="22" t="s">
        <v>906</v>
      </c>
      <c r="K336" s="23" t="s">
        <v>929</v>
      </c>
      <c r="L336" t="e">
        <f>VLOOKUP(B336,ubah!$B$2:$L$234,4,FALSE)</f>
        <v>#N/A</v>
      </c>
      <c r="M336" t="e">
        <f>VLOOKUP(B336,ubah!$B$2:$L$234,5,FALSE)</f>
        <v>#N/A</v>
      </c>
      <c r="N336" t="e">
        <f>VLOOKUP(B336,ubah!$B$2:$L$234,6,FALSE)</f>
        <v>#N/A</v>
      </c>
    </row>
    <row r="337" spans="1:14" hidden="1" x14ac:dyDescent="0.35">
      <c r="A337" s="21">
        <v>1351150</v>
      </c>
      <c r="B337" s="22" t="str">
        <f>"3328030305020002"</f>
        <v>3328030305020002</v>
      </c>
      <c r="C337" s="22" t="str">
        <f t="shared" si="10"/>
        <v>'3328030305020002</v>
      </c>
      <c r="D337" s="22" t="str">
        <f t="shared" si="11"/>
        <v>ganda</v>
      </c>
      <c r="E337" s="22" t="s">
        <v>994</v>
      </c>
      <c r="F337" s="22" t="s">
        <v>10</v>
      </c>
      <c r="G337" s="22" t="s">
        <v>57</v>
      </c>
      <c r="H337" s="22" t="s">
        <v>303</v>
      </c>
      <c r="I337" s="22" t="s">
        <v>608</v>
      </c>
      <c r="J337" s="22" t="s">
        <v>609</v>
      </c>
      <c r="K337" s="23" t="s">
        <v>610</v>
      </c>
    </row>
    <row r="338" spans="1:14" hidden="1" x14ac:dyDescent="0.35">
      <c r="A338" s="21">
        <v>1351165</v>
      </c>
      <c r="B338" s="22" t="str">
        <f>"3328030501010004"</f>
        <v>3328030501010004</v>
      </c>
      <c r="C338" s="22" t="str">
        <f t="shared" si="10"/>
        <v>'3328030501010004</v>
      </c>
      <c r="D338" s="22" t="str">
        <f t="shared" si="11"/>
        <v>tidak ganda</v>
      </c>
      <c r="E338" s="22" t="s">
        <v>1000</v>
      </c>
      <c r="F338" s="22" t="s">
        <v>10</v>
      </c>
      <c r="G338" s="22" t="s">
        <v>57</v>
      </c>
      <c r="H338" s="22" t="s">
        <v>303</v>
      </c>
      <c r="I338" s="22" t="s">
        <v>608</v>
      </c>
      <c r="J338" s="22" t="s">
        <v>609</v>
      </c>
      <c r="K338" s="23" t="s">
        <v>610</v>
      </c>
    </row>
    <row r="339" spans="1:14" hidden="1" x14ac:dyDescent="0.35">
      <c r="A339" s="21">
        <v>1583654</v>
      </c>
      <c r="B339" s="22" t="str">
        <f>"3328030502020005"</f>
        <v>3328030502020005</v>
      </c>
      <c r="C339" s="22" t="str">
        <f t="shared" si="10"/>
        <v>'3328030502020005</v>
      </c>
      <c r="D339" s="22" t="str">
        <f t="shared" si="11"/>
        <v>ganda</v>
      </c>
      <c r="E339" s="22" t="s">
        <v>1001</v>
      </c>
      <c r="F339" s="22" t="s">
        <v>10</v>
      </c>
      <c r="G339" s="22" t="s">
        <v>11</v>
      </c>
      <c r="H339" s="22" t="s">
        <v>18</v>
      </c>
      <c r="I339" s="22" t="s">
        <v>19</v>
      </c>
      <c r="J339" s="22" t="s">
        <v>906</v>
      </c>
      <c r="K339" s="23" t="s">
        <v>906</v>
      </c>
      <c r="L339" t="e">
        <f>VLOOKUP(B339,ubah!$B$2:$L$234,4,FALSE)</f>
        <v>#N/A</v>
      </c>
      <c r="M339" t="e">
        <f>VLOOKUP(B339,ubah!$B$2:$L$234,5,FALSE)</f>
        <v>#N/A</v>
      </c>
      <c r="N339" t="e">
        <f>VLOOKUP(B339,ubah!$B$2:$L$234,6,FALSE)</f>
        <v>#N/A</v>
      </c>
    </row>
    <row r="340" spans="1:14" hidden="1" x14ac:dyDescent="0.35">
      <c r="A340" s="21">
        <v>1351130</v>
      </c>
      <c r="B340" s="22" t="str">
        <f>"3328030502020005"</f>
        <v>3328030502020005</v>
      </c>
      <c r="C340" s="22" t="str">
        <f t="shared" si="10"/>
        <v>'3328030502020005</v>
      </c>
      <c r="D340" s="22" t="str">
        <f t="shared" si="11"/>
        <v>ganda</v>
      </c>
      <c r="E340" s="22" t="s">
        <v>1002</v>
      </c>
      <c r="F340" s="22" t="s">
        <v>10</v>
      </c>
      <c r="G340" s="22" t="s">
        <v>57</v>
      </c>
      <c r="H340" s="22" t="s">
        <v>303</v>
      </c>
      <c r="I340" s="22" t="s">
        <v>608</v>
      </c>
      <c r="J340" s="22" t="s">
        <v>609</v>
      </c>
      <c r="K340" s="23" t="s">
        <v>610</v>
      </c>
    </row>
    <row r="341" spans="1:14" hidden="1" x14ac:dyDescent="0.35">
      <c r="A341" s="21">
        <v>1573256</v>
      </c>
      <c r="B341" s="22" t="str">
        <f>"3328030504000003"</f>
        <v>3328030504000003</v>
      </c>
      <c r="C341" s="22" t="str">
        <f t="shared" si="10"/>
        <v>'3328030504000003</v>
      </c>
      <c r="D341" s="22" t="str">
        <f t="shared" si="11"/>
        <v>ganda</v>
      </c>
      <c r="E341" s="22" t="s">
        <v>1003</v>
      </c>
      <c r="F341" s="22" t="s">
        <v>10</v>
      </c>
      <c r="G341" s="22" t="s">
        <v>11</v>
      </c>
      <c r="H341" s="22" t="s">
        <v>18</v>
      </c>
      <c r="I341" s="22" t="s">
        <v>19</v>
      </c>
      <c r="J341" s="22" t="s">
        <v>906</v>
      </c>
      <c r="K341" s="23" t="s">
        <v>942</v>
      </c>
      <c r="L341" t="e">
        <f>VLOOKUP(B341,ubah!$B$2:$L$234,4,FALSE)</f>
        <v>#N/A</v>
      </c>
      <c r="M341" t="e">
        <f>VLOOKUP(B341,ubah!$B$2:$L$234,5,FALSE)</f>
        <v>#N/A</v>
      </c>
      <c r="N341" t="e">
        <f>VLOOKUP(B341,ubah!$B$2:$L$234,6,FALSE)</f>
        <v>#N/A</v>
      </c>
    </row>
    <row r="342" spans="1:14" hidden="1" x14ac:dyDescent="0.35">
      <c r="A342" s="21">
        <v>1351166</v>
      </c>
      <c r="B342" s="22" t="str">
        <f>"3328030504000003"</f>
        <v>3328030504000003</v>
      </c>
      <c r="C342" s="22" t="str">
        <f t="shared" si="10"/>
        <v>'3328030504000003</v>
      </c>
      <c r="D342" s="22" t="str">
        <f t="shared" si="11"/>
        <v>ganda</v>
      </c>
      <c r="E342" s="22" t="s">
        <v>1004</v>
      </c>
      <c r="F342" s="22" t="s">
        <v>10</v>
      </c>
      <c r="G342" s="22" t="s">
        <v>57</v>
      </c>
      <c r="H342" s="22" t="s">
        <v>303</v>
      </c>
      <c r="I342" s="22" t="s">
        <v>608</v>
      </c>
      <c r="J342" s="22" t="s">
        <v>609</v>
      </c>
      <c r="K342" s="23" t="s">
        <v>610</v>
      </c>
    </row>
    <row r="343" spans="1:14" hidden="1" x14ac:dyDescent="0.35">
      <c r="A343" s="21">
        <v>1586889</v>
      </c>
      <c r="B343" s="22" t="str">
        <f>"3328030504020001"</f>
        <v>3328030504020001</v>
      </c>
      <c r="C343" s="22" t="str">
        <f t="shared" si="10"/>
        <v>'3328030504020001</v>
      </c>
      <c r="D343" s="22" t="str">
        <f t="shared" si="11"/>
        <v>ganda</v>
      </c>
      <c r="E343" s="22" t="s">
        <v>1005</v>
      </c>
      <c r="F343" s="22" t="s">
        <v>10</v>
      </c>
      <c r="G343" s="22" t="s">
        <v>11</v>
      </c>
      <c r="H343" s="22" t="s">
        <v>18</v>
      </c>
      <c r="I343" s="22" t="s">
        <v>19</v>
      </c>
      <c r="J343" s="22" t="s">
        <v>906</v>
      </c>
      <c r="K343" s="23" t="s">
        <v>906</v>
      </c>
      <c r="L343" t="e">
        <f>VLOOKUP(B343,ubah!$B$2:$L$234,4,FALSE)</f>
        <v>#N/A</v>
      </c>
      <c r="M343" t="e">
        <f>VLOOKUP(B343,ubah!$B$2:$L$234,5,FALSE)</f>
        <v>#N/A</v>
      </c>
      <c r="N343" t="e">
        <f>VLOOKUP(B343,ubah!$B$2:$L$234,6,FALSE)</f>
        <v>#N/A</v>
      </c>
    </row>
    <row r="344" spans="1:14" hidden="1" x14ac:dyDescent="0.35">
      <c r="A344" s="21">
        <v>1351136</v>
      </c>
      <c r="B344" s="22" t="str">
        <f>"3328030504020001"</f>
        <v>3328030504020001</v>
      </c>
      <c r="C344" s="22" t="str">
        <f t="shared" si="10"/>
        <v>'3328030504020001</v>
      </c>
      <c r="D344" s="22" t="str">
        <f t="shared" si="11"/>
        <v>ganda</v>
      </c>
      <c r="E344" s="22" t="s">
        <v>1005</v>
      </c>
      <c r="F344" s="22" t="s">
        <v>10</v>
      </c>
      <c r="G344" s="22" t="s">
        <v>57</v>
      </c>
      <c r="H344" s="22" t="s">
        <v>303</v>
      </c>
      <c r="I344" s="22" t="s">
        <v>608</v>
      </c>
      <c r="J344" s="22" t="s">
        <v>609</v>
      </c>
      <c r="K344" s="23" t="s">
        <v>610</v>
      </c>
    </row>
    <row r="345" spans="1:14" hidden="1" x14ac:dyDescent="0.35">
      <c r="A345" s="21">
        <v>1578999</v>
      </c>
      <c r="B345" s="22" t="str">
        <f>"3328030505020002"</f>
        <v>3328030505020002</v>
      </c>
      <c r="C345" s="22" t="str">
        <f t="shared" si="10"/>
        <v>'3328030505020002</v>
      </c>
      <c r="D345" s="22" t="str">
        <f t="shared" si="11"/>
        <v>ganda</v>
      </c>
      <c r="E345" s="22" t="s">
        <v>1009</v>
      </c>
      <c r="F345" s="22" t="s">
        <v>10</v>
      </c>
      <c r="G345" s="22" t="s">
        <v>11</v>
      </c>
      <c r="H345" s="22" t="s">
        <v>18</v>
      </c>
      <c r="I345" s="22" t="s">
        <v>19</v>
      </c>
      <c r="J345" s="22" t="s">
        <v>906</v>
      </c>
      <c r="K345" s="23" t="s">
        <v>942</v>
      </c>
      <c r="L345" t="e">
        <f>VLOOKUP(B345,ubah!$B$2:$L$234,4,FALSE)</f>
        <v>#N/A</v>
      </c>
      <c r="M345" t="e">
        <f>VLOOKUP(B345,ubah!$B$2:$L$234,5,FALSE)</f>
        <v>#N/A</v>
      </c>
      <c r="N345" t="e">
        <f>VLOOKUP(B345,ubah!$B$2:$L$234,6,FALSE)</f>
        <v>#N/A</v>
      </c>
    </row>
    <row r="346" spans="1:14" hidden="1" x14ac:dyDescent="0.35">
      <c r="A346" s="21">
        <v>1351168</v>
      </c>
      <c r="B346" s="22" t="str">
        <f>"3328030505020002"</f>
        <v>3328030505020002</v>
      </c>
      <c r="C346" s="22" t="str">
        <f t="shared" si="10"/>
        <v>'3328030505020002</v>
      </c>
      <c r="D346" s="22" t="str">
        <f t="shared" si="11"/>
        <v>ganda</v>
      </c>
      <c r="E346" s="22" t="s">
        <v>1009</v>
      </c>
      <c r="F346" s="22" t="s">
        <v>10</v>
      </c>
      <c r="G346" s="22" t="s">
        <v>57</v>
      </c>
      <c r="H346" s="22" t="s">
        <v>303</v>
      </c>
      <c r="I346" s="22" t="s">
        <v>608</v>
      </c>
      <c r="J346" s="22" t="s">
        <v>609</v>
      </c>
      <c r="K346" s="23" t="s">
        <v>610</v>
      </c>
    </row>
    <row r="347" spans="1:14" hidden="1" x14ac:dyDescent="0.35">
      <c r="A347" s="21">
        <v>1558832</v>
      </c>
      <c r="B347" s="22" t="str">
        <f>"3328030604990013"</f>
        <v>3328030604990013</v>
      </c>
      <c r="C347" s="22" t="str">
        <f t="shared" si="10"/>
        <v>'3328030604990013</v>
      </c>
      <c r="D347" s="22" t="str">
        <f t="shared" si="11"/>
        <v>ganda</v>
      </c>
      <c r="E347" s="22" t="s">
        <v>1010</v>
      </c>
      <c r="F347" s="22" t="s">
        <v>10</v>
      </c>
      <c r="G347" s="22" t="s">
        <v>11</v>
      </c>
      <c r="H347" s="22" t="s">
        <v>18</v>
      </c>
      <c r="I347" s="22" t="s">
        <v>19</v>
      </c>
      <c r="J347" s="22" t="s">
        <v>906</v>
      </c>
      <c r="K347" s="23" t="s">
        <v>1011</v>
      </c>
      <c r="L347" t="e">
        <f>VLOOKUP(B347,ubah!$B$2:$L$234,4,FALSE)</f>
        <v>#N/A</v>
      </c>
      <c r="M347" t="e">
        <f>VLOOKUP(B347,ubah!$B$2:$L$234,5,FALSE)</f>
        <v>#N/A</v>
      </c>
      <c r="N347" t="e">
        <f>VLOOKUP(B347,ubah!$B$2:$L$234,6,FALSE)</f>
        <v>#N/A</v>
      </c>
    </row>
    <row r="348" spans="1:14" hidden="1" x14ac:dyDescent="0.35">
      <c r="A348" s="21">
        <v>1351163</v>
      </c>
      <c r="B348" s="22" t="str">
        <f>"3328030604990013"</f>
        <v>3328030604990013</v>
      </c>
      <c r="C348" s="22" t="str">
        <f t="shared" si="10"/>
        <v>'3328030604990013</v>
      </c>
      <c r="D348" s="22" t="str">
        <f t="shared" si="11"/>
        <v>ganda</v>
      </c>
      <c r="E348" s="22" t="s">
        <v>1012</v>
      </c>
      <c r="F348" s="22" t="s">
        <v>10</v>
      </c>
      <c r="G348" s="22" t="s">
        <v>57</v>
      </c>
      <c r="H348" s="22" t="s">
        <v>303</v>
      </c>
      <c r="I348" s="22" t="s">
        <v>608</v>
      </c>
      <c r="J348" s="22" t="s">
        <v>609</v>
      </c>
      <c r="K348" s="23" t="s">
        <v>610</v>
      </c>
    </row>
    <row r="349" spans="1:14" hidden="1" x14ac:dyDescent="0.35">
      <c r="A349" s="21">
        <v>1573047</v>
      </c>
      <c r="B349" s="22" t="str">
        <f>"3328030606060004"</f>
        <v>3328030606060004</v>
      </c>
      <c r="C349" s="22" t="str">
        <f t="shared" si="10"/>
        <v>'3328030606060004</v>
      </c>
      <c r="D349" s="22" t="str">
        <f t="shared" si="11"/>
        <v>ganda</v>
      </c>
      <c r="E349" s="22" t="s">
        <v>1013</v>
      </c>
      <c r="F349" s="22" t="s">
        <v>10</v>
      </c>
      <c r="G349" s="22" t="s">
        <v>11</v>
      </c>
      <c r="H349" s="22" t="s">
        <v>18</v>
      </c>
      <c r="I349" s="22" t="s">
        <v>19</v>
      </c>
      <c r="J349" s="22" t="s">
        <v>906</v>
      </c>
      <c r="K349" s="23" t="s">
        <v>942</v>
      </c>
      <c r="L349" t="e">
        <f>VLOOKUP(B349,ubah!$B$2:$L$234,4,FALSE)</f>
        <v>#N/A</v>
      </c>
      <c r="M349" t="e">
        <f>VLOOKUP(B349,ubah!$B$2:$L$234,5,FALSE)</f>
        <v>#N/A</v>
      </c>
      <c r="N349" t="e">
        <f>VLOOKUP(B349,ubah!$B$2:$L$234,6,FALSE)</f>
        <v>#N/A</v>
      </c>
    </row>
    <row r="350" spans="1:14" hidden="1" x14ac:dyDescent="0.35">
      <c r="A350" s="21">
        <v>1351173</v>
      </c>
      <c r="B350" s="22" t="str">
        <f>"3328030606060004"</f>
        <v>3328030606060004</v>
      </c>
      <c r="C350" s="22" t="str">
        <f t="shared" si="10"/>
        <v>'3328030606060004</v>
      </c>
      <c r="D350" s="22" t="str">
        <f t="shared" si="11"/>
        <v>ganda</v>
      </c>
      <c r="E350" s="22" t="s">
        <v>1014</v>
      </c>
      <c r="F350" s="22" t="s">
        <v>10</v>
      </c>
      <c r="G350" s="22" t="s">
        <v>57</v>
      </c>
      <c r="H350" s="22" t="s">
        <v>303</v>
      </c>
      <c r="I350" s="22" t="s">
        <v>608</v>
      </c>
      <c r="J350" s="22" t="s">
        <v>609</v>
      </c>
      <c r="K350" s="23" t="s">
        <v>610</v>
      </c>
    </row>
    <row r="351" spans="1:14" hidden="1" x14ac:dyDescent="0.35">
      <c r="A351" s="21">
        <v>1350579</v>
      </c>
      <c r="B351" s="22" t="str">
        <f>"3328030611050004"</f>
        <v>3328030611050004</v>
      </c>
      <c r="C351" s="22" t="str">
        <f t="shared" si="10"/>
        <v>'3328030611050004</v>
      </c>
      <c r="D351" s="22" t="str">
        <f t="shared" si="11"/>
        <v>tidak ganda</v>
      </c>
      <c r="E351" s="22" t="s">
        <v>1016</v>
      </c>
      <c r="F351" s="22" t="s">
        <v>10</v>
      </c>
      <c r="G351" s="22" t="s">
        <v>57</v>
      </c>
      <c r="H351" s="22" t="s">
        <v>303</v>
      </c>
      <c r="I351" s="22" t="s">
        <v>608</v>
      </c>
      <c r="J351" s="22" t="s">
        <v>609</v>
      </c>
      <c r="K351" s="23" t="s">
        <v>610</v>
      </c>
    </row>
    <row r="352" spans="1:14" hidden="1" x14ac:dyDescent="0.35">
      <c r="A352" s="21">
        <v>524084</v>
      </c>
      <c r="B352" s="22" t="str">
        <f>"3328030612740001"</f>
        <v>3328030612740001</v>
      </c>
      <c r="C352" s="22" t="str">
        <f t="shared" si="10"/>
        <v>'3328030612740001</v>
      </c>
      <c r="D352" s="22" t="str">
        <f t="shared" si="11"/>
        <v>tidak ganda</v>
      </c>
      <c r="E352" s="22" t="s">
        <v>508</v>
      </c>
      <c r="F352" s="22" t="s">
        <v>10</v>
      </c>
      <c r="G352" s="22" t="s">
        <v>11</v>
      </c>
      <c r="H352" s="22" t="s">
        <v>954</v>
      </c>
      <c r="I352" s="22" t="s">
        <v>1017</v>
      </c>
      <c r="J352" s="22" t="s">
        <v>1018</v>
      </c>
      <c r="K352" s="23" t="s">
        <v>1019</v>
      </c>
    </row>
    <row r="353" spans="1:14" hidden="1" x14ac:dyDescent="0.35">
      <c r="A353" s="21">
        <v>1558843</v>
      </c>
      <c r="B353" s="22" t="str">
        <f>"3328030701980004"</f>
        <v>3328030701980004</v>
      </c>
      <c r="C353" s="22" t="str">
        <f t="shared" si="10"/>
        <v>'3328030701980004</v>
      </c>
      <c r="D353" s="22" t="str">
        <f t="shared" si="11"/>
        <v>ganda</v>
      </c>
      <c r="E353" s="22" t="s">
        <v>1020</v>
      </c>
      <c r="F353" s="22" t="s">
        <v>10</v>
      </c>
      <c r="G353" s="22" t="s">
        <v>11</v>
      </c>
      <c r="H353" s="22" t="s">
        <v>18</v>
      </c>
      <c r="I353" s="22" t="s">
        <v>19</v>
      </c>
      <c r="J353" s="22" t="s">
        <v>906</v>
      </c>
      <c r="K353" s="23" t="s">
        <v>1011</v>
      </c>
      <c r="L353" t="e">
        <f>VLOOKUP(B353,ubah!$B$2:$L$234,4,FALSE)</f>
        <v>#N/A</v>
      </c>
      <c r="M353" t="e">
        <f>VLOOKUP(B353,ubah!$B$2:$L$234,5,FALSE)</f>
        <v>#N/A</v>
      </c>
      <c r="N353" t="e">
        <f>VLOOKUP(B353,ubah!$B$2:$L$234,6,FALSE)</f>
        <v>#N/A</v>
      </c>
    </row>
    <row r="354" spans="1:14" hidden="1" x14ac:dyDescent="0.35">
      <c r="A354" s="21">
        <v>1351164</v>
      </c>
      <c r="B354" s="22" t="str">
        <f>"3328030701980004"</f>
        <v>3328030701980004</v>
      </c>
      <c r="C354" s="22" t="str">
        <f t="shared" si="10"/>
        <v>'3328030701980004</v>
      </c>
      <c r="D354" s="22" t="str">
        <f t="shared" si="11"/>
        <v>ganda</v>
      </c>
      <c r="E354" s="22" t="s">
        <v>1020</v>
      </c>
      <c r="F354" s="22" t="s">
        <v>10</v>
      </c>
      <c r="G354" s="22" t="s">
        <v>57</v>
      </c>
      <c r="H354" s="22" t="s">
        <v>303</v>
      </c>
      <c r="I354" s="22" t="s">
        <v>608</v>
      </c>
      <c r="J354" s="22" t="s">
        <v>609</v>
      </c>
      <c r="K354" s="23" t="s">
        <v>610</v>
      </c>
    </row>
    <row r="355" spans="1:14" hidden="1" x14ac:dyDescent="0.35">
      <c r="A355" s="21">
        <v>1589023</v>
      </c>
      <c r="B355" s="22" t="str">
        <f>"3328030808720003"</f>
        <v>3328030808720003</v>
      </c>
      <c r="C355" s="22" t="str">
        <f t="shared" si="10"/>
        <v>'3328030808720003</v>
      </c>
      <c r="D355" s="22" t="str">
        <f t="shared" si="11"/>
        <v>ganda</v>
      </c>
      <c r="E355" s="22" t="s">
        <v>1021</v>
      </c>
      <c r="F355" s="22" t="s">
        <v>10</v>
      </c>
      <c r="G355" s="22" t="s">
        <v>11</v>
      </c>
      <c r="H355" s="22" t="s">
        <v>18</v>
      </c>
      <c r="I355" s="22" t="s">
        <v>19</v>
      </c>
      <c r="J355" s="22" t="s">
        <v>906</v>
      </c>
      <c r="K355" s="23" t="s">
        <v>929</v>
      </c>
      <c r="L355" t="e">
        <f>VLOOKUP(B355,ubah!$B$2:$L$234,4,FALSE)</f>
        <v>#N/A</v>
      </c>
      <c r="M355" t="e">
        <f>VLOOKUP(B355,ubah!$B$2:$L$234,5,FALSE)</f>
        <v>#N/A</v>
      </c>
      <c r="N355" t="e">
        <f>VLOOKUP(B355,ubah!$B$2:$L$234,6,FALSE)</f>
        <v>#N/A</v>
      </c>
    </row>
    <row r="356" spans="1:14" hidden="1" x14ac:dyDescent="0.35">
      <c r="A356" s="21">
        <v>1352880</v>
      </c>
      <c r="B356" s="22" t="str">
        <f>"3328030808720003"</f>
        <v>3328030808720003</v>
      </c>
      <c r="C356" s="22" t="str">
        <f t="shared" si="10"/>
        <v>'3328030808720003</v>
      </c>
      <c r="D356" s="22" t="str">
        <f t="shared" si="11"/>
        <v>ganda</v>
      </c>
      <c r="E356" s="22" t="s">
        <v>1022</v>
      </c>
      <c r="F356" s="22" t="s">
        <v>10</v>
      </c>
      <c r="G356" s="22" t="s">
        <v>57</v>
      </c>
      <c r="H356" s="22" t="s">
        <v>303</v>
      </c>
      <c r="I356" s="22" t="s">
        <v>608</v>
      </c>
      <c r="J356" s="22" t="s">
        <v>609</v>
      </c>
      <c r="K356" s="23" t="s">
        <v>610</v>
      </c>
    </row>
    <row r="357" spans="1:14" hidden="1" x14ac:dyDescent="0.35">
      <c r="A357" s="21">
        <v>978834</v>
      </c>
      <c r="B357" s="22" t="str">
        <f>"3328030906000002"</f>
        <v>3328030906000002</v>
      </c>
      <c r="C357" s="22" t="str">
        <f t="shared" si="10"/>
        <v>'3328030906000002</v>
      </c>
      <c r="D357" s="22" t="str">
        <f t="shared" si="11"/>
        <v>tidak ganda</v>
      </c>
      <c r="E357" s="22" t="s">
        <v>1023</v>
      </c>
      <c r="F357" s="22" t="s">
        <v>10</v>
      </c>
      <c r="G357" s="22" t="s">
        <v>11</v>
      </c>
      <c r="H357" s="22" t="s">
        <v>954</v>
      </c>
      <c r="I357" s="22" t="s">
        <v>1024</v>
      </c>
      <c r="J357" s="22" t="s">
        <v>1025</v>
      </c>
      <c r="K357" s="23" t="s">
        <v>1025</v>
      </c>
    </row>
    <row r="358" spans="1:14" hidden="1" x14ac:dyDescent="0.35">
      <c r="A358" s="21">
        <v>1592189</v>
      </c>
      <c r="B358" s="22" t="str">
        <f>"3328030909020006"</f>
        <v>3328030909020006</v>
      </c>
      <c r="C358" s="22" t="str">
        <f t="shared" si="10"/>
        <v>'3328030909020006</v>
      </c>
      <c r="D358" s="22" t="str">
        <f t="shared" si="11"/>
        <v>ganda</v>
      </c>
      <c r="E358" s="22" t="s">
        <v>1026</v>
      </c>
      <c r="F358" s="22" t="s">
        <v>10</v>
      </c>
      <c r="G358" s="22" t="s">
        <v>11</v>
      </c>
      <c r="H358" s="22" t="s">
        <v>18</v>
      </c>
      <c r="I358" s="22" t="s">
        <v>19</v>
      </c>
      <c r="J358" s="22" t="s">
        <v>906</v>
      </c>
      <c r="K358" s="23" t="s">
        <v>992</v>
      </c>
      <c r="L358" t="e">
        <f>VLOOKUP(B358,ubah!$B$2:$L$234,4,FALSE)</f>
        <v>#N/A</v>
      </c>
      <c r="M358" t="e">
        <f>VLOOKUP(B358,ubah!$B$2:$L$234,5,FALSE)</f>
        <v>#N/A</v>
      </c>
      <c r="N358" t="e">
        <f>VLOOKUP(B358,ubah!$B$2:$L$234,6,FALSE)</f>
        <v>#N/A</v>
      </c>
    </row>
    <row r="359" spans="1:14" hidden="1" x14ac:dyDescent="0.35">
      <c r="A359" s="21">
        <v>1351156</v>
      </c>
      <c r="B359" s="22" t="str">
        <f>"3328030909020006"</f>
        <v>3328030909020006</v>
      </c>
      <c r="C359" s="22" t="str">
        <f t="shared" si="10"/>
        <v>'3328030909020006</v>
      </c>
      <c r="D359" s="22" t="str">
        <f t="shared" si="11"/>
        <v>ganda</v>
      </c>
      <c r="E359" s="22" t="s">
        <v>1027</v>
      </c>
      <c r="F359" s="22" t="s">
        <v>10</v>
      </c>
      <c r="G359" s="22" t="s">
        <v>57</v>
      </c>
      <c r="H359" s="22" t="s">
        <v>303</v>
      </c>
      <c r="I359" s="22" t="s">
        <v>608</v>
      </c>
      <c r="J359" s="22" t="s">
        <v>609</v>
      </c>
      <c r="K359" s="23" t="s">
        <v>610</v>
      </c>
    </row>
    <row r="360" spans="1:14" hidden="1" x14ac:dyDescent="0.35">
      <c r="A360" s="21">
        <v>1351131</v>
      </c>
      <c r="B360" s="22" t="str">
        <f>"3328030910040001"</f>
        <v>3328030910040001</v>
      </c>
      <c r="C360" s="22" t="str">
        <f t="shared" si="10"/>
        <v>'3328030910040001</v>
      </c>
      <c r="D360" s="22" t="str">
        <f t="shared" si="11"/>
        <v>tidak ganda</v>
      </c>
      <c r="E360" s="22" t="s">
        <v>1028</v>
      </c>
      <c r="F360" s="22" t="s">
        <v>10</v>
      </c>
      <c r="G360" s="22" t="s">
        <v>57</v>
      </c>
      <c r="H360" s="22" t="s">
        <v>303</v>
      </c>
      <c r="I360" s="22" t="s">
        <v>608</v>
      </c>
      <c r="J360" s="22" t="s">
        <v>609</v>
      </c>
      <c r="K360" s="23" t="s">
        <v>610</v>
      </c>
    </row>
    <row r="361" spans="1:14" hidden="1" x14ac:dyDescent="0.35">
      <c r="A361" s="21">
        <v>1589179</v>
      </c>
      <c r="B361" s="22" t="str">
        <f>"3328031005990008"</f>
        <v>3328031005990008</v>
      </c>
      <c r="C361" s="22" t="str">
        <f t="shared" si="10"/>
        <v>'3328031005990008</v>
      </c>
      <c r="D361" s="22" t="str">
        <f t="shared" si="11"/>
        <v>tidak ganda</v>
      </c>
      <c r="E361" s="22" t="s">
        <v>1029</v>
      </c>
      <c r="F361" s="22" t="s">
        <v>10</v>
      </c>
      <c r="G361" s="22" t="s">
        <v>11</v>
      </c>
      <c r="H361" s="22" t="s">
        <v>18</v>
      </c>
      <c r="I361" s="22" t="s">
        <v>19</v>
      </c>
      <c r="J361" s="22" t="s">
        <v>906</v>
      </c>
      <c r="K361" s="23" t="s">
        <v>929</v>
      </c>
      <c r="L361" t="e">
        <f>VLOOKUP(B361,ubah!$B$2:$L$234,4,FALSE)</f>
        <v>#N/A</v>
      </c>
      <c r="M361" t="e">
        <f>VLOOKUP(B361,ubah!$B$2:$L$234,5,FALSE)</f>
        <v>#N/A</v>
      </c>
      <c r="N361" t="e">
        <f>VLOOKUP(B361,ubah!$B$2:$L$234,6,FALSE)</f>
        <v>#N/A</v>
      </c>
    </row>
    <row r="362" spans="1:14" hidden="1" x14ac:dyDescent="0.35">
      <c r="A362" s="21">
        <v>1570890</v>
      </c>
      <c r="B362" s="22" t="str">
        <f>"3328031207020010"</f>
        <v>3328031207020010</v>
      </c>
      <c r="C362" s="22" t="str">
        <f t="shared" si="10"/>
        <v>'3328031207020010</v>
      </c>
      <c r="D362" s="22" t="str">
        <f t="shared" si="11"/>
        <v>ganda</v>
      </c>
      <c r="E362" s="22" t="s">
        <v>1030</v>
      </c>
      <c r="F362" s="22" t="s">
        <v>10</v>
      </c>
      <c r="G362" s="22" t="s">
        <v>11</v>
      </c>
      <c r="H362" s="22" t="s">
        <v>18</v>
      </c>
      <c r="I362" s="22" t="s">
        <v>19</v>
      </c>
      <c r="J362" s="22" t="s">
        <v>906</v>
      </c>
      <c r="K362" s="23" t="s">
        <v>933</v>
      </c>
      <c r="L362" t="e">
        <f>VLOOKUP(B362,ubah!$B$2:$L$234,4,FALSE)</f>
        <v>#N/A</v>
      </c>
      <c r="M362" t="e">
        <f>VLOOKUP(B362,ubah!$B$2:$L$234,5,FALSE)</f>
        <v>#N/A</v>
      </c>
      <c r="N362" t="e">
        <f>VLOOKUP(B362,ubah!$B$2:$L$234,6,FALSE)</f>
        <v>#N/A</v>
      </c>
    </row>
    <row r="363" spans="1:14" hidden="1" x14ac:dyDescent="0.35">
      <c r="A363" s="21">
        <v>1351153</v>
      </c>
      <c r="B363" s="22" t="str">
        <f>"3328031207020010"</f>
        <v>3328031207020010</v>
      </c>
      <c r="C363" s="22" t="str">
        <f t="shared" si="10"/>
        <v>'3328031207020010</v>
      </c>
      <c r="D363" s="22" t="str">
        <f t="shared" si="11"/>
        <v>ganda</v>
      </c>
      <c r="E363" s="22" t="s">
        <v>1030</v>
      </c>
      <c r="F363" s="22" t="s">
        <v>10</v>
      </c>
      <c r="G363" s="22" t="s">
        <v>57</v>
      </c>
      <c r="H363" s="22" t="s">
        <v>303</v>
      </c>
      <c r="I363" s="22" t="s">
        <v>608</v>
      </c>
      <c r="J363" s="22" t="s">
        <v>609</v>
      </c>
      <c r="K363" s="23" t="s">
        <v>610</v>
      </c>
    </row>
    <row r="364" spans="1:14" hidden="1" x14ac:dyDescent="0.35">
      <c r="A364" s="21">
        <v>1592084</v>
      </c>
      <c r="B364" s="22" t="str">
        <f>"3328031308010005"</f>
        <v>3328031308010005</v>
      </c>
      <c r="C364" s="22" t="str">
        <f t="shared" si="10"/>
        <v>'3328031308010005</v>
      </c>
      <c r="D364" s="22" t="str">
        <f t="shared" si="11"/>
        <v>ganda</v>
      </c>
      <c r="E364" s="22" t="s">
        <v>1031</v>
      </c>
      <c r="F364" s="22" t="s">
        <v>10</v>
      </c>
      <c r="G364" s="22" t="s">
        <v>11</v>
      </c>
      <c r="H364" s="22" t="s">
        <v>18</v>
      </c>
      <c r="I364" s="22" t="s">
        <v>19</v>
      </c>
      <c r="J364" s="22" t="s">
        <v>906</v>
      </c>
      <c r="K364" s="23" t="s">
        <v>992</v>
      </c>
      <c r="L364" t="e">
        <f>VLOOKUP(B364,ubah!$B$2:$L$234,4,FALSE)</f>
        <v>#N/A</v>
      </c>
      <c r="M364" t="e">
        <f>VLOOKUP(B364,ubah!$B$2:$L$234,5,FALSE)</f>
        <v>#N/A</v>
      </c>
      <c r="N364" t="e">
        <f>VLOOKUP(B364,ubah!$B$2:$L$234,6,FALSE)</f>
        <v>#N/A</v>
      </c>
    </row>
    <row r="365" spans="1:14" hidden="1" x14ac:dyDescent="0.35">
      <c r="A365" s="21">
        <v>1351157</v>
      </c>
      <c r="B365" s="22" t="str">
        <f>"3328031308010005"</f>
        <v>3328031308010005</v>
      </c>
      <c r="C365" s="22" t="str">
        <f t="shared" si="10"/>
        <v>'3328031308010005</v>
      </c>
      <c r="D365" s="22" t="str">
        <f t="shared" si="11"/>
        <v>ganda</v>
      </c>
      <c r="E365" s="22" t="s">
        <v>1031</v>
      </c>
      <c r="F365" s="22" t="s">
        <v>10</v>
      </c>
      <c r="G365" s="22" t="s">
        <v>57</v>
      </c>
      <c r="H365" s="22" t="s">
        <v>303</v>
      </c>
      <c r="I365" s="22" t="s">
        <v>608</v>
      </c>
      <c r="J365" s="22" t="s">
        <v>609</v>
      </c>
      <c r="K365" s="23" t="s">
        <v>610</v>
      </c>
    </row>
    <row r="366" spans="1:14" hidden="1" x14ac:dyDescent="0.35">
      <c r="A366" s="21">
        <v>1585805</v>
      </c>
      <c r="B366" s="22" t="str">
        <f>"3328031503040005"</f>
        <v>3328031503040005</v>
      </c>
      <c r="C366" s="22" t="str">
        <f t="shared" si="10"/>
        <v>'3328031503040005</v>
      </c>
      <c r="D366" s="22" t="str">
        <f t="shared" si="11"/>
        <v>ganda</v>
      </c>
      <c r="E366" s="22" t="s">
        <v>1032</v>
      </c>
      <c r="F366" s="22" t="s">
        <v>10</v>
      </c>
      <c r="G366" s="22" t="s">
        <v>11</v>
      </c>
      <c r="H366" s="22" t="s">
        <v>18</v>
      </c>
      <c r="I366" s="22" t="s">
        <v>19</v>
      </c>
      <c r="J366" s="22" t="s">
        <v>906</v>
      </c>
      <c r="K366" s="23" t="s">
        <v>906</v>
      </c>
      <c r="L366" t="e">
        <f>VLOOKUP(B366,ubah!$B$2:$L$234,4,FALSE)</f>
        <v>#N/A</v>
      </c>
      <c r="M366" t="e">
        <f>VLOOKUP(B366,ubah!$B$2:$L$234,5,FALSE)</f>
        <v>#N/A</v>
      </c>
      <c r="N366" t="e">
        <f>VLOOKUP(B366,ubah!$B$2:$L$234,6,FALSE)</f>
        <v>#N/A</v>
      </c>
    </row>
    <row r="367" spans="1:14" hidden="1" x14ac:dyDescent="0.35">
      <c r="A367" s="21">
        <v>1351135</v>
      </c>
      <c r="B367" s="22" t="str">
        <f>"3328031503040005"</f>
        <v>3328031503040005</v>
      </c>
      <c r="C367" s="22" t="str">
        <f t="shared" si="10"/>
        <v>'3328031503040005</v>
      </c>
      <c r="D367" s="22" t="str">
        <f t="shared" si="11"/>
        <v>ganda</v>
      </c>
      <c r="E367" s="22" t="s">
        <v>1033</v>
      </c>
      <c r="F367" s="22" t="s">
        <v>10</v>
      </c>
      <c r="G367" s="22" t="s">
        <v>57</v>
      </c>
      <c r="H367" s="22" t="s">
        <v>303</v>
      </c>
      <c r="I367" s="22" t="s">
        <v>608</v>
      </c>
      <c r="J367" s="22" t="s">
        <v>609</v>
      </c>
      <c r="K367" s="23" t="s">
        <v>610</v>
      </c>
    </row>
    <row r="368" spans="1:14" hidden="1" x14ac:dyDescent="0.35">
      <c r="A368" s="21">
        <v>1575478</v>
      </c>
      <c r="B368" s="22" t="str">
        <f>"3328031505000002"</f>
        <v>3328031505000002</v>
      </c>
      <c r="C368" s="22" t="str">
        <f t="shared" si="10"/>
        <v>'3328031505000002</v>
      </c>
      <c r="D368" s="22" t="str">
        <f t="shared" si="11"/>
        <v>ganda</v>
      </c>
      <c r="E368" s="22" t="s">
        <v>1034</v>
      </c>
      <c r="F368" s="22" t="s">
        <v>10</v>
      </c>
      <c r="G368" s="22" t="s">
        <v>11</v>
      </c>
      <c r="H368" s="22" t="s">
        <v>18</v>
      </c>
      <c r="I368" s="22" t="s">
        <v>19</v>
      </c>
      <c r="J368" s="22" t="s">
        <v>906</v>
      </c>
      <c r="K368" s="23" t="s">
        <v>942</v>
      </c>
      <c r="L368" t="e">
        <f>VLOOKUP(B368,ubah!$B$2:$L$234,4,FALSE)</f>
        <v>#N/A</v>
      </c>
      <c r="M368" t="e">
        <f>VLOOKUP(B368,ubah!$B$2:$L$234,5,FALSE)</f>
        <v>#N/A</v>
      </c>
      <c r="N368" t="e">
        <f>VLOOKUP(B368,ubah!$B$2:$L$234,6,FALSE)</f>
        <v>#N/A</v>
      </c>
    </row>
    <row r="369" spans="1:14" hidden="1" x14ac:dyDescent="0.35">
      <c r="A369" s="21">
        <v>423773</v>
      </c>
      <c r="B369" s="22" t="str">
        <f>"3328031505000002"</f>
        <v>3328031505000002</v>
      </c>
      <c r="C369" s="22" t="str">
        <f t="shared" si="10"/>
        <v>'3328031505000002</v>
      </c>
      <c r="D369" s="22" t="str">
        <f t="shared" si="11"/>
        <v>ganda</v>
      </c>
      <c r="E369" s="22" t="s">
        <v>1035</v>
      </c>
      <c r="F369" s="22" t="s">
        <v>10</v>
      </c>
      <c r="G369" s="22" t="s">
        <v>57</v>
      </c>
      <c r="H369" s="22" t="s">
        <v>18</v>
      </c>
      <c r="I369" s="22" t="s">
        <v>268</v>
      </c>
      <c r="J369" s="22" t="s">
        <v>277</v>
      </c>
      <c r="K369" s="23" t="s">
        <v>278</v>
      </c>
    </row>
    <row r="370" spans="1:14" hidden="1" x14ac:dyDescent="0.35">
      <c r="A370" s="21">
        <v>1590551</v>
      </c>
      <c r="B370" s="22" t="str">
        <f>"3328031505970010"</f>
        <v>3328031505970010</v>
      </c>
      <c r="C370" s="22" t="str">
        <f t="shared" si="10"/>
        <v>'3328031505970010</v>
      </c>
      <c r="D370" s="22" t="str">
        <f t="shared" si="11"/>
        <v>ganda</v>
      </c>
      <c r="E370" s="22" t="s">
        <v>1036</v>
      </c>
      <c r="F370" s="22" t="s">
        <v>10</v>
      </c>
      <c r="G370" s="22" t="s">
        <v>11</v>
      </c>
      <c r="H370" s="22" t="s">
        <v>18</v>
      </c>
      <c r="I370" s="22" t="s">
        <v>19</v>
      </c>
      <c r="J370" s="22" t="s">
        <v>906</v>
      </c>
      <c r="K370" s="23" t="s">
        <v>992</v>
      </c>
      <c r="L370" t="e">
        <f>VLOOKUP(B370,ubah!$B$2:$L$234,4,FALSE)</f>
        <v>#N/A</v>
      </c>
      <c r="M370" t="e">
        <f>VLOOKUP(B370,ubah!$B$2:$L$234,5,FALSE)</f>
        <v>#N/A</v>
      </c>
      <c r="N370" t="e">
        <f>VLOOKUP(B370,ubah!$B$2:$L$234,6,FALSE)</f>
        <v>#N/A</v>
      </c>
    </row>
    <row r="371" spans="1:14" hidden="1" x14ac:dyDescent="0.35">
      <c r="A371" s="21">
        <v>1351158</v>
      </c>
      <c r="B371" s="22" t="str">
        <f>"3328031505970010"</f>
        <v>3328031505970010</v>
      </c>
      <c r="C371" s="22" t="str">
        <f t="shared" si="10"/>
        <v>'3328031505970010</v>
      </c>
      <c r="D371" s="22" t="str">
        <f t="shared" si="11"/>
        <v>ganda</v>
      </c>
      <c r="E371" s="22" t="s">
        <v>1037</v>
      </c>
      <c r="F371" s="22" t="s">
        <v>10</v>
      </c>
      <c r="G371" s="22" t="s">
        <v>57</v>
      </c>
      <c r="H371" s="22" t="s">
        <v>303</v>
      </c>
      <c r="I371" s="22" t="s">
        <v>608</v>
      </c>
      <c r="J371" s="22" t="s">
        <v>609</v>
      </c>
      <c r="K371" s="23" t="s">
        <v>610</v>
      </c>
    </row>
    <row r="372" spans="1:14" hidden="1" x14ac:dyDescent="0.35">
      <c r="A372" s="21">
        <v>27881</v>
      </c>
      <c r="B372" s="22" t="str">
        <f>"3328031507800004"</f>
        <v>3328031507800004</v>
      </c>
      <c r="C372" s="22" t="str">
        <f t="shared" si="10"/>
        <v>'3328031507800004</v>
      </c>
      <c r="D372" s="22" t="str">
        <f t="shared" si="11"/>
        <v>tidak ganda</v>
      </c>
      <c r="E372" s="22" t="s">
        <v>1039</v>
      </c>
      <c r="F372" s="22" t="s">
        <v>10</v>
      </c>
      <c r="G372" s="22" t="s">
        <v>11</v>
      </c>
      <c r="H372" s="22" t="s">
        <v>44</v>
      </c>
      <c r="I372" s="22" t="s">
        <v>1040</v>
      </c>
      <c r="J372" s="22" t="s">
        <v>1041</v>
      </c>
      <c r="K372" s="23" t="s">
        <v>1042</v>
      </c>
    </row>
    <row r="373" spans="1:14" hidden="1" x14ac:dyDescent="0.35">
      <c r="A373" s="21">
        <v>1351151</v>
      </c>
      <c r="B373" s="22" t="str">
        <f>"3328031510030004"</f>
        <v>3328031510030004</v>
      </c>
      <c r="C373" s="22" t="str">
        <f t="shared" si="10"/>
        <v>'3328031510030004</v>
      </c>
      <c r="D373" s="22" t="str">
        <f t="shared" si="11"/>
        <v>tidak ganda</v>
      </c>
      <c r="E373" s="22" t="s">
        <v>1048</v>
      </c>
      <c r="F373" s="22" t="s">
        <v>10</v>
      </c>
      <c r="G373" s="22" t="s">
        <v>57</v>
      </c>
      <c r="H373" s="22" t="s">
        <v>303</v>
      </c>
      <c r="I373" s="22" t="s">
        <v>608</v>
      </c>
      <c r="J373" s="22" t="s">
        <v>609</v>
      </c>
      <c r="K373" s="23" t="s">
        <v>610</v>
      </c>
    </row>
    <row r="374" spans="1:14" hidden="1" x14ac:dyDescent="0.35">
      <c r="A374" s="21">
        <v>3224496</v>
      </c>
      <c r="B374" s="22" t="str">
        <f>"3328031601020005"</f>
        <v>3328031601020005</v>
      </c>
      <c r="C374" s="22" t="str">
        <f t="shared" si="10"/>
        <v>'3328031601020005</v>
      </c>
      <c r="D374" s="22" t="str">
        <f t="shared" si="11"/>
        <v>tidak ganda</v>
      </c>
      <c r="E374" s="22" t="s">
        <v>1049</v>
      </c>
      <c r="F374" s="22" t="s">
        <v>10</v>
      </c>
      <c r="G374" s="22" t="s">
        <v>11</v>
      </c>
      <c r="H374" s="22" t="s">
        <v>91</v>
      </c>
      <c r="I374" s="22" t="s">
        <v>650</v>
      </c>
      <c r="J374" s="22" t="s">
        <v>1050</v>
      </c>
      <c r="K374" s="23" t="s">
        <v>1051</v>
      </c>
    </row>
    <row r="375" spans="1:14" hidden="1" x14ac:dyDescent="0.35">
      <c r="A375" s="21">
        <v>277238</v>
      </c>
      <c r="B375" s="22" t="str">
        <f>"3328031605740001"</f>
        <v>3328031605740001</v>
      </c>
      <c r="C375" s="22" t="str">
        <f t="shared" si="10"/>
        <v>'3328031605740001</v>
      </c>
      <c r="D375" s="22" t="str">
        <f t="shared" si="11"/>
        <v>tidak ganda</v>
      </c>
      <c r="E375" s="22" t="s">
        <v>1052</v>
      </c>
      <c r="F375" s="22" t="s">
        <v>10</v>
      </c>
      <c r="G375" s="22" t="s">
        <v>11</v>
      </c>
      <c r="H375" s="22" t="s">
        <v>412</v>
      </c>
      <c r="I375" s="22" t="s">
        <v>1053</v>
      </c>
      <c r="J375" s="22" t="s">
        <v>1054</v>
      </c>
      <c r="K375" s="23" t="s">
        <v>1055</v>
      </c>
    </row>
    <row r="376" spans="1:14" hidden="1" x14ac:dyDescent="0.35">
      <c r="A376" s="21">
        <v>1594184</v>
      </c>
      <c r="B376" s="22" t="str">
        <f>"3328031606950003"</f>
        <v>3328031606950003</v>
      </c>
      <c r="C376" s="22" t="str">
        <f t="shared" si="10"/>
        <v>'3328031606950003</v>
      </c>
      <c r="D376" s="22" t="str">
        <f t="shared" si="11"/>
        <v>ganda</v>
      </c>
      <c r="E376" s="22" t="s">
        <v>1056</v>
      </c>
      <c r="F376" s="22" t="s">
        <v>10</v>
      </c>
      <c r="G376" s="22" t="s">
        <v>11</v>
      </c>
      <c r="H376" s="22" t="s">
        <v>18</v>
      </c>
      <c r="I376" s="22" t="s">
        <v>19</v>
      </c>
      <c r="J376" s="22" t="s">
        <v>906</v>
      </c>
      <c r="K376" s="23" t="s">
        <v>978</v>
      </c>
      <c r="L376" t="e">
        <f>VLOOKUP(B376,ubah!$B$2:$L$234,4,FALSE)</f>
        <v>#N/A</v>
      </c>
      <c r="M376" t="e">
        <f>VLOOKUP(B376,ubah!$B$2:$L$234,5,FALSE)</f>
        <v>#N/A</v>
      </c>
      <c r="N376" t="e">
        <f>VLOOKUP(B376,ubah!$B$2:$L$234,6,FALSE)</f>
        <v>#N/A</v>
      </c>
    </row>
    <row r="377" spans="1:14" hidden="1" x14ac:dyDescent="0.35">
      <c r="A377" s="21">
        <v>1433623</v>
      </c>
      <c r="B377" s="22" t="str">
        <f>"3328031606950003"</f>
        <v>3328031606950003</v>
      </c>
      <c r="C377" s="22" t="str">
        <f t="shared" si="10"/>
        <v>'3328031606950003</v>
      </c>
      <c r="D377" s="22" t="str">
        <f t="shared" si="11"/>
        <v>ganda</v>
      </c>
      <c r="E377" s="22" t="s">
        <v>1056</v>
      </c>
      <c r="F377" s="22" t="s">
        <v>10</v>
      </c>
      <c r="G377" s="22" t="s">
        <v>11</v>
      </c>
      <c r="H377" s="22" t="s">
        <v>91</v>
      </c>
      <c r="I377" s="22" t="s">
        <v>903</v>
      </c>
      <c r="J377" s="22" t="s">
        <v>1057</v>
      </c>
      <c r="K377" s="23" t="s">
        <v>1058</v>
      </c>
    </row>
    <row r="378" spans="1:14" hidden="1" x14ac:dyDescent="0.35">
      <c r="A378" s="21">
        <v>1573407</v>
      </c>
      <c r="B378" s="22" t="str">
        <f>"3328031608050001"</f>
        <v>3328031608050001</v>
      </c>
      <c r="C378" s="22" t="str">
        <f t="shared" si="10"/>
        <v>'3328031608050001</v>
      </c>
      <c r="D378" s="22" t="str">
        <f t="shared" si="11"/>
        <v>ganda</v>
      </c>
      <c r="E378" s="22" t="s">
        <v>1059</v>
      </c>
      <c r="F378" s="22" t="s">
        <v>10</v>
      </c>
      <c r="G378" s="22" t="s">
        <v>11</v>
      </c>
      <c r="H378" s="22" t="s">
        <v>18</v>
      </c>
      <c r="I378" s="22" t="s">
        <v>19</v>
      </c>
      <c r="J378" s="22" t="s">
        <v>906</v>
      </c>
      <c r="K378" s="23" t="s">
        <v>942</v>
      </c>
      <c r="L378" t="e">
        <f>VLOOKUP(B378,ubah!$B$2:$L$234,4,FALSE)</f>
        <v>#N/A</v>
      </c>
      <c r="M378" t="e">
        <f>VLOOKUP(B378,ubah!$B$2:$L$234,5,FALSE)</f>
        <v>#N/A</v>
      </c>
      <c r="N378" t="e">
        <f>VLOOKUP(B378,ubah!$B$2:$L$234,6,FALSE)</f>
        <v>#N/A</v>
      </c>
    </row>
    <row r="379" spans="1:14" hidden="1" x14ac:dyDescent="0.35">
      <c r="A379" s="21">
        <v>1351137</v>
      </c>
      <c r="B379" s="22" t="str">
        <f>"3328031608050001"</f>
        <v>3328031608050001</v>
      </c>
      <c r="C379" s="22" t="str">
        <f t="shared" si="10"/>
        <v>'3328031608050001</v>
      </c>
      <c r="D379" s="22" t="str">
        <f t="shared" si="11"/>
        <v>ganda</v>
      </c>
      <c r="E379" s="22" t="s">
        <v>1060</v>
      </c>
      <c r="F379" s="22" t="s">
        <v>10</v>
      </c>
      <c r="G379" s="22" t="s">
        <v>57</v>
      </c>
      <c r="H379" s="22" t="s">
        <v>303</v>
      </c>
      <c r="I379" s="22" t="s">
        <v>608</v>
      </c>
      <c r="J379" s="22" t="s">
        <v>609</v>
      </c>
      <c r="K379" s="23" t="s">
        <v>610</v>
      </c>
    </row>
    <row r="380" spans="1:14" hidden="1" x14ac:dyDescent="0.35">
      <c r="A380" s="21">
        <v>914672</v>
      </c>
      <c r="B380" s="22" t="str">
        <f>"3328031811650001"</f>
        <v>3328031811650001</v>
      </c>
      <c r="C380" s="22" t="str">
        <f t="shared" si="10"/>
        <v>'3328031811650001</v>
      </c>
      <c r="D380" s="22" t="str">
        <f t="shared" si="11"/>
        <v>tidak ganda</v>
      </c>
      <c r="E380" s="22" t="s">
        <v>508</v>
      </c>
      <c r="F380" s="22" t="s">
        <v>10</v>
      </c>
      <c r="G380" s="22" t="s">
        <v>11</v>
      </c>
      <c r="H380" s="22" t="s">
        <v>50</v>
      </c>
      <c r="I380" s="22" t="s">
        <v>72</v>
      </c>
      <c r="J380" s="22" t="s">
        <v>703</v>
      </c>
      <c r="K380" s="23" t="s">
        <v>1061</v>
      </c>
    </row>
    <row r="381" spans="1:14" hidden="1" x14ac:dyDescent="0.35">
      <c r="A381" s="21">
        <v>1579718</v>
      </c>
      <c r="B381" s="22" t="str">
        <f>"3328031812060007"</f>
        <v>3328031812060007</v>
      </c>
      <c r="C381" s="22" t="str">
        <f t="shared" si="10"/>
        <v>'3328031812060007</v>
      </c>
      <c r="D381" s="22" t="str">
        <f t="shared" si="11"/>
        <v>ganda</v>
      </c>
      <c r="E381" s="22" t="s">
        <v>1062</v>
      </c>
      <c r="F381" s="22" t="s">
        <v>10</v>
      </c>
      <c r="G381" s="22" t="s">
        <v>11</v>
      </c>
      <c r="H381" s="22" t="s">
        <v>18</v>
      </c>
      <c r="I381" s="22" t="s">
        <v>19</v>
      </c>
      <c r="J381" s="22" t="s">
        <v>906</v>
      </c>
      <c r="K381" s="23" t="s">
        <v>942</v>
      </c>
      <c r="L381" t="e">
        <f>VLOOKUP(B381,ubah!$B$2:$L$234,4,FALSE)</f>
        <v>#N/A</v>
      </c>
      <c r="M381" t="e">
        <f>VLOOKUP(B381,ubah!$B$2:$L$234,5,FALSE)</f>
        <v>#N/A</v>
      </c>
      <c r="N381" t="e">
        <f>VLOOKUP(B381,ubah!$B$2:$L$234,6,FALSE)</f>
        <v>#N/A</v>
      </c>
    </row>
    <row r="382" spans="1:14" hidden="1" x14ac:dyDescent="0.35">
      <c r="A382" s="21">
        <v>1351140</v>
      </c>
      <c r="B382" s="22" t="str">
        <f>"3328031812060007"</f>
        <v>3328031812060007</v>
      </c>
      <c r="C382" s="22" t="str">
        <f t="shared" si="10"/>
        <v>'3328031812060007</v>
      </c>
      <c r="D382" s="22" t="str">
        <f t="shared" si="11"/>
        <v>ganda</v>
      </c>
      <c r="E382" s="22" t="s">
        <v>1062</v>
      </c>
      <c r="F382" s="22" t="s">
        <v>10</v>
      </c>
      <c r="G382" s="22" t="s">
        <v>57</v>
      </c>
      <c r="H382" s="22" t="s">
        <v>303</v>
      </c>
      <c r="I382" s="22" t="s">
        <v>608</v>
      </c>
      <c r="J382" s="22" t="s">
        <v>609</v>
      </c>
      <c r="K382" s="23" t="s">
        <v>610</v>
      </c>
    </row>
    <row r="383" spans="1:14" hidden="1" x14ac:dyDescent="0.35">
      <c r="A383" s="21">
        <v>1578952</v>
      </c>
      <c r="B383" s="22" t="str">
        <f>"3328031912020002"</f>
        <v>3328031912020002</v>
      </c>
      <c r="C383" s="22" t="str">
        <f t="shared" si="10"/>
        <v>'3328031912020002</v>
      </c>
      <c r="D383" s="22" t="str">
        <f t="shared" si="11"/>
        <v>ganda</v>
      </c>
      <c r="E383" s="22" t="s">
        <v>1063</v>
      </c>
      <c r="F383" s="22" t="s">
        <v>10</v>
      </c>
      <c r="G383" s="22" t="s">
        <v>11</v>
      </c>
      <c r="H383" s="22" t="s">
        <v>18</v>
      </c>
      <c r="I383" s="22" t="s">
        <v>19</v>
      </c>
      <c r="J383" s="22" t="s">
        <v>906</v>
      </c>
      <c r="K383" s="23" t="s">
        <v>942</v>
      </c>
      <c r="L383" t="e">
        <f>VLOOKUP(B383,ubah!$B$2:$L$234,4,FALSE)</f>
        <v>#N/A</v>
      </c>
      <c r="M383" t="e">
        <f>VLOOKUP(B383,ubah!$B$2:$L$234,5,FALSE)</f>
        <v>#N/A</v>
      </c>
      <c r="N383" t="e">
        <f>VLOOKUP(B383,ubah!$B$2:$L$234,6,FALSE)</f>
        <v>#N/A</v>
      </c>
    </row>
    <row r="384" spans="1:14" hidden="1" x14ac:dyDescent="0.35">
      <c r="A384" s="21">
        <v>1351169</v>
      </c>
      <c r="B384" s="22" t="str">
        <f>"3328031912020002"</f>
        <v>3328031912020002</v>
      </c>
      <c r="C384" s="22" t="str">
        <f t="shared" si="10"/>
        <v>'3328031912020002</v>
      </c>
      <c r="D384" s="22" t="str">
        <f t="shared" si="11"/>
        <v>ganda</v>
      </c>
      <c r="E384" s="22" t="s">
        <v>1063</v>
      </c>
      <c r="F384" s="22" t="s">
        <v>10</v>
      </c>
      <c r="G384" s="22" t="s">
        <v>57</v>
      </c>
      <c r="H384" s="22" t="s">
        <v>303</v>
      </c>
      <c r="I384" s="22" t="s">
        <v>608</v>
      </c>
      <c r="J384" s="22" t="s">
        <v>609</v>
      </c>
      <c r="K384" s="23" t="s">
        <v>610</v>
      </c>
    </row>
    <row r="385" spans="1:14" hidden="1" x14ac:dyDescent="0.35">
      <c r="A385" s="21">
        <v>1565675</v>
      </c>
      <c r="B385" s="22" t="str">
        <f>"3328032004850005"</f>
        <v>3328032004850005</v>
      </c>
      <c r="C385" s="22" t="str">
        <f t="shared" si="10"/>
        <v>'3328032004850005</v>
      </c>
      <c r="D385" s="22" t="str">
        <f t="shared" si="11"/>
        <v>tidak ganda</v>
      </c>
      <c r="E385" s="22" t="s">
        <v>1064</v>
      </c>
      <c r="F385" s="22" t="s">
        <v>10</v>
      </c>
      <c r="G385" s="22" t="s">
        <v>11</v>
      </c>
      <c r="H385" s="22" t="s">
        <v>18</v>
      </c>
      <c r="I385" s="22" t="s">
        <v>19</v>
      </c>
      <c r="J385" s="22" t="s">
        <v>906</v>
      </c>
      <c r="K385" s="23" t="s">
        <v>959</v>
      </c>
      <c r="L385" t="e">
        <f>VLOOKUP(B385,ubah!$B$2:$L$234,4,FALSE)</f>
        <v>#N/A</v>
      </c>
      <c r="M385" t="e">
        <f>VLOOKUP(B385,ubah!$B$2:$L$234,5,FALSE)</f>
        <v>#N/A</v>
      </c>
      <c r="N385" t="e">
        <f>VLOOKUP(B385,ubah!$B$2:$L$234,6,FALSE)</f>
        <v>#N/A</v>
      </c>
    </row>
    <row r="386" spans="1:14" hidden="1" x14ac:dyDescent="0.35">
      <c r="A386" s="21">
        <v>1581726</v>
      </c>
      <c r="B386" s="22" t="str">
        <f>"3328032005890006"</f>
        <v>3328032005890006</v>
      </c>
      <c r="C386" s="22" t="str">
        <f t="shared" si="10"/>
        <v>'3328032005890006</v>
      </c>
      <c r="D386" s="22" t="str">
        <f t="shared" si="11"/>
        <v>tidak ganda</v>
      </c>
      <c r="E386" s="22" t="s">
        <v>967</v>
      </c>
      <c r="F386" s="22" t="s">
        <v>10</v>
      </c>
      <c r="G386" s="22" t="s">
        <v>11</v>
      </c>
      <c r="H386" s="22" t="s">
        <v>18</v>
      </c>
      <c r="I386" s="22" t="s">
        <v>19</v>
      </c>
      <c r="J386" s="22" t="s">
        <v>906</v>
      </c>
      <c r="K386" s="23" t="s">
        <v>906</v>
      </c>
      <c r="L386" t="e">
        <f>VLOOKUP(B386,ubah!$B$2:$L$234,4,FALSE)</f>
        <v>#N/A</v>
      </c>
      <c r="M386" t="e">
        <f>VLOOKUP(B386,ubah!$B$2:$L$234,5,FALSE)</f>
        <v>#N/A</v>
      </c>
      <c r="N386" t="e">
        <f>VLOOKUP(B386,ubah!$B$2:$L$234,6,FALSE)</f>
        <v>#N/A</v>
      </c>
    </row>
    <row r="387" spans="1:14" hidden="1" x14ac:dyDescent="0.35">
      <c r="A387" s="21">
        <v>1591901</v>
      </c>
      <c r="B387" s="22" t="str">
        <f>"3328032006020010"</f>
        <v>3328032006020010</v>
      </c>
      <c r="C387" s="22" t="str">
        <f t="shared" ref="C387:C450" si="12">"'"&amp;B387</f>
        <v>'3328032006020010</v>
      </c>
      <c r="D387" s="22" t="str">
        <f t="shared" ref="D387:D450" si="13">IF(COUNTIF($C:$C,C387)&gt;1,"ganda","tidak ganda")</f>
        <v>ganda</v>
      </c>
      <c r="E387" s="22" t="s">
        <v>1066</v>
      </c>
      <c r="F387" s="22" t="s">
        <v>10</v>
      </c>
      <c r="G387" s="22" t="s">
        <v>11</v>
      </c>
      <c r="H387" s="22" t="s">
        <v>18</v>
      </c>
      <c r="I387" s="22" t="s">
        <v>19</v>
      </c>
      <c r="J387" s="22" t="s">
        <v>906</v>
      </c>
      <c r="K387" s="23" t="s">
        <v>992</v>
      </c>
      <c r="L387" t="e">
        <f>VLOOKUP(B387,ubah!$B$2:$L$234,4,FALSE)</f>
        <v>#N/A</v>
      </c>
      <c r="M387" t="e">
        <f>VLOOKUP(B387,ubah!$B$2:$L$234,5,FALSE)</f>
        <v>#N/A</v>
      </c>
      <c r="N387" t="e">
        <f>VLOOKUP(B387,ubah!$B$2:$L$234,6,FALSE)</f>
        <v>#N/A</v>
      </c>
    </row>
    <row r="388" spans="1:14" hidden="1" x14ac:dyDescent="0.35">
      <c r="A388" s="21">
        <v>1351160</v>
      </c>
      <c r="B388" s="22" t="str">
        <f>"3328032006020010"</f>
        <v>3328032006020010</v>
      </c>
      <c r="C388" s="22" t="str">
        <f t="shared" si="12"/>
        <v>'3328032006020010</v>
      </c>
      <c r="D388" s="22" t="str">
        <f t="shared" si="13"/>
        <v>ganda</v>
      </c>
      <c r="E388" s="22" t="s">
        <v>1067</v>
      </c>
      <c r="F388" s="22" t="s">
        <v>10</v>
      </c>
      <c r="G388" s="22" t="s">
        <v>57</v>
      </c>
      <c r="H388" s="22" t="s">
        <v>303</v>
      </c>
      <c r="I388" s="22" t="s">
        <v>608</v>
      </c>
      <c r="J388" s="22" t="s">
        <v>609</v>
      </c>
      <c r="K388" s="23" t="s">
        <v>610</v>
      </c>
    </row>
    <row r="389" spans="1:14" hidden="1" x14ac:dyDescent="0.35">
      <c r="A389" s="21">
        <v>1599669</v>
      </c>
      <c r="B389" s="22" t="str">
        <f>"3328032006950013"</f>
        <v>3328032006950013</v>
      </c>
      <c r="C389" s="22" t="str">
        <f t="shared" si="12"/>
        <v>'3328032006950013</v>
      </c>
      <c r="D389" s="22" t="str">
        <f t="shared" si="13"/>
        <v>tidak ganda</v>
      </c>
      <c r="E389" s="22" t="s">
        <v>1068</v>
      </c>
      <c r="F389" s="22" t="s">
        <v>10</v>
      </c>
      <c r="G389" s="22" t="s">
        <v>11</v>
      </c>
      <c r="H389" s="22" t="s">
        <v>18</v>
      </c>
      <c r="I389" s="22" t="s">
        <v>19</v>
      </c>
      <c r="J389" s="22" t="s">
        <v>906</v>
      </c>
      <c r="K389" s="23" t="s">
        <v>920</v>
      </c>
      <c r="L389" t="e">
        <f>VLOOKUP(B389,ubah!$B$2:$L$234,4,FALSE)</f>
        <v>#N/A</v>
      </c>
      <c r="M389" t="e">
        <f>VLOOKUP(B389,ubah!$B$2:$L$234,5,FALSE)</f>
        <v>#N/A</v>
      </c>
      <c r="N389" t="e">
        <f>VLOOKUP(B389,ubah!$B$2:$L$234,6,FALSE)</f>
        <v>#N/A</v>
      </c>
    </row>
    <row r="390" spans="1:14" hidden="1" x14ac:dyDescent="0.35">
      <c r="A390" s="21">
        <v>1592676</v>
      </c>
      <c r="B390" s="22" t="str">
        <f>"3328032106020006"</f>
        <v>3328032106020006</v>
      </c>
      <c r="C390" s="22" t="str">
        <f t="shared" si="12"/>
        <v>'3328032106020006</v>
      </c>
      <c r="D390" s="22" t="str">
        <f t="shared" si="13"/>
        <v>ganda</v>
      </c>
      <c r="E390" s="22" t="s">
        <v>1070</v>
      </c>
      <c r="F390" s="22" t="s">
        <v>10</v>
      </c>
      <c r="G390" s="22" t="s">
        <v>11</v>
      </c>
      <c r="H390" s="22" t="s">
        <v>18</v>
      </c>
      <c r="I390" s="22" t="s">
        <v>19</v>
      </c>
      <c r="J390" s="22" t="s">
        <v>906</v>
      </c>
      <c r="K390" s="23" t="s">
        <v>992</v>
      </c>
      <c r="L390" t="e">
        <f>VLOOKUP(B390,ubah!$B$2:$L$234,4,FALSE)</f>
        <v>#N/A</v>
      </c>
      <c r="M390" t="e">
        <f>VLOOKUP(B390,ubah!$B$2:$L$234,5,FALSE)</f>
        <v>#N/A</v>
      </c>
      <c r="N390" t="e">
        <f>VLOOKUP(B390,ubah!$B$2:$L$234,6,FALSE)</f>
        <v>#N/A</v>
      </c>
    </row>
    <row r="391" spans="1:14" hidden="1" x14ac:dyDescent="0.35">
      <c r="A391" s="21">
        <v>1351161</v>
      </c>
      <c r="B391" s="22" t="str">
        <f>"3328032106020006"</f>
        <v>3328032106020006</v>
      </c>
      <c r="C391" s="22" t="str">
        <f t="shared" si="12"/>
        <v>'3328032106020006</v>
      </c>
      <c r="D391" s="22" t="str">
        <f t="shared" si="13"/>
        <v>ganda</v>
      </c>
      <c r="E391" s="22" t="s">
        <v>1070</v>
      </c>
      <c r="F391" s="22" t="s">
        <v>10</v>
      </c>
      <c r="G391" s="22" t="s">
        <v>57</v>
      </c>
      <c r="H391" s="22" t="s">
        <v>303</v>
      </c>
      <c r="I391" s="22" t="s">
        <v>608</v>
      </c>
      <c r="J391" s="22" t="s">
        <v>609</v>
      </c>
      <c r="K391" s="23" t="s">
        <v>610</v>
      </c>
    </row>
    <row r="392" spans="1:14" hidden="1" x14ac:dyDescent="0.35">
      <c r="A392" s="21">
        <v>1351142</v>
      </c>
      <c r="B392" s="22" t="str">
        <f>"3328032206030006"</f>
        <v>3328032206030006</v>
      </c>
      <c r="C392" s="22" t="str">
        <f t="shared" si="12"/>
        <v>'3328032206030006</v>
      </c>
      <c r="D392" s="22" t="str">
        <f t="shared" si="13"/>
        <v>tidak ganda</v>
      </c>
      <c r="E392" s="22" t="s">
        <v>1072</v>
      </c>
      <c r="F392" s="22" t="s">
        <v>10</v>
      </c>
      <c r="G392" s="22" t="s">
        <v>57</v>
      </c>
      <c r="H392" s="22" t="s">
        <v>303</v>
      </c>
      <c r="I392" s="22" t="s">
        <v>608</v>
      </c>
      <c r="J392" s="22" t="s">
        <v>609</v>
      </c>
      <c r="K392" s="23" t="s">
        <v>610</v>
      </c>
    </row>
    <row r="393" spans="1:14" hidden="1" x14ac:dyDescent="0.35">
      <c r="A393" s="21">
        <v>1561121</v>
      </c>
      <c r="B393" s="22" t="str">
        <f>"3328032301030005"</f>
        <v>3328032301030005</v>
      </c>
      <c r="C393" s="22" t="str">
        <f t="shared" si="12"/>
        <v>'3328032301030005</v>
      </c>
      <c r="D393" s="22" t="str">
        <f t="shared" si="13"/>
        <v>ganda</v>
      </c>
      <c r="E393" s="22" t="s">
        <v>1075</v>
      </c>
      <c r="F393" s="22" t="s">
        <v>10</v>
      </c>
      <c r="G393" s="22" t="s">
        <v>11</v>
      </c>
      <c r="H393" s="22" t="s">
        <v>18</v>
      </c>
      <c r="I393" s="22" t="s">
        <v>19</v>
      </c>
      <c r="J393" s="22" t="s">
        <v>906</v>
      </c>
      <c r="K393" s="23" t="s">
        <v>1011</v>
      </c>
      <c r="L393" t="e">
        <f>VLOOKUP(B393,ubah!$B$2:$L$234,4,FALSE)</f>
        <v>#N/A</v>
      </c>
      <c r="M393" t="e">
        <f>VLOOKUP(B393,ubah!$B$2:$L$234,5,FALSE)</f>
        <v>#N/A</v>
      </c>
      <c r="N393" t="e">
        <f>VLOOKUP(B393,ubah!$B$2:$L$234,6,FALSE)</f>
        <v>#N/A</v>
      </c>
    </row>
    <row r="394" spans="1:14" hidden="1" x14ac:dyDescent="0.35">
      <c r="A394" s="21">
        <v>1351143</v>
      </c>
      <c r="B394" s="22" t="str">
        <f>"3328032301030005"</f>
        <v>3328032301030005</v>
      </c>
      <c r="C394" s="22" t="str">
        <f t="shared" si="12"/>
        <v>'3328032301030005</v>
      </c>
      <c r="D394" s="22" t="str">
        <f t="shared" si="13"/>
        <v>ganda</v>
      </c>
      <c r="E394" s="22" t="s">
        <v>1076</v>
      </c>
      <c r="F394" s="22" t="s">
        <v>10</v>
      </c>
      <c r="G394" s="22" t="s">
        <v>57</v>
      </c>
      <c r="H394" s="22" t="s">
        <v>303</v>
      </c>
      <c r="I394" s="22" t="s">
        <v>608</v>
      </c>
      <c r="J394" s="22" t="s">
        <v>609</v>
      </c>
      <c r="K394" s="23" t="s">
        <v>610</v>
      </c>
    </row>
    <row r="395" spans="1:14" hidden="1" x14ac:dyDescent="0.35">
      <c r="A395" s="21">
        <v>1573651</v>
      </c>
      <c r="B395" s="22" t="str">
        <f>"3328032303010004"</f>
        <v>3328032303010004</v>
      </c>
      <c r="C395" s="22" t="str">
        <f t="shared" si="12"/>
        <v>'3328032303010004</v>
      </c>
      <c r="D395" s="22" t="str">
        <f t="shared" si="13"/>
        <v>ganda</v>
      </c>
      <c r="E395" s="22" t="s">
        <v>1077</v>
      </c>
      <c r="F395" s="22" t="s">
        <v>10</v>
      </c>
      <c r="G395" s="22" t="s">
        <v>11</v>
      </c>
      <c r="H395" s="22" t="s">
        <v>18</v>
      </c>
      <c r="I395" s="22" t="s">
        <v>19</v>
      </c>
      <c r="J395" s="22" t="s">
        <v>906</v>
      </c>
      <c r="K395" s="23" t="s">
        <v>942</v>
      </c>
      <c r="L395" t="e">
        <f>VLOOKUP(B395,ubah!$B$2:$L$234,4,FALSE)</f>
        <v>#N/A</v>
      </c>
      <c r="M395" t="e">
        <f>VLOOKUP(B395,ubah!$B$2:$L$234,5,FALSE)</f>
        <v>#N/A</v>
      </c>
      <c r="N395" t="e">
        <f>VLOOKUP(B395,ubah!$B$2:$L$234,6,FALSE)</f>
        <v>#N/A</v>
      </c>
    </row>
    <row r="396" spans="1:14" hidden="1" x14ac:dyDescent="0.35">
      <c r="A396" s="21">
        <v>1351178</v>
      </c>
      <c r="B396" s="22" t="str">
        <f>"3328032303010004"</f>
        <v>3328032303010004</v>
      </c>
      <c r="C396" s="22" t="str">
        <f t="shared" si="12"/>
        <v>'3328032303010004</v>
      </c>
      <c r="D396" s="22" t="str">
        <f t="shared" si="13"/>
        <v>ganda</v>
      </c>
      <c r="E396" s="22" t="s">
        <v>1077</v>
      </c>
      <c r="F396" s="22" t="s">
        <v>10</v>
      </c>
      <c r="G396" s="22" t="s">
        <v>57</v>
      </c>
      <c r="H396" s="22" t="s">
        <v>303</v>
      </c>
      <c r="I396" s="22" t="s">
        <v>608</v>
      </c>
      <c r="J396" s="22" t="s">
        <v>609</v>
      </c>
      <c r="K396" s="23" t="s">
        <v>610</v>
      </c>
    </row>
    <row r="397" spans="1:14" hidden="1" x14ac:dyDescent="0.35">
      <c r="A397" s="21">
        <v>1578748</v>
      </c>
      <c r="B397" s="22" t="str">
        <f>"3328032308980003"</f>
        <v>3328032308980003</v>
      </c>
      <c r="C397" s="22" t="str">
        <f t="shared" si="12"/>
        <v>'3328032308980003</v>
      </c>
      <c r="D397" s="22" t="str">
        <f t="shared" si="13"/>
        <v>ganda</v>
      </c>
      <c r="E397" s="22" t="s">
        <v>1078</v>
      </c>
      <c r="F397" s="22" t="s">
        <v>10</v>
      </c>
      <c r="G397" s="22" t="s">
        <v>11</v>
      </c>
      <c r="H397" s="22" t="s">
        <v>18</v>
      </c>
      <c r="I397" s="22" t="s">
        <v>19</v>
      </c>
      <c r="J397" s="22" t="s">
        <v>906</v>
      </c>
      <c r="K397" s="23" t="s">
        <v>942</v>
      </c>
      <c r="L397" t="e">
        <f>VLOOKUP(B397,ubah!$B$2:$L$234,4,FALSE)</f>
        <v>#N/A</v>
      </c>
      <c r="M397" t="e">
        <f>VLOOKUP(B397,ubah!$B$2:$L$234,5,FALSE)</f>
        <v>#N/A</v>
      </c>
      <c r="N397" t="e">
        <f>VLOOKUP(B397,ubah!$B$2:$L$234,6,FALSE)</f>
        <v>#N/A</v>
      </c>
    </row>
    <row r="398" spans="1:14" hidden="1" x14ac:dyDescent="0.35">
      <c r="A398" s="21">
        <v>1351180</v>
      </c>
      <c r="B398" s="22" t="str">
        <f>"3328032308980003"</f>
        <v>3328032308980003</v>
      </c>
      <c r="C398" s="22" t="str">
        <f t="shared" si="12"/>
        <v>'3328032308980003</v>
      </c>
      <c r="D398" s="22" t="str">
        <f t="shared" si="13"/>
        <v>ganda</v>
      </c>
      <c r="E398" s="22" t="s">
        <v>1079</v>
      </c>
      <c r="F398" s="22" t="s">
        <v>10</v>
      </c>
      <c r="G398" s="22" t="s">
        <v>57</v>
      </c>
      <c r="H398" s="22" t="s">
        <v>303</v>
      </c>
      <c r="I398" s="22" t="s">
        <v>608</v>
      </c>
      <c r="J398" s="22" t="s">
        <v>609</v>
      </c>
      <c r="K398" s="23" t="s">
        <v>610</v>
      </c>
    </row>
    <row r="399" spans="1:14" hidden="1" x14ac:dyDescent="0.35">
      <c r="A399" s="21">
        <v>1572800</v>
      </c>
      <c r="B399" s="22" t="str">
        <f>"3328032403020002"</f>
        <v>3328032403020002</v>
      </c>
      <c r="C399" s="22" t="str">
        <f t="shared" si="12"/>
        <v>'3328032403020002</v>
      </c>
      <c r="D399" s="22" t="str">
        <f t="shared" si="13"/>
        <v>ganda</v>
      </c>
      <c r="E399" s="22" t="s">
        <v>1080</v>
      </c>
      <c r="F399" s="22" t="s">
        <v>10</v>
      </c>
      <c r="G399" s="22" t="s">
        <v>11</v>
      </c>
      <c r="H399" s="22" t="s">
        <v>18</v>
      </c>
      <c r="I399" s="22" t="s">
        <v>19</v>
      </c>
      <c r="J399" s="22" t="s">
        <v>906</v>
      </c>
      <c r="K399" s="23" t="s">
        <v>933</v>
      </c>
      <c r="L399" t="e">
        <f>VLOOKUP(B399,ubah!$B$2:$L$234,4,FALSE)</f>
        <v>#N/A</v>
      </c>
      <c r="M399" t="e">
        <f>VLOOKUP(B399,ubah!$B$2:$L$234,5,FALSE)</f>
        <v>#N/A</v>
      </c>
      <c r="N399" t="e">
        <f>VLOOKUP(B399,ubah!$B$2:$L$234,6,FALSE)</f>
        <v>#N/A</v>
      </c>
    </row>
    <row r="400" spans="1:14" hidden="1" x14ac:dyDescent="0.35">
      <c r="A400" s="21">
        <v>1351154</v>
      </c>
      <c r="B400" s="22" t="str">
        <f>"3328032403020002"</f>
        <v>3328032403020002</v>
      </c>
      <c r="C400" s="22" t="str">
        <f t="shared" si="12"/>
        <v>'3328032403020002</v>
      </c>
      <c r="D400" s="22" t="str">
        <f t="shared" si="13"/>
        <v>ganda</v>
      </c>
      <c r="E400" s="22" t="s">
        <v>1081</v>
      </c>
      <c r="F400" s="22" t="s">
        <v>10</v>
      </c>
      <c r="G400" s="22" t="s">
        <v>57</v>
      </c>
      <c r="H400" s="22" t="s">
        <v>303</v>
      </c>
      <c r="I400" s="22" t="s">
        <v>608</v>
      </c>
      <c r="J400" s="22" t="s">
        <v>609</v>
      </c>
      <c r="K400" s="23" t="s">
        <v>610</v>
      </c>
    </row>
    <row r="401" spans="1:14" hidden="1" x14ac:dyDescent="0.35">
      <c r="A401" s="21">
        <v>1053173</v>
      </c>
      <c r="B401" s="22" t="str">
        <f>"3328032403830004"</f>
        <v>3328032403830004</v>
      </c>
      <c r="C401" s="22" t="str">
        <f t="shared" si="12"/>
        <v>'3328032403830004</v>
      </c>
      <c r="D401" s="22" t="str">
        <f t="shared" si="13"/>
        <v>tidak ganda</v>
      </c>
      <c r="E401" s="22" t="s">
        <v>1082</v>
      </c>
      <c r="F401" s="22" t="s">
        <v>10</v>
      </c>
      <c r="G401" s="22" t="s">
        <v>11</v>
      </c>
      <c r="H401" s="22" t="s">
        <v>67</v>
      </c>
      <c r="I401" s="22" t="s">
        <v>68</v>
      </c>
      <c r="J401" s="22" t="s">
        <v>69</v>
      </c>
      <c r="K401" s="23" t="s">
        <v>1083</v>
      </c>
    </row>
    <row r="402" spans="1:14" hidden="1" x14ac:dyDescent="0.35">
      <c r="A402" s="21">
        <v>1576849</v>
      </c>
      <c r="B402" s="22" t="str">
        <f>"3328032507030004"</f>
        <v>3328032507030004</v>
      </c>
      <c r="C402" s="22" t="str">
        <f t="shared" si="12"/>
        <v>'3328032507030004</v>
      </c>
      <c r="D402" s="22" t="str">
        <f t="shared" si="13"/>
        <v>ganda</v>
      </c>
      <c r="E402" s="22" t="s">
        <v>1084</v>
      </c>
      <c r="F402" s="22" t="s">
        <v>10</v>
      </c>
      <c r="G402" s="22" t="s">
        <v>11</v>
      </c>
      <c r="H402" s="22" t="s">
        <v>18</v>
      </c>
      <c r="I402" s="22" t="s">
        <v>19</v>
      </c>
      <c r="J402" s="22" t="s">
        <v>906</v>
      </c>
      <c r="K402" s="23" t="s">
        <v>942</v>
      </c>
      <c r="L402" t="e">
        <f>VLOOKUP(B402,ubah!$B$2:$L$234,4,FALSE)</f>
        <v>#N/A</v>
      </c>
      <c r="M402" t="e">
        <f>VLOOKUP(B402,ubah!$B$2:$L$234,5,FALSE)</f>
        <v>#N/A</v>
      </c>
      <c r="N402" t="e">
        <f>VLOOKUP(B402,ubah!$B$2:$L$234,6,FALSE)</f>
        <v>#N/A</v>
      </c>
    </row>
    <row r="403" spans="1:14" hidden="1" x14ac:dyDescent="0.35">
      <c r="A403" s="21">
        <v>1684307</v>
      </c>
      <c r="B403" s="22" t="str">
        <f>"3328032507030004"</f>
        <v>3328032507030004</v>
      </c>
      <c r="C403" s="22" t="str">
        <f t="shared" si="12"/>
        <v>'3328032507030004</v>
      </c>
      <c r="D403" s="22" t="str">
        <f t="shared" si="13"/>
        <v>ganda</v>
      </c>
      <c r="E403" s="22" t="s">
        <v>1084</v>
      </c>
      <c r="F403" s="22" t="s">
        <v>10</v>
      </c>
      <c r="G403" s="22" t="s">
        <v>57</v>
      </c>
      <c r="H403" s="22" t="s">
        <v>18</v>
      </c>
      <c r="I403" s="22" t="s">
        <v>184</v>
      </c>
      <c r="J403" s="22" t="s">
        <v>1085</v>
      </c>
      <c r="K403" s="23" t="s">
        <v>1086</v>
      </c>
    </row>
    <row r="404" spans="1:14" hidden="1" x14ac:dyDescent="0.35">
      <c r="A404" s="21">
        <v>1934925</v>
      </c>
      <c r="B404" s="22" t="str">
        <f>"3328032603030008"</f>
        <v>3328032603030008</v>
      </c>
      <c r="C404" s="22" t="str">
        <f t="shared" si="12"/>
        <v>'3328032603030008</v>
      </c>
      <c r="D404" s="22" t="str">
        <f t="shared" si="13"/>
        <v>ganda</v>
      </c>
      <c r="E404" s="22" t="s">
        <v>1087</v>
      </c>
      <c r="F404" s="22" t="s">
        <v>10</v>
      </c>
      <c r="G404" s="22" t="s">
        <v>11</v>
      </c>
      <c r="H404" s="22" t="s">
        <v>18</v>
      </c>
      <c r="I404" s="22" t="s">
        <v>19</v>
      </c>
      <c r="J404" s="22" t="s">
        <v>906</v>
      </c>
      <c r="K404" s="23" t="s">
        <v>913</v>
      </c>
      <c r="L404" t="e">
        <f>VLOOKUP(B404,ubah!$B$2:$L$234,4,FALSE)</f>
        <v>#N/A</v>
      </c>
      <c r="M404" t="e">
        <f>VLOOKUP(B404,ubah!$B$2:$L$234,5,FALSE)</f>
        <v>#N/A</v>
      </c>
      <c r="N404" t="e">
        <f>VLOOKUP(B404,ubah!$B$2:$L$234,6,FALSE)</f>
        <v>#N/A</v>
      </c>
    </row>
    <row r="405" spans="1:14" hidden="1" x14ac:dyDescent="0.35">
      <c r="A405" s="21">
        <v>1392523</v>
      </c>
      <c r="B405" s="22" t="str">
        <f>"3328032603030008"</f>
        <v>3328032603030008</v>
      </c>
      <c r="C405" s="22" t="str">
        <f t="shared" si="12"/>
        <v>'3328032603030008</v>
      </c>
      <c r="D405" s="22" t="str">
        <f t="shared" si="13"/>
        <v>ganda</v>
      </c>
      <c r="E405" s="22" t="s">
        <v>1088</v>
      </c>
      <c r="F405" s="22" t="s">
        <v>10</v>
      </c>
      <c r="G405" s="22" t="s">
        <v>57</v>
      </c>
      <c r="H405" s="22" t="s">
        <v>303</v>
      </c>
      <c r="I405" s="22" t="s">
        <v>608</v>
      </c>
      <c r="J405" s="22" t="s">
        <v>1089</v>
      </c>
      <c r="K405" s="23" t="s">
        <v>1090</v>
      </c>
    </row>
    <row r="406" spans="1:14" hidden="1" x14ac:dyDescent="0.35">
      <c r="A406" s="21">
        <v>1579239</v>
      </c>
      <c r="B406" s="22" t="str">
        <f>"3328032603040001"</f>
        <v>3328032603040001</v>
      </c>
      <c r="C406" s="22" t="str">
        <f t="shared" si="12"/>
        <v>'3328032603040001</v>
      </c>
      <c r="D406" s="22" t="str">
        <f t="shared" si="13"/>
        <v>ganda</v>
      </c>
      <c r="E406" s="22" t="s">
        <v>1091</v>
      </c>
      <c r="F406" s="22" t="s">
        <v>10</v>
      </c>
      <c r="G406" s="22" t="s">
        <v>11</v>
      </c>
      <c r="H406" s="22" t="s">
        <v>18</v>
      </c>
      <c r="I406" s="22" t="s">
        <v>19</v>
      </c>
      <c r="J406" s="22" t="s">
        <v>906</v>
      </c>
      <c r="K406" s="23" t="s">
        <v>942</v>
      </c>
      <c r="L406" t="e">
        <f>VLOOKUP(B406,ubah!$B$2:$L$234,4,FALSE)</f>
        <v>#N/A</v>
      </c>
      <c r="M406" t="e">
        <f>VLOOKUP(B406,ubah!$B$2:$L$234,5,FALSE)</f>
        <v>#N/A</v>
      </c>
      <c r="N406" t="e">
        <f>VLOOKUP(B406,ubah!$B$2:$L$234,6,FALSE)</f>
        <v>#N/A</v>
      </c>
    </row>
    <row r="407" spans="1:14" hidden="1" x14ac:dyDescent="0.35">
      <c r="A407" s="21">
        <v>1351145</v>
      </c>
      <c r="B407" s="22" t="str">
        <f>"3328032603040001"</f>
        <v>3328032603040001</v>
      </c>
      <c r="C407" s="22" t="str">
        <f t="shared" si="12"/>
        <v>'3328032603040001</v>
      </c>
      <c r="D407" s="22" t="str">
        <f t="shared" si="13"/>
        <v>ganda</v>
      </c>
      <c r="E407" s="22" t="s">
        <v>1091</v>
      </c>
      <c r="F407" s="22" t="s">
        <v>10</v>
      </c>
      <c r="G407" s="22" t="s">
        <v>57</v>
      </c>
      <c r="H407" s="22" t="s">
        <v>303</v>
      </c>
      <c r="I407" s="22" t="s">
        <v>608</v>
      </c>
      <c r="J407" s="22" t="s">
        <v>609</v>
      </c>
      <c r="K407" s="23" t="s">
        <v>610</v>
      </c>
    </row>
    <row r="408" spans="1:14" hidden="1" x14ac:dyDescent="0.35">
      <c r="A408" s="21">
        <v>404920</v>
      </c>
      <c r="B408" s="22" t="str">
        <f>"3328032603980002"</f>
        <v>3328032603980002</v>
      </c>
      <c r="C408" s="22" t="str">
        <f t="shared" si="12"/>
        <v>'3328032603980002</v>
      </c>
      <c r="D408" s="22" t="str">
        <f t="shared" si="13"/>
        <v>tidak ganda</v>
      </c>
      <c r="E408" s="22" t="s">
        <v>1092</v>
      </c>
      <c r="F408" s="22" t="s">
        <v>10</v>
      </c>
      <c r="G408" s="22" t="s">
        <v>11</v>
      </c>
      <c r="H408" s="22" t="s">
        <v>50</v>
      </c>
      <c r="I408" s="22" t="s">
        <v>72</v>
      </c>
      <c r="J408" s="22" t="s">
        <v>1093</v>
      </c>
      <c r="K408" s="23" t="s">
        <v>1094</v>
      </c>
    </row>
    <row r="409" spans="1:14" hidden="1" x14ac:dyDescent="0.35">
      <c r="A409" s="21">
        <v>1394574</v>
      </c>
      <c r="B409" s="22" t="str">
        <f>"3328032611000001"</f>
        <v>3328032611000001</v>
      </c>
      <c r="C409" s="22" t="str">
        <f t="shared" si="12"/>
        <v>'3328032611000001</v>
      </c>
      <c r="D409" s="22" t="str">
        <f t="shared" si="13"/>
        <v>tidak ganda</v>
      </c>
      <c r="E409" s="22" t="s">
        <v>1095</v>
      </c>
      <c r="F409" s="22" t="s">
        <v>10</v>
      </c>
      <c r="G409" s="22" t="s">
        <v>11</v>
      </c>
      <c r="H409" s="22" t="s">
        <v>50</v>
      </c>
      <c r="I409" s="22" t="s">
        <v>72</v>
      </c>
      <c r="J409" s="22" t="s">
        <v>738</v>
      </c>
      <c r="K409" s="23" t="s">
        <v>1096</v>
      </c>
    </row>
    <row r="410" spans="1:14" hidden="1" x14ac:dyDescent="0.35">
      <c r="A410" s="21">
        <v>1351162</v>
      </c>
      <c r="B410" s="22" t="str">
        <f>"3328032707030004"</f>
        <v>3328032707030004</v>
      </c>
      <c r="C410" s="22" t="str">
        <f t="shared" si="12"/>
        <v>'3328032707030004</v>
      </c>
      <c r="D410" s="22" t="str">
        <f t="shared" si="13"/>
        <v>tidak ganda</v>
      </c>
      <c r="E410" s="22" t="s">
        <v>1099</v>
      </c>
      <c r="F410" s="22" t="s">
        <v>10</v>
      </c>
      <c r="G410" s="22" t="s">
        <v>57</v>
      </c>
      <c r="H410" s="22" t="s">
        <v>303</v>
      </c>
      <c r="I410" s="22" t="s">
        <v>608</v>
      </c>
      <c r="J410" s="22" t="s">
        <v>609</v>
      </c>
      <c r="K410" s="23" t="s">
        <v>610</v>
      </c>
    </row>
    <row r="411" spans="1:14" hidden="1" x14ac:dyDescent="0.35">
      <c r="A411" s="21">
        <v>1580093</v>
      </c>
      <c r="B411" s="22" t="str">
        <f>"3328032708030001"</f>
        <v>3328032708030001</v>
      </c>
      <c r="C411" s="22" t="str">
        <f t="shared" si="12"/>
        <v>'3328032708030001</v>
      </c>
      <c r="D411" s="22" t="str">
        <f t="shared" si="13"/>
        <v>ganda</v>
      </c>
      <c r="E411" s="22" t="s">
        <v>1100</v>
      </c>
      <c r="F411" s="22" t="s">
        <v>10</v>
      </c>
      <c r="G411" s="22" t="s">
        <v>11</v>
      </c>
      <c r="H411" s="22" t="s">
        <v>18</v>
      </c>
      <c r="I411" s="22" t="s">
        <v>19</v>
      </c>
      <c r="J411" s="22" t="s">
        <v>906</v>
      </c>
      <c r="K411" s="23" t="s">
        <v>942</v>
      </c>
      <c r="L411" t="e">
        <f>VLOOKUP(B411,ubah!$B$2:$L$234,4,FALSE)</f>
        <v>#N/A</v>
      </c>
      <c r="M411" t="e">
        <f>VLOOKUP(B411,ubah!$B$2:$L$234,5,FALSE)</f>
        <v>#N/A</v>
      </c>
      <c r="N411" t="e">
        <f>VLOOKUP(B411,ubah!$B$2:$L$234,6,FALSE)</f>
        <v>#N/A</v>
      </c>
    </row>
    <row r="412" spans="1:14" hidden="1" x14ac:dyDescent="0.35">
      <c r="A412" s="21">
        <v>1351146</v>
      </c>
      <c r="B412" s="22" t="str">
        <f>"3328032708030001"</f>
        <v>3328032708030001</v>
      </c>
      <c r="C412" s="22" t="str">
        <f t="shared" si="12"/>
        <v>'3328032708030001</v>
      </c>
      <c r="D412" s="22" t="str">
        <f t="shared" si="13"/>
        <v>ganda</v>
      </c>
      <c r="E412" s="22" t="s">
        <v>1101</v>
      </c>
      <c r="F412" s="22" t="s">
        <v>10</v>
      </c>
      <c r="G412" s="22" t="s">
        <v>57</v>
      </c>
      <c r="H412" s="22" t="s">
        <v>303</v>
      </c>
      <c r="I412" s="22" t="s">
        <v>608</v>
      </c>
      <c r="J412" s="22" t="s">
        <v>609</v>
      </c>
      <c r="K412" s="23" t="s">
        <v>610</v>
      </c>
    </row>
    <row r="413" spans="1:14" hidden="1" x14ac:dyDescent="0.35">
      <c r="A413" s="21">
        <v>1572956</v>
      </c>
      <c r="B413" s="22" t="str">
        <f>"3328032912030001"</f>
        <v>3328032912030001</v>
      </c>
      <c r="C413" s="22" t="str">
        <f t="shared" si="12"/>
        <v>'3328032912030001</v>
      </c>
      <c r="D413" s="22" t="str">
        <f t="shared" si="13"/>
        <v>ganda</v>
      </c>
      <c r="E413" s="22" t="s">
        <v>1102</v>
      </c>
      <c r="F413" s="22" t="s">
        <v>10</v>
      </c>
      <c r="G413" s="22" t="s">
        <v>11</v>
      </c>
      <c r="H413" s="22" t="s">
        <v>18</v>
      </c>
      <c r="I413" s="22" t="s">
        <v>19</v>
      </c>
      <c r="J413" s="22" t="s">
        <v>906</v>
      </c>
      <c r="K413" s="23" t="s">
        <v>942</v>
      </c>
      <c r="L413" t="e">
        <f>VLOOKUP(B413,ubah!$B$2:$L$234,4,FALSE)</f>
        <v>#N/A</v>
      </c>
      <c r="M413" t="e">
        <f>VLOOKUP(B413,ubah!$B$2:$L$234,5,FALSE)</f>
        <v>#N/A</v>
      </c>
      <c r="N413" t="e">
        <f>VLOOKUP(B413,ubah!$B$2:$L$234,6,FALSE)</f>
        <v>#N/A</v>
      </c>
    </row>
    <row r="414" spans="1:14" hidden="1" x14ac:dyDescent="0.35">
      <c r="A414" s="21">
        <v>1351182</v>
      </c>
      <c r="B414" s="22" t="str">
        <f>"3328032912030001"</f>
        <v>3328032912030001</v>
      </c>
      <c r="C414" s="22" t="str">
        <f t="shared" si="12"/>
        <v>'3328032912030001</v>
      </c>
      <c r="D414" s="22" t="str">
        <f t="shared" si="13"/>
        <v>ganda</v>
      </c>
      <c r="E414" s="22" t="s">
        <v>1102</v>
      </c>
      <c r="F414" s="22" t="s">
        <v>10</v>
      </c>
      <c r="G414" s="22" t="s">
        <v>57</v>
      </c>
      <c r="H414" s="22" t="s">
        <v>303</v>
      </c>
      <c r="I414" s="22" t="s">
        <v>608</v>
      </c>
      <c r="J414" s="22" t="s">
        <v>609</v>
      </c>
      <c r="K414" s="23" t="s">
        <v>610</v>
      </c>
    </row>
    <row r="415" spans="1:14" hidden="1" x14ac:dyDescent="0.35">
      <c r="A415" s="21">
        <v>1351183</v>
      </c>
      <c r="B415" s="22" t="str">
        <f>"3328033008020001"</f>
        <v>3328033008020001</v>
      </c>
      <c r="C415" s="22" t="str">
        <f t="shared" si="12"/>
        <v>'3328033008020001</v>
      </c>
      <c r="D415" s="22" t="str">
        <f t="shared" si="13"/>
        <v>tidak ganda</v>
      </c>
      <c r="E415" s="22" t="s">
        <v>1103</v>
      </c>
      <c r="F415" s="22" t="s">
        <v>10</v>
      </c>
      <c r="G415" s="22" t="s">
        <v>57</v>
      </c>
      <c r="H415" s="22" t="s">
        <v>303</v>
      </c>
      <c r="I415" s="22" t="s">
        <v>608</v>
      </c>
      <c r="J415" s="22" t="s">
        <v>609</v>
      </c>
      <c r="K415" s="23" t="s">
        <v>610</v>
      </c>
    </row>
    <row r="416" spans="1:14" hidden="1" x14ac:dyDescent="0.35">
      <c r="A416" s="21">
        <v>1573882</v>
      </c>
      <c r="B416" s="22" t="str">
        <f>"3328033103060001"</f>
        <v>3328033103060001</v>
      </c>
      <c r="C416" s="22" t="str">
        <f t="shared" si="12"/>
        <v>'3328033103060001</v>
      </c>
      <c r="D416" s="22" t="str">
        <f t="shared" si="13"/>
        <v>ganda</v>
      </c>
      <c r="E416" s="22" t="s">
        <v>1104</v>
      </c>
      <c r="F416" s="22" t="s">
        <v>10</v>
      </c>
      <c r="G416" s="22" t="s">
        <v>11</v>
      </c>
      <c r="H416" s="22" t="s">
        <v>18</v>
      </c>
      <c r="I416" s="22" t="s">
        <v>19</v>
      </c>
      <c r="J416" s="22" t="s">
        <v>906</v>
      </c>
      <c r="K416" s="23" t="s">
        <v>942</v>
      </c>
      <c r="L416" t="e">
        <f>VLOOKUP(B416,ubah!$B$2:$L$234,4,FALSE)</f>
        <v>#N/A</v>
      </c>
      <c r="M416" t="e">
        <f>VLOOKUP(B416,ubah!$B$2:$L$234,5,FALSE)</f>
        <v>#N/A</v>
      </c>
      <c r="N416" t="e">
        <f>VLOOKUP(B416,ubah!$B$2:$L$234,6,FALSE)</f>
        <v>#N/A</v>
      </c>
    </row>
    <row r="417" spans="1:14" hidden="1" x14ac:dyDescent="0.35">
      <c r="A417" s="21">
        <v>1351148</v>
      </c>
      <c r="B417" s="22" t="str">
        <f>"3328033103060001"</f>
        <v>3328033103060001</v>
      </c>
      <c r="C417" s="22" t="str">
        <f t="shared" si="12"/>
        <v>'3328033103060001</v>
      </c>
      <c r="D417" s="22" t="str">
        <f t="shared" si="13"/>
        <v>ganda</v>
      </c>
      <c r="E417" s="22" t="s">
        <v>1104</v>
      </c>
      <c r="F417" s="22" t="s">
        <v>10</v>
      </c>
      <c r="G417" s="22" t="s">
        <v>57</v>
      </c>
      <c r="H417" s="22" t="s">
        <v>303</v>
      </c>
      <c r="I417" s="22" t="s">
        <v>608</v>
      </c>
      <c r="J417" s="22" t="s">
        <v>609</v>
      </c>
      <c r="K417" s="23" t="s">
        <v>610</v>
      </c>
    </row>
    <row r="418" spans="1:14" hidden="1" x14ac:dyDescent="0.35">
      <c r="A418" s="21">
        <v>1621923</v>
      </c>
      <c r="B418" s="22" t="str">
        <f>"3328033112620077"</f>
        <v>3328033112620077</v>
      </c>
      <c r="C418" s="22" t="str">
        <f t="shared" si="12"/>
        <v>'3328033112620077</v>
      </c>
      <c r="D418" s="22" t="str">
        <f t="shared" si="13"/>
        <v>tidak ganda</v>
      </c>
      <c r="E418" s="22" t="s">
        <v>1105</v>
      </c>
      <c r="F418" s="22" t="s">
        <v>10</v>
      </c>
      <c r="G418" s="22" t="s">
        <v>11</v>
      </c>
      <c r="H418" s="22" t="s">
        <v>91</v>
      </c>
      <c r="I418" s="22" t="s">
        <v>101</v>
      </c>
      <c r="J418" s="22" t="s">
        <v>1106</v>
      </c>
      <c r="K418" s="23" t="s">
        <v>1106</v>
      </c>
    </row>
    <row r="419" spans="1:14" hidden="1" x14ac:dyDescent="0.35">
      <c r="A419" s="21">
        <v>1575110</v>
      </c>
      <c r="B419" s="22" t="str">
        <f>"3328034107020143"</f>
        <v>3328034107020143</v>
      </c>
      <c r="C419" s="22" t="str">
        <f t="shared" si="12"/>
        <v>'3328034107020143</v>
      </c>
      <c r="D419" s="22" t="str">
        <f t="shared" si="13"/>
        <v>tidak ganda</v>
      </c>
      <c r="E419" s="22" t="s">
        <v>1107</v>
      </c>
      <c r="F419" s="22" t="s">
        <v>10</v>
      </c>
      <c r="G419" s="22" t="s">
        <v>11</v>
      </c>
      <c r="H419" s="22" t="s">
        <v>67</v>
      </c>
      <c r="I419" s="22" t="s">
        <v>791</v>
      </c>
      <c r="J419" s="22" t="s">
        <v>1108</v>
      </c>
      <c r="K419" s="23" t="s">
        <v>1109</v>
      </c>
    </row>
    <row r="420" spans="1:14" hidden="1" x14ac:dyDescent="0.35">
      <c r="A420" s="21">
        <v>542909</v>
      </c>
      <c r="B420" s="22" t="str">
        <f>"3328034111880002"</f>
        <v>3328034111880002</v>
      </c>
      <c r="C420" s="22" t="str">
        <f t="shared" si="12"/>
        <v>'3328034111880002</v>
      </c>
      <c r="D420" s="22" t="str">
        <f t="shared" si="13"/>
        <v>tidak ganda</v>
      </c>
      <c r="E420" s="22" t="s">
        <v>1111</v>
      </c>
      <c r="F420" s="22" t="s">
        <v>10</v>
      </c>
      <c r="G420" s="22" t="s">
        <v>11</v>
      </c>
      <c r="H420" s="22" t="s">
        <v>783</v>
      </c>
      <c r="I420" s="22" t="s">
        <v>1112</v>
      </c>
      <c r="J420" s="22" t="s">
        <v>1113</v>
      </c>
      <c r="K420" s="23" t="s">
        <v>1114</v>
      </c>
    </row>
    <row r="421" spans="1:14" hidden="1" x14ac:dyDescent="0.35">
      <c r="A421" s="21">
        <v>1583518</v>
      </c>
      <c r="B421" s="22" t="str">
        <f>"3328034202050004"</f>
        <v>3328034202050004</v>
      </c>
      <c r="C421" s="22" t="str">
        <f t="shared" si="12"/>
        <v>'3328034202050004</v>
      </c>
      <c r="D421" s="22" t="str">
        <f t="shared" si="13"/>
        <v>ganda</v>
      </c>
      <c r="E421" s="22" t="s">
        <v>1115</v>
      </c>
      <c r="F421" s="22" t="s">
        <v>10</v>
      </c>
      <c r="G421" s="22" t="s">
        <v>11</v>
      </c>
      <c r="H421" s="22" t="s">
        <v>18</v>
      </c>
      <c r="I421" s="22" t="s">
        <v>19</v>
      </c>
      <c r="J421" s="22" t="s">
        <v>906</v>
      </c>
      <c r="K421" s="23" t="s">
        <v>906</v>
      </c>
      <c r="L421" t="e">
        <f>VLOOKUP(B421,ubah!$B$2:$L$234,4,FALSE)</f>
        <v>#N/A</v>
      </c>
      <c r="M421" t="e">
        <f>VLOOKUP(B421,ubah!$B$2:$L$234,5,FALSE)</f>
        <v>#N/A</v>
      </c>
      <c r="N421" t="e">
        <f>VLOOKUP(B421,ubah!$B$2:$L$234,6,FALSE)</f>
        <v>#N/A</v>
      </c>
    </row>
    <row r="422" spans="1:14" hidden="1" x14ac:dyDescent="0.35">
      <c r="A422" s="21">
        <v>762806</v>
      </c>
      <c r="B422" s="22" t="str">
        <f>"3328034202050004"</f>
        <v>3328034202050004</v>
      </c>
      <c r="C422" s="22" t="str">
        <f t="shared" si="12"/>
        <v>'3328034202050004</v>
      </c>
      <c r="D422" s="22" t="str">
        <f t="shared" si="13"/>
        <v>ganda</v>
      </c>
      <c r="E422" s="22" t="s">
        <v>1116</v>
      </c>
      <c r="F422" s="22" t="s">
        <v>10</v>
      </c>
      <c r="G422" s="22" t="s">
        <v>57</v>
      </c>
      <c r="H422" s="22" t="s">
        <v>379</v>
      </c>
      <c r="I422" s="22" t="s">
        <v>711</v>
      </c>
      <c r="J422" s="22" t="s">
        <v>718</v>
      </c>
      <c r="K422" s="23" t="s">
        <v>719</v>
      </c>
    </row>
    <row r="423" spans="1:14" hidden="1" x14ac:dyDescent="0.35">
      <c r="A423" s="21">
        <v>1414197</v>
      </c>
      <c r="B423" s="22" t="str">
        <f>"3328034205950004"</f>
        <v>3328034205950004</v>
      </c>
      <c r="C423" s="22" t="str">
        <f t="shared" si="12"/>
        <v>'3328034205950004</v>
      </c>
      <c r="D423" s="22" t="str">
        <f t="shared" si="13"/>
        <v>tidak ganda</v>
      </c>
      <c r="E423" s="22" t="s">
        <v>1117</v>
      </c>
      <c r="F423" s="22" t="s">
        <v>10</v>
      </c>
      <c r="G423" s="22" t="s">
        <v>11</v>
      </c>
      <c r="H423" s="22" t="s">
        <v>50</v>
      </c>
      <c r="I423" s="22" t="s">
        <v>86</v>
      </c>
      <c r="J423" s="22" t="s">
        <v>313</v>
      </c>
      <c r="K423" s="23" t="s">
        <v>977</v>
      </c>
    </row>
    <row r="424" spans="1:14" hidden="1" x14ac:dyDescent="0.35">
      <c r="A424" s="21">
        <v>1053172</v>
      </c>
      <c r="B424" s="22" t="str">
        <f>"3328034302860003"</f>
        <v>3328034302860003</v>
      </c>
      <c r="C424" s="22" t="str">
        <f t="shared" si="12"/>
        <v>'3328034302860003</v>
      </c>
      <c r="D424" s="22" t="str">
        <f t="shared" si="13"/>
        <v>tidak ganda</v>
      </c>
      <c r="E424" s="22" t="s">
        <v>1119</v>
      </c>
      <c r="F424" s="22" t="s">
        <v>10</v>
      </c>
      <c r="G424" s="22" t="s">
        <v>11</v>
      </c>
      <c r="H424" s="22" t="s">
        <v>67</v>
      </c>
      <c r="I424" s="22" t="s">
        <v>68</v>
      </c>
      <c r="J424" s="22" t="s">
        <v>69</v>
      </c>
      <c r="K424" s="23" t="s">
        <v>1083</v>
      </c>
    </row>
    <row r="425" spans="1:14" hidden="1" x14ac:dyDescent="0.35">
      <c r="A425" s="21">
        <v>544038</v>
      </c>
      <c r="B425" s="22" t="str">
        <f>"3328034303870007"</f>
        <v>3328034303870007</v>
      </c>
      <c r="C425" s="22" t="str">
        <f t="shared" si="12"/>
        <v>'3328034303870007</v>
      </c>
      <c r="D425" s="22" t="str">
        <f t="shared" si="13"/>
        <v>tidak ganda</v>
      </c>
      <c r="E425" s="22" t="s">
        <v>1120</v>
      </c>
      <c r="F425" s="22" t="s">
        <v>10</v>
      </c>
      <c r="G425" s="22" t="s">
        <v>11</v>
      </c>
      <c r="H425" s="22" t="s">
        <v>50</v>
      </c>
      <c r="I425" s="22" t="s">
        <v>280</v>
      </c>
      <c r="J425" s="22" t="s">
        <v>1121</v>
      </c>
      <c r="K425" s="23" t="s">
        <v>1122</v>
      </c>
    </row>
    <row r="426" spans="1:14" hidden="1" x14ac:dyDescent="0.35">
      <c r="A426" s="21">
        <v>1579413</v>
      </c>
      <c r="B426" s="22" t="str">
        <f>"3328034304840002"</f>
        <v>3328034304840002</v>
      </c>
      <c r="C426" s="22" t="str">
        <f t="shared" si="12"/>
        <v>'3328034304840002</v>
      </c>
      <c r="D426" s="22" t="str">
        <f t="shared" si="13"/>
        <v>ganda</v>
      </c>
      <c r="E426" s="22" t="s">
        <v>1124</v>
      </c>
      <c r="F426" s="22" t="s">
        <v>10</v>
      </c>
      <c r="G426" s="22" t="s">
        <v>11</v>
      </c>
      <c r="H426" s="22" t="s">
        <v>18</v>
      </c>
      <c r="I426" s="22" t="s">
        <v>19</v>
      </c>
      <c r="J426" s="22" t="s">
        <v>906</v>
      </c>
      <c r="K426" s="23" t="s">
        <v>942</v>
      </c>
      <c r="L426" t="e">
        <f>VLOOKUP(B426,ubah!$B$2:$L$234,4,FALSE)</f>
        <v>#N/A</v>
      </c>
      <c r="M426" t="e">
        <f>VLOOKUP(B426,ubah!$B$2:$L$234,5,FALSE)</f>
        <v>#N/A</v>
      </c>
      <c r="N426" t="e">
        <f>VLOOKUP(B426,ubah!$B$2:$L$234,6,FALSE)</f>
        <v>#N/A</v>
      </c>
    </row>
    <row r="427" spans="1:14" hidden="1" x14ac:dyDescent="0.35">
      <c r="A427" s="21">
        <v>1352172</v>
      </c>
      <c r="B427" s="22" t="str">
        <f>"3328034304840002"</f>
        <v>3328034304840002</v>
      </c>
      <c r="C427" s="22" t="str">
        <f t="shared" si="12"/>
        <v>'3328034304840002</v>
      </c>
      <c r="D427" s="22" t="str">
        <f t="shared" si="13"/>
        <v>ganda</v>
      </c>
      <c r="E427" s="22" t="s">
        <v>1125</v>
      </c>
      <c r="F427" s="22" t="s">
        <v>10</v>
      </c>
      <c r="G427" s="22" t="s">
        <v>57</v>
      </c>
      <c r="H427" s="22" t="s">
        <v>303</v>
      </c>
      <c r="I427" s="22" t="s">
        <v>608</v>
      </c>
      <c r="J427" s="22" t="s">
        <v>609</v>
      </c>
      <c r="K427" s="23" t="s">
        <v>610</v>
      </c>
    </row>
    <row r="428" spans="1:14" hidden="1" x14ac:dyDescent="0.35">
      <c r="A428" s="21">
        <v>1555328</v>
      </c>
      <c r="B428" s="22" t="str">
        <f>"3328034308040003"</f>
        <v>3328034308040003</v>
      </c>
      <c r="C428" s="22" t="str">
        <f t="shared" si="12"/>
        <v>'3328034308040003</v>
      </c>
      <c r="D428" s="22" t="str">
        <f t="shared" si="13"/>
        <v>ganda</v>
      </c>
      <c r="E428" s="22" t="s">
        <v>1126</v>
      </c>
      <c r="F428" s="22" t="s">
        <v>10</v>
      </c>
      <c r="G428" s="22" t="s">
        <v>11</v>
      </c>
      <c r="H428" s="22" t="s">
        <v>18</v>
      </c>
      <c r="I428" s="22" t="s">
        <v>19</v>
      </c>
      <c r="J428" s="22" t="s">
        <v>906</v>
      </c>
      <c r="K428" s="23" t="s">
        <v>1011</v>
      </c>
      <c r="L428" t="e">
        <f>VLOOKUP(B428,ubah!$B$2:$L$234,4,FALSE)</f>
        <v>#N/A</v>
      </c>
      <c r="M428" t="e">
        <f>VLOOKUP(B428,ubah!$B$2:$L$234,5,FALSE)</f>
        <v>#N/A</v>
      </c>
      <c r="N428" t="e">
        <f>VLOOKUP(B428,ubah!$B$2:$L$234,6,FALSE)</f>
        <v>#N/A</v>
      </c>
    </row>
    <row r="429" spans="1:14" hidden="1" x14ac:dyDescent="0.35">
      <c r="A429" s="21">
        <v>1862956</v>
      </c>
      <c r="B429" s="22" t="str">
        <f>"3328034308040003"</f>
        <v>3328034308040003</v>
      </c>
      <c r="C429" s="22" t="str">
        <f t="shared" si="12"/>
        <v>'3328034308040003</v>
      </c>
      <c r="D429" s="22" t="str">
        <f t="shared" si="13"/>
        <v>ganda</v>
      </c>
      <c r="E429" s="22" t="s">
        <v>1126</v>
      </c>
      <c r="F429" s="22" t="s">
        <v>10</v>
      </c>
      <c r="G429" s="22" t="s">
        <v>57</v>
      </c>
      <c r="H429" s="22" t="s">
        <v>18</v>
      </c>
      <c r="I429" s="22" t="s">
        <v>733</v>
      </c>
      <c r="J429" s="22" t="s">
        <v>1127</v>
      </c>
      <c r="K429" s="23" t="s">
        <v>1127</v>
      </c>
    </row>
    <row r="430" spans="1:14" hidden="1" x14ac:dyDescent="0.35">
      <c r="A430" s="21">
        <v>1591855</v>
      </c>
      <c r="B430" s="22" t="str">
        <f>"3328034404020001"</f>
        <v>3328034404020001</v>
      </c>
      <c r="C430" s="22" t="str">
        <f t="shared" si="12"/>
        <v>'3328034404020001</v>
      </c>
      <c r="D430" s="22" t="str">
        <f t="shared" si="13"/>
        <v>tidak ganda</v>
      </c>
      <c r="E430" s="22" t="s">
        <v>1128</v>
      </c>
      <c r="F430" s="22" t="s">
        <v>10</v>
      </c>
      <c r="G430" s="22" t="s">
        <v>11</v>
      </c>
      <c r="H430" s="22" t="s">
        <v>18</v>
      </c>
      <c r="I430" s="22" t="s">
        <v>19</v>
      </c>
      <c r="J430" s="22" t="s">
        <v>906</v>
      </c>
      <c r="K430" s="23" t="s">
        <v>992</v>
      </c>
      <c r="L430" t="e">
        <f>VLOOKUP(B430,ubah!$B$2:$L$234,4,FALSE)</f>
        <v>#N/A</v>
      </c>
      <c r="M430" t="e">
        <f>VLOOKUP(B430,ubah!$B$2:$L$234,5,FALSE)</f>
        <v>#N/A</v>
      </c>
      <c r="N430" t="e">
        <f>VLOOKUP(B430,ubah!$B$2:$L$234,6,FALSE)</f>
        <v>#N/A</v>
      </c>
    </row>
    <row r="431" spans="1:14" hidden="1" x14ac:dyDescent="0.35">
      <c r="A431" s="21">
        <v>1565717</v>
      </c>
      <c r="B431" s="22" t="str">
        <f>"3328034406580002"</f>
        <v>3328034406580002</v>
      </c>
      <c r="C431" s="22" t="str">
        <f t="shared" si="12"/>
        <v>'3328034406580002</v>
      </c>
      <c r="D431" s="22" t="str">
        <f t="shared" si="13"/>
        <v>tidak ganda</v>
      </c>
      <c r="E431" s="22" t="s">
        <v>1130</v>
      </c>
      <c r="F431" s="22" t="s">
        <v>10</v>
      </c>
      <c r="G431" s="22" t="s">
        <v>11</v>
      </c>
      <c r="H431" s="22" t="s">
        <v>18</v>
      </c>
      <c r="I431" s="22" t="s">
        <v>19</v>
      </c>
      <c r="J431" s="22" t="s">
        <v>906</v>
      </c>
      <c r="K431" s="23" t="s">
        <v>959</v>
      </c>
      <c r="L431" t="e">
        <f>VLOOKUP(B431,ubah!$B$2:$L$234,4,FALSE)</f>
        <v>#N/A</v>
      </c>
      <c r="M431" t="e">
        <f>VLOOKUP(B431,ubah!$B$2:$L$234,5,FALSE)</f>
        <v>#N/A</v>
      </c>
      <c r="N431" t="e">
        <f>VLOOKUP(B431,ubah!$B$2:$L$234,6,FALSE)</f>
        <v>#N/A</v>
      </c>
    </row>
    <row r="432" spans="1:14" hidden="1" x14ac:dyDescent="0.35">
      <c r="A432" s="21">
        <v>1172163</v>
      </c>
      <c r="B432" s="22" t="str">
        <f>"3328034607920001"</f>
        <v>3328034607920001</v>
      </c>
      <c r="C432" s="22" t="str">
        <f t="shared" si="12"/>
        <v>'3328034607920001</v>
      </c>
      <c r="D432" s="22" t="str">
        <f t="shared" si="13"/>
        <v>tidak ganda</v>
      </c>
      <c r="E432" s="22" t="s">
        <v>1132</v>
      </c>
      <c r="F432" s="22" t="s">
        <v>10</v>
      </c>
      <c r="G432" s="22" t="s">
        <v>11</v>
      </c>
      <c r="H432" s="22" t="s">
        <v>91</v>
      </c>
      <c r="I432" s="22" t="s">
        <v>903</v>
      </c>
      <c r="J432" s="22" t="s">
        <v>1133</v>
      </c>
      <c r="K432" s="23" t="s">
        <v>1134</v>
      </c>
    </row>
    <row r="433" spans="1:14" hidden="1" x14ac:dyDescent="0.35">
      <c r="A433" s="21">
        <v>1575020</v>
      </c>
      <c r="B433" s="22" t="str">
        <f>"3328034704020001"</f>
        <v>3328034704020001</v>
      </c>
      <c r="C433" s="22" t="str">
        <f t="shared" si="12"/>
        <v>'3328034704020001</v>
      </c>
      <c r="D433" s="22" t="str">
        <f t="shared" si="13"/>
        <v>ganda</v>
      </c>
      <c r="E433" s="22" t="s">
        <v>1135</v>
      </c>
      <c r="F433" s="22" t="s">
        <v>10</v>
      </c>
      <c r="G433" s="22" t="s">
        <v>11</v>
      </c>
      <c r="H433" s="22" t="s">
        <v>18</v>
      </c>
      <c r="I433" s="22" t="s">
        <v>19</v>
      </c>
      <c r="J433" s="22" t="s">
        <v>906</v>
      </c>
      <c r="K433" s="23" t="s">
        <v>942</v>
      </c>
      <c r="L433" t="e">
        <f>VLOOKUP(B433,ubah!$B$2:$L$234,4,FALSE)</f>
        <v>#N/A</v>
      </c>
      <c r="M433" t="e">
        <f>VLOOKUP(B433,ubah!$B$2:$L$234,5,FALSE)</f>
        <v>#N/A</v>
      </c>
      <c r="N433" t="e">
        <f>VLOOKUP(B433,ubah!$B$2:$L$234,6,FALSE)</f>
        <v>#N/A</v>
      </c>
    </row>
    <row r="434" spans="1:14" hidden="1" x14ac:dyDescent="0.35">
      <c r="A434" s="21">
        <v>1352884</v>
      </c>
      <c r="B434" s="22" t="str">
        <f>"3328034704020001"</f>
        <v>3328034704020001</v>
      </c>
      <c r="C434" s="22" t="str">
        <f t="shared" si="12"/>
        <v>'3328034704020001</v>
      </c>
      <c r="D434" s="22" t="str">
        <f t="shared" si="13"/>
        <v>ganda</v>
      </c>
      <c r="E434" s="22" t="s">
        <v>1136</v>
      </c>
      <c r="F434" s="22" t="s">
        <v>10</v>
      </c>
      <c r="G434" s="22" t="s">
        <v>57</v>
      </c>
      <c r="H434" s="22" t="s">
        <v>303</v>
      </c>
      <c r="I434" s="22" t="s">
        <v>608</v>
      </c>
      <c r="J434" s="22" t="s">
        <v>609</v>
      </c>
      <c r="K434" s="23" t="s">
        <v>610</v>
      </c>
    </row>
    <row r="435" spans="1:14" hidden="1" x14ac:dyDescent="0.35">
      <c r="A435" s="21">
        <v>1352887</v>
      </c>
      <c r="B435" s="22" t="str">
        <f>"3328035003050002"</f>
        <v>3328035003050002</v>
      </c>
      <c r="C435" s="22" t="str">
        <f t="shared" si="12"/>
        <v>'3328035003050002</v>
      </c>
      <c r="D435" s="22" t="str">
        <f t="shared" si="13"/>
        <v>tidak ganda</v>
      </c>
      <c r="E435" s="22" t="s">
        <v>1138</v>
      </c>
      <c r="F435" s="22" t="s">
        <v>10</v>
      </c>
      <c r="G435" s="22" t="s">
        <v>57</v>
      </c>
      <c r="H435" s="22" t="s">
        <v>303</v>
      </c>
      <c r="I435" s="22" t="s">
        <v>608</v>
      </c>
      <c r="J435" s="22" t="s">
        <v>609</v>
      </c>
      <c r="K435" s="23" t="s">
        <v>610</v>
      </c>
    </row>
    <row r="436" spans="1:14" hidden="1" x14ac:dyDescent="0.35">
      <c r="A436" s="21">
        <v>1577165</v>
      </c>
      <c r="B436" s="22" t="str">
        <f>"3328035009010003"</f>
        <v>3328035009010003</v>
      </c>
      <c r="C436" s="22" t="str">
        <f t="shared" si="12"/>
        <v>'3328035009010003</v>
      </c>
      <c r="D436" s="22" t="str">
        <f t="shared" si="13"/>
        <v>ganda</v>
      </c>
      <c r="E436" s="22" t="s">
        <v>1139</v>
      </c>
      <c r="F436" s="22" t="s">
        <v>10</v>
      </c>
      <c r="G436" s="22" t="s">
        <v>11</v>
      </c>
      <c r="H436" s="22" t="s">
        <v>18</v>
      </c>
      <c r="I436" s="22" t="s">
        <v>19</v>
      </c>
      <c r="J436" s="22" t="s">
        <v>906</v>
      </c>
      <c r="K436" s="23" t="s">
        <v>942</v>
      </c>
      <c r="L436" t="e">
        <f>VLOOKUP(B436,ubah!$B$2:$L$234,4,FALSE)</f>
        <v>#N/A</v>
      </c>
      <c r="M436" t="e">
        <f>VLOOKUP(B436,ubah!$B$2:$L$234,5,FALSE)</f>
        <v>#N/A</v>
      </c>
      <c r="N436" t="e">
        <f>VLOOKUP(B436,ubah!$B$2:$L$234,6,FALSE)</f>
        <v>#N/A</v>
      </c>
    </row>
    <row r="437" spans="1:14" hidden="1" x14ac:dyDescent="0.35">
      <c r="A437" s="21">
        <v>1352888</v>
      </c>
      <c r="B437" s="22" t="str">
        <f>"3328035009010003"</f>
        <v>3328035009010003</v>
      </c>
      <c r="C437" s="22" t="str">
        <f t="shared" si="12"/>
        <v>'3328035009010003</v>
      </c>
      <c r="D437" s="22" t="str">
        <f t="shared" si="13"/>
        <v>ganda</v>
      </c>
      <c r="E437" s="22" t="s">
        <v>1139</v>
      </c>
      <c r="F437" s="22" t="s">
        <v>10</v>
      </c>
      <c r="G437" s="22" t="s">
        <v>57</v>
      </c>
      <c r="H437" s="22" t="s">
        <v>303</v>
      </c>
      <c r="I437" s="22" t="s">
        <v>608</v>
      </c>
      <c r="J437" s="22" t="s">
        <v>609</v>
      </c>
      <c r="K437" s="23" t="s">
        <v>610</v>
      </c>
    </row>
    <row r="438" spans="1:14" hidden="1" x14ac:dyDescent="0.35">
      <c r="A438" s="21">
        <v>1563366</v>
      </c>
      <c r="B438" s="22" t="str">
        <f>"3328035211850001"</f>
        <v>3328035211850001</v>
      </c>
      <c r="C438" s="22" t="str">
        <f t="shared" si="12"/>
        <v>'3328035211850001</v>
      </c>
      <c r="D438" s="22" t="str">
        <f t="shared" si="13"/>
        <v>ganda</v>
      </c>
      <c r="E438" s="22" t="s">
        <v>1143</v>
      </c>
      <c r="F438" s="22" t="s">
        <v>10</v>
      </c>
      <c r="G438" s="22" t="s">
        <v>11</v>
      </c>
      <c r="H438" s="22" t="s">
        <v>18</v>
      </c>
      <c r="I438" s="22" t="s">
        <v>19</v>
      </c>
      <c r="J438" s="22" t="s">
        <v>906</v>
      </c>
      <c r="K438" s="23" t="s">
        <v>939</v>
      </c>
      <c r="L438" t="e">
        <f>VLOOKUP(B438,ubah!$B$2:$L$234,4,FALSE)</f>
        <v>#N/A</v>
      </c>
      <c r="M438" t="e">
        <f>VLOOKUP(B438,ubah!$B$2:$L$234,5,FALSE)</f>
        <v>#N/A</v>
      </c>
      <c r="N438" t="e">
        <f>VLOOKUP(B438,ubah!$B$2:$L$234,6,FALSE)</f>
        <v>#N/A</v>
      </c>
    </row>
    <row r="439" spans="1:14" hidden="1" x14ac:dyDescent="0.35">
      <c r="A439" s="21">
        <v>1352170</v>
      </c>
      <c r="B439" s="22" t="str">
        <f>"3328035211850001"</f>
        <v>3328035211850001</v>
      </c>
      <c r="C439" s="22" t="str">
        <f t="shared" si="12"/>
        <v>'3328035211850001</v>
      </c>
      <c r="D439" s="22" t="str">
        <f t="shared" si="13"/>
        <v>ganda</v>
      </c>
      <c r="E439" s="22" t="s">
        <v>1144</v>
      </c>
      <c r="F439" s="22" t="s">
        <v>10</v>
      </c>
      <c r="G439" s="22" t="s">
        <v>57</v>
      </c>
      <c r="H439" s="22" t="s">
        <v>303</v>
      </c>
      <c r="I439" s="22" t="s">
        <v>608</v>
      </c>
      <c r="J439" s="22" t="s">
        <v>609</v>
      </c>
      <c r="K439" s="23" t="s">
        <v>610</v>
      </c>
    </row>
    <row r="440" spans="1:14" hidden="1" x14ac:dyDescent="0.35">
      <c r="A440" s="21">
        <v>1584310</v>
      </c>
      <c r="B440" s="22" t="str">
        <f>"3328035408720003"</f>
        <v>3328035408720003</v>
      </c>
      <c r="C440" s="22" t="str">
        <f t="shared" si="12"/>
        <v>'3328035408720003</v>
      </c>
      <c r="D440" s="22" t="str">
        <f t="shared" si="13"/>
        <v>ganda</v>
      </c>
      <c r="E440" s="22" t="s">
        <v>1147</v>
      </c>
      <c r="F440" s="22" t="s">
        <v>10</v>
      </c>
      <c r="G440" s="22" t="s">
        <v>11</v>
      </c>
      <c r="H440" s="22" t="s">
        <v>18</v>
      </c>
      <c r="I440" s="22" t="s">
        <v>19</v>
      </c>
      <c r="J440" s="22" t="s">
        <v>906</v>
      </c>
      <c r="K440" s="23" t="s">
        <v>906</v>
      </c>
      <c r="L440" t="e">
        <f>VLOOKUP(B440,ubah!$B$2:$L$234,4,FALSE)</f>
        <v>#N/A</v>
      </c>
      <c r="M440" t="e">
        <f>VLOOKUP(B440,ubah!$B$2:$L$234,5,FALSE)</f>
        <v>#N/A</v>
      </c>
      <c r="N440" t="e">
        <f>VLOOKUP(B440,ubah!$B$2:$L$234,6,FALSE)</f>
        <v>#N/A</v>
      </c>
    </row>
    <row r="441" spans="1:14" hidden="1" x14ac:dyDescent="0.35">
      <c r="A441" s="21">
        <v>1349030</v>
      </c>
      <c r="B441" s="22" t="str">
        <f>"3328035408720003"</f>
        <v>3328035408720003</v>
      </c>
      <c r="C441" s="22" t="str">
        <f t="shared" si="12"/>
        <v>'3328035408720003</v>
      </c>
      <c r="D441" s="22" t="str">
        <f t="shared" si="13"/>
        <v>ganda</v>
      </c>
      <c r="E441" s="22" t="s">
        <v>1148</v>
      </c>
      <c r="F441" s="22" t="s">
        <v>10</v>
      </c>
      <c r="G441" s="22" t="s">
        <v>57</v>
      </c>
      <c r="H441" s="22" t="s">
        <v>303</v>
      </c>
      <c r="I441" s="22" t="s">
        <v>608</v>
      </c>
      <c r="J441" s="22" t="s">
        <v>609</v>
      </c>
      <c r="K441" s="23" t="s">
        <v>610</v>
      </c>
    </row>
    <row r="442" spans="1:14" hidden="1" x14ac:dyDescent="0.35">
      <c r="A442" s="21">
        <v>1590149</v>
      </c>
      <c r="B442" s="22" t="str">
        <f>"3328035608740001"</f>
        <v>3328035608740001</v>
      </c>
      <c r="C442" s="22" t="str">
        <f t="shared" si="12"/>
        <v>'3328035608740001</v>
      </c>
      <c r="D442" s="22" t="str">
        <f t="shared" si="13"/>
        <v>ganda</v>
      </c>
      <c r="E442" s="22" t="s">
        <v>1151</v>
      </c>
      <c r="F442" s="22" t="s">
        <v>10</v>
      </c>
      <c r="G442" s="22" t="s">
        <v>11</v>
      </c>
      <c r="H442" s="22" t="s">
        <v>18</v>
      </c>
      <c r="I442" s="22" t="s">
        <v>19</v>
      </c>
      <c r="J442" s="22" t="s">
        <v>906</v>
      </c>
      <c r="K442" s="23" t="s">
        <v>929</v>
      </c>
      <c r="L442" t="e">
        <f>VLOOKUP(B442,ubah!$B$2:$L$234,4,FALSE)</f>
        <v>#N/A</v>
      </c>
      <c r="M442" t="e">
        <f>VLOOKUP(B442,ubah!$B$2:$L$234,5,FALSE)</f>
        <v>#N/A</v>
      </c>
      <c r="N442" t="e">
        <f>VLOOKUP(B442,ubah!$B$2:$L$234,6,FALSE)</f>
        <v>#N/A</v>
      </c>
    </row>
    <row r="443" spans="1:14" hidden="1" x14ac:dyDescent="0.35">
      <c r="A443" s="21">
        <v>1349031</v>
      </c>
      <c r="B443" s="22" t="str">
        <f>"3328035608740001"</f>
        <v>3328035608740001</v>
      </c>
      <c r="C443" s="22" t="str">
        <f t="shared" si="12"/>
        <v>'3328035608740001</v>
      </c>
      <c r="D443" s="22" t="str">
        <f t="shared" si="13"/>
        <v>ganda</v>
      </c>
      <c r="E443" s="22" t="s">
        <v>1152</v>
      </c>
      <c r="F443" s="22" t="s">
        <v>10</v>
      </c>
      <c r="G443" s="22" t="s">
        <v>57</v>
      </c>
      <c r="H443" s="22" t="s">
        <v>303</v>
      </c>
      <c r="I443" s="22" t="s">
        <v>608</v>
      </c>
      <c r="J443" s="22" t="s">
        <v>609</v>
      </c>
      <c r="K443" s="23" t="s">
        <v>610</v>
      </c>
    </row>
    <row r="444" spans="1:14" hidden="1" x14ac:dyDescent="0.35">
      <c r="A444" s="21">
        <v>1576679</v>
      </c>
      <c r="B444" s="22" t="str">
        <f>"3328035911020003"</f>
        <v>3328035911020003</v>
      </c>
      <c r="C444" s="22" t="str">
        <f t="shared" si="12"/>
        <v>'3328035911020003</v>
      </c>
      <c r="D444" s="22" t="str">
        <f t="shared" si="13"/>
        <v>ganda</v>
      </c>
      <c r="E444" s="22" t="s">
        <v>1153</v>
      </c>
      <c r="F444" s="22" t="s">
        <v>10</v>
      </c>
      <c r="G444" s="22" t="s">
        <v>11</v>
      </c>
      <c r="H444" s="22" t="s">
        <v>18</v>
      </c>
      <c r="I444" s="22" t="s">
        <v>19</v>
      </c>
      <c r="J444" s="22" t="s">
        <v>906</v>
      </c>
      <c r="K444" s="23" t="s">
        <v>942</v>
      </c>
      <c r="L444" t="e">
        <f>VLOOKUP(B444,ubah!$B$2:$L$234,4,FALSE)</f>
        <v>#N/A</v>
      </c>
      <c r="M444" t="e">
        <f>VLOOKUP(B444,ubah!$B$2:$L$234,5,FALSE)</f>
        <v>#N/A</v>
      </c>
      <c r="N444" t="e">
        <f>VLOOKUP(B444,ubah!$B$2:$L$234,6,FALSE)</f>
        <v>#N/A</v>
      </c>
    </row>
    <row r="445" spans="1:14" hidden="1" x14ac:dyDescent="0.35">
      <c r="A445" s="21">
        <v>1352889</v>
      </c>
      <c r="B445" s="22" t="str">
        <f>"3328035911020003"</f>
        <v>3328035911020003</v>
      </c>
      <c r="C445" s="22" t="str">
        <f t="shared" si="12"/>
        <v>'3328035911020003</v>
      </c>
      <c r="D445" s="22" t="str">
        <f t="shared" si="13"/>
        <v>ganda</v>
      </c>
      <c r="E445" s="22" t="s">
        <v>1154</v>
      </c>
      <c r="F445" s="22" t="s">
        <v>10</v>
      </c>
      <c r="G445" s="22" t="s">
        <v>57</v>
      </c>
      <c r="H445" s="22" t="s">
        <v>303</v>
      </c>
      <c r="I445" s="22" t="s">
        <v>608</v>
      </c>
      <c r="J445" s="22" t="s">
        <v>609</v>
      </c>
      <c r="K445" s="23" t="s">
        <v>610</v>
      </c>
    </row>
    <row r="446" spans="1:14" hidden="1" x14ac:dyDescent="0.35">
      <c r="A446" s="21">
        <v>971171</v>
      </c>
      <c r="B446" s="22" t="str">
        <f>"3328036012030002"</f>
        <v>3328036012030002</v>
      </c>
      <c r="C446" s="22" t="str">
        <f t="shared" si="12"/>
        <v>'3328036012030002</v>
      </c>
      <c r="D446" s="22" t="str">
        <f t="shared" si="13"/>
        <v>tidak ganda</v>
      </c>
      <c r="E446" s="22" t="s">
        <v>1155</v>
      </c>
      <c r="F446" s="22" t="s">
        <v>10</v>
      </c>
      <c r="G446" s="22" t="s">
        <v>11</v>
      </c>
      <c r="H446" s="22" t="s">
        <v>91</v>
      </c>
      <c r="I446" s="22" t="s">
        <v>985</v>
      </c>
      <c r="J446" s="22" t="s">
        <v>1156</v>
      </c>
      <c r="K446" s="23" t="s">
        <v>1157</v>
      </c>
    </row>
    <row r="447" spans="1:14" hidden="1" x14ac:dyDescent="0.35">
      <c r="A447" s="21">
        <v>1352879</v>
      </c>
      <c r="B447" s="22" t="str">
        <f>"3328036103040006"</f>
        <v>3328036103040006</v>
      </c>
      <c r="C447" s="22" t="str">
        <f t="shared" si="12"/>
        <v>'3328036103040006</v>
      </c>
      <c r="D447" s="22" t="str">
        <f t="shared" si="13"/>
        <v>tidak ganda</v>
      </c>
      <c r="E447" s="22" t="s">
        <v>1158</v>
      </c>
      <c r="F447" s="22" t="s">
        <v>10</v>
      </c>
      <c r="G447" s="22" t="s">
        <v>57</v>
      </c>
      <c r="H447" s="22" t="s">
        <v>303</v>
      </c>
      <c r="I447" s="22" t="s">
        <v>608</v>
      </c>
      <c r="J447" s="22" t="s">
        <v>609</v>
      </c>
      <c r="K447" s="23" t="s">
        <v>610</v>
      </c>
    </row>
    <row r="448" spans="1:14" hidden="1" x14ac:dyDescent="0.35">
      <c r="A448" s="21">
        <v>1573398</v>
      </c>
      <c r="B448" s="22" t="str">
        <f>"3328036304030001"</f>
        <v>3328036304030001</v>
      </c>
      <c r="C448" s="22" t="str">
        <f t="shared" si="12"/>
        <v>'3328036304030001</v>
      </c>
      <c r="D448" s="22" t="str">
        <f t="shared" si="13"/>
        <v>ganda</v>
      </c>
      <c r="E448" s="22" t="s">
        <v>1159</v>
      </c>
      <c r="F448" s="22" t="s">
        <v>10</v>
      </c>
      <c r="G448" s="22" t="s">
        <v>11</v>
      </c>
      <c r="H448" s="22" t="s">
        <v>18</v>
      </c>
      <c r="I448" s="22" t="s">
        <v>19</v>
      </c>
      <c r="J448" s="22" t="s">
        <v>906</v>
      </c>
      <c r="K448" s="23" t="s">
        <v>942</v>
      </c>
      <c r="L448" t="e">
        <f>VLOOKUP(B448,ubah!$B$2:$L$234,4,FALSE)</f>
        <v>#N/A</v>
      </c>
      <c r="M448" t="e">
        <f>VLOOKUP(B448,ubah!$B$2:$L$234,5,FALSE)</f>
        <v>#N/A</v>
      </c>
      <c r="N448" t="e">
        <f>VLOOKUP(B448,ubah!$B$2:$L$234,6,FALSE)</f>
        <v>#N/A</v>
      </c>
    </row>
    <row r="449" spans="1:14" hidden="1" x14ac:dyDescent="0.35">
      <c r="A449" s="21">
        <v>1351179</v>
      </c>
      <c r="B449" s="22" t="str">
        <f>"3328036304030001"</f>
        <v>3328036304030001</v>
      </c>
      <c r="C449" s="22" t="str">
        <f t="shared" si="12"/>
        <v>'3328036304030001</v>
      </c>
      <c r="D449" s="22" t="str">
        <f t="shared" si="13"/>
        <v>ganda</v>
      </c>
      <c r="E449" s="22" t="s">
        <v>1159</v>
      </c>
      <c r="F449" s="22" t="s">
        <v>10</v>
      </c>
      <c r="G449" s="22" t="s">
        <v>57</v>
      </c>
      <c r="H449" s="22" t="s">
        <v>303</v>
      </c>
      <c r="I449" s="22" t="s">
        <v>608</v>
      </c>
      <c r="J449" s="22" t="s">
        <v>609</v>
      </c>
      <c r="K449" s="23" t="s">
        <v>610</v>
      </c>
    </row>
    <row r="450" spans="1:14" hidden="1" x14ac:dyDescent="0.35">
      <c r="A450" s="21">
        <v>1288963</v>
      </c>
      <c r="B450" s="22" t="str">
        <f>"3328036501960003"</f>
        <v>3328036501960003</v>
      </c>
      <c r="C450" s="22" t="str">
        <f t="shared" si="12"/>
        <v>'3328036501960003</v>
      </c>
      <c r="D450" s="22" t="str">
        <f t="shared" si="13"/>
        <v>tidak ganda</v>
      </c>
      <c r="E450" s="22" t="s">
        <v>1160</v>
      </c>
      <c r="F450" s="22" t="s">
        <v>10</v>
      </c>
      <c r="G450" s="22" t="s">
        <v>11</v>
      </c>
      <c r="H450" s="22" t="s">
        <v>91</v>
      </c>
      <c r="I450" s="22" t="s">
        <v>903</v>
      </c>
      <c r="J450" s="22" t="s">
        <v>904</v>
      </c>
      <c r="K450" s="23" t="s">
        <v>905</v>
      </c>
    </row>
    <row r="451" spans="1:14" hidden="1" x14ac:dyDescent="0.35">
      <c r="A451" s="21">
        <v>1555644</v>
      </c>
      <c r="B451" s="22" t="str">
        <f>"3328036511060002"</f>
        <v>3328036511060002</v>
      </c>
      <c r="C451" s="22" t="str">
        <f t="shared" ref="C451:C514" si="14">"'"&amp;B451</f>
        <v>'3328036511060002</v>
      </c>
      <c r="D451" s="22" t="str">
        <f t="shared" ref="D451:D514" si="15">IF(COUNTIF($C:$C,C451)&gt;1,"ganda","tidak ganda")</f>
        <v>ganda</v>
      </c>
      <c r="E451" s="22" t="s">
        <v>1161</v>
      </c>
      <c r="F451" s="22" t="s">
        <v>10</v>
      </c>
      <c r="G451" s="22" t="s">
        <v>11</v>
      </c>
      <c r="H451" s="22" t="s">
        <v>18</v>
      </c>
      <c r="I451" s="22" t="s">
        <v>19</v>
      </c>
      <c r="J451" s="22" t="s">
        <v>906</v>
      </c>
      <c r="K451" s="23" t="s">
        <v>1011</v>
      </c>
      <c r="L451" t="e">
        <f>VLOOKUP(B451,ubah!$B$2:$L$234,4,FALSE)</f>
        <v>#N/A</v>
      </c>
      <c r="M451" t="e">
        <f>VLOOKUP(B451,ubah!$B$2:$L$234,5,FALSE)</f>
        <v>#N/A</v>
      </c>
      <c r="N451" t="e">
        <f>VLOOKUP(B451,ubah!$B$2:$L$234,6,FALSE)</f>
        <v>#N/A</v>
      </c>
    </row>
    <row r="452" spans="1:14" hidden="1" x14ac:dyDescent="0.35">
      <c r="A452" s="21">
        <v>1352882</v>
      </c>
      <c r="B452" s="22" t="str">
        <f>"3328036511060002"</f>
        <v>3328036511060002</v>
      </c>
      <c r="C452" s="22" t="str">
        <f t="shared" si="14"/>
        <v>'3328036511060002</v>
      </c>
      <c r="D452" s="22" t="str">
        <f t="shared" si="15"/>
        <v>ganda</v>
      </c>
      <c r="E452" s="22" t="s">
        <v>1162</v>
      </c>
      <c r="F452" s="22" t="s">
        <v>10</v>
      </c>
      <c r="G452" s="22" t="s">
        <v>57</v>
      </c>
      <c r="H452" s="22" t="s">
        <v>303</v>
      </c>
      <c r="I452" s="22" t="s">
        <v>608</v>
      </c>
      <c r="J452" s="22" t="s">
        <v>609</v>
      </c>
      <c r="K452" s="23" t="s">
        <v>610</v>
      </c>
    </row>
    <row r="453" spans="1:14" hidden="1" x14ac:dyDescent="0.35">
      <c r="A453" s="21">
        <v>277237</v>
      </c>
      <c r="B453" s="22" t="str">
        <f>"3328036601860004"</f>
        <v>3328036601860004</v>
      </c>
      <c r="C453" s="22" t="str">
        <f t="shared" si="14"/>
        <v>'3328036601860004</v>
      </c>
      <c r="D453" s="22" t="str">
        <f t="shared" si="15"/>
        <v>tidak ganda</v>
      </c>
      <c r="E453" s="22" t="s">
        <v>1163</v>
      </c>
      <c r="F453" s="22" t="s">
        <v>10</v>
      </c>
      <c r="G453" s="22" t="s">
        <v>11</v>
      </c>
      <c r="H453" s="22" t="s">
        <v>412</v>
      </c>
      <c r="I453" s="22" t="s">
        <v>1053</v>
      </c>
      <c r="J453" s="22" t="s">
        <v>1054</v>
      </c>
      <c r="K453" s="23" t="s">
        <v>1055</v>
      </c>
    </row>
    <row r="454" spans="1:14" hidden="1" x14ac:dyDescent="0.35">
      <c r="A454" s="21">
        <v>1604749</v>
      </c>
      <c r="B454" s="22" t="str">
        <f>"3328036703780001"</f>
        <v>3328036703780001</v>
      </c>
      <c r="C454" s="22" t="str">
        <f t="shared" si="14"/>
        <v>'3328036703780001</v>
      </c>
      <c r="D454" s="22" t="str">
        <f t="shared" si="15"/>
        <v>tidak ganda</v>
      </c>
      <c r="E454" s="22" t="s">
        <v>1164</v>
      </c>
      <c r="F454" s="22" t="s">
        <v>10</v>
      </c>
      <c r="G454" s="22" t="s">
        <v>11</v>
      </c>
      <c r="H454" s="22" t="s">
        <v>18</v>
      </c>
      <c r="I454" s="22" t="s">
        <v>19</v>
      </c>
      <c r="J454" s="22" t="s">
        <v>906</v>
      </c>
      <c r="K454" s="23" t="s">
        <v>907</v>
      </c>
      <c r="L454" t="e">
        <f>VLOOKUP(B454,ubah!$B$2:$L$234,4,FALSE)</f>
        <v>#N/A</v>
      </c>
      <c r="M454" t="e">
        <f>VLOOKUP(B454,ubah!$B$2:$L$234,5,FALSE)</f>
        <v>#N/A</v>
      </c>
      <c r="N454" t="e">
        <f>VLOOKUP(B454,ubah!$B$2:$L$234,6,FALSE)</f>
        <v>#N/A</v>
      </c>
    </row>
    <row r="455" spans="1:14" hidden="1" x14ac:dyDescent="0.35">
      <c r="A455" s="21">
        <v>978838</v>
      </c>
      <c r="B455" s="22" t="str">
        <f>"3328036704820001"</f>
        <v>3328036704820001</v>
      </c>
      <c r="C455" s="22" t="str">
        <f t="shared" si="14"/>
        <v>'3328036704820001</v>
      </c>
      <c r="D455" s="22" t="str">
        <f t="shared" si="15"/>
        <v>tidak ganda</v>
      </c>
      <c r="E455" s="22" t="s">
        <v>1167</v>
      </c>
      <c r="F455" s="22" t="s">
        <v>10</v>
      </c>
      <c r="G455" s="22" t="s">
        <v>11</v>
      </c>
      <c r="H455" s="22" t="s">
        <v>954</v>
      </c>
      <c r="I455" s="22" t="s">
        <v>1024</v>
      </c>
      <c r="J455" s="22" t="s">
        <v>1025</v>
      </c>
      <c r="K455" s="23" t="s">
        <v>1025</v>
      </c>
    </row>
    <row r="456" spans="1:14" hidden="1" x14ac:dyDescent="0.35">
      <c r="A456" s="21">
        <v>1352876</v>
      </c>
      <c r="B456" s="22" t="str">
        <f>"3328036905040005"</f>
        <v>3328036905040005</v>
      </c>
      <c r="C456" s="22" t="str">
        <f t="shared" si="14"/>
        <v>'3328036905040005</v>
      </c>
      <c r="D456" s="22" t="str">
        <f t="shared" si="15"/>
        <v>tidak ganda</v>
      </c>
      <c r="E456" s="22" t="s">
        <v>1168</v>
      </c>
      <c r="F456" s="22" t="s">
        <v>10</v>
      </c>
      <c r="G456" s="22" t="s">
        <v>57</v>
      </c>
      <c r="H456" s="22" t="s">
        <v>303</v>
      </c>
      <c r="I456" s="22" t="s">
        <v>608</v>
      </c>
      <c r="J456" s="22" t="s">
        <v>609</v>
      </c>
      <c r="K456" s="23" t="s">
        <v>610</v>
      </c>
    </row>
    <row r="457" spans="1:14" hidden="1" x14ac:dyDescent="0.35">
      <c r="A457" s="21">
        <v>83213</v>
      </c>
      <c r="B457" s="22" t="str">
        <f>"3328037006940002"</f>
        <v>3328037006940002</v>
      </c>
      <c r="C457" s="22" t="str">
        <f t="shared" si="14"/>
        <v>'3328037006940002</v>
      </c>
      <c r="D457" s="22" t="str">
        <f t="shared" si="15"/>
        <v>tidak ganda</v>
      </c>
      <c r="E457" s="22" t="s">
        <v>1169</v>
      </c>
      <c r="F457" s="22" t="s">
        <v>10</v>
      </c>
      <c r="G457" s="22" t="s">
        <v>11</v>
      </c>
      <c r="H457" s="22" t="s">
        <v>91</v>
      </c>
      <c r="I457" s="22" t="s">
        <v>159</v>
      </c>
      <c r="J457" s="22" t="s">
        <v>1170</v>
      </c>
      <c r="K457" s="23" t="s">
        <v>1170</v>
      </c>
    </row>
    <row r="458" spans="1:14" hidden="1" x14ac:dyDescent="0.35">
      <c r="A458" s="21">
        <v>1629627</v>
      </c>
      <c r="B458" s="22" t="str">
        <f>"3328037010990003"</f>
        <v>3328037010990003</v>
      </c>
      <c r="C458" s="22" t="str">
        <f t="shared" si="14"/>
        <v>'3328037010990003</v>
      </c>
      <c r="D458" s="22" t="str">
        <f t="shared" si="15"/>
        <v>tidak ganda</v>
      </c>
      <c r="E458" s="22" t="s">
        <v>1171</v>
      </c>
      <c r="F458" s="22" t="s">
        <v>10</v>
      </c>
      <c r="G458" s="22" t="s">
        <v>11</v>
      </c>
      <c r="H458" s="22" t="s">
        <v>50</v>
      </c>
      <c r="I458" s="22" t="s">
        <v>72</v>
      </c>
      <c r="J458" s="22" t="s">
        <v>1172</v>
      </c>
      <c r="K458" s="23" t="s">
        <v>1173</v>
      </c>
    </row>
    <row r="459" spans="1:14" hidden="1" x14ac:dyDescent="0.35">
      <c r="A459" s="21">
        <v>1588556</v>
      </c>
      <c r="B459" s="22" t="str">
        <f>"3328042702840001"</f>
        <v>3328042702840001</v>
      </c>
      <c r="C459" s="22" t="str">
        <f t="shared" si="14"/>
        <v>'3328042702840001</v>
      </c>
      <c r="D459" s="22" t="str">
        <f t="shared" si="15"/>
        <v>tidak ganda</v>
      </c>
      <c r="E459" s="22" t="s">
        <v>1175</v>
      </c>
      <c r="F459" s="22" t="s">
        <v>10</v>
      </c>
      <c r="G459" s="22" t="s">
        <v>11</v>
      </c>
      <c r="H459" s="22" t="s">
        <v>18</v>
      </c>
      <c r="I459" s="22" t="s">
        <v>19</v>
      </c>
      <c r="J459" s="22" t="s">
        <v>906</v>
      </c>
      <c r="K459" s="23" t="s">
        <v>929</v>
      </c>
      <c r="L459" t="e">
        <f>VLOOKUP(B459,ubah!$B$2:$L$234,4,FALSE)</f>
        <v>#N/A</v>
      </c>
      <c r="M459" t="e">
        <f>VLOOKUP(B459,ubah!$B$2:$L$234,5,FALSE)</f>
        <v>#N/A</v>
      </c>
      <c r="N459" t="e">
        <f>VLOOKUP(B459,ubah!$B$2:$L$234,6,FALSE)</f>
        <v>#N/A</v>
      </c>
    </row>
    <row r="460" spans="1:14" hidden="1" x14ac:dyDescent="0.35">
      <c r="A460" s="21">
        <v>323169</v>
      </c>
      <c r="B460" s="22" t="str">
        <f>"3328160105830001"</f>
        <v>3328160105830001</v>
      </c>
      <c r="C460" s="22" t="str">
        <f t="shared" si="14"/>
        <v>'3328160105830001</v>
      </c>
      <c r="D460" s="22" t="str">
        <f t="shared" si="15"/>
        <v>tidak ganda</v>
      </c>
      <c r="E460" s="22" t="s">
        <v>1176</v>
      </c>
      <c r="F460" s="22" t="s">
        <v>10</v>
      </c>
      <c r="G460" s="22" t="s">
        <v>11</v>
      </c>
      <c r="H460" s="22" t="s">
        <v>18</v>
      </c>
      <c r="I460" s="22" t="s">
        <v>268</v>
      </c>
      <c r="J460" s="22" t="s">
        <v>277</v>
      </c>
      <c r="K460" s="23" t="s">
        <v>278</v>
      </c>
    </row>
    <row r="461" spans="1:14" hidden="1" x14ac:dyDescent="0.35">
      <c r="A461" s="21">
        <v>323167</v>
      </c>
      <c r="B461" s="22" t="str">
        <f>"3328160812060002"</f>
        <v>3328160812060002</v>
      </c>
      <c r="C461" s="22" t="str">
        <f t="shared" si="14"/>
        <v>'3328160812060002</v>
      </c>
      <c r="D461" s="22" t="str">
        <f t="shared" si="15"/>
        <v>tidak ganda</v>
      </c>
      <c r="E461" s="22" t="s">
        <v>1177</v>
      </c>
      <c r="F461" s="22" t="s">
        <v>10</v>
      </c>
      <c r="G461" s="22" t="s">
        <v>11</v>
      </c>
      <c r="H461" s="22" t="s">
        <v>18</v>
      </c>
      <c r="I461" s="22" t="s">
        <v>268</v>
      </c>
      <c r="J461" s="22" t="s">
        <v>277</v>
      </c>
      <c r="K461" s="23" t="s">
        <v>278</v>
      </c>
    </row>
    <row r="462" spans="1:14" hidden="1" x14ac:dyDescent="0.35">
      <c r="A462" s="21">
        <v>323168</v>
      </c>
      <c r="B462" s="22" t="str">
        <f>"3328164406860002"</f>
        <v>3328164406860002</v>
      </c>
      <c r="C462" s="22" t="str">
        <f t="shared" si="14"/>
        <v>'3328164406860002</v>
      </c>
      <c r="D462" s="22" t="str">
        <f t="shared" si="15"/>
        <v>tidak ganda</v>
      </c>
      <c r="E462" s="22" t="s">
        <v>1178</v>
      </c>
      <c r="F462" s="22" t="s">
        <v>10</v>
      </c>
      <c r="G462" s="22" t="s">
        <v>11</v>
      </c>
      <c r="H462" s="22" t="s">
        <v>18</v>
      </c>
      <c r="I462" s="22" t="s">
        <v>268</v>
      </c>
      <c r="J462" s="22" t="s">
        <v>277</v>
      </c>
      <c r="K462" s="23" t="s">
        <v>278</v>
      </c>
    </row>
    <row r="463" spans="1:14" hidden="1" x14ac:dyDescent="0.35">
      <c r="A463" s="21">
        <v>1599065</v>
      </c>
      <c r="B463" s="22" t="str">
        <f>"3329030508910006"</f>
        <v>3329030508910006</v>
      </c>
      <c r="C463" s="22" t="str">
        <f t="shared" si="14"/>
        <v>'3329030508910006</v>
      </c>
      <c r="D463" s="22" t="str">
        <f t="shared" si="15"/>
        <v>tidak ganda</v>
      </c>
      <c r="E463" s="22" t="s">
        <v>1179</v>
      </c>
      <c r="F463" s="22" t="s">
        <v>10</v>
      </c>
      <c r="G463" s="22" t="s">
        <v>11</v>
      </c>
      <c r="H463" s="22" t="s">
        <v>18</v>
      </c>
      <c r="I463" s="22" t="s">
        <v>19</v>
      </c>
      <c r="J463" s="22" t="s">
        <v>906</v>
      </c>
      <c r="K463" s="23" t="s">
        <v>920</v>
      </c>
      <c r="L463" t="e">
        <f>VLOOKUP(B463,ubah!$B$2:$L$234,4,FALSE)</f>
        <v>#N/A</v>
      </c>
      <c r="M463" t="e">
        <f>VLOOKUP(B463,ubah!$B$2:$L$234,5,FALSE)</f>
        <v>#N/A</v>
      </c>
      <c r="N463" t="e">
        <f>VLOOKUP(B463,ubah!$B$2:$L$234,6,FALSE)</f>
        <v>#N/A</v>
      </c>
    </row>
    <row r="464" spans="1:14" hidden="1" x14ac:dyDescent="0.35">
      <c r="A464" s="21">
        <v>1364891</v>
      </c>
      <c r="B464" s="22" t="str">
        <f>"3329045007980001"</f>
        <v>3329045007980001</v>
      </c>
      <c r="C464" s="22" t="str">
        <f t="shared" si="14"/>
        <v>'3329045007980001</v>
      </c>
      <c r="D464" s="22" t="str">
        <f t="shared" si="15"/>
        <v>tidak ganda</v>
      </c>
      <c r="E464" s="22" t="s">
        <v>1182</v>
      </c>
      <c r="F464" s="22" t="s">
        <v>10</v>
      </c>
      <c r="G464" s="22" t="s">
        <v>11</v>
      </c>
      <c r="H464" s="22" t="s">
        <v>18</v>
      </c>
      <c r="I464" s="22" t="s">
        <v>264</v>
      </c>
      <c r="J464" s="22" t="s">
        <v>461</v>
      </c>
      <c r="K464" s="23" t="s">
        <v>461</v>
      </c>
    </row>
    <row r="465" spans="1:14" hidden="1" x14ac:dyDescent="0.35">
      <c r="A465" s="21">
        <v>1565923</v>
      </c>
      <c r="B465" s="22" t="str">
        <f>"3329050604740001"</f>
        <v>3329050604740001</v>
      </c>
      <c r="C465" s="22" t="str">
        <f t="shared" si="14"/>
        <v>'3329050604740001</v>
      </c>
      <c r="D465" s="22" t="str">
        <f t="shared" si="15"/>
        <v>tidak ganda</v>
      </c>
      <c r="E465" s="22" t="s">
        <v>1183</v>
      </c>
      <c r="F465" s="22" t="s">
        <v>10</v>
      </c>
      <c r="G465" s="22" t="s">
        <v>11</v>
      </c>
      <c r="H465" s="22" t="s">
        <v>18</v>
      </c>
      <c r="I465" s="22" t="s">
        <v>19</v>
      </c>
      <c r="J465" s="22" t="s">
        <v>906</v>
      </c>
      <c r="K465" s="23" t="s">
        <v>959</v>
      </c>
      <c r="L465" t="e">
        <f>VLOOKUP(B465,ubah!$B$2:$L$234,4,FALSE)</f>
        <v>#N/A</v>
      </c>
      <c r="M465" t="e">
        <f>VLOOKUP(B465,ubah!$B$2:$L$234,5,FALSE)</f>
        <v>#N/A</v>
      </c>
      <c r="N465" t="e">
        <f>VLOOKUP(B465,ubah!$B$2:$L$234,6,FALSE)</f>
        <v>#N/A</v>
      </c>
    </row>
    <row r="466" spans="1:14" hidden="1" x14ac:dyDescent="0.35">
      <c r="A466" s="21">
        <v>1565922</v>
      </c>
      <c r="B466" s="22" t="str">
        <f>"3329056807750001"</f>
        <v>3329056807750001</v>
      </c>
      <c r="C466" s="22" t="str">
        <f t="shared" si="14"/>
        <v>'3329056807750001</v>
      </c>
      <c r="D466" s="22" t="str">
        <f t="shared" si="15"/>
        <v>tidak ganda</v>
      </c>
      <c r="E466" s="22" t="s">
        <v>1185</v>
      </c>
      <c r="F466" s="22" t="s">
        <v>10</v>
      </c>
      <c r="G466" s="22" t="s">
        <v>11</v>
      </c>
      <c r="H466" s="22" t="s">
        <v>18</v>
      </c>
      <c r="I466" s="22" t="s">
        <v>19</v>
      </c>
      <c r="J466" s="22" t="s">
        <v>906</v>
      </c>
      <c r="K466" s="23" t="s">
        <v>959</v>
      </c>
      <c r="L466" t="e">
        <f>VLOOKUP(B466,ubah!$B$2:$L$234,4,FALSE)</f>
        <v>#N/A</v>
      </c>
      <c r="M466" t="e">
        <f>VLOOKUP(B466,ubah!$B$2:$L$234,5,FALSE)</f>
        <v>#N/A</v>
      </c>
      <c r="N466" t="e">
        <f>VLOOKUP(B466,ubah!$B$2:$L$234,6,FALSE)</f>
        <v>#N/A</v>
      </c>
    </row>
    <row r="467" spans="1:14" hidden="1" x14ac:dyDescent="0.35">
      <c r="A467" s="21">
        <v>251907</v>
      </c>
      <c r="B467" s="22" t="str">
        <f>"3329066110950002"</f>
        <v>3329066110950002</v>
      </c>
      <c r="C467" s="22" t="str">
        <f t="shared" si="14"/>
        <v>'3329066110950002</v>
      </c>
      <c r="D467" s="22" t="str">
        <f t="shared" si="15"/>
        <v>tidak ganda</v>
      </c>
      <c r="E467" s="22" t="s">
        <v>1187</v>
      </c>
      <c r="F467" s="22" t="s">
        <v>10</v>
      </c>
      <c r="G467" s="22" t="s">
        <v>11</v>
      </c>
      <c r="H467" s="22" t="s">
        <v>18</v>
      </c>
      <c r="I467" s="22" t="s">
        <v>264</v>
      </c>
      <c r="J467" s="22" t="s">
        <v>468</v>
      </c>
      <c r="K467" s="23" t="s">
        <v>1188</v>
      </c>
    </row>
    <row r="468" spans="1:14" hidden="1" x14ac:dyDescent="0.35">
      <c r="A468" s="21">
        <v>1509952</v>
      </c>
      <c r="B468" s="22" t="str">
        <f>"3329104709830006"</f>
        <v>3329104709830006</v>
      </c>
      <c r="C468" s="22" t="str">
        <f t="shared" si="14"/>
        <v>'3329104709830006</v>
      </c>
      <c r="D468" s="22" t="str">
        <f t="shared" si="15"/>
        <v>tidak ganda</v>
      </c>
      <c r="E468" s="22" t="s">
        <v>1189</v>
      </c>
      <c r="F468" s="22" t="s">
        <v>10</v>
      </c>
      <c r="G468" s="22" t="s">
        <v>11</v>
      </c>
      <c r="H468" s="22" t="s">
        <v>18</v>
      </c>
      <c r="I468" s="22" t="s">
        <v>264</v>
      </c>
      <c r="J468" s="22" t="s">
        <v>273</v>
      </c>
      <c r="K468" s="23" t="s">
        <v>274</v>
      </c>
    </row>
    <row r="469" spans="1:14" hidden="1" x14ac:dyDescent="0.35">
      <c r="A469" s="21">
        <v>489259</v>
      </c>
      <c r="B469" s="22" t="str">
        <f>"3329120708950007"</f>
        <v>3329120708950007</v>
      </c>
      <c r="C469" s="22" t="str">
        <f t="shared" si="14"/>
        <v>'3329120708950007</v>
      </c>
      <c r="D469" s="22" t="str">
        <f t="shared" si="15"/>
        <v>tidak ganda</v>
      </c>
      <c r="E469" s="22" t="s">
        <v>1190</v>
      </c>
      <c r="F469" s="22" t="s">
        <v>10</v>
      </c>
      <c r="G469" s="22" t="s">
        <v>11</v>
      </c>
      <c r="H469" s="22" t="s">
        <v>18</v>
      </c>
      <c r="I469" s="22" t="s">
        <v>264</v>
      </c>
      <c r="J469" s="22" t="s">
        <v>877</v>
      </c>
      <c r="K469" s="23" t="s">
        <v>1191</v>
      </c>
    </row>
    <row r="470" spans="1:14" hidden="1" x14ac:dyDescent="0.35">
      <c r="A470" s="21">
        <v>94942</v>
      </c>
      <c r="B470" s="22" t="str">
        <f>"3329140706740005"</f>
        <v>3329140706740005</v>
      </c>
      <c r="C470" s="22" t="str">
        <f t="shared" si="14"/>
        <v>'3329140706740005</v>
      </c>
      <c r="D470" s="22" t="str">
        <f t="shared" si="15"/>
        <v>tidak ganda</v>
      </c>
      <c r="E470" s="22" t="s">
        <v>1192</v>
      </c>
      <c r="F470" s="22" t="s">
        <v>10</v>
      </c>
      <c r="G470" s="22" t="s">
        <v>11</v>
      </c>
      <c r="H470" s="22" t="s">
        <v>18</v>
      </c>
      <c r="I470" s="22" t="s">
        <v>264</v>
      </c>
      <c r="J470" s="22" t="s">
        <v>477</v>
      </c>
      <c r="K470" s="23" t="s">
        <v>480</v>
      </c>
    </row>
    <row r="471" spans="1:14" hidden="1" x14ac:dyDescent="0.35">
      <c r="A471" s="21">
        <v>1553434</v>
      </c>
      <c r="B471" s="22" t="str">
        <f>"3329154106960008"</f>
        <v>3329154106960008</v>
      </c>
      <c r="C471" s="22" t="str">
        <f t="shared" si="14"/>
        <v>'3329154106960008</v>
      </c>
      <c r="D471" s="22" t="str">
        <f t="shared" si="15"/>
        <v>tidak ganda</v>
      </c>
      <c r="E471" s="22" t="s">
        <v>1194</v>
      </c>
      <c r="F471" s="22" t="s">
        <v>10</v>
      </c>
      <c r="G471" s="22" t="s">
        <v>11</v>
      </c>
      <c r="H471" s="22" t="s">
        <v>18</v>
      </c>
      <c r="I471" s="22" t="s">
        <v>264</v>
      </c>
      <c r="J471" s="22" t="s">
        <v>330</v>
      </c>
      <c r="K471" s="23" t="s">
        <v>331</v>
      </c>
    </row>
    <row r="472" spans="1:14" hidden="1" x14ac:dyDescent="0.35">
      <c r="A472" s="21">
        <v>853642</v>
      </c>
      <c r="B472" s="22" t="str">
        <f>"3329165011940006"</f>
        <v>3329165011940006</v>
      </c>
      <c r="C472" s="22" t="str">
        <f t="shared" si="14"/>
        <v>'3329165011940006</v>
      </c>
      <c r="D472" s="22" t="str">
        <f t="shared" si="15"/>
        <v>tidak ganda</v>
      </c>
      <c r="E472" s="22" t="s">
        <v>1195</v>
      </c>
      <c r="F472" s="22" t="s">
        <v>10</v>
      </c>
      <c r="G472" s="22" t="s">
        <v>11</v>
      </c>
      <c r="H472" s="22" t="s">
        <v>18</v>
      </c>
      <c r="I472" s="22" t="s">
        <v>264</v>
      </c>
      <c r="J472" s="22" t="s">
        <v>344</v>
      </c>
      <c r="K472" s="23" t="s">
        <v>492</v>
      </c>
    </row>
    <row r="473" spans="1:14" hidden="1" x14ac:dyDescent="0.35">
      <c r="A473" s="21">
        <v>128574</v>
      </c>
      <c r="B473" s="22" t="str">
        <f>"3376020804950002"</f>
        <v>3376020804950002</v>
      </c>
      <c r="C473" s="22" t="str">
        <f t="shared" si="14"/>
        <v>'3376020804950002</v>
      </c>
      <c r="D473" s="22" t="str">
        <f t="shared" si="15"/>
        <v>tidak ganda</v>
      </c>
      <c r="E473" s="22" t="s">
        <v>1197</v>
      </c>
      <c r="F473" s="22" t="s">
        <v>10</v>
      </c>
      <c r="G473" s="22" t="s">
        <v>11</v>
      </c>
      <c r="H473" s="22" t="s">
        <v>91</v>
      </c>
      <c r="I473" s="22" t="s">
        <v>92</v>
      </c>
      <c r="J473" s="22" t="s">
        <v>673</v>
      </c>
      <c r="K473" s="23" t="s">
        <v>1198</v>
      </c>
    </row>
    <row r="474" spans="1:14" hidden="1" x14ac:dyDescent="0.35">
      <c r="A474" s="21">
        <v>418122</v>
      </c>
      <c r="B474" s="22" t="str">
        <f>"3376041903670001"</f>
        <v>3376041903670001</v>
      </c>
      <c r="C474" s="22" t="str">
        <f t="shared" si="14"/>
        <v>'3376041903670001</v>
      </c>
      <c r="D474" s="22" t="str">
        <f t="shared" si="15"/>
        <v>tidak ganda</v>
      </c>
      <c r="E474" s="22" t="s">
        <v>1199</v>
      </c>
      <c r="F474" s="22" t="s">
        <v>10</v>
      </c>
      <c r="G474" s="22" t="s">
        <v>11</v>
      </c>
      <c r="H474" s="22" t="s">
        <v>18</v>
      </c>
      <c r="I474" s="22" t="s">
        <v>268</v>
      </c>
      <c r="J474" s="22" t="s">
        <v>448</v>
      </c>
      <c r="K474" s="23" t="s">
        <v>888</v>
      </c>
    </row>
    <row r="475" spans="1:14" hidden="1" x14ac:dyDescent="0.35">
      <c r="A475" s="21">
        <v>409242</v>
      </c>
      <c r="B475" s="22" t="str">
        <f>"3403100809760001"</f>
        <v>3403100809760001</v>
      </c>
      <c r="C475" s="22" t="str">
        <f t="shared" si="14"/>
        <v>'3403100809760001</v>
      </c>
      <c r="D475" s="22" t="str">
        <f t="shared" si="15"/>
        <v>tidak ganda</v>
      </c>
      <c r="E475" s="22" t="s">
        <v>1201</v>
      </c>
      <c r="F475" s="22" t="s">
        <v>10</v>
      </c>
      <c r="G475" s="22" t="s">
        <v>11</v>
      </c>
      <c r="H475" s="22" t="s">
        <v>379</v>
      </c>
      <c r="I475" s="22" t="s">
        <v>1202</v>
      </c>
      <c r="J475" s="22" t="s">
        <v>1203</v>
      </c>
      <c r="K475" s="23" t="s">
        <v>1204</v>
      </c>
    </row>
    <row r="476" spans="1:14" hidden="1" x14ac:dyDescent="0.35">
      <c r="A476" s="21">
        <v>1594987</v>
      </c>
      <c r="B476" s="22" t="str">
        <f>"3404071111810012"</f>
        <v>3404071111810012</v>
      </c>
      <c r="C476" s="22" t="str">
        <f t="shared" si="14"/>
        <v>'3404071111810012</v>
      </c>
      <c r="D476" s="22" t="str">
        <f t="shared" si="15"/>
        <v>tidak ganda</v>
      </c>
      <c r="E476" s="22" t="s">
        <v>1205</v>
      </c>
      <c r="F476" s="22" t="s">
        <v>10</v>
      </c>
      <c r="G476" s="22" t="s">
        <v>11</v>
      </c>
      <c r="H476" s="22" t="s">
        <v>18</v>
      </c>
      <c r="I476" s="22" t="s">
        <v>19</v>
      </c>
      <c r="J476" s="22" t="s">
        <v>906</v>
      </c>
      <c r="K476" s="23" t="s">
        <v>978</v>
      </c>
      <c r="L476" t="e">
        <f>VLOOKUP(B476,ubah!$B$2:$L$234,4,FALSE)</f>
        <v>#N/A</v>
      </c>
      <c r="M476" t="e">
        <f>VLOOKUP(B476,ubah!$B$2:$L$234,5,FALSE)</f>
        <v>#N/A</v>
      </c>
      <c r="N476" t="e">
        <f>VLOOKUP(B476,ubah!$B$2:$L$234,6,FALSE)</f>
        <v>#N/A</v>
      </c>
    </row>
    <row r="477" spans="1:14" hidden="1" x14ac:dyDescent="0.35">
      <c r="A477" s="21">
        <v>1590036</v>
      </c>
      <c r="B477" s="22" t="str">
        <f>"3602071604970001"</f>
        <v>3602071604970001</v>
      </c>
      <c r="C477" s="22" t="str">
        <f t="shared" si="14"/>
        <v>'3602071604970001</v>
      </c>
      <c r="D477" s="22" t="str">
        <f t="shared" si="15"/>
        <v>tidak ganda</v>
      </c>
      <c r="E477" s="22" t="s">
        <v>1209</v>
      </c>
      <c r="F477" s="22" t="s">
        <v>10</v>
      </c>
      <c r="G477" s="22" t="s">
        <v>11</v>
      </c>
      <c r="H477" s="22" t="s">
        <v>18</v>
      </c>
      <c r="I477" s="22" t="s">
        <v>19</v>
      </c>
      <c r="J477" s="22" t="s">
        <v>906</v>
      </c>
      <c r="K477" s="23" t="s">
        <v>929</v>
      </c>
      <c r="L477" t="e">
        <f>VLOOKUP(B477,ubah!$B$2:$L$234,4,FALSE)</f>
        <v>#N/A</v>
      </c>
      <c r="M477" t="e">
        <f>VLOOKUP(B477,ubah!$B$2:$L$234,5,FALSE)</f>
        <v>#N/A</v>
      </c>
      <c r="N477" t="e">
        <f>VLOOKUP(B477,ubah!$B$2:$L$234,6,FALSE)</f>
        <v>#N/A</v>
      </c>
    </row>
    <row r="478" spans="1:14" hidden="1" x14ac:dyDescent="0.35">
      <c r="A478" s="21">
        <v>2785567</v>
      </c>
      <c r="B478" s="22" t="str">
        <f>"3671032707930003"</f>
        <v>3671032707930003</v>
      </c>
      <c r="C478" s="22" t="str">
        <f t="shared" si="14"/>
        <v>'3671032707930003</v>
      </c>
      <c r="D478" s="22" t="str">
        <f t="shared" si="15"/>
        <v>tidak ganda</v>
      </c>
      <c r="E478" s="22" t="s">
        <v>1213</v>
      </c>
      <c r="F478" s="22" t="s">
        <v>10</v>
      </c>
      <c r="G478" s="22" t="s">
        <v>11</v>
      </c>
      <c r="H478" s="22" t="s">
        <v>67</v>
      </c>
      <c r="I478" s="22" t="s">
        <v>512</v>
      </c>
      <c r="J478" s="22" t="s">
        <v>1214</v>
      </c>
      <c r="K478" s="23" t="s">
        <v>1215</v>
      </c>
    </row>
    <row r="479" spans="1:14" hidden="1" x14ac:dyDescent="0.35">
      <c r="A479" s="21">
        <v>127261</v>
      </c>
      <c r="B479" s="22" t="str">
        <f>"7372024607980005"</f>
        <v>7372024607980005</v>
      </c>
      <c r="C479" s="22" t="str">
        <f t="shared" si="14"/>
        <v>'7372024607980005</v>
      </c>
      <c r="D479" s="22" t="str">
        <f t="shared" si="15"/>
        <v>tidak ganda</v>
      </c>
      <c r="E479" s="22" t="s">
        <v>1221</v>
      </c>
      <c r="F479" s="22" t="s">
        <v>10</v>
      </c>
      <c r="G479" s="22" t="s">
        <v>11</v>
      </c>
      <c r="H479" s="22" t="s">
        <v>954</v>
      </c>
      <c r="I479" s="22" t="s">
        <v>1222</v>
      </c>
      <c r="J479" s="22" t="s">
        <v>1223</v>
      </c>
      <c r="K479" s="23" t="s">
        <v>1224</v>
      </c>
    </row>
    <row r="480" spans="1:14" hidden="1" x14ac:dyDescent="0.35">
      <c r="A480" s="21">
        <v>679977</v>
      </c>
      <c r="B480" s="22" t="str">
        <f>"1371012009780009"</f>
        <v>1371012009780009</v>
      </c>
      <c r="C480" s="22" t="str">
        <f t="shared" si="14"/>
        <v>'1371012009780009</v>
      </c>
      <c r="D480" s="22" t="str">
        <f t="shared" si="15"/>
        <v>tidak ganda</v>
      </c>
      <c r="E480" s="22" t="s">
        <v>1231</v>
      </c>
      <c r="F480" s="22" t="s">
        <v>10</v>
      </c>
      <c r="G480" s="22" t="s">
        <v>11</v>
      </c>
      <c r="H480" s="22" t="s">
        <v>12</v>
      </c>
      <c r="I480" s="22" t="s">
        <v>1232</v>
      </c>
      <c r="J480" s="22" t="s">
        <v>1233</v>
      </c>
      <c r="K480" s="23" t="s">
        <v>1234</v>
      </c>
    </row>
    <row r="481" spans="1:11" hidden="1" x14ac:dyDescent="0.35">
      <c r="A481" s="21">
        <v>679978</v>
      </c>
      <c r="B481" s="22" t="str">
        <f>"1371014505860014"</f>
        <v>1371014505860014</v>
      </c>
      <c r="C481" s="22" t="str">
        <f t="shared" si="14"/>
        <v>'1371014505860014</v>
      </c>
      <c r="D481" s="22" t="str">
        <f t="shared" si="15"/>
        <v>tidak ganda</v>
      </c>
      <c r="E481" s="22" t="s">
        <v>1236</v>
      </c>
      <c r="F481" s="22" t="s">
        <v>10</v>
      </c>
      <c r="G481" s="22" t="s">
        <v>11</v>
      </c>
      <c r="H481" s="22" t="s">
        <v>12</v>
      </c>
      <c r="I481" s="22" t="s">
        <v>1232</v>
      </c>
      <c r="J481" s="22" t="s">
        <v>1233</v>
      </c>
      <c r="K481" s="23" t="s">
        <v>1234</v>
      </c>
    </row>
    <row r="482" spans="1:11" hidden="1" x14ac:dyDescent="0.35">
      <c r="A482" s="21">
        <v>568326</v>
      </c>
      <c r="B482" s="22" t="str">
        <f>"1371061008810001"</f>
        <v>1371061008810001</v>
      </c>
      <c r="C482" s="22" t="str">
        <f t="shared" si="14"/>
        <v>'1371061008810001</v>
      </c>
      <c r="D482" s="22" t="str">
        <f t="shared" si="15"/>
        <v>tidak ganda</v>
      </c>
      <c r="E482" s="22" t="s">
        <v>1237</v>
      </c>
      <c r="F482" s="22" t="s">
        <v>10</v>
      </c>
      <c r="G482" s="22" t="s">
        <v>11</v>
      </c>
      <c r="H482" s="22" t="s">
        <v>12</v>
      </c>
      <c r="I482" s="22" t="s">
        <v>1232</v>
      </c>
      <c r="J482" s="22" t="s">
        <v>1238</v>
      </c>
      <c r="K482" s="23" t="s">
        <v>1239</v>
      </c>
    </row>
    <row r="483" spans="1:11" hidden="1" x14ac:dyDescent="0.35">
      <c r="A483" s="21">
        <v>566664</v>
      </c>
      <c r="B483" s="22" t="str">
        <f>"1371062107720007"</f>
        <v>1371062107720007</v>
      </c>
      <c r="C483" s="22" t="str">
        <f t="shared" si="14"/>
        <v>'1371062107720007</v>
      </c>
      <c r="D483" s="22" t="str">
        <f t="shared" si="15"/>
        <v>tidak ganda</v>
      </c>
      <c r="E483" s="22" t="s">
        <v>1241</v>
      </c>
      <c r="F483" s="22" t="s">
        <v>10</v>
      </c>
      <c r="G483" s="22" t="s">
        <v>11</v>
      </c>
      <c r="H483" s="22" t="s">
        <v>12</v>
      </c>
      <c r="I483" s="22" t="s">
        <v>1232</v>
      </c>
      <c r="J483" s="22" t="s">
        <v>1238</v>
      </c>
      <c r="K483" s="23" t="s">
        <v>1239</v>
      </c>
    </row>
    <row r="484" spans="1:11" hidden="1" x14ac:dyDescent="0.35">
      <c r="A484" s="21">
        <v>577697</v>
      </c>
      <c r="B484" s="22" t="str">
        <f>"1371064807000007"</f>
        <v>1371064807000007</v>
      </c>
      <c r="C484" s="22" t="str">
        <f t="shared" si="14"/>
        <v>'1371064807000007</v>
      </c>
      <c r="D484" s="22" t="str">
        <f t="shared" si="15"/>
        <v>tidak ganda</v>
      </c>
      <c r="E484" s="22" t="s">
        <v>1242</v>
      </c>
      <c r="F484" s="22" t="s">
        <v>10</v>
      </c>
      <c r="G484" s="22" t="s">
        <v>11</v>
      </c>
      <c r="H484" s="22" t="s">
        <v>12</v>
      </c>
      <c r="I484" s="22" t="s">
        <v>1232</v>
      </c>
      <c r="J484" s="22" t="s">
        <v>1238</v>
      </c>
      <c r="K484" s="23" t="s">
        <v>1243</v>
      </c>
    </row>
    <row r="485" spans="1:11" hidden="1" x14ac:dyDescent="0.35">
      <c r="A485" s="21">
        <v>568328</v>
      </c>
      <c r="B485" s="22" t="str">
        <f>"1371065310870001"</f>
        <v>1371065310870001</v>
      </c>
      <c r="C485" s="22" t="str">
        <f t="shared" si="14"/>
        <v>'1371065310870001</v>
      </c>
      <c r="D485" s="22" t="str">
        <f t="shared" si="15"/>
        <v>tidak ganda</v>
      </c>
      <c r="E485" s="22" t="s">
        <v>1245</v>
      </c>
      <c r="F485" s="22" t="s">
        <v>10</v>
      </c>
      <c r="G485" s="22" t="s">
        <v>11</v>
      </c>
      <c r="H485" s="22" t="s">
        <v>12</v>
      </c>
      <c r="I485" s="22" t="s">
        <v>1232</v>
      </c>
      <c r="J485" s="22" t="s">
        <v>1238</v>
      </c>
      <c r="K485" s="23" t="s">
        <v>1239</v>
      </c>
    </row>
    <row r="486" spans="1:11" hidden="1" x14ac:dyDescent="0.35">
      <c r="A486" s="21">
        <v>566662</v>
      </c>
      <c r="B486" s="22" t="str">
        <f>"1371065907750001"</f>
        <v>1371065907750001</v>
      </c>
      <c r="C486" s="22" t="str">
        <f t="shared" si="14"/>
        <v>'1371065907750001</v>
      </c>
      <c r="D486" s="22" t="str">
        <f t="shared" si="15"/>
        <v>tidak ganda</v>
      </c>
      <c r="E486" s="22" t="s">
        <v>1247</v>
      </c>
      <c r="F486" s="22" t="s">
        <v>10</v>
      </c>
      <c r="G486" s="22" t="s">
        <v>11</v>
      </c>
      <c r="H486" s="22" t="s">
        <v>12</v>
      </c>
      <c r="I486" s="22" t="s">
        <v>1232</v>
      </c>
      <c r="J486" s="22" t="s">
        <v>1238</v>
      </c>
      <c r="K486" s="23" t="s">
        <v>1239</v>
      </c>
    </row>
    <row r="487" spans="1:11" hidden="1" x14ac:dyDescent="0.35">
      <c r="A487" s="21">
        <v>701307</v>
      </c>
      <c r="B487" s="22" t="str">
        <f>"3171031902050003"</f>
        <v>3171031902050003</v>
      </c>
      <c r="C487" s="22" t="str">
        <f t="shared" si="14"/>
        <v>'3171031902050003</v>
      </c>
      <c r="D487" s="22" t="str">
        <f t="shared" si="15"/>
        <v>tidak ganda</v>
      </c>
      <c r="E487" s="22" t="s">
        <v>1248</v>
      </c>
      <c r="F487" s="22" t="s">
        <v>10</v>
      </c>
      <c r="G487" s="22" t="s">
        <v>11</v>
      </c>
      <c r="H487" s="22" t="s">
        <v>50</v>
      </c>
      <c r="I487" s="22" t="s">
        <v>280</v>
      </c>
      <c r="J487" s="22" t="s">
        <v>402</v>
      </c>
      <c r="K487" s="23" t="s">
        <v>1249</v>
      </c>
    </row>
    <row r="488" spans="1:11" hidden="1" x14ac:dyDescent="0.35">
      <c r="A488" s="21">
        <v>701463</v>
      </c>
      <c r="B488" s="22" t="str">
        <f>"3171032905720005"</f>
        <v>3171032905720005</v>
      </c>
      <c r="C488" s="22" t="str">
        <f t="shared" si="14"/>
        <v>'3171032905720005</v>
      </c>
      <c r="D488" s="22" t="str">
        <f t="shared" si="15"/>
        <v>tidak ganda</v>
      </c>
      <c r="E488" s="22" t="s">
        <v>1251</v>
      </c>
      <c r="F488" s="22" t="s">
        <v>10</v>
      </c>
      <c r="G488" s="22" t="s">
        <v>11</v>
      </c>
      <c r="H488" s="22" t="s">
        <v>50</v>
      </c>
      <c r="I488" s="22" t="s">
        <v>280</v>
      </c>
      <c r="J488" s="22" t="s">
        <v>402</v>
      </c>
      <c r="K488" s="23" t="s">
        <v>1249</v>
      </c>
    </row>
    <row r="489" spans="1:11" hidden="1" x14ac:dyDescent="0.35">
      <c r="A489" s="21">
        <v>701462</v>
      </c>
      <c r="B489" s="22" t="str">
        <f>"3171036911830001"</f>
        <v>3171036911830001</v>
      </c>
      <c r="C489" s="22" t="str">
        <f t="shared" si="14"/>
        <v>'3171036911830001</v>
      </c>
      <c r="D489" s="22" t="str">
        <f t="shared" si="15"/>
        <v>tidak ganda</v>
      </c>
      <c r="E489" s="22" t="s">
        <v>1253</v>
      </c>
      <c r="F489" s="22" t="s">
        <v>10</v>
      </c>
      <c r="G489" s="22" t="s">
        <v>11</v>
      </c>
      <c r="H489" s="22" t="s">
        <v>50</v>
      </c>
      <c r="I489" s="22" t="s">
        <v>280</v>
      </c>
      <c r="J489" s="22" t="s">
        <v>402</v>
      </c>
      <c r="K489" s="23" t="s">
        <v>1249</v>
      </c>
    </row>
    <row r="490" spans="1:11" hidden="1" x14ac:dyDescent="0.35">
      <c r="A490" s="21">
        <v>426541</v>
      </c>
      <c r="B490" s="22" t="str">
        <f>"3171070712860001"</f>
        <v>3171070712860001</v>
      </c>
      <c r="C490" s="22" t="str">
        <f t="shared" si="14"/>
        <v>'3171070712860001</v>
      </c>
      <c r="D490" s="22" t="str">
        <f t="shared" si="15"/>
        <v>tidak ganda</v>
      </c>
      <c r="E490" s="22" t="s">
        <v>1255</v>
      </c>
      <c r="F490" s="22" t="s">
        <v>10</v>
      </c>
      <c r="G490" s="22" t="s">
        <v>11</v>
      </c>
      <c r="H490" s="22" t="s">
        <v>50</v>
      </c>
      <c r="I490" s="22" t="s">
        <v>280</v>
      </c>
      <c r="J490" s="22" t="s">
        <v>281</v>
      </c>
      <c r="K490" s="23" t="s">
        <v>1256</v>
      </c>
    </row>
    <row r="491" spans="1:11" hidden="1" x14ac:dyDescent="0.35">
      <c r="A491" s="21">
        <v>55087</v>
      </c>
      <c r="B491" s="22" t="str">
        <f>"3171071301830001"</f>
        <v>3171071301830001</v>
      </c>
      <c r="C491" s="22" t="str">
        <f t="shared" si="14"/>
        <v>'3171071301830001</v>
      </c>
      <c r="D491" s="22" t="str">
        <f t="shared" si="15"/>
        <v>tidak ganda</v>
      </c>
      <c r="E491" s="22" t="s">
        <v>1258</v>
      </c>
      <c r="F491" s="22" t="s">
        <v>10</v>
      </c>
      <c r="G491" s="22" t="s">
        <v>11</v>
      </c>
      <c r="H491" s="22" t="s">
        <v>50</v>
      </c>
      <c r="I491" s="22" t="s">
        <v>72</v>
      </c>
      <c r="J491" s="22" t="s">
        <v>703</v>
      </c>
      <c r="K491" s="23" t="s">
        <v>1259</v>
      </c>
    </row>
    <row r="492" spans="1:11" hidden="1" x14ac:dyDescent="0.35">
      <c r="A492" s="21">
        <v>1084426</v>
      </c>
      <c r="B492" s="22" t="str">
        <f>"3172010607790001"</f>
        <v>3172010607790001</v>
      </c>
      <c r="C492" s="22" t="str">
        <f t="shared" si="14"/>
        <v>'3172010607790001</v>
      </c>
      <c r="D492" s="22" t="str">
        <f t="shared" si="15"/>
        <v>tidak ganda</v>
      </c>
      <c r="E492" s="22" t="s">
        <v>1261</v>
      </c>
      <c r="F492" s="22" t="s">
        <v>10</v>
      </c>
      <c r="G492" s="22" t="s">
        <v>11</v>
      </c>
      <c r="H492" s="22" t="s">
        <v>50</v>
      </c>
      <c r="I492" s="22" t="s">
        <v>51</v>
      </c>
      <c r="J492" s="22" t="s">
        <v>52</v>
      </c>
      <c r="K492" s="23" t="s">
        <v>52</v>
      </c>
    </row>
    <row r="493" spans="1:11" hidden="1" x14ac:dyDescent="0.35">
      <c r="A493" s="21">
        <v>1075217</v>
      </c>
      <c r="B493" s="22" t="str">
        <f>"3172012704910009"</f>
        <v>3172012704910009</v>
      </c>
      <c r="C493" s="22" t="str">
        <f t="shared" si="14"/>
        <v>'3172012704910009</v>
      </c>
      <c r="D493" s="22" t="str">
        <f t="shared" si="15"/>
        <v>tidak ganda</v>
      </c>
      <c r="E493" s="22" t="s">
        <v>1263</v>
      </c>
      <c r="F493" s="22" t="s">
        <v>10</v>
      </c>
      <c r="G493" s="22" t="s">
        <v>11</v>
      </c>
      <c r="H493" s="22" t="s">
        <v>50</v>
      </c>
      <c r="I493" s="22" t="s">
        <v>51</v>
      </c>
      <c r="J493" s="22" t="s">
        <v>52</v>
      </c>
      <c r="K493" s="23" t="s">
        <v>52</v>
      </c>
    </row>
    <row r="494" spans="1:11" hidden="1" x14ac:dyDescent="0.35">
      <c r="A494" s="21">
        <v>875062</v>
      </c>
      <c r="B494" s="22" t="str">
        <f>"3172050207900004"</f>
        <v>3172050207900004</v>
      </c>
      <c r="C494" s="22" t="str">
        <f t="shared" si="14"/>
        <v>'3172050207900004</v>
      </c>
      <c r="D494" s="22" t="str">
        <f t="shared" si="15"/>
        <v>tidak ganda</v>
      </c>
      <c r="E494" s="22" t="s">
        <v>1265</v>
      </c>
      <c r="F494" s="22" t="s">
        <v>10</v>
      </c>
      <c r="G494" s="22" t="s">
        <v>11</v>
      </c>
      <c r="H494" s="22" t="s">
        <v>50</v>
      </c>
      <c r="I494" s="22" t="s">
        <v>51</v>
      </c>
      <c r="J494" s="22" t="s">
        <v>922</v>
      </c>
      <c r="K494" s="23" t="s">
        <v>923</v>
      </c>
    </row>
    <row r="495" spans="1:11" hidden="1" x14ac:dyDescent="0.35">
      <c r="A495" s="21">
        <v>1888636</v>
      </c>
      <c r="B495" s="22" t="str">
        <f>"3173011509810015"</f>
        <v>3173011509810015</v>
      </c>
      <c r="C495" s="22" t="str">
        <f t="shared" si="14"/>
        <v>'3173011509810015</v>
      </c>
      <c r="D495" s="22" t="str">
        <f t="shared" si="15"/>
        <v>tidak ganda</v>
      </c>
      <c r="E495" s="22" t="s">
        <v>1267</v>
      </c>
      <c r="F495" s="22" t="s">
        <v>10</v>
      </c>
      <c r="G495" s="22" t="s">
        <v>11</v>
      </c>
      <c r="H495" s="22" t="s">
        <v>50</v>
      </c>
      <c r="I495" s="22" t="s">
        <v>86</v>
      </c>
      <c r="J495" s="22" t="s">
        <v>1268</v>
      </c>
      <c r="K495" s="23" t="s">
        <v>1269</v>
      </c>
    </row>
    <row r="496" spans="1:11" hidden="1" x14ac:dyDescent="0.35">
      <c r="A496" s="21">
        <v>443433</v>
      </c>
      <c r="B496" s="22" t="str">
        <f>"3173041008860008"</f>
        <v>3173041008860008</v>
      </c>
      <c r="C496" s="22" t="str">
        <f t="shared" si="14"/>
        <v>'3173041008860008</v>
      </c>
      <c r="D496" s="22" t="str">
        <f t="shared" si="15"/>
        <v>tidak ganda</v>
      </c>
      <c r="E496" s="22" t="s">
        <v>1270</v>
      </c>
      <c r="F496" s="22" t="s">
        <v>10</v>
      </c>
      <c r="G496" s="22" t="s">
        <v>11</v>
      </c>
      <c r="H496" s="22" t="s">
        <v>18</v>
      </c>
      <c r="I496" s="22" t="s">
        <v>1271</v>
      </c>
      <c r="J496" s="22" t="s">
        <v>1272</v>
      </c>
      <c r="K496" s="23" t="s">
        <v>1273</v>
      </c>
    </row>
    <row r="497" spans="1:14" hidden="1" x14ac:dyDescent="0.35">
      <c r="A497" s="21">
        <v>987825</v>
      </c>
      <c r="B497" s="22" t="str">
        <f>"3173064706820025"</f>
        <v>3173064706820025</v>
      </c>
      <c r="C497" s="22" t="str">
        <f t="shared" si="14"/>
        <v>'3173064706820025</v>
      </c>
      <c r="D497" s="22" t="str">
        <f t="shared" si="15"/>
        <v>tidak ganda</v>
      </c>
      <c r="E497" s="22" t="s">
        <v>1276</v>
      </c>
      <c r="F497" s="22" t="s">
        <v>10</v>
      </c>
      <c r="G497" s="22" t="s">
        <v>11</v>
      </c>
      <c r="H497" s="22" t="s">
        <v>50</v>
      </c>
      <c r="I497" s="22" t="s">
        <v>86</v>
      </c>
      <c r="J497" s="22" t="s">
        <v>87</v>
      </c>
      <c r="K497" s="23" t="s">
        <v>88</v>
      </c>
    </row>
    <row r="498" spans="1:14" hidden="1" x14ac:dyDescent="0.35">
      <c r="A498" s="21">
        <v>924666</v>
      </c>
      <c r="B498" s="22" t="str">
        <f>"3174021512011001"</f>
        <v>3174021512011001</v>
      </c>
      <c r="C498" s="22" t="str">
        <f t="shared" si="14"/>
        <v>'3174021512011001</v>
      </c>
      <c r="D498" s="22" t="str">
        <f t="shared" si="15"/>
        <v>tidak ganda</v>
      </c>
      <c r="E498" s="22" t="s">
        <v>1278</v>
      </c>
      <c r="F498" s="22" t="s">
        <v>10</v>
      </c>
      <c r="G498" s="22" t="s">
        <v>11</v>
      </c>
      <c r="H498" s="22" t="s">
        <v>50</v>
      </c>
      <c r="I498" s="22" t="s">
        <v>72</v>
      </c>
      <c r="J498" s="22" t="s">
        <v>703</v>
      </c>
      <c r="K498" s="23" t="s">
        <v>1061</v>
      </c>
    </row>
    <row r="499" spans="1:14" hidden="1" x14ac:dyDescent="0.35">
      <c r="A499" s="21">
        <v>924665</v>
      </c>
      <c r="B499" s="22" t="str">
        <f>"3174024806680003"</f>
        <v>3174024806680003</v>
      </c>
      <c r="C499" s="22" t="str">
        <f t="shared" si="14"/>
        <v>'3174024806680003</v>
      </c>
      <c r="D499" s="22" t="str">
        <f t="shared" si="15"/>
        <v>tidak ganda</v>
      </c>
      <c r="E499" s="22" t="s">
        <v>1279</v>
      </c>
      <c r="F499" s="22" t="s">
        <v>10</v>
      </c>
      <c r="G499" s="22" t="s">
        <v>11</v>
      </c>
      <c r="H499" s="22" t="s">
        <v>50</v>
      </c>
      <c r="I499" s="22" t="s">
        <v>72</v>
      </c>
      <c r="J499" s="22" t="s">
        <v>703</v>
      </c>
      <c r="K499" s="23" t="s">
        <v>1061</v>
      </c>
    </row>
    <row r="500" spans="1:14" hidden="1" x14ac:dyDescent="0.35">
      <c r="A500" s="21">
        <v>516298</v>
      </c>
      <c r="B500" s="22" t="str">
        <f>"3174073011410003"</f>
        <v>3174073011410003</v>
      </c>
      <c r="C500" s="22" t="str">
        <f t="shared" si="14"/>
        <v>'3174073011410003</v>
      </c>
      <c r="D500" s="22" t="str">
        <f t="shared" si="15"/>
        <v>tidak ganda</v>
      </c>
      <c r="E500" s="22" t="s">
        <v>1280</v>
      </c>
      <c r="F500" s="22" t="s">
        <v>10</v>
      </c>
      <c r="G500" s="22" t="s">
        <v>11</v>
      </c>
      <c r="H500" s="22" t="s">
        <v>50</v>
      </c>
      <c r="I500" s="22" t="s">
        <v>72</v>
      </c>
      <c r="J500" s="22" t="s">
        <v>628</v>
      </c>
      <c r="K500" s="23" t="s">
        <v>1281</v>
      </c>
    </row>
    <row r="501" spans="1:14" hidden="1" x14ac:dyDescent="0.35">
      <c r="A501" s="21">
        <v>863732</v>
      </c>
      <c r="B501" s="22" t="str">
        <f>"3175011010760009"</f>
        <v>3175011010760009</v>
      </c>
      <c r="C501" s="22" t="str">
        <f t="shared" si="14"/>
        <v>'3175011010760009</v>
      </c>
      <c r="D501" s="22" t="str">
        <f t="shared" si="15"/>
        <v>tidak ganda</v>
      </c>
      <c r="E501" s="22" t="s">
        <v>1282</v>
      </c>
      <c r="F501" s="22" t="s">
        <v>10</v>
      </c>
      <c r="G501" s="22" t="s">
        <v>11</v>
      </c>
      <c r="H501" s="22" t="s">
        <v>50</v>
      </c>
      <c r="I501" s="22" t="s">
        <v>58</v>
      </c>
      <c r="J501" s="22" t="s">
        <v>1283</v>
      </c>
      <c r="K501" s="23" t="s">
        <v>1284</v>
      </c>
    </row>
    <row r="502" spans="1:14" hidden="1" x14ac:dyDescent="0.35">
      <c r="A502" s="21">
        <v>2371742</v>
      </c>
      <c r="B502" s="22" t="str">
        <f>"3175054606861002"</f>
        <v>3175054606861002</v>
      </c>
      <c r="C502" s="22" t="str">
        <f t="shared" si="14"/>
        <v>'3175054606861002</v>
      </c>
      <c r="D502" s="22" t="str">
        <f t="shared" si="15"/>
        <v>ganda</v>
      </c>
      <c r="E502" s="22" t="s">
        <v>1285</v>
      </c>
      <c r="F502" s="22" t="s">
        <v>10</v>
      </c>
      <c r="G502" s="22" t="s">
        <v>11</v>
      </c>
      <c r="H502" s="22" t="s">
        <v>18</v>
      </c>
      <c r="I502" s="22" t="s">
        <v>19</v>
      </c>
      <c r="J502" s="22" t="s">
        <v>745</v>
      </c>
      <c r="K502" s="23" t="s">
        <v>746</v>
      </c>
      <c r="L502" t="e">
        <f>VLOOKUP(B502,ubah!$B$2:$L$234,4,FALSE)</f>
        <v>#N/A</v>
      </c>
      <c r="M502" t="e">
        <f>VLOOKUP(B502,ubah!$B$2:$L$234,5,FALSE)</f>
        <v>#N/A</v>
      </c>
      <c r="N502" t="e">
        <f>VLOOKUP(B502,ubah!$B$2:$L$234,6,FALSE)</f>
        <v>#N/A</v>
      </c>
    </row>
    <row r="503" spans="1:14" hidden="1" x14ac:dyDescent="0.35">
      <c r="A503" s="21">
        <v>1352168</v>
      </c>
      <c r="B503" s="22" t="str">
        <f>"3175054606861002"</f>
        <v>3175054606861002</v>
      </c>
      <c r="C503" s="22" t="str">
        <f t="shared" si="14"/>
        <v>'3175054606861002</v>
      </c>
      <c r="D503" s="22" t="str">
        <f t="shared" si="15"/>
        <v>ganda</v>
      </c>
      <c r="E503" s="22" t="s">
        <v>1286</v>
      </c>
      <c r="F503" s="22" t="s">
        <v>10</v>
      </c>
      <c r="G503" s="22" t="s">
        <v>57</v>
      </c>
      <c r="H503" s="22" t="s">
        <v>303</v>
      </c>
      <c r="I503" s="22" t="s">
        <v>608</v>
      </c>
      <c r="J503" s="22" t="s">
        <v>609</v>
      </c>
      <c r="K503" s="23" t="s">
        <v>610</v>
      </c>
    </row>
    <row r="504" spans="1:14" hidden="1" x14ac:dyDescent="0.35">
      <c r="A504" s="21">
        <v>617234</v>
      </c>
      <c r="B504" s="22" t="str">
        <f>"3175060510760021"</f>
        <v>3175060510760021</v>
      </c>
      <c r="C504" s="22" t="str">
        <f t="shared" si="14"/>
        <v>'3175060510760021</v>
      </c>
      <c r="D504" s="22" t="str">
        <f t="shared" si="15"/>
        <v>tidak ganda</v>
      </c>
      <c r="E504" s="22" t="s">
        <v>1287</v>
      </c>
      <c r="F504" s="22" t="s">
        <v>10</v>
      </c>
      <c r="G504" s="22" t="s">
        <v>11</v>
      </c>
      <c r="H504" s="22" t="s">
        <v>91</v>
      </c>
      <c r="I504" s="22" t="s">
        <v>159</v>
      </c>
      <c r="J504" s="22" t="s">
        <v>1288</v>
      </c>
      <c r="K504" s="23" t="s">
        <v>1289</v>
      </c>
    </row>
    <row r="505" spans="1:14" hidden="1" x14ac:dyDescent="0.35">
      <c r="A505" s="21">
        <v>1613407</v>
      </c>
      <c r="B505" s="22" t="str">
        <f>"3175071708760017"</f>
        <v>3175071708760017</v>
      </c>
      <c r="C505" s="22" t="str">
        <f t="shared" si="14"/>
        <v>'3175071708760017</v>
      </c>
      <c r="D505" s="22" t="str">
        <f t="shared" si="15"/>
        <v>tidak ganda</v>
      </c>
      <c r="E505" s="22" t="s">
        <v>1290</v>
      </c>
      <c r="F505" s="22" t="s">
        <v>10</v>
      </c>
      <c r="G505" s="22" t="s">
        <v>11</v>
      </c>
      <c r="H505" s="22" t="s">
        <v>50</v>
      </c>
      <c r="I505" s="22" t="s">
        <v>58</v>
      </c>
      <c r="J505" s="22" t="s">
        <v>1283</v>
      </c>
      <c r="K505" s="23" t="s">
        <v>1291</v>
      </c>
    </row>
    <row r="506" spans="1:14" hidden="1" x14ac:dyDescent="0.35">
      <c r="A506" s="21">
        <v>540259</v>
      </c>
      <c r="B506" s="22" t="str">
        <f>"3175105704850002"</f>
        <v>3175105704850002</v>
      </c>
      <c r="C506" s="22" t="str">
        <f t="shared" si="14"/>
        <v>'3175105704850002</v>
      </c>
      <c r="D506" s="22" t="str">
        <f t="shared" si="15"/>
        <v>tidak ganda</v>
      </c>
      <c r="E506" s="22" t="s">
        <v>421</v>
      </c>
      <c r="F506" s="22" t="s">
        <v>10</v>
      </c>
      <c r="G506" s="22" t="s">
        <v>11</v>
      </c>
      <c r="H506" s="22" t="s">
        <v>50</v>
      </c>
      <c r="I506" s="22" t="s">
        <v>58</v>
      </c>
      <c r="J506" s="22" t="s">
        <v>316</v>
      </c>
      <c r="K506" s="23" t="s">
        <v>1293</v>
      </c>
    </row>
    <row r="507" spans="1:14" hidden="1" x14ac:dyDescent="0.35">
      <c r="A507" s="21">
        <v>4467147</v>
      </c>
      <c r="B507" s="22" t="str">
        <f>"3205380404760001"</f>
        <v>3205380404760001</v>
      </c>
      <c r="C507" s="22" t="str">
        <f t="shared" si="14"/>
        <v>'3205380404760001</v>
      </c>
      <c r="D507" s="22" t="str">
        <f t="shared" si="15"/>
        <v>tidak ganda</v>
      </c>
      <c r="E507" s="22" t="s">
        <v>1294</v>
      </c>
      <c r="F507" s="22" t="s">
        <v>10</v>
      </c>
      <c r="G507" s="22" t="s">
        <v>11</v>
      </c>
      <c r="H507" s="22" t="s">
        <v>91</v>
      </c>
      <c r="I507" s="22" t="s">
        <v>1295</v>
      </c>
      <c r="J507" s="22" t="s">
        <v>1296</v>
      </c>
      <c r="K507" s="23" t="s">
        <v>1297</v>
      </c>
    </row>
    <row r="508" spans="1:14" hidden="1" x14ac:dyDescent="0.35">
      <c r="A508" s="21">
        <v>488818</v>
      </c>
      <c r="B508" s="22" t="str">
        <f>"3206230605670001"</f>
        <v>3206230605670001</v>
      </c>
      <c r="C508" s="22" t="str">
        <f t="shared" si="14"/>
        <v>'3206230605670001</v>
      </c>
      <c r="D508" s="22" t="str">
        <f t="shared" si="15"/>
        <v>tidak ganda</v>
      </c>
      <c r="E508" s="22" t="s">
        <v>1299</v>
      </c>
      <c r="F508" s="22" t="s">
        <v>10</v>
      </c>
      <c r="G508" s="22" t="s">
        <v>11</v>
      </c>
      <c r="H508" s="22" t="s">
        <v>91</v>
      </c>
      <c r="I508" s="22" t="s">
        <v>1300</v>
      </c>
      <c r="J508" s="22" t="s">
        <v>1301</v>
      </c>
      <c r="K508" s="23" t="s">
        <v>1302</v>
      </c>
    </row>
    <row r="509" spans="1:14" hidden="1" x14ac:dyDescent="0.35">
      <c r="A509" s="21">
        <v>783535</v>
      </c>
      <c r="B509" s="22" t="str">
        <f>"3209065704940005"</f>
        <v>3209065704940005</v>
      </c>
      <c r="C509" s="22" t="str">
        <f t="shared" si="14"/>
        <v>'3209065704940005</v>
      </c>
      <c r="D509" s="22" t="str">
        <f t="shared" si="15"/>
        <v>tidak ganda</v>
      </c>
      <c r="E509" s="22" t="s">
        <v>1304</v>
      </c>
      <c r="F509" s="22" t="s">
        <v>10</v>
      </c>
      <c r="G509" s="22" t="s">
        <v>11</v>
      </c>
      <c r="H509" s="22" t="s">
        <v>91</v>
      </c>
      <c r="I509" s="22" t="s">
        <v>903</v>
      </c>
      <c r="J509" s="22" t="s">
        <v>316</v>
      </c>
      <c r="K509" s="23" t="s">
        <v>1305</v>
      </c>
    </row>
    <row r="510" spans="1:14" hidden="1" x14ac:dyDescent="0.35">
      <c r="A510" s="21">
        <v>1494862</v>
      </c>
      <c r="B510" s="22" t="str">
        <f>"3209195607000009"</f>
        <v>3209195607000009</v>
      </c>
      <c r="C510" s="22" t="str">
        <f t="shared" si="14"/>
        <v>'3209195607000009</v>
      </c>
      <c r="D510" s="22" t="str">
        <f t="shared" si="15"/>
        <v>tidak ganda</v>
      </c>
      <c r="E510" s="22" t="s">
        <v>1307</v>
      </c>
      <c r="F510" s="22" t="s">
        <v>10</v>
      </c>
      <c r="G510" s="22" t="s">
        <v>11</v>
      </c>
      <c r="H510" s="22" t="s">
        <v>91</v>
      </c>
      <c r="I510" s="22" t="s">
        <v>985</v>
      </c>
      <c r="J510" s="22" t="s">
        <v>1308</v>
      </c>
      <c r="K510" s="23" t="s">
        <v>1309</v>
      </c>
    </row>
    <row r="511" spans="1:14" hidden="1" x14ac:dyDescent="0.35">
      <c r="A511" s="21">
        <v>682106</v>
      </c>
      <c r="B511" s="22" t="str">
        <f>"3214120602670001"</f>
        <v>3214120602670001</v>
      </c>
      <c r="C511" s="22" t="str">
        <f t="shared" si="14"/>
        <v>'3214120602670001</v>
      </c>
      <c r="D511" s="22" t="str">
        <f t="shared" si="15"/>
        <v>tidak ganda</v>
      </c>
      <c r="E511" s="22" t="s">
        <v>1310</v>
      </c>
      <c r="F511" s="22" t="s">
        <v>10</v>
      </c>
      <c r="G511" s="22" t="s">
        <v>11</v>
      </c>
      <c r="H511" s="22" t="s">
        <v>91</v>
      </c>
      <c r="I511" s="22" t="s">
        <v>119</v>
      </c>
      <c r="J511" s="22" t="s">
        <v>1311</v>
      </c>
      <c r="K511" s="23" t="s">
        <v>1312</v>
      </c>
    </row>
    <row r="512" spans="1:14" hidden="1" x14ac:dyDescent="0.35">
      <c r="A512" s="21">
        <v>2360492</v>
      </c>
      <c r="B512" s="22" t="str">
        <f>"3215024711010001"</f>
        <v>3215024711010001</v>
      </c>
      <c r="C512" s="22" t="str">
        <f t="shared" si="14"/>
        <v>'3215024711010001</v>
      </c>
      <c r="D512" s="22" t="str">
        <f t="shared" si="15"/>
        <v>tidak ganda</v>
      </c>
      <c r="E512" s="22" t="s">
        <v>1313</v>
      </c>
      <c r="F512" s="22" t="s">
        <v>10</v>
      </c>
      <c r="G512" s="22" t="s">
        <v>11</v>
      </c>
      <c r="H512" s="22" t="s">
        <v>18</v>
      </c>
      <c r="I512" s="22" t="s">
        <v>19</v>
      </c>
      <c r="J512" s="22" t="s">
        <v>745</v>
      </c>
      <c r="K512" s="23" t="s">
        <v>1314</v>
      </c>
      <c r="L512" t="e">
        <f>VLOOKUP(B512,ubah!$B$2:$L$234,4,FALSE)</f>
        <v>#N/A</v>
      </c>
      <c r="M512" t="e">
        <f>VLOOKUP(B512,ubah!$B$2:$L$234,5,FALSE)</f>
        <v>#N/A</v>
      </c>
      <c r="N512" t="e">
        <f>VLOOKUP(B512,ubah!$B$2:$L$234,6,FALSE)</f>
        <v>#N/A</v>
      </c>
    </row>
    <row r="513" spans="1:14" hidden="1" x14ac:dyDescent="0.35">
      <c r="A513" s="21">
        <v>1165245</v>
      </c>
      <c r="B513" s="22" t="str">
        <f>"3216196412890002"</f>
        <v>3216196412890002</v>
      </c>
      <c r="C513" s="22" t="str">
        <f t="shared" si="14"/>
        <v>'3216196412890002</v>
      </c>
      <c r="D513" s="22" t="str">
        <f t="shared" si="15"/>
        <v>tidak ganda</v>
      </c>
      <c r="E513" s="22" t="s">
        <v>1321</v>
      </c>
      <c r="F513" s="22" t="s">
        <v>10</v>
      </c>
      <c r="G513" s="22" t="s">
        <v>11</v>
      </c>
      <c r="H513" s="22" t="s">
        <v>91</v>
      </c>
      <c r="I513" s="22" t="s">
        <v>92</v>
      </c>
      <c r="J513" s="22" t="s">
        <v>571</v>
      </c>
      <c r="K513" s="23" t="s">
        <v>1322</v>
      </c>
    </row>
    <row r="514" spans="1:14" hidden="1" x14ac:dyDescent="0.35">
      <c r="A514" s="21">
        <v>1310416</v>
      </c>
      <c r="B514" s="22" t="str">
        <f>"3273140604650001"</f>
        <v>3273140604650001</v>
      </c>
      <c r="C514" s="22" t="str">
        <f t="shared" si="14"/>
        <v>'3273140604650001</v>
      </c>
      <c r="D514" s="22" t="str">
        <f t="shared" si="15"/>
        <v>tidak ganda</v>
      </c>
      <c r="E514" s="22" t="s">
        <v>1323</v>
      </c>
      <c r="F514" s="22" t="s">
        <v>10</v>
      </c>
      <c r="G514" s="22" t="s">
        <v>11</v>
      </c>
      <c r="H514" s="22" t="s">
        <v>91</v>
      </c>
      <c r="I514" s="22" t="s">
        <v>149</v>
      </c>
      <c r="J514" s="22" t="s">
        <v>1324</v>
      </c>
      <c r="K514" s="23" t="s">
        <v>1325</v>
      </c>
    </row>
    <row r="515" spans="1:14" hidden="1" x14ac:dyDescent="0.35">
      <c r="A515" s="21">
        <v>207654</v>
      </c>
      <c r="B515" s="22" t="str">
        <f>"3274042103800005"</f>
        <v>3274042103800005</v>
      </c>
      <c r="C515" s="22" t="str">
        <f t="shared" ref="C515:C578" si="16">"'"&amp;B515</f>
        <v>'3274042103800005</v>
      </c>
      <c r="D515" s="22" t="str">
        <f t="shared" ref="D515:D578" si="17">IF(COUNTIF($C:$C,C515)&gt;1,"ganda","tidak ganda")</f>
        <v>tidak ganda</v>
      </c>
      <c r="E515" s="22" t="s">
        <v>1326</v>
      </c>
      <c r="F515" s="22" t="s">
        <v>10</v>
      </c>
      <c r="G515" s="22" t="s">
        <v>11</v>
      </c>
      <c r="H515" s="22" t="s">
        <v>91</v>
      </c>
      <c r="I515" s="22" t="s">
        <v>155</v>
      </c>
      <c r="J515" s="22" t="s">
        <v>1327</v>
      </c>
      <c r="K515" s="23" t="s">
        <v>1327</v>
      </c>
    </row>
    <row r="516" spans="1:14" hidden="1" x14ac:dyDescent="0.35">
      <c r="A516" s="21">
        <v>149342</v>
      </c>
      <c r="B516" s="22" t="str">
        <f>"3275017101840008"</f>
        <v>3275017101840008</v>
      </c>
      <c r="C516" s="22" t="str">
        <f t="shared" si="16"/>
        <v>'3275017101840008</v>
      </c>
      <c r="D516" s="22" t="str">
        <f t="shared" si="17"/>
        <v>tidak ganda</v>
      </c>
      <c r="E516" s="22" t="s">
        <v>1329</v>
      </c>
      <c r="F516" s="22" t="s">
        <v>10</v>
      </c>
      <c r="G516" s="22" t="s">
        <v>11</v>
      </c>
      <c r="H516" s="22" t="s">
        <v>91</v>
      </c>
      <c r="I516" s="22" t="s">
        <v>159</v>
      </c>
      <c r="J516" s="22" t="s">
        <v>685</v>
      </c>
      <c r="K516" s="23" t="s">
        <v>686</v>
      </c>
    </row>
    <row r="517" spans="1:14" hidden="1" x14ac:dyDescent="0.35">
      <c r="A517" s="21">
        <v>617238</v>
      </c>
      <c r="B517" s="22" t="str">
        <f>"3275022110740020"</f>
        <v>3275022110740020</v>
      </c>
      <c r="C517" s="22" t="str">
        <f t="shared" si="16"/>
        <v>'3275022110740020</v>
      </c>
      <c r="D517" s="22" t="str">
        <f t="shared" si="17"/>
        <v>tidak ganda</v>
      </c>
      <c r="E517" s="22" t="s">
        <v>1330</v>
      </c>
      <c r="F517" s="22" t="s">
        <v>10</v>
      </c>
      <c r="G517" s="22" t="s">
        <v>11</v>
      </c>
      <c r="H517" s="22" t="s">
        <v>91</v>
      </c>
      <c r="I517" s="22" t="s">
        <v>159</v>
      </c>
      <c r="J517" s="22" t="s">
        <v>1288</v>
      </c>
      <c r="K517" s="23" t="s">
        <v>1289</v>
      </c>
    </row>
    <row r="518" spans="1:14" hidden="1" x14ac:dyDescent="0.35">
      <c r="A518" s="21">
        <v>952924</v>
      </c>
      <c r="B518" s="22" t="str">
        <f>"3275045711630019"</f>
        <v>3275045711630019</v>
      </c>
      <c r="C518" s="22" t="str">
        <f t="shared" si="16"/>
        <v>'3275045711630019</v>
      </c>
      <c r="D518" s="22" t="str">
        <f t="shared" si="17"/>
        <v>tidak ganda</v>
      </c>
      <c r="E518" s="22" t="s">
        <v>1331</v>
      </c>
      <c r="F518" s="22" t="s">
        <v>10</v>
      </c>
      <c r="G518" s="22" t="s">
        <v>11</v>
      </c>
      <c r="H518" s="22" t="s">
        <v>91</v>
      </c>
      <c r="I518" s="22" t="s">
        <v>159</v>
      </c>
      <c r="J518" s="22" t="s">
        <v>1332</v>
      </c>
      <c r="K518" s="23" t="s">
        <v>1333</v>
      </c>
    </row>
    <row r="519" spans="1:14" hidden="1" x14ac:dyDescent="0.35">
      <c r="A519" s="21">
        <v>1329005</v>
      </c>
      <c r="B519" s="22" t="str">
        <f>"3275054103030012"</f>
        <v>3275054103030012</v>
      </c>
      <c r="C519" s="22" t="str">
        <f t="shared" si="16"/>
        <v>'3275054103030012</v>
      </c>
      <c r="D519" s="22" t="str">
        <f t="shared" si="17"/>
        <v>tidak ganda</v>
      </c>
      <c r="E519" s="22" t="s">
        <v>1334</v>
      </c>
      <c r="F519" s="22" t="s">
        <v>10</v>
      </c>
      <c r="G519" s="22" t="s">
        <v>11</v>
      </c>
      <c r="H519" s="22" t="s">
        <v>91</v>
      </c>
      <c r="I519" s="22" t="s">
        <v>159</v>
      </c>
      <c r="J519" s="22" t="s">
        <v>160</v>
      </c>
      <c r="K519" s="23" t="s">
        <v>161</v>
      </c>
    </row>
    <row r="520" spans="1:14" hidden="1" x14ac:dyDescent="0.35">
      <c r="A520" s="21">
        <v>1035660</v>
      </c>
      <c r="B520" s="22" t="str">
        <f>"3275086303860032"</f>
        <v>3275086303860032</v>
      </c>
      <c r="C520" s="22" t="str">
        <f t="shared" si="16"/>
        <v>'3275086303860032</v>
      </c>
      <c r="D520" s="22" t="str">
        <f t="shared" si="17"/>
        <v>tidak ganda</v>
      </c>
      <c r="E520" s="22" t="s">
        <v>1336</v>
      </c>
      <c r="F520" s="22" t="s">
        <v>10</v>
      </c>
      <c r="G520" s="22" t="s">
        <v>11</v>
      </c>
      <c r="H520" s="22" t="s">
        <v>91</v>
      </c>
      <c r="I520" s="22" t="s">
        <v>159</v>
      </c>
      <c r="J520" s="22" t="s">
        <v>1337</v>
      </c>
      <c r="K520" s="23" t="s">
        <v>1338</v>
      </c>
    </row>
    <row r="521" spans="1:14" hidden="1" x14ac:dyDescent="0.35">
      <c r="A521" s="21">
        <v>2347644</v>
      </c>
      <c r="B521" s="22" t="str">
        <f>"3276040410880004"</f>
        <v>3276040410880004</v>
      </c>
      <c r="C521" s="22" t="str">
        <f t="shared" si="16"/>
        <v>'3276040410880004</v>
      </c>
      <c r="D521" s="22" t="str">
        <f t="shared" si="17"/>
        <v>ganda</v>
      </c>
      <c r="E521" s="22" t="s">
        <v>1339</v>
      </c>
      <c r="F521" s="22" t="s">
        <v>10</v>
      </c>
      <c r="G521" s="22" t="s">
        <v>11</v>
      </c>
      <c r="H521" s="22" t="s">
        <v>18</v>
      </c>
      <c r="I521" s="22" t="s">
        <v>19</v>
      </c>
      <c r="J521" s="22" t="s">
        <v>745</v>
      </c>
      <c r="K521" s="23" t="s">
        <v>1262</v>
      </c>
      <c r="L521" t="e">
        <f>VLOOKUP(B521,ubah!$B$2:$L$234,4,FALSE)</f>
        <v>#N/A</v>
      </c>
      <c r="M521" t="e">
        <f>VLOOKUP(B521,ubah!$B$2:$L$234,5,FALSE)</f>
        <v>#N/A</v>
      </c>
      <c r="N521" t="e">
        <f>VLOOKUP(B521,ubah!$B$2:$L$234,6,FALSE)</f>
        <v>#N/A</v>
      </c>
    </row>
    <row r="522" spans="1:14" hidden="1" x14ac:dyDescent="0.35">
      <c r="A522" s="21">
        <v>2422580</v>
      </c>
      <c r="B522" s="22" t="str">
        <f>"3276040410880004"</f>
        <v>3276040410880004</v>
      </c>
      <c r="C522" s="22" t="str">
        <f t="shared" si="16"/>
        <v>'3276040410880004</v>
      </c>
      <c r="D522" s="22" t="str">
        <f t="shared" si="17"/>
        <v>ganda</v>
      </c>
      <c r="E522" s="22" t="s">
        <v>1340</v>
      </c>
      <c r="F522" s="22" t="s">
        <v>10</v>
      </c>
      <c r="G522" s="22" t="s">
        <v>57</v>
      </c>
      <c r="H522" s="22" t="s">
        <v>50</v>
      </c>
      <c r="I522" s="22" t="s">
        <v>58</v>
      </c>
      <c r="J522" s="22" t="s">
        <v>59</v>
      </c>
      <c r="K522" s="23" t="s">
        <v>60</v>
      </c>
    </row>
    <row r="523" spans="1:14" hidden="1" x14ac:dyDescent="0.35">
      <c r="A523" s="21">
        <v>146807</v>
      </c>
      <c r="B523" s="22" t="str">
        <f>"3279034712360001"</f>
        <v>3279034712360001</v>
      </c>
      <c r="C523" s="22" t="str">
        <f t="shared" si="16"/>
        <v>'3279034712360001</v>
      </c>
      <c r="D523" s="22" t="str">
        <f t="shared" si="17"/>
        <v>tidak ganda</v>
      </c>
      <c r="E523" s="22" t="s">
        <v>1341</v>
      </c>
      <c r="F523" s="22" t="s">
        <v>10</v>
      </c>
      <c r="G523" s="22" t="s">
        <v>11</v>
      </c>
      <c r="H523" s="22" t="s">
        <v>91</v>
      </c>
      <c r="I523" s="22" t="s">
        <v>1342</v>
      </c>
      <c r="J523" s="22" t="s">
        <v>1343</v>
      </c>
      <c r="K523" s="23" t="s">
        <v>1343</v>
      </c>
    </row>
    <row r="524" spans="1:14" hidden="1" x14ac:dyDescent="0.35">
      <c r="A524" s="21">
        <v>2346201</v>
      </c>
      <c r="B524" s="22" t="str">
        <f>"3301051010990005"</f>
        <v>3301051010990005</v>
      </c>
      <c r="C524" s="22" t="str">
        <f t="shared" si="16"/>
        <v>'3301051010990005</v>
      </c>
      <c r="D524" s="22" t="str">
        <f t="shared" si="17"/>
        <v>tidak ganda</v>
      </c>
      <c r="E524" s="22" t="s">
        <v>1344</v>
      </c>
      <c r="F524" s="22" t="s">
        <v>10</v>
      </c>
      <c r="G524" s="22" t="s">
        <v>11</v>
      </c>
      <c r="H524" s="22" t="s">
        <v>18</v>
      </c>
      <c r="I524" s="22" t="s">
        <v>19</v>
      </c>
      <c r="J524" s="22" t="s">
        <v>745</v>
      </c>
      <c r="K524" s="23" t="s">
        <v>1262</v>
      </c>
      <c r="L524" t="e">
        <f>VLOOKUP(B524,ubah!$B$2:$L$234,4,FALSE)</f>
        <v>#N/A</v>
      </c>
      <c r="M524" t="e">
        <f>VLOOKUP(B524,ubah!$B$2:$L$234,5,FALSE)</f>
        <v>#N/A</v>
      </c>
      <c r="N524" t="e">
        <f>VLOOKUP(B524,ubah!$B$2:$L$234,6,FALSE)</f>
        <v>#N/A</v>
      </c>
    </row>
    <row r="525" spans="1:14" hidden="1" x14ac:dyDescent="0.35">
      <c r="A525" s="21">
        <v>468337</v>
      </c>
      <c r="B525" s="22" t="str">
        <f>"3304112809870001"</f>
        <v>3304112809870001</v>
      </c>
      <c r="C525" s="22" t="str">
        <f t="shared" si="16"/>
        <v>'3304112809870001</v>
      </c>
      <c r="D525" s="22" t="str">
        <f t="shared" si="17"/>
        <v>tidak ganda</v>
      </c>
      <c r="E525" s="22" t="s">
        <v>1352</v>
      </c>
      <c r="F525" s="22" t="s">
        <v>10</v>
      </c>
      <c r="G525" s="22" t="s">
        <v>11</v>
      </c>
      <c r="H525" s="22" t="s">
        <v>18</v>
      </c>
      <c r="I525" s="22" t="s">
        <v>951</v>
      </c>
      <c r="J525" s="22" t="s">
        <v>1353</v>
      </c>
      <c r="K525" s="23" t="s">
        <v>1353</v>
      </c>
    </row>
    <row r="526" spans="1:14" hidden="1" x14ac:dyDescent="0.35">
      <c r="A526" s="21">
        <v>1443843</v>
      </c>
      <c r="B526" s="22" t="str">
        <f>"3324033005910003"</f>
        <v>3324033005910003</v>
      </c>
      <c r="C526" s="22" t="str">
        <f t="shared" si="16"/>
        <v>'3324033005910003</v>
      </c>
      <c r="D526" s="22" t="str">
        <f t="shared" si="17"/>
        <v>tidak ganda</v>
      </c>
      <c r="E526" s="22" t="s">
        <v>1354</v>
      </c>
      <c r="F526" s="22" t="s">
        <v>10</v>
      </c>
      <c r="G526" s="22" t="s">
        <v>11</v>
      </c>
      <c r="H526" s="22" t="s">
        <v>18</v>
      </c>
      <c r="I526" s="22" t="s">
        <v>184</v>
      </c>
      <c r="J526" s="22" t="s">
        <v>1355</v>
      </c>
      <c r="K526" s="23" t="s">
        <v>1356</v>
      </c>
    </row>
    <row r="527" spans="1:14" hidden="1" x14ac:dyDescent="0.35">
      <c r="A527" s="21">
        <v>1517752</v>
      </c>
      <c r="B527" s="22" t="str">
        <f>"3324082605920001"</f>
        <v>3324082605920001</v>
      </c>
      <c r="C527" s="22" t="str">
        <f t="shared" si="16"/>
        <v>'3324082605920001</v>
      </c>
      <c r="D527" s="22" t="str">
        <f t="shared" si="17"/>
        <v>tidak ganda</v>
      </c>
      <c r="E527" s="22" t="s">
        <v>1358</v>
      </c>
      <c r="F527" s="22" t="s">
        <v>10</v>
      </c>
      <c r="G527" s="22" t="s">
        <v>11</v>
      </c>
      <c r="H527" s="22" t="s">
        <v>18</v>
      </c>
      <c r="I527" s="22" t="s">
        <v>184</v>
      </c>
      <c r="J527" s="22" t="s">
        <v>1266</v>
      </c>
      <c r="K527" s="23" t="s">
        <v>1359</v>
      </c>
    </row>
    <row r="528" spans="1:14" hidden="1" x14ac:dyDescent="0.35">
      <c r="A528" s="21">
        <v>1352877</v>
      </c>
      <c r="B528" s="22" t="str">
        <f>"3328032905050002"</f>
        <v>3328032905050002</v>
      </c>
      <c r="C528" s="22" t="str">
        <f t="shared" si="16"/>
        <v>'3328032905050002</v>
      </c>
      <c r="D528" s="22" t="str">
        <f t="shared" si="17"/>
        <v>tidak ganda</v>
      </c>
      <c r="E528" s="22" t="s">
        <v>1361</v>
      </c>
      <c r="F528" s="22" t="s">
        <v>10</v>
      </c>
      <c r="G528" s="22" t="s">
        <v>57</v>
      </c>
      <c r="H528" s="22" t="s">
        <v>303</v>
      </c>
      <c r="I528" s="22" t="s">
        <v>608</v>
      </c>
      <c r="J528" s="22" t="s">
        <v>609</v>
      </c>
      <c r="K528" s="23" t="s">
        <v>610</v>
      </c>
    </row>
    <row r="529" spans="1:14" hidden="1" x14ac:dyDescent="0.35">
      <c r="A529" s="21">
        <v>2295552</v>
      </c>
      <c r="B529" s="22" t="str">
        <f>"3328040103060003"</f>
        <v>3328040103060003</v>
      </c>
      <c r="C529" s="22" t="str">
        <f t="shared" si="16"/>
        <v>'3328040103060003</v>
      </c>
      <c r="D529" s="22" t="str">
        <f t="shared" si="17"/>
        <v>ganda</v>
      </c>
      <c r="E529" s="22" t="s">
        <v>1362</v>
      </c>
      <c r="F529" s="22" t="s">
        <v>10</v>
      </c>
      <c r="G529" s="22" t="s">
        <v>11</v>
      </c>
      <c r="H529" s="22" t="s">
        <v>18</v>
      </c>
      <c r="I529" s="22" t="s">
        <v>19</v>
      </c>
      <c r="J529" s="22" t="s">
        <v>745</v>
      </c>
      <c r="K529" s="23" t="s">
        <v>1264</v>
      </c>
      <c r="L529" t="e">
        <f>VLOOKUP(B529,ubah!$B$2:$L$234,4,FALSE)</f>
        <v>#N/A</v>
      </c>
      <c r="M529" t="e">
        <f>VLOOKUP(B529,ubah!$B$2:$L$234,5,FALSE)</f>
        <v>#N/A</v>
      </c>
      <c r="N529" t="e">
        <f>VLOOKUP(B529,ubah!$B$2:$L$234,6,FALSE)</f>
        <v>#N/A</v>
      </c>
    </row>
    <row r="530" spans="1:14" hidden="1" x14ac:dyDescent="0.35">
      <c r="A530" s="21">
        <v>1351118</v>
      </c>
      <c r="B530" s="22" t="str">
        <f>"3328040103060003"</f>
        <v>3328040103060003</v>
      </c>
      <c r="C530" s="22" t="str">
        <f t="shared" si="16"/>
        <v>'3328040103060003</v>
      </c>
      <c r="D530" s="22" t="str">
        <f t="shared" si="17"/>
        <v>ganda</v>
      </c>
      <c r="E530" s="22" t="s">
        <v>1363</v>
      </c>
      <c r="F530" s="22" t="s">
        <v>10</v>
      </c>
      <c r="G530" s="22" t="s">
        <v>57</v>
      </c>
      <c r="H530" s="22" t="s">
        <v>303</v>
      </c>
      <c r="I530" s="22" t="s">
        <v>608</v>
      </c>
      <c r="J530" s="22" t="s">
        <v>609</v>
      </c>
      <c r="K530" s="23" t="s">
        <v>610</v>
      </c>
    </row>
    <row r="531" spans="1:14" hidden="1" x14ac:dyDescent="0.35">
      <c r="A531" s="21">
        <v>343427</v>
      </c>
      <c r="B531" s="22" t="str">
        <f>"3328040107550015"</f>
        <v>3328040107550015</v>
      </c>
      <c r="C531" s="22" t="str">
        <f t="shared" si="16"/>
        <v>'3328040107550015</v>
      </c>
      <c r="D531" s="22" t="str">
        <f t="shared" si="17"/>
        <v>tidak ganda</v>
      </c>
      <c r="E531" s="22" t="s">
        <v>1364</v>
      </c>
      <c r="F531" s="22" t="s">
        <v>10</v>
      </c>
      <c r="G531" s="22" t="s">
        <v>11</v>
      </c>
      <c r="H531" s="22" t="s">
        <v>91</v>
      </c>
      <c r="I531" s="22" t="s">
        <v>754</v>
      </c>
      <c r="J531" s="22" t="s">
        <v>1365</v>
      </c>
      <c r="K531" s="23" t="s">
        <v>1366</v>
      </c>
    </row>
    <row r="532" spans="1:14" hidden="1" x14ac:dyDescent="0.35">
      <c r="A532" s="21">
        <v>196855</v>
      </c>
      <c r="B532" s="22" t="str">
        <f>"3328040107840123"</f>
        <v>3328040107840123</v>
      </c>
      <c r="C532" s="22" t="str">
        <f t="shared" si="16"/>
        <v>'3328040107840123</v>
      </c>
      <c r="D532" s="22" t="str">
        <f t="shared" si="17"/>
        <v>tidak ganda</v>
      </c>
      <c r="E532" s="22" t="s">
        <v>1367</v>
      </c>
      <c r="F532" s="22" t="s">
        <v>10</v>
      </c>
      <c r="G532" s="22" t="s">
        <v>11</v>
      </c>
      <c r="H532" s="22" t="s">
        <v>50</v>
      </c>
      <c r="I532" s="22" t="s">
        <v>58</v>
      </c>
      <c r="J532" s="22" t="s">
        <v>59</v>
      </c>
      <c r="K532" s="23" t="s">
        <v>1368</v>
      </c>
    </row>
    <row r="533" spans="1:14" hidden="1" x14ac:dyDescent="0.35">
      <c r="A533" s="21">
        <v>5249196</v>
      </c>
      <c r="B533" s="22" t="str">
        <f>"3328040107840201"</f>
        <v>3328040107840201</v>
      </c>
      <c r="C533" s="22" t="str">
        <f t="shared" si="16"/>
        <v>'3328040107840201</v>
      </c>
      <c r="D533" s="22" t="str">
        <f t="shared" si="17"/>
        <v>tidak ganda</v>
      </c>
      <c r="E533" s="22" t="s">
        <v>1370</v>
      </c>
      <c r="F533" s="22" t="s">
        <v>10</v>
      </c>
      <c r="G533" s="22" t="s">
        <v>11</v>
      </c>
      <c r="H533" s="22" t="s">
        <v>91</v>
      </c>
      <c r="I533" s="22" t="s">
        <v>1295</v>
      </c>
      <c r="J533" s="22" t="s">
        <v>1371</v>
      </c>
      <c r="K533" s="23" t="s">
        <v>1372</v>
      </c>
    </row>
    <row r="534" spans="1:14" hidden="1" x14ac:dyDescent="0.35">
      <c r="A534" s="21">
        <v>52613</v>
      </c>
      <c r="B534" s="22" t="str">
        <f>"3328040110010007"</f>
        <v>3328040110010007</v>
      </c>
      <c r="C534" s="22" t="str">
        <f t="shared" si="16"/>
        <v>'3328040110010007</v>
      </c>
      <c r="D534" s="22" t="str">
        <f t="shared" si="17"/>
        <v>tidak ganda</v>
      </c>
      <c r="E534" s="22" t="s">
        <v>1373</v>
      </c>
      <c r="F534" s="22" t="s">
        <v>10</v>
      </c>
      <c r="G534" s="22" t="s">
        <v>11</v>
      </c>
      <c r="H534" s="22" t="s">
        <v>1374</v>
      </c>
      <c r="I534" s="22" t="s">
        <v>1375</v>
      </c>
      <c r="J534" s="22" t="s">
        <v>1376</v>
      </c>
      <c r="K534" s="23" t="s">
        <v>1377</v>
      </c>
    </row>
    <row r="535" spans="1:14" hidden="1" x14ac:dyDescent="0.35">
      <c r="A535" s="21">
        <v>2371761</v>
      </c>
      <c r="B535" s="22" t="str">
        <f>"3328040110900008"</f>
        <v>3328040110900008</v>
      </c>
      <c r="C535" s="22" t="str">
        <f t="shared" si="16"/>
        <v>'3328040110900008</v>
      </c>
      <c r="D535" s="22" t="str">
        <f t="shared" si="17"/>
        <v>tidak ganda</v>
      </c>
      <c r="E535" s="22" t="s">
        <v>1379</v>
      </c>
      <c r="F535" s="22" t="s">
        <v>10</v>
      </c>
      <c r="G535" s="22" t="s">
        <v>11</v>
      </c>
      <c r="H535" s="22" t="s">
        <v>18</v>
      </c>
      <c r="I535" s="22" t="s">
        <v>19</v>
      </c>
      <c r="J535" s="22" t="s">
        <v>745</v>
      </c>
      <c r="K535" s="23" t="s">
        <v>746</v>
      </c>
      <c r="L535" t="e">
        <f>VLOOKUP(B535,ubah!$B$2:$L$234,4,FALSE)</f>
        <v>#N/A</v>
      </c>
      <c r="M535" t="e">
        <f>VLOOKUP(B535,ubah!$B$2:$L$234,5,FALSE)</f>
        <v>#N/A</v>
      </c>
      <c r="N535" t="e">
        <f>VLOOKUP(B535,ubah!$B$2:$L$234,6,FALSE)</f>
        <v>#N/A</v>
      </c>
    </row>
    <row r="536" spans="1:14" hidden="1" x14ac:dyDescent="0.35">
      <c r="A536" s="21">
        <v>2294008</v>
      </c>
      <c r="B536" s="22" t="str">
        <f>"3328040111020003"</f>
        <v>3328040111020003</v>
      </c>
      <c r="C536" s="22" t="str">
        <f t="shared" si="16"/>
        <v>'3328040111020003</v>
      </c>
      <c r="D536" s="22" t="str">
        <f t="shared" si="17"/>
        <v>ganda</v>
      </c>
      <c r="E536" s="22" t="s">
        <v>1383</v>
      </c>
      <c r="F536" s="22" t="s">
        <v>10</v>
      </c>
      <c r="G536" s="22" t="s">
        <v>11</v>
      </c>
      <c r="H536" s="22" t="s">
        <v>18</v>
      </c>
      <c r="I536" s="22" t="s">
        <v>19</v>
      </c>
      <c r="J536" s="22" t="s">
        <v>745</v>
      </c>
      <c r="K536" s="23" t="s">
        <v>1264</v>
      </c>
      <c r="L536" t="e">
        <f>VLOOKUP(B536,ubah!$B$2:$L$234,4,FALSE)</f>
        <v>#N/A</v>
      </c>
      <c r="M536" t="e">
        <f>VLOOKUP(B536,ubah!$B$2:$L$234,5,FALSE)</f>
        <v>#N/A</v>
      </c>
      <c r="N536" t="e">
        <f>VLOOKUP(B536,ubah!$B$2:$L$234,6,FALSE)</f>
        <v>#N/A</v>
      </c>
    </row>
    <row r="537" spans="1:14" hidden="1" x14ac:dyDescent="0.35">
      <c r="A537" s="21">
        <v>1392758</v>
      </c>
      <c r="B537" s="22" t="str">
        <f>"3328040111020003"</f>
        <v>3328040111020003</v>
      </c>
      <c r="C537" s="22" t="str">
        <f t="shared" si="16"/>
        <v>'3328040111020003</v>
      </c>
      <c r="D537" s="22" t="str">
        <f t="shared" si="17"/>
        <v>ganda</v>
      </c>
      <c r="E537" s="22" t="s">
        <v>1383</v>
      </c>
      <c r="F537" s="22" t="s">
        <v>10</v>
      </c>
      <c r="G537" s="22" t="s">
        <v>57</v>
      </c>
      <c r="H537" s="22" t="s">
        <v>303</v>
      </c>
      <c r="I537" s="22" t="s">
        <v>608</v>
      </c>
      <c r="J537" s="22" t="s">
        <v>1384</v>
      </c>
      <c r="K537" s="23" t="s">
        <v>1385</v>
      </c>
    </row>
    <row r="538" spans="1:14" hidden="1" x14ac:dyDescent="0.35">
      <c r="A538" s="21">
        <v>48796</v>
      </c>
      <c r="B538" s="22" t="str">
        <f>"3328040210820001"</f>
        <v>3328040210820001</v>
      </c>
      <c r="C538" s="22" t="str">
        <f t="shared" si="16"/>
        <v>'3328040210820001</v>
      </c>
      <c r="D538" s="22" t="str">
        <f t="shared" si="17"/>
        <v>tidak ganda</v>
      </c>
      <c r="E538" s="22" t="s">
        <v>1389</v>
      </c>
      <c r="F538" s="22" t="s">
        <v>10</v>
      </c>
      <c r="G538" s="22" t="s">
        <v>11</v>
      </c>
      <c r="H538" s="22" t="s">
        <v>521</v>
      </c>
      <c r="I538" s="22" t="s">
        <v>657</v>
      </c>
      <c r="J538" s="22" t="s">
        <v>1390</v>
      </c>
      <c r="K538" s="23" t="s">
        <v>1391</v>
      </c>
    </row>
    <row r="539" spans="1:14" hidden="1" x14ac:dyDescent="0.35">
      <c r="A539" s="21">
        <v>2286638</v>
      </c>
      <c r="B539" s="22" t="str">
        <f>"3328040210900006"</f>
        <v>3328040210900006</v>
      </c>
      <c r="C539" s="22" t="str">
        <f t="shared" si="16"/>
        <v>'3328040210900006</v>
      </c>
      <c r="D539" s="22" t="str">
        <f t="shared" si="17"/>
        <v>ganda</v>
      </c>
      <c r="E539" s="22" t="s">
        <v>1392</v>
      </c>
      <c r="F539" s="22" t="s">
        <v>10</v>
      </c>
      <c r="G539" s="22" t="s">
        <v>11</v>
      </c>
      <c r="H539" s="22" t="s">
        <v>18</v>
      </c>
      <c r="I539" s="22" t="s">
        <v>19</v>
      </c>
      <c r="J539" s="22" t="s">
        <v>745</v>
      </c>
      <c r="K539" s="23" t="s">
        <v>1264</v>
      </c>
      <c r="L539" t="e">
        <f>VLOOKUP(B539,ubah!$B$2:$L$234,4,FALSE)</f>
        <v>#N/A</v>
      </c>
      <c r="M539" t="e">
        <f>VLOOKUP(B539,ubah!$B$2:$L$234,5,FALSE)</f>
        <v>#N/A</v>
      </c>
      <c r="N539" t="e">
        <f>VLOOKUP(B539,ubah!$B$2:$L$234,6,FALSE)</f>
        <v>#N/A</v>
      </c>
    </row>
    <row r="540" spans="1:14" hidden="1" x14ac:dyDescent="0.35">
      <c r="A540" s="21">
        <v>2571622</v>
      </c>
      <c r="B540" s="22" t="str">
        <f>"3328040210900006"</f>
        <v>3328040210900006</v>
      </c>
      <c r="C540" s="22" t="str">
        <f t="shared" si="16"/>
        <v>'3328040210900006</v>
      </c>
      <c r="D540" s="22" t="str">
        <f t="shared" si="17"/>
        <v>ganda</v>
      </c>
      <c r="E540" s="22" t="s">
        <v>1393</v>
      </c>
      <c r="F540" s="22" t="s">
        <v>10</v>
      </c>
      <c r="G540" s="22" t="s">
        <v>11</v>
      </c>
      <c r="H540" s="22" t="s">
        <v>18</v>
      </c>
      <c r="I540" s="22" t="s">
        <v>19</v>
      </c>
      <c r="J540" s="22" t="s">
        <v>1394</v>
      </c>
      <c r="K540" s="23" t="s">
        <v>1395</v>
      </c>
      <c r="L540" t="e">
        <f>VLOOKUP(B540,ubah!$B$2:$L$234,4,FALSE)</f>
        <v>#N/A</v>
      </c>
      <c r="M540" t="e">
        <f>VLOOKUP(B540,ubah!$B$2:$L$234,5,FALSE)</f>
        <v>#N/A</v>
      </c>
      <c r="N540" t="e">
        <f>VLOOKUP(B540,ubah!$B$2:$L$234,6,FALSE)</f>
        <v>#N/A</v>
      </c>
    </row>
    <row r="541" spans="1:14" hidden="1" x14ac:dyDescent="0.35">
      <c r="A541" s="21">
        <v>2368854</v>
      </c>
      <c r="B541" s="22" t="str">
        <f>"3328040302030001"</f>
        <v>3328040302030001</v>
      </c>
      <c r="C541" s="22" t="str">
        <f t="shared" si="16"/>
        <v>'3328040302030001</v>
      </c>
      <c r="D541" s="22" t="str">
        <f t="shared" si="17"/>
        <v>ganda</v>
      </c>
      <c r="E541" s="22" t="s">
        <v>1396</v>
      </c>
      <c r="F541" s="22" t="s">
        <v>10</v>
      </c>
      <c r="G541" s="22" t="s">
        <v>11</v>
      </c>
      <c r="H541" s="22" t="s">
        <v>18</v>
      </c>
      <c r="I541" s="22" t="s">
        <v>19</v>
      </c>
      <c r="J541" s="22" t="s">
        <v>745</v>
      </c>
      <c r="K541" s="23" t="s">
        <v>746</v>
      </c>
      <c r="L541" t="e">
        <f>VLOOKUP(B541,ubah!$B$2:$L$234,4,FALSE)</f>
        <v>#N/A</v>
      </c>
      <c r="M541" t="e">
        <f>VLOOKUP(B541,ubah!$B$2:$L$234,5,FALSE)</f>
        <v>#N/A</v>
      </c>
      <c r="N541" t="e">
        <f>VLOOKUP(B541,ubah!$B$2:$L$234,6,FALSE)</f>
        <v>#N/A</v>
      </c>
    </row>
    <row r="542" spans="1:14" hidden="1" x14ac:dyDescent="0.35">
      <c r="A542" s="21">
        <v>1351127</v>
      </c>
      <c r="B542" s="22" t="str">
        <f>"3328040302030001"</f>
        <v>3328040302030001</v>
      </c>
      <c r="C542" s="22" t="str">
        <f t="shared" si="16"/>
        <v>'3328040302030001</v>
      </c>
      <c r="D542" s="22" t="str">
        <f t="shared" si="17"/>
        <v>ganda</v>
      </c>
      <c r="E542" s="22" t="s">
        <v>1396</v>
      </c>
      <c r="F542" s="22" t="s">
        <v>10</v>
      </c>
      <c r="G542" s="22" t="s">
        <v>57</v>
      </c>
      <c r="H542" s="22" t="s">
        <v>303</v>
      </c>
      <c r="I542" s="22" t="s">
        <v>608</v>
      </c>
      <c r="J542" s="22" t="s">
        <v>609</v>
      </c>
      <c r="K542" s="23" t="s">
        <v>610</v>
      </c>
    </row>
    <row r="543" spans="1:14" hidden="1" x14ac:dyDescent="0.35">
      <c r="A543" s="21">
        <v>1264123</v>
      </c>
      <c r="B543" s="22" t="str">
        <f>"3328040305760006"</f>
        <v>3328040305760006</v>
      </c>
      <c r="C543" s="22" t="str">
        <f t="shared" si="16"/>
        <v>'3328040305760006</v>
      </c>
      <c r="D543" s="22" t="str">
        <f t="shared" si="17"/>
        <v>tidak ganda</v>
      </c>
      <c r="E543" s="22" t="s">
        <v>1397</v>
      </c>
      <c r="F543" s="22" t="s">
        <v>10</v>
      </c>
      <c r="G543" s="22" t="s">
        <v>11</v>
      </c>
      <c r="H543" s="22" t="s">
        <v>91</v>
      </c>
      <c r="I543" s="22" t="s">
        <v>1398</v>
      </c>
      <c r="J543" s="22" t="s">
        <v>1399</v>
      </c>
      <c r="K543" s="23" t="s">
        <v>1400</v>
      </c>
    </row>
    <row r="544" spans="1:14" hidden="1" x14ac:dyDescent="0.35">
      <c r="A544" s="21">
        <v>388670</v>
      </c>
      <c r="B544" s="22" t="str">
        <f>"3328040309030006"</f>
        <v>3328040309030006</v>
      </c>
      <c r="C544" s="22" t="str">
        <f t="shared" si="16"/>
        <v>'3328040309030006</v>
      </c>
      <c r="D544" s="22" t="str">
        <f t="shared" si="17"/>
        <v>tidak ganda</v>
      </c>
      <c r="E544" s="22" t="s">
        <v>1402</v>
      </c>
      <c r="F544" s="22" t="s">
        <v>10</v>
      </c>
      <c r="G544" s="22" t="s">
        <v>11</v>
      </c>
      <c r="H544" s="22" t="s">
        <v>91</v>
      </c>
      <c r="I544" s="22" t="s">
        <v>903</v>
      </c>
      <c r="J544" s="22" t="s">
        <v>1403</v>
      </c>
      <c r="K544" s="23" t="s">
        <v>1404</v>
      </c>
    </row>
    <row r="545" spans="1:14" hidden="1" x14ac:dyDescent="0.35">
      <c r="A545" s="21">
        <v>2345946</v>
      </c>
      <c r="B545" s="22" t="str">
        <f>"3328040310030004"</f>
        <v>3328040310030004</v>
      </c>
      <c r="C545" s="22" t="str">
        <f t="shared" si="16"/>
        <v>'3328040310030004</v>
      </c>
      <c r="D545" s="22" t="str">
        <f t="shared" si="17"/>
        <v>ganda</v>
      </c>
      <c r="E545" s="22" t="s">
        <v>1407</v>
      </c>
      <c r="F545" s="22" t="s">
        <v>10</v>
      </c>
      <c r="G545" s="22" t="s">
        <v>11</v>
      </c>
      <c r="H545" s="22" t="s">
        <v>18</v>
      </c>
      <c r="I545" s="22" t="s">
        <v>19</v>
      </c>
      <c r="J545" s="22" t="s">
        <v>745</v>
      </c>
      <c r="K545" s="23" t="s">
        <v>1262</v>
      </c>
      <c r="L545" t="e">
        <f>VLOOKUP(B545,ubah!$B$2:$L$234,4,FALSE)</f>
        <v>#N/A</v>
      </c>
      <c r="M545" t="e">
        <f>VLOOKUP(B545,ubah!$B$2:$L$234,5,FALSE)</f>
        <v>#N/A</v>
      </c>
      <c r="N545" t="e">
        <f>VLOOKUP(B545,ubah!$B$2:$L$234,6,FALSE)</f>
        <v>#N/A</v>
      </c>
    </row>
    <row r="546" spans="1:14" hidden="1" x14ac:dyDescent="0.35">
      <c r="A546" s="21">
        <v>1351121</v>
      </c>
      <c r="B546" s="22" t="str">
        <f>"3328040310030004"</f>
        <v>3328040310030004</v>
      </c>
      <c r="C546" s="22" t="str">
        <f t="shared" si="16"/>
        <v>'3328040310030004</v>
      </c>
      <c r="D546" s="22" t="str">
        <f t="shared" si="17"/>
        <v>ganda</v>
      </c>
      <c r="E546" s="22" t="s">
        <v>1408</v>
      </c>
      <c r="F546" s="22" t="s">
        <v>10</v>
      </c>
      <c r="G546" s="22" t="s">
        <v>57</v>
      </c>
      <c r="H546" s="22" t="s">
        <v>303</v>
      </c>
      <c r="I546" s="22" t="s">
        <v>608</v>
      </c>
      <c r="J546" s="22" t="s">
        <v>609</v>
      </c>
      <c r="K546" s="23" t="s">
        <v>610</v>
      </c>
    </row>
    <row r="547" spans="1:14" hidden="1" x14ac:dyDescent="0.35">
      <c r="A547" s="21">
        <v>477035</v>
      </c>
      <c r="B547" s="22" t="str">
        <f>"3328040502030002"</f>
        <v>3328040502030002</v>
      </c>
      <c r="C547" s="22" t="str">
        <f t="shared" si="16"/>
        <v>'3328040502030002</v>
      </c>
      <c r="D547" s="22" t="str">
        <f t="shared" si="17"/>
        <v>tidak ganda</v>
      </c>
      <c r="E547" s="22" t="s">
        <v>1409</v>
      </c>
      <c r="F547" s="22" t="s">
        <v>10</v>
      </c>
      <c r="G547" s="22" t="s">
        <v>11</v>
      </c>
      <c r="H547" s="22" t="s">
        <v>91</v>
      </c>
      <c r="I547" s="22" t="s">
        <v>903</v>
      </c>
      <c r="J547" s="22" t="s">
        <v>1403</v>
      </c>
      <c r="K547" s="23" t="s">
        <v>1410</v>
      </c>
    </row>
    <row r="548" spans="1:14" hidden="1" x14ac:dyDescent="0.35">
      <c r="A548" s="21">
        <v>2161649</v>
      </c>
      <c r="B548" s="22" t="str">
        <f>"3328040503000007"</f>
        <v>3328040503000007</v>
      </c>
      <c r="C548" s="22" t="str">
        <f t="shared" si="16"/>
        <v>'3328040503000007</v>
      </c>
      <c r="D548" s="22" t="str">
        <f t="shared" si="17"/>
        <v>tidak ganda</v>
      </c>
      <c r="E548" s="22" t="s">
        <v>1411</v>
      </c>
      <c r="F548" s="22" t="s">
        <v>10</v>
      </c>
      <c r="G548" s="22" t="s">
        <v>11</v>
      </c>
      <c r="H548" s="22" t="s">
        <v>91</v>
      </c>
      <c r="I548" s="22" t="s">
        <v>101</v>
      </c>
      <c r="J548" s="22" t="s">
        <v>1412</v>
      </c>
      <c r="K548" s="23" t="s">
        <v>1413</v>
      </c>
    </row>
    <row r="549" spans="1:14" hidden="1" x14ac:dyDescent="0.35">
      <c r="A549" s="21">
        <v>2393638</v>
      </c>
      <c r="B549" s="22" t="str">
        <f>"3328040508600002"</f>
        <v>3328040508600002</v>
      </c>
      <c r="C549" s="22" t="str">
        <f t="shared" si="16"/>
        <v>'3328040508600002</v>
      </c>
      <c r="D549" s="22" t="str">
        <f t="shared" si="17"/>
        <v>tidak ganda</v>
      </c>
      <c r="E549" s="22" t="s">
        <v>1414</v>
      </c>
      <c r="F549" s="22" t="s">
        <v>10</v>
      </c>
      <c r="G549" s="22" t="s">
        <v>11</v>
      </c>
      <c r="H549" s="22" t="s">
        <v>18</v>
      </c>
      <c r="I549" s="22" t="s">
        <v>19</v>
      </c>
      <c r="J549" s="22" t="s">
        <v>745</v>
      </c>
      <c r="K549" s="23" t="s">
        <v>1274</v>
      </c>
      <c r="L549" t="e">
        <f>VLOOKUP(B549,ubah!$B$2:$L$234,4,FALSE)</f>
        <v>#N/A</v>
      </c>
      <c r="M549" t="e">
        <f>VLOOKUP(B549,ubah!$B$2:$L$234,5,FALSE)</f>
        <v>#N/A</v>
      </c>
      <c r="N549" t="e">
        <f>VLOOKUP(B549,ubah!$B$2:$L$234,6,FALSE)</f>
        <v>#N/A</v>
      </c>
    </row>
    <row r="550" spans="1:14" hidden="1" x14ac:dyDescent="0.35">
      <c r="A550" s="21">
        <v>487841</v>
      </c>
      <c r="B550" s="22" t="str">
        <f>"3328040510870003"</f>
        <v>3328040510870003</v>
      </c>
      <c r="C550" s="22" t="str">
        <f t="shared" si="16"/>
        <v>'3328040510870003</v>
      </c>
      <c r="D550" s="22" t="str">
        <f t="shared" si="17"/>
        <v>tidak ganda</v>
      </c>
      <c r="E550" s="22" t="s">
        <v>1416</v>
      </c>
      <c r="F550" s="22" t="s">
        <v>10</v>
      </c>
      <c r="G550" s="22" t="s">
        <v>11</v>
      </c>
      <c r="H550" s="22" t="s">
        <v>954</v>
      </c>
      <c r="I550" s="22" t="s">
        <v>1417</v>
      </c>
      <c r="J550" s="22" t="s">
        <v>1418</v>
      </c>
      <c r="K550" s="23" t="s">
        <v>1419</v>
      </c>
    </row>
    <row r="551" spans="1:14" hidden="1" x14ac:dyDescent="0.35">
      <c r="A551" s="21">
        <v>86275</v>
      </c>
      <c r="B551" s="22" t="str">
        <f>"3328040512920004"</f>
        <v>3328040512920004</v>
      </c>
      <c r="C551" s="22" t="str">
        <f t="shared" si="16"/>
        <v>'3328040512920004</v>
      </c>
      <c r="D551" s="22" t="str">
        <f t="shared" si="17"/>
        <v>tidak ganda</v>
      </c>
      <c r="E551" s="22" t="s">
        <v>1421</v>
      </c>
      <c r="F551" s="22" t="s">
        <v>10</v>
      </c>
      <c r="G551" s="22" t="s">
        <v>11</v>
      </c>
      <c r="H551" s="22" t="s">
        <v>225</v>
      </c>
      <c r="I551" s="22" t="s">
        <v>1422</v>
      </c>
      <c r="J551" s="22" t="s">
        <v>1423</v>
      </c>
      <c r="K551" s="23" t="s">
        <v>1424</v>
      </c>
    </row>
    <row r="552" spans="1:14" hidden="1" x14ac:dyDescent="0.35">
      <c r="A552" s="21">
        <v>2395938</v>
      </c>
      <c r="B552" s="22" t="str">
        <f>"3328040604590001"</f>
        <v>3328040604590001</v>
      </c>
      <c r="C552" s="22" t="str">
        <f t="shared" si="16"/>
        <v>'3328040604590001</v>
      </c>
      <c r="D552" s="22" t="str">
        <f t="shared" si="17"/>
        <v>tidak ganda</v>
      </c>
      <c r="E552" s="22" t="s">
        <v>1425</v>
      </c>
      <c r="F552" s="22" t="s">
        <v>10</v>
      </c>
      <c r="G552" s="22" t="s">
        <v>11</v>
      </c>
      <c r="H552" s="22" t="s">
        <v>18</v>
      </c>
      <c r="I552" s="22" t="s">
        <v>19</v>
      </c>
      <c r="J552" s="22" t="s">
        <v>745</v>
      </c>
      <c r="K552" s="23" t="s">
        <v>1274</v>
      </c>
      <c r="L552" t="e">
        <f>VLOOKUP(B552,ubah!$B$2:$L$234,4,FALSE)</f>
        <v>#N/A</v>
      </c>
      <c r="M552" t="e">
        <f>VLOOKUP(B552,ubah!$B$2:$L$234,5,FALSE)</f>
        <v>#N/A</v>
      </c>
      <c r="N552" t="e">
        <f>VLOOKUP(B552,ubah!$B$2:$L$234,6,FALSE)</f>
        <v>#N/A</v>
      </c>
    </row>
    <row r="553" spans="1:14" hidden="1" x14ac:dyDescent="0.35">
      <c r="A553" s="21">
        <v>659724</v>
      </c>
      <c r="B553" s="22" t="str">
        <f>"3328040607980005"</f>
        <v>3328040607980005</v>
      </c>
      <c r="C553" s="22" t="str">
        <f t="shared" si="16"/>
        <v>'3328040607980005</v>
      </c>
      <c r="D553" s="22" t="str">
        <f t="shared" si="17"/>
        <v>tidak ganda</v>
      </c>
      <c r="E553" s="22" t="s">
        <v>1429</v>
      </c>
      <c r="F553" s="22" t="s">
        <v>10</v>
      </c>
      <c r="G553" s="22" t="s">
        <v>11</v>
      </c>
      <c r="H553" s="22" t="s">
        <v>91</v>
      </c>
      <c r="I553" s="22" t="s">
        <v>320</v>
      </c>
      <c r="J553" s="22" t="s">
        <v>368</v>
      </c>
      <c r="K553" s="23" t="s">
        <v>368</v>
      </c>
    </row>
    <row r="554" spans="1:14" hidden="1" x14ac:dyDescent="0.35">
      <c r="A554" s="21">
        <v>2338873</v>
      </c>
      <c r="B554" s="22" t="str">
        <f>"3328040608990003"</f>
        <v>3328040608990003</v>
      </c>
      <c r="C554" s="22" t="str">
        <f t="shared" si="16"/>
        <v>'3328040608990003</v>
      </c>
      <c r="D554" s="22" t="str">
        <f t="shared" si="17"/>
        <v>tidak ganda</v>
      </c>
      <c r="E554" s="22" t="s">
        <v>1433</v>
      </c>
      <c r="F554" s="22" t="s">
        <v>10</v>
      </c>
      <c r="G554" s="22" t="s">
        <v>11</v>
      </c>
      <c r="H554" s="22" t="s">
        <v>18</v>
      </c>
      <c r="I554" s="22" t="s">
        <v>19</v>
      </c>
      <c r="J554" s="22" t="s">
        <v>745</v>
      </c>
      <c r="K554" s="23" t="s">
        <v>1277</v>
      </c>
      <c r="L554" t="e">
        <f>VLOOKUP(B554,ubah!$B$2:$L$234,4,FALSE)</f>
        <v>#N/A</v>
      </c>
      <c r="M554" t="e">
        <f>VLOOKUP(B554,ubah!$B$2:$L$234,5,FALSE)</f>
        <v>#N/A</v>
      </c>
      <c r="N554" t="e">
        <f>VLOOKUP(B554,ubah!$B$2:$L$234,6,FALSE)</f>
        <v>#N/A</v>
      </c>
    </row>
    <row r="555" spans="1:14" hidden="1" x14ac:dyDescent="0.35">
      <c r="A555" s="21">
        <v>2373093</v>
      </c>
      <c r="B555" s="22" t="str">
        <f>"3328040703060002"</f>
        <v>3328040703060002</v>
      </c>
      <c r="C555" s="22" t="str">
        <f t="shared" si="16"/>
        <v>'3328040703060002</v>
      </c>
      <c r="D555" s="22" t="str">
        <f t="shared" si="17"/>
        <v>ganda</v>
      </c>
      <c r="E555" s="22" t="s">
        <v>1436</v>
      </c>
      <c r="F555" s="22" t="s">
        <v>10</v>
      </c>
      <c r="G555" s="22" t="s">
        <v>11</v>
      </c>
      <c r="H555" s="22" t="s">
        <v>18</v>
      </c>
      <c r="I555" s="22" t="s">
        <v>19</v>
      </c>
      <c r="J555" s="22" t="s">
        <v>745</v>
      </c>
      <c r="K555" s="23" t="s">
        <v>746</v>
      </c>
      <c r="L555" t="e">
        <f>VLOOKUP(B555,ubah!$B$2:$L$234,4,FALSE)</f>
        <v>#N/A</v>
      </c>
      <c r="M555" t="e">
        <f>VLOOKUP(B555,ubah!$B$2:$L$234,5,FALSE)</f>
        <v>#N/A</v>
      </c>
      <c r="N555" t="e">
        <f>VLOOKUP(B555,ubah!$B$2:$L$234,6,FALSE)</f>
        <v>#N/A</v>
      </c>
    </row>
    <row r="556" spans="1:14" hidden="1" x14ac:dyDescent="0.35">
      <c r="A556" s="21">
        <v>2618072</v>
      </c>
      <c r="B556" s="22" t="str">
        <f>"3328040703060002"</f>
        <v>3328040703060002</v>
      </c>
      <c r="C556" s="22" t="str">
        <f t="shared" si="16"/>
        <v>'3328040703060002</v>
      </c>
      <c r="D556" s="22" t="str">
        <f t="shared" si="17"/>
        <v>ganda</v>
      </c>
      <c r="E556" s="22" t="s">
        <v>1437</v>
      </c>
      <c r="F556" s="22" t="s">
        <v>10</v>
      </c>
      <c r="G556" s="22" t="s">
        <v>57</v>
      </c>
      <c r="H556" s="22" t="s">
        <v>18</v>
      </c>
      <c r="I556" s="22" t="s">
        <v>1438</v>
      </c>
      <c r="J556" s="22" t="s">
        <v>1439</v>
      </c>
      <c r="K556" s="23" t="s">
        <v>1440</v>
      </c>
    </row>
    <row r="557" spans="1:14" hidden="1" x14ac:dyDescent="0.35">
      <c r="A557" s="21">
        <v>1707829</v>
      </c>
      <c r="B557" s="22" t="str">
        <f>"3328040706760003"</f>
        <v>3328040706760003</v>
      </c>
      <c r="C557" s="22" t="str">
        <f t="shared" si="16"/>
        <v>'3328040706760003</v>
      </c>
      <c r="D557" s="22" t="str">
        <f t="shared" si="17"/>
        <v>tidak ganda</v>
      </c>
      <c r="E557" s="22" t="s">
        <v>1441</v>
      </c>
      <c r="F557" s="22" t="s">
        <v>10</v>
      </c>
      <c r="G557" s="22" t="s">
        <v>11</v>
      </c>
      <c r="H557" s="22" t="s">
        <v>50</v>
      </c>
      <c r="I557" s="22" t="s">
        <v>72</v>
      </c>
      <c r="J557" s="22" t="s">
        <v>1172</v>
      </c>
      <c r="K557" s="23" t="s">
        <v>226</v>
      </c>
    </row>
    <row r="558" spans="1:14" hidden="1" x14ac:dyDescent="0.35">
      <c r="A558" s="21">
        <v>2337769</v>
      </c>
      <c r="B558" s="22" t="str">
        <f>"3328040708950001"</f>
        <v>3328040708950001</v>
      </c>
      <c r="C558" s="22" t="str">
        <f t="shared" si="16"/>
        <v>'3328040708950001</v>
      </c>
      <c r="D558" s="22" t="str">
        <f t="shared" si="17"/>
        <v>tidak ganda</v>
      </c>
      <c r="E558" s="22" t="s">
        <v>1443</v>
      </c>
      <c r="F558" s="22" t="s">
        <v>10</v>
      </c>
      <c r="G558" s="22" t="s">
        <v>11</v>
      </c>
      <c r="H558" s="22" t="s">
        <v>18</v>
      </c>
      <c r="I558" s="22" t="s">
        <v>19</v>
      </c>
      <c r="J558" s="22" t="s">
        <v>745</v>
      </c>
      <c r="K558" s="23" t="s">
        <v>1277</v>
      </c>
      <c r="L558" t="e">
        <f>VLOOKUP(B558,ubah!$B$2:$L$234,4,FALSE)</f>
        <v>#N/A</v>
      </c>
      <c r="M558" t="e">
        <f>VLOOKUP(B558,ubah!$B$2:$L$234,5,FALSE)</f>
        <v>#N/A</v>
      </c>
      <c r="N558" t="e">
        <f>VLOOKUP(B558,ubah!$B$2:$L$234,6,FALSE)</f>
        <v>#N/A</v>
      </c>
    </row>
    <row r="559" spans="1:14" hidden="1" x14ac:dyDescent="0.35">
      <c r="A559" s="21">
        <v>2359082</v>
      </c>
      <c r="B559" s="22" t="str">
        <f>"3328040804860001"</f>
        <v>3328040804860001</v>
      </c>
      <c r="C559" s="22" t="str">
        <f t="shared" si="16"/>
        <v>'3328040804860001</v>
      </c>
      <c r="D559" s="22" t="str">
        <f t="shared" si="17"/>
        <v>tidak ganda</v>
      </c>
      <c r="E559" s="22" t="s">
        <v>350</v>
      </c>
      <c r="F559" s="22" t="s">
        <v>10</v>
      </c>
      <c r="G559" s="22" t="s">
        <v>11</v>
      </c>
      <c r="H559" s="22" t="s">
        <v>18</v>
      </c>
      <c r="I559" s="22" t="s">
        <v>19</v>
      </c>
      <c r="J559" s="22" t="s">
        <v>745</v>
      </c>
      <c r="K559" s="23" t="s">
        <v>1314</v>
      </c>
      <c r="L559" t="e">
        <f>VLOOKUP(B559,ubah!$B$2:$L$234,4,FALSE)</f>
        <v>#N/A</v>
      </c>
      <c r="M559" t="e">
        <f>VLOOKUP(B559,ubah!$B$2:$L$234,5,FALSE)</f>
        <v>#N/A</v>
      </c>
      <c r="N559" t="e">
        <f>VLOOKUP(B559,ubah!$B$2:$L$234,6,FALSE)</f>
        <v>#N/A</v>
      </c>
    </row>
    <row r="560" spans="1:14" hidden="1" x14ac:dyDescent="0.35">
      <c r="A560" s="21">
        <v>2272189</v>
      </c>
      <c r="B560" s="22" t="str">
        <f>"3328040806920001"</f>
        <v>3328040806920001</v>
      </c>
      <c r="C560" s="22" t="str">
        <f t="shared" si="16"/>
        <v>'3328040806920001</v>
      </c>
      <c r="D560" s="22" t="str">
        <f t="shared" si="17"/>
        <v>tidak ganda</v>
      </c>
      <c r="E560" s="22" t="s">
        <v>1445</v>
      </c>
      <c r="F560" s="22" t="s">
        <v>10</v>
      </c>
      <c r="G560" s="22" t="s">
        <v>11</v>
      </c>
      <c r="H560" s="22" t="s">
        <v>18</v>
      </c>
      <c r="I560" s="22" t="s">
        <v>19</v>
      </c>
      <c r="J560" s="22" t="s">
        <v>745</v>
      </c>
      <c r="K560" s="23" t="s">
        <v>1348</v>
      </c>
      <c r="L560" t="e">
        <f>VLOOKUP(B560,ubah!$B$2:$L$234,4,FALSE)</f>
        <v>#N/A</v>
      </c>
      <c r="M560" t="e">
        <f>VLOOKUP(B560,ubah!$B$2:$L$234,5,FALSE)</f>
        <v>#N/A</v>
      </c>
      <c r="N560" t="e">
        <f>VLOOKUP(B560,ubah!$B$2:$L$234,6,FALSE)</f>
        <v>#N/A</v>
      </c>
    </row>
    <row r="561" spans="1:14" hidden="1" x14ac:dyDescent="0.35">
      <c r="A561" s="21">
        <v>2422773</v>
      </c>
      <c r="B561" s="22" t="str">
        <f>"3328040808940001"</f>
        <v>3328040808940001</v>
      </c>
      <c r="C561" s="22" t="str">
        <f t="shared" si="16"/>
        <v>'3328040808940001</v>
      </c>
      <c r="D561" s="22" t="str">
        <f t="shared" si="17"/>
        <v>tidak ganda</v>
      </c>
      <c r="E561" s="22" t="s">
        <v>1447</v>
      </c>
      <c r="F561" s="22" t="s">
        <v>10</v>
      </c>
      <c r="G561" s="22" t="s">
        <v>57</v>
      </c>
      <c r="H561" s="22" t="s">
        <v>50</v>
      </c>
      <c r="I561" s="22" t="s">
        <v>58</v>
      </c>
      <c r="J561" s="22" t="s">
        <v>59</v>
      </c>
      <c r="K561" s="23" t="s">
        <v>60</v>
      </c>
    </row>
    <row r="562" spans="1:14" hidden="1" x14ac:dyDescent="0.35">
      <c r="A562" s="21">
        <v>2213052</v>
      </c>
      <c r="B562" s="22" t="str">
        <f>"3328040907010001"</f>
        <v>3328040907010001</v>
      </c>
      <c r="C562" s="22" t="str">
        <f t="shared" si="16"/>
        <v>'3328040907010001</v>
      </c>
      <c r="D562" s="22" t="str">
        <f t="shared" si="17"/>
        <v>ganda</v>
      </c>
      <c r="E562" s="22" t="s">
        <v>1448</v>
      </c>
      <c r="F562" s="22" t="s">
        <v>10</v>
      </c>
      <c r="G562" s="22" t="s">
        <v>11</v>
      </c>
      <c r="H562" s="22" t="s">
        <v>18</v>
      </c>
      <c r="I562" s="22" t="s">
        <v>19</v>
      </c>
      <c r="J562" s="22" t="s">
        <v>745</v>
      </c>
      <c r="K562" s="23" t="s">
        <v>1235</v>
      </c>
      <c r="L562" t="e">
        <f>VLOOKUP(B562,ubah!$B$2:$L$234,4,FALSE)</f>
        <v>#N/A</v>
      </c>
      <c r="M562" t="e">
        <f>VLOOKUP(B562,ubah!$B$2:$L$234,5,FALSE)</f>
        <v>#N/A</v>
      </c>
      <c r="N562" t="e">
        <f>VLOOKUP(B562,ubah!$B$2:$L$234,6,FALSE)</f>
        <v>#N/A</v>
      </c>
    </row>
    <row r="563" spans="1:14" hidden="1" x14ac:dyDescent="0.35">
      <c r="A563" s="21">
        <v>1351129</v>
      </c>
      <c r="B563" s="22" t="str">
        <f>"3328040907010001"</f>
        <v>3328040907010001</v>
      </c>
      <c r="C563" s="22" t="str">
        <f t="shared" si="16"/>
        <v>'3328040907010001</v>
      </c>
      <c r="D563" s="22" t="str">
        <f t="shared" si="17"/>
        <v>ganda</v>
      </c>
      <c r="E563" s="22" t="s">
        <v>1448</v>
      </c>
      <c r="F563" s="22" t="s">
        <v>10</v>
      </c>
      <c r="G563" s="22" t="s">
        <v>57</v>
      </c>
      <c r="H563" s="22" t="s">
        <v>303</v>
      </c>
      <c r="I563" s="22" t="s">
        <v>608</v>
      </c>
      <c r="J563" s="22" t="s">
        <v>609</v>
      </c>
      <c r="K563" s="23" t="s">
        <v>610</v>
      </c>
    </row>
    <row r="564" spans="1:14" hidden="1" x14ac:dyDescent="0.35">
      <c r="A564" s="21">
        <v>205776</v>
      </c>
      <c r="B564" s="22" t="str">
        <f>"3328040909950009"</f>
        <v>3328040909950009</v>
      </c>
      <c r="C564" s="22" t="str">
        <f t="shared" si="16"/>
        <v>'3328040909950009</v>
      </c>
      <c r="D564" s="22" t="str">
        <f t="shared" si="17"/>
        <v>tidak ganda</v>
      </c>
      <c r="E564" s="22" t="s">
        <v>1199</v>
      </c>
      <c r="F564" s="22" t="s">
        <v>10</v>
      </c>
      <c r="G564" s="22" t="s">
        <v>11</v>
      </c>
      <c r="H564" s="22" t="s">
        <v>521</v>
      </c>
      <c r="I564" s="22" t="s">
        <v>1449</v>
      </c>
      <c r="J564" s="22" t="s">
        <v>1450</v>
      </c>
      <c r="K564" s="23" t="s">
        <v>1451</v>
      </c>
    </row>
    <row r="565" spans="1:14" hidden="1" x14ac:dyDescent="0.35">
      <c r="A565" s="21">
        <v>1035661</v>
      </c>
      <c r="B565" s="22" t="str">
        <f>"3328041008900004"</f>
        <v>3328041008900004</v>
      </c>
      <c r="C565" s="22" t="str">
        <f t="shared" si="16"/>
        <v>'3328041008900004</v>
      </c>
      <c r="D565" s="22" t="str">
        <f t="shared" si="17"/>
        <v>tidak ganda</v>
      </c>
      <c r="E565" s="22" t="s">
        <v>1452</v>
      </c>
      <c r="F565" s="22" t="s">
        <v>10</v>
      </c>
      <c r="G565" s="22" t="s">
        <v>11</v>
      </c>
      <c r="H565" s="22" t="s">
        <v>91</v>
      </c>
      <c r="I565" s="22" t="s">
        <v>159</v>
      </c>
      <c r="J565" s="22" t="s">
        <v>1337</v>
      </c>
      <c r="K565" s="23" t="s">
        <v>1338</v>
      </c>
    </row>
    <row r="566" spans="1:14" hidden="1" x14ac:dyDescent="0.35">
      <c r="A566" s="21">
        <v>759606</v>
      </c>
      <c r="B566" s="22" t="str">
        <f>"3328041105660001"</f>
        <v>3328041105660001</v>
      </c>
      <c r="C566" s="22" t="str">
        <f t="shared" si="16"/>
        <v>'3328041105660001</v>
      </c>
      <c r="D566" s="22" t="str">
        <f t="shared" si="17"/>
        <v>tidak ganda</v>
      </c>
      <c r="E566" s="22" t="s">
        <v>1453</v>
      </c>
      <c r="F566" s="22" t="s">
        <v>10</v>
      </c>
      <c r="G566" s="22" t="s">
        <v>11</v>
      </c>
      <c r="H566" s="22" t="s">
        <v>18</v>
      </c>
      <c r="I566" s="22" t="s">
        <v>264</v>
      </c>
      <c r="J566" s="22" t="s">
        <v>773</v>
      </c>
      <c r="K566" s="23" t="s">
        <v>1454</v>
      </c>
    </row>
    <row r="567" spans="1:14" hidden="1" x14ac:dyDescent="0.35">
      <c r="A567" s="21">
        <v>2372748</v>
      </c>
      <c r="B567" s="22" t="str">
        <f>"3328041106020002"</f>
        <v>3328041106020002</v>
      </c>
      <c r="C567" s="22" t="str">
        <f t="shared" si="16"/>
        <v>'3328041106020002</v>
      </c>
      <c r="D567" s="22" t="str">
        <f t="shared" si="17"/>
        <v>ganda</v>
      </c>
      <c r="E567" s="22" t="s">
        <v>1456</v>
      </c>
      <c r="F567" s="22" t="s">
        <v>10</v>
      </c>
      <c r="G567" s="22" t="s">
        <v>11</v>
      </c>
      <c r="H567" s="22" t="s">
        <v>18</v>
      </c>
      <c r="I567" s="22" t="s">
        <v>19</v>
      </c>
      <c r="J567" s="22" t="s">
        <v>745</v>
      </c>
      <c r="K567" s="23" t="s">
        <v>746</v>
      </c>
      <c r="L567" t="e">
        <f>VLOOKUP(B567,ubah!$B$2:$L$234,4,FALSE)</f>
        <v>#N/A</v>
      </c>
      <c r="M567" t="e">
        <f>VLOOKUP(B567,ubah!$B$2:$L$234,5,FALSE)</f>
        <v>#N/A</v>
      </c>
      <c r="N567" t="e">
        <f>VLOOKUP(B567,ubah!$B$2:$L$234,6,FALSE)</f>
        <v>#N/A</v>
      </c>
    </row>
    <row r="568" spans="1:14" hidden="1" x14ac:dyDescent="0.35">
      <c r="A568" s="21">
        <v>1351126</v>
      </c>
      <c r="B568" s="22" t="str">
        <f>"3328041106020002"</f>
        <v>3328041106020002</v>
      </c>
      <c r="C568" s="22" t="str">
        <f t="shared" si="16"/>
        <v>'3328041106020002</v>
      </c>
      <c r="D568" s="22" t="str">
        <f t="shared" si="17"/>
        <v>ganda</v>
      </c>
      <c r="E568" s="22" t="s">
        <v>1456</v>
      </c>
      <c r="F568" s="22" t="s">
        <v>10</v>
      </c>
      <c r="G568" s="22" t="s">
        <v>57</v>
      </c>
      <c r="H568" s="22" t="s">
        <v>303</v>
      </c>
      <c r="I568" s="22" t="s">
        <v>608</v>
      </c>
      <c r="J568" s="22" t="s">
        <v>609</v>
      </c>
      <c r="K568" s="23" t="s">
        <v>610</v>
      </c>
    </row>
    <row r="569" spans="1:14" hidden="1" x14ac:dyDescent="0.35">
      <c r="A569" s="21">
        <v>2292348</v>
      </c>
      <c r="B569" s="22" t="str">
        <f>"3328041110940001"</f>
        <v>3328041110940001</v>
      </c>
      <c r="C569" s="22" t="str">
        <f t="shared" si="16"/>
        <v>'3328041110940001</v>
      </c>
      <c r="D569" s="22" t="str">
        <f t="shared" si="17"/>
        <v>ganda</v>
      </c>
      <c r="E569" s="22" t="s">
        <v>1460</v>
      </c>
      <c r="F569" s="22" t="s">
        <v>10</v>
      </c>
      <c r="G569" s="22" t="s">
        <v>11</v>
      </c>
      <c r="H569" s="22" t="s">
        <v>18</v>
      </c>
      <c r="I569" s="22" t="s">
        <v>19</v>
      </c>
      <c r="J569" s="22" t="s">
        <v>745</v>
      </c>
      <c r="K569" s="23" t="s">
        <v>1264</v>
      </c>
      <c r="L569" t="e">
        <f>VLOOKUP(B569,ubah!$B$2:$L$234,4,FALSE)</f>
        <v>#N/A</v>
      </c>
      <c r="M569" t="e">
        <f>VLOOKUP(B569,ubah!$B$2:$L$234,5,FALSE)</f>
        <v>#N/A</v>
      </c>
      <c r="N569" t="e">
        <f>VLOOKUP(B569,ubah!$B$2:$L$234,6,FALSE)</f>
        <v>#N/A</v>
      </c>
    </row>
    <row r="570" spans="1:14" hidden="1" x14ac:dyDescent="0.35">
      <c r="A570" s="21">
        <v>1351117</v>
      </c>
      <c r="B570" s="22" t="str">
        <f>"3328041110940001"</f>
        <v>3328041110940001</v>
      </c>
      <c r="C570" s="22" t="str">
        <f t="shared" si="16"/>
        <v>'3328041110940001</v>
      </c>
      <c r="D570" s="22" t="str">
        <f t="shared" si="17"/>
        <v>ganda</v>
      </c>
      <c r="E570" s="22" t="s">
        <v>1460</v>
      </c>
      <c r="F570" s="22" t="s">
        <v>10</v>
      </c>
      <c r="G570" s="22" t="s">
        <v>57</v>
      </c>
      <c r="H570" s="22" t="s">
        <v>303</v>
      </c>
      <c r="I570" s="22" t="s">
        <v>608</v>
      </c>
      <c r="J570" s="22" t="s">
        <v>609</v>
      </c>
      <c r="K570" s="23" t="s">
        <v>610</v>
      </c>
    </row>
    <row r="571" spans="1:14" hidden="1" x14ac:dyDescent="0.35">
      <c r="A571" s="21">
        <v>2346919</v>
      </c>
      <c r="B571" s="22" t="str">
        <f>"3328041208040005"</f>
        <v>3328041208040005</v>
      </c>
      <c r="C571" s="22" t="str">
        <f t="shared" si="16"/>
        <v>'3328041208040005</v>
      </c>
      <c r="D571" s="22" t="str">
        <f t="shared" si="17"/>
        <v>ganda</v>
      </c>
      <c r="E571" s="22" t="s">
        <v>1461</v>
      </c>
      <c r="F571" s="22" t="s">
        <v>10</v>
      </c>
      <c r="G571" s="22" t="s">
        <v>11</v>
      </c>
      <c r="H571" s="22" t="s">
        <v>18</v>
      </c>
      <c r="I571" s="22" t="s">
        <v>19</v>
      </c>
      <c r="J571" s="22" t="s">
        <v>745</v>
      </c>
      <c r="K571" s="23" t="s">
        <v>1262</v>
      </c>
      <c r="L571" t="e">
        <f>VLOOKUP(B571,ubah!$B$2:$L$234,4,FALSE)</f>
        <v>#N/A</v>
      </c>
      <c r="M571" t="e">
        <f>VLOOKUP(B571,ubah!$B$2:$L$234,5,FALSE)</f>
        <v>#N/A</v>
      </c>
      <c r="N571" t="e">
        <f>VLOOKUP(B571,ubah!$B$2:$L$234,6,FALSE)</f>
        <v>#N/A</v>
      </c>
    </row>
    <row r="572" spans="1:14" hidden="1" x14ac:dyDescent="0.35">
      <c r="A572" s="21">
        <v>1351123</v>
      </c>
      <c r="B572" s="22" t="str">
        <f>"3328041208040005"</f>
        <v>3328041208040005</v>
      </c>
      <c r="C572" s="22" t="str">
        <f t="shared" si="16"/>
        <v>'3328041208040005</v>
      </c>
      <c r="D572" s="22" t="str">
        <f t="shared" si="17"/>
        <v>ganda</v>
      </c>
      <c r="E572" s="22" t="s">
        <v>1461</v>
      </c>
      <c r="F572" s="22" t="s">
        <v>10</v>
      </c>
      <c r="G572" s="22" t="s">
        <v>57</v>
      </c>
      <c r="H572" s="22" t="s">
        <v>303</v>
      </c>
      <c r="I572" s="22" t="s">
        <v>608</v>
      </c>
      <c r="J572" s="22" t="s">
        <v>609</v>
      </c>
      <c r="K572" s="23" t="s">
        <v>610</v>
      </c>
    </row>
    <row r="573" spans="1:14" hidden="1" x14ac:dyDescent="0.35">
      <c r="A573" s="21">
        <v>639012</v>
      </c>
      <c r="B573" s="22" t="str">
        <f>"3328041212870003"</f>
        <v>3328041212870003</v>
      </c>
      <c r="C573" s="22" t="str">
        <f t="shared" si="16"/>
        <v>'3328041212870003</v>
      </c>
      <c r="D573" s="22" t="str">
        <f t="shared" si="17"/>
        <v>tidak ganda</v>
      </c>
      <c r="E573" s="22" t="s">
        <v>1462</v>
      </c>
      <c r="F573" s="22" t="s">
        <v>10</v>
      </c>
      <c r="G573" s="22" t="s">
        <v>11</v>
      </c>
      <c r="H573" s="22" t="s">
        <v>50</v>
      </c>
      <c r="I573" s="22" t="s">
        <v>86</v>
      </c>
      <c r="J573" s="22" t="s">
        <v>1463</v>
      </c>
      <c r="K573" s="23" t="s">
        <v>1463</v>
      </c>
    </row>
    <row r="574" spans="1:14" hidden="1" x14ac:dyDescent="0.35">
      <c r="A574" s="21">
        <v>1351128</v>
      </c>
      <c r="B574" s="22" t="str">
        <f>"3328041304060006"</f>
        <v>3328041304060006</v>
      </c>
      <c r="C574" s="22" t="str">
        <f t="shared" si="16"/>
        <v>'3328041304060006</v>
      </c>
      <c r="D574" s="22" t="str">
        <f t="shared" si="17"/>
        <v>tidak ganda</v>
      </c>
      <c r="E574" s="22" t="s">
        <v>1465</v>
      </c>
      <c r="F574" s="22" t="s">
        <v>10</v>
      </c>
      <c r="G574" s="22" t="s">
        <v>57</v>
      </c>
      <c r="H574" s="22" t="s">
        <v>303</v>
      </c>
      <c r="I574" s="22" t="s">
        <v>608</v>
      </c>
      <c r="J574" s="22" t="s">
        <v>609</v>
      </c>
      <c r="K574" s="23" t="s">
        <v>610</v>
      </c>
    </row>
    <row r="575" spans="1:14" hidden="1" x14ac:dyDescent="0.35">
      <c r="A575" s="21">
        <v>2383941</v>
      </c>
      <c r="B575" s="22" t="str">
        <f>"3328041502940004"</f>
        <v>3328041502940004</v>
      </c>
      <c r="C575" s="22" t="str">
        <f t="shared" si="16"/>
        <v>'3328041502940004</v>
      </c>
      <c r="D575" s="22" t="str">
        <f t="shared" si="17"/>
        <v>tidak ganda</v>
      </c>
      <c r="E575" s="22" t="s">
        <v>1467</v>
      </c>
      <c r="F575" s="22" t="s">
        <v>10</v>
      </c>
      <c r="G575" s="22" t="s">
        <v>11</v>
      </c>
      <c r="H575" s="22" t="s">
        <v>18</v>
      </c>
      <c r="I575" s="22" t="s">
        <v>19</v>
      </c>
      <c r="J575" s="22" t="s">
        <v>745</v>
      </c>
      <c r="K575" s="23" t="s">
        <v>1306</v>
      </c>
      <c r="L575" t="e">
        <f>VLOOKUP(B575,ubah!$B$2:$L$234,4,FALSE)</f>
        <v>#N/A</v>
      </c>
      <c r="M575" t="e">
        <f>VLOOKUP(B575,ubah!$B$2:$L$234,5,FALSE)</f>
        <v>#N/A</v>
      </c>
      <c r="N575" t="e">
        <f>VLOOKUP(B575,ubah!$B$2:$L$234,6,FALSE)</f>
        <v>#N/A</v>
      </c>
    </row>
    <row r="576" spans="1:14" hidden="1" x14ac:dyDescent="0.35">
      <c r="A576" s="21">
        <v>1354527</v>
      </c>
      <c r="B576" s="22" t="str">
        <f>"3328041507800007"</f>
        <v>3328041507800007</v>
      </c>
      <c r="C576" s="22" t="str">
        <f t="shared" si="16"/>
        <v>'3328041507800007</v>
      </c>
      <c r="D576" s="22" t="str">
        <f t="shared" si="17"/>
        <v>tidak ganda</v>
      </c>
      <c r="E576" s="22" t="s">
        <v>458</v>
      </c>
      <c r="F576" s="22" t="s">
        <v>10</v>
      </c>
      <c r="G576" s="22" t="s">
        <v>11</v>
      </c>
      <c r="H576" s="22" t="s">
        <v>50</v>
      </c>
      <c r="I576" s="22" t="s">
        <v>72</v>
      </c>
      <c r="J576" s="22" t="s">
        <v>628</v>
      </c>
      <c r="K576" s="23" t="s">
        <v>1469</v>
      </c>
    </row>
    <row r="577" spans="1:14" hidden="1" x14ac:dyDescent="0.35">
      <c r="A577" s="21">
        <v>2345664</v>
      </c>
      <c r="B577" s="22" t="str">
        <f>"3328041603000007"</f>
        <v>3328041603000007</v>
      </c>
      <c r="C577" s="22" t="str">
        <f t="shared" si="16"/>
        <v>'3328041603000007</v>
      </c>
      <c r="D577" s="22" t="str">
        <f t="shared" si="17"/>
        <v>ganda</v>
      </c>
      <c r="E577" s="22" t="s">
        <v>1471</v>
      </c>
      <c r="F577" s="22" t="s">
        <v>10</v>
      </c>
      <c r="G577" s="22" t="s">
        <v>11</v>
      </c>
      <c r="H577" s="22" t="s">
        <v>18</v>
      </c>
      <c r="I577" s="22" t="s">
        <v>19</v>
      </c>
      <c r="J577" s="22" t="s">
        <v>745</v>
      </c>
      <c r="K577" s="23" t="s">
        <v>1262</v>
      </c>
      <c r="L577" t="e">
        <f>VLOOKUP(B577,ubah!$B$2:$L$234,4,FALSE)</f>
        <v>#N/A</v>
      </c>
      <c r="M577" t="e">
        <f>VLOOKUP(B577,ubah!$B$2:$L$234,5,FALSE)</f>
        <v>#N/A</v>
      </c>
      <c r="N577" t="e">
        <f>VLOOKUP(B577,ubah!$B$2:$L$234,6,FALSE)</f>
        <v>#N/A</v>
      </c>
    </row>
    <row r="578" spans="1:14" hidden="1" x14ac:dyDescent="0.35">
      <c r="A578" s="21">
        <v>1351124</v>
      </c>
      <c r="B578" s="22" t="str">
        <f>"3328041603000007"</f>
        <v>3328041603000007</v>
      </c>
      <c r="C578" s="22" t="str">
        <f t="shared" si="16"/>
        <v>'3328041603000007</v>
      </c>
      <c r="D578" s="22" t="str">
        <f t="shared" si="17"/>
        <v>ganda</v>
      </c>
      <c r="E578" s="22" t="s">
        <v>1471</v>
      </c>
      <c r="F578" s="22" t="s">
        <v>10</v>
      </c>
      <c r="G578" s="22" t="s">
        <v>57</v>
      </c>
      <c r="H578" s="22" t="s">
        <v>303</v>
      </c>
      <c r="I578" s="22" t="s">
        <v>608</v>
      </c>
      <c r="J578" s="22" t="s">
        <v>609</v>
      </c>
      <c r="K578" s="23" t="s">
        <v>610</v>
      </c>
    </row>
    <row r="579" spans="1:14" hidden="1" x14ac:dyDescent="0.35">
      <c r="A579" s="21">
        <v>1351119</v>
      </c>
      <c r="B579" s="22" t="str">
        <f>"3328041608060006"</f>
        <v>3328041608060006</v>
      </c>
      <c r="C579" s="22" t="str">
        <f t="shared" ref="C579:C642" si="18">"'"&amp;B579</f>
        <v>'3328041608060006</v>
      </c>
      <c r="D579" s="22" t="str">
        <f t="shared" ref="D579:D642" si="19">IF(COUNTIF($C:$C,C579)&gt;1,"ganda","tidak ganda")</f>
        <v>tidak ganda</v>
      </c>
      <c r="E579" s="22" t="s">
        <v>1473</v>
      </c>
      <c r="F579" s="22" t="s">
        <v>10</v>
      </c>
      <c r="G579" s="22" t="s">
        <v>57</v>
      </c>
      <c r="H579" s="22" t="s">
        <v>303</v>
      </c>
      <c r="I579" s="22" t="s">
        <v>608</v>
      </c>
      <c r="J579" s="22" t="s">
        <v>609</v>
      </c>
      <c r="K579" s="23" t="s">
        <v>610</v>
      </c>
    </row>
    <row r="580" spans="1:14" hidden="1" x14ac:dyDescent="0.35">
      <c r="A580" s="21">
        <v>545502</v>
      </c>
      <c r="B580" s="22" t="str">
        <f>"3328041811970008"</f>
        <v>3328041811970008</v>
      </c>
      <c r="C580" s="22" t="str">
        <f t="shared" si="18"/>
        <v>'3328041811970008</v>
      </c>
      <c r="D580" s="22" t="str">
        <f t="shared" si="19"/>
        <v>tidak ganda</v>
      </c>
      <c r="E580" s="22" t="s">
        <v>1476</v>
      </c>
      <c r="F580" s="22" t="s">
        <v>10</v>
      </c>
      <c r="G580" s="22" t="s">
        <v>11</v>
      </c>
      <c r="H580" s="22" t="s">
        <v>67</v>
      </c>
      <c r="I580" s="22" t="s">
        <v>696</v>
      </c>
      <c r="J580" s="22" t="s">
        <v>375</v>
      </c>
      <c r="K580" s="23" t="s">
        <v>1477</v>
      </c>
    </row>
    <row r="581" spans="1:14" hidden="1" x14ac:dyDescent="0.35">
      <c r="A581" s="21">
        <v>183316</v>
      </c>
      <c r="B581" s="22" t="str">
        <f>"3328041812930004"</f>
        <v>3328041812930004</v>
      </c>
      <c r="C581" s="22" t="str">
        <f t="shared" si="18"/>
        <v>'3328041812930004</v>
      </c>
      <c r="D581" s="22" t="str">
        <f t="shared" si="19"/>
        <v>tidak ganda</v>
      </c>
      <c r="E581" s="22" t="s">
        <v>1478</v>
      </c>
      <c r="F581" s="22" t="s">
        <v>10</v>
      </c>
      <c r="G581" s="22" t="s">
        <v>11</v>
      </c>
      <c r="H581" s="22" t="s">
        <v>91</v>
      </c>
      <c r="I581" s="22" t="s">
        <v>985</v>
      </c>
      <c r="J581" s="22" t="s">
        <v>1479</v>
      </c>
      <c r="K581" s="23" t="s">
        <v>1480</v>
      </c>
    </row>
    <row r="582" spans="1:14" hidden="1" x14ac:dyDescent="0.35">
      <c r="A582" s="21">
        <v>765433</v>
      </c>
      <c r="B582" s="22" t="str">
        <f>"3328042106790003"</f>
        <v>3328042106790003</v>
      </c>
      <c r="C582" s="22" t="str">
        <f t="shared" si="18"/>
        <v>'3328042106790003</v>
      </c>
      <c r="D582" s="22" t="str">
        <f t="shared" si="19"/>
        <v>tidak ganda</v>
      </c>
      <c r="E582" s="22" t="s">
        <v>1490</v>
      </c>
      <c r="F582" s="22" t="s">
        <v>10</v>
      </c>
      <c r="G582" s="22" t="s">
        <v>11</v>
      </c>
      <c r="H582" s="22" t="s">
        <v>18</v>
      </c>
      <c r="I582" s="22" t="s">
        <v>264</v>
      </c>
      <c r="J582" s="22" t="s">
        <v>773</v>
      </c>
      <c r="K582" s="23" t="s">
        <v>1454</v>
      </c>
    </row>
    <row r="583" spans="1:14" hidden="1" x14ac:dyDescent="0.35">
      <c r="A583" s="21">
        <v>2050709</v>
      </c>
      <c r="B583" s="22" t="str">
        <f>"3328042106890012"</f>
        <v>3328042106890012</v>
      </c>
      <c r="C583" s="22" t="str">
        <f t="shared" si="18"/>
        <v>'3328042106890012</v>
      </c>
      <c r="D583" s="22" t="str">
        <f t="shared" si="19"/>
        <v>tidak ganda</v>
      </c>
      <c r="E583" s="22" t="s">
        <v>1492</v>
      </c>
      <c r="F583" s="22" t="s">
        <v>10</v>
      </c>
      <c r="G583" s="22" t="s">
        <v>11</v>
      </c>
      <c r="H583" s="22" t="s">
        <v>91</v>
      </c>
      <c r="I583" s="22" t="s">
        <v>101</v>
      </c>
      <c r="J583" s="22" t="s">
        <v>1493</v>
      </c>
      <c r="K583" s="23" t="s">
        <v>1494</v>
      </c>
    </row>
    <row r="584" spans="1:14" hidden="1" x14ac:dyDescent="0.35">
      <c r="A584" s="21">
        <v>2349964</v>
      </c>
      <c r="B584" s="22" t="str">
        <f>"3328042110060002"</f>
        <v>3328042110060002</v>
      </c>
      <c r="C584" s="22" t="str">
        <f t="shared" si="18"/>
        <v>'3328042110060002</v>
      </c>
      <c r="D584" s="22" t="str">
        <f t="shared" si="19"/>
        <v>tidak ganda</v>
      </c>
      <c r="E584" s="22" t="s">
        <v>1495</v>
      </c>
      <c r="F584" s="22" t="s">
        <v>10</v>
      </c>
      <c r="G584" s="22" t="s">
        <v>11</v>
      </c>
      <c r="H584" s="22" t="s">
        <v>18</v>
      </c>
      <c r="I584" s="22" t="s">
        <v>19</v>
      </c>
      <c r="J584" s="22" t="s">
        <v>745</v>
      </c>
      <c r="K584" s="23" t="s">
        <v>1406</v>
      </c>
      <c r="L584" t="e">
        <f>VLOOKUP(B584,ubah!$B$2:$L$234,4,FALSE)</f>
        <v>#N/A</v>
      </c>
      <c r="M584" t="e">
        <f>VLOOKUP(B584,ubah!$B$2:$L$234,5,FALSE)</f>
        <v>#N/A</v>
      </c>
      <c r="N584" t="e">
        <f>VLOOKUP(B584,ubah!$B$2:$L$234,6,FALSE)</f>
        <v>#N/A</v>
      </c>
    </row>
    <row r="585" spans="1:14" hidden="1" x14ac:dyDescent="0.35">
      <c r="A585" s="21">
        <v>1415851</v>
      </c>
      <c r="B585" s="22" t="str">
        <f>"3328042111960004"</f>
        <v>3328042111960004</v>
      </c>
      <c r="C585" s="22" t="str">
        <f t="shared" si="18"/>
        <v>'3328042111960004</v>
      </c>
      <c r="D585" s="22" t="str">
        <f t="shared" si="19"/>
        <v>tidak ganda</v>
      </c>
      <c r="E585" s="22" t="s">
        <v>1499</v>
      </c>
      <c r="F585" s="22" t="s">
        <v>10</v>
      </c>
      <c r="G585" s="22" t="s">
        <v>11</v>
      </c>
      <c r="H585" s="22" t="s">
        <v>91</v>
      </c>
      <c r="I585" s="22" t="s">
        <v>114</v>
      </c>
      <c r="J585" s="22" t="s">
        <v>1500</v>
      </c>
      <c r="K585" s="23" t="s">
        <v>1501</v>
      </c>
    </row>
    <row r="586" spans="1:14" hidden="1" x14ac:dyDescent="0.35">
      <c r="A586" s="21">
        <v>1065012</v>
      </c>
      <c r="B586" s="22" t="str">
        <f>"3328042302990001"</f>
        <v>3328042302990001</v>
      </c>
      <c r="C586" s="22" t="str">
        <f t="shared" si="18"/>
        <v>'3328042302990001</v>
      </c>
      <c r="D586" s="22" t="str">
        <f t="shared" si="19"/>
        <v>tidak ganda</v>
      </c>
      <c r="E586" s="22" t="s">
        <v>1502</v>
      </c>
      <c r="F586" s="22" t="s">
        <v>10</v>
      </c>
      <c r="G586" s="22" t="s">
        <v>11</v>
      </c>
      <c r="H586" s="22" t="s">
        <v>91</v>
      </c>
      <c r="I586" s="22" t="s">
        <v>92</v>
      </c>
      <c r="J586" s="22" t="s">
        <v>128</v>
      </c>
      <c r="K586" s="23" t="s">
        <v>129</v>
      </c>
    </row>
    <row r="587" spans="1:14" hidden="1" x14ac:dyDescent="0.35">
      <c r="A587" s="21">
        <v>2295653</v>
      </c>
      <c r="B587" s="22" t="str">
        <f>"3328042502040002"</f>
        <v>3328042502040002</v>
      </c>
      <c r="C587" s="22" t="str">
        <f t="shared" si="18"/>
        <v>'3328042502040002</v>
      </c>
      <c r="D587" s="22" t="str">
        <f t="shared" si="19"/>
        <v>ganda</v>
      </c>
      <c r="E587" s="22" t="s">
        <v>1503</v>
      </c>
      <c r="F587" s="22" t="s">
        <v>10</v>
      </c>
      <c r="G587" s="22" t="s">
        <v>11</v>
      </c>
      <c r="H587" s="22" t="s">
        <v>18</v>
      </c>
      <c r="I587" s="22" t="s">
        <v>19</v>
      </c>
      <c r="J587" s="22" t="s">
        <v>745</v>
      </c>
      <c r="K587" s="23" t="s">
        <v>1264</v>
      </c>
      <c r="L587" t="e">
        <f>VLOOKUP(B587,ubah!$B$2:$L$234,4,FALSE)</f>
        <v>#N/A</v>
      </c>
      <c r="M587" t="e">
        <f>VLOOKUP(B587,ubah!$B$2:$L$234,5,FALSE)</f>
        <v>#N/A</v>
      </c>
      <c r="N587" t="e">
        <f>VLOOKUP(B587,ubah!$B$2:$L$234,6,FALSE)</f>
        <v>#N/A</v>
      </c>
    </row>
    <row r="588" spans="1:14" hidden="1" x14ac:dyDescent="0.35">
      <c r="A588" s="21">
        <v>1351120</v>
      </c>
      <c r="B588" s="22" t="str">
        <f>"3328042502040002"</f>
        <v>3328042502040002</v>
      </c>
      <c r="C588" s="22" t="str">
        <f t="shared" si="18"/>
        <v>'3328042502040002</v>
      </c>
      <c r="D588" s="22" t="str">
        <f t="shared" si="19"/>
        <v>ganda</v>
      </c>
      <c r="E588" s="22" t="s">
        <v>1504</v>
      </c>
      <c r="F588" s="22" t="s">
        <v>10</v>
      </c>
      <c r="G588" s="22" t="s">
        <v>57</v>
      </c>
      <c r="H588" s="22" t="s">
        <v>303</v>
      </c>
      <c r="I588" s="22" t="s">
        <v>608</v>
      </c>
      <c r="J588" s="22" t="s">
        <v>609</v>
      </c>
      <c r="K588" s="23" t="s">
        <v>610</v>
      </c>
    </row>
    <row r="589" spans="1:14" hidden="1" x14ac:dyDescent="0.35">
      <c r="A589" s="21">
        <v>352179</v>
      </c>
      <c r="B589" s="22" t="str">
        <f>"3328042502830002"</f>
        <v>3328042502830002</v>
      </c>
      <c r="C589" s="22" t="str">
        <f t="shared" si="18"/>
        <v>'3328042502830002</v>
      </c>
      <c r="D589" s="22" t="str">
        <f t="shared" si="19"/>
        <v>tidak ganda</v>
      </c>
      <c r="E589" s="22" t="s">
        <v>1505</v>
      </c>
      <c r="F589" s="22" t="s">
        <v>10</v>
      </c>
      <c r="G589" s="22" t="s">
        <v>11</v>
      </c>
      <c r="H589" s="22" t="s">
        <v>18</v>
      </c>
      <c r="I589" s="22" t="s">
        <v>268</v>
      </c>
      <c r="J589" s="22" t="s">
        <v>269</v>
      </c>
      <c r="K589" s="23" t="s">
        <v>270</v>
      </c>
    </row>
    <row r="590" spans="1:14" hidden="1" x14ac:dyDescent="0.35">
      <c r="A590" s="21">
        <v>2288331</v>
      </c>
      <c r="B590" s="22" t="str">
        <f>"3328042504030001"</f>
        <v>3328042504030001</v>
      </c>
      <c r="C590" s="22" t="str">
        <f t="shared" si="18"/>
        <v>'3328042504030001</v>
      </c>
      <c r="D590" s="22" t="str">
        <f t="shared" si="19"/>
        <v>tidak ganda</v>
      </c>
      <c r="E590" s="22" t="s">
        <v>1506</v>
      </c>
      <c r="F590" s="22" t="s">
        <v>10</v>
      </c>
      <c r="G590" s="22" t="s">
        <v>11</v>
      </c>
      <c r="H590" s="22" t="s">
        <v>18</v>
      </c>
      <c r="I590" s="22" t="s">
        <v>19</v>
      </c>
      <c r="J590" s="22" t="s">
        <v>745</v>
      </c>
      <c r="K590" s="23" t="s">
        <v>1264</v>
      </c>
      <c r="L590" t="e">
        <f>VLOOKUP(B590,ubah!$B$2:$L$234,4,FALSE)</f>
        <v>#N/A</v>
      </c>
      <c r="M590" t="e">
        <f>VLOOKUP(B590,ubah!$B$2:$L$234,5,FALSE)</f>
        <v>#N/A</v>
      </c>
      <c r="N590" t="e">
        <f>VLOOKUP(B590,ubah!$B$2:$L$234,6,FALSE)</f>
        <v>#N/A</v>
      </c>
    </row>
    <row r="591" spans="1:14" hidden="1" x14ac:dyDescent="0.35">
      <c r="A591" s="21">
        <v>278197</v>
      </c>
      <c r="B591" s="22" t="str">
        <f>"3328042704910002"</f>
        <v>3328042704910002</v>
      </c>
      <c r="C591" s="22" t="str">
        <f t="shared" si="18"/>
        <v>'3328042704910002</v>
      </c>
      <c r="D591" s="22" t="str">
        <f t="shared" si="19"/>
        <v>tidak ganda</v>
      </c>
      <c r="E591" s="22" t="s">
        <v>1509</v>
      </c>
      <c r="F591" s="22" t="s">
        <v>10</v>
      </c>
      <c r="G591" s="22" t="s">
        <v>11</v>
      </c>
      <c r="H591" s="22" t="s">
        <v>12</v>
      </c>
      <c r="I591" s="22" t="s">
        <v>13</v>
      </c>
      <c r="J591" s="22" t="s">
        <v>1510</v>
      </c>
      <c r="K591" s="23" t="s">
        <v>1511</v>
      </c>
    </row>
    <row r="592" spans="1:14" hidden="1" x14ac:dyDescent="0.35">
      <c r="A592" s="21">
        <v>2404601</v>
      </c>
      <c r="B592" s="22" t="str">
        <f>"3328042904900005"</f>
        <v>3328042904900005</v>
      </c>
      <c r="C592" s="22" t="str">
        <f t="shared" si="18"/>
        <v>'3328042904900005</v>
      </c>
      <c r="D592" s="22" t="str">
        <f t="shared" si="19"/>
        <v>ganda</v>
      </c>
      <c r="E592" s="22" t="s">
        <v>1512</v>
      </c>
      <c r="F592" s="22" t="s">
        <v>10</v>
      </c>
      <c r="G592" s="22" t="s">
        <v>11</v>
      </c>
      <c r="H592" s="22" t="s">
        <v>18</v>
      </c>
      <c r="I592" s="22" t="s">
        <v>19</v>
      </c>
      <c r="J592" s="22" t="s">
        <v>745</v>
      </c>
      <c r="K592" s="23" t="s">
        <v>1230</v>
      </c>
      <c r="L592" t="e">
        <f>VLOOKUP(B592,ubah!$B$2:$L$234,4,FALSE)</f>
        <v>#N/A</v>
      </c>
      <c r="M592" t="e">
        <f>VLOOKUP(B592,ubah!$B$2:$L$234,5,FALSE)</f>
        <v>#N/A</v>
      </c>
      <c r="N592" t="e">
        <f>VLOOKUP(B592,ubah!$B$2:$L$234,6,FALSE)</f>
        <v>#N/A</v>
      </c>
    </row>
    <row r="593" spans="1:14" hidden="1" x14ac:dyDescent="0.35">
      <c r="A593" s="21">
        <v>1696350</v>
      </c>
      <c r="B593" s="22" t="str">
        <f>"3328042904900005"</f>
        <v>3328042904900005</v>
      </c>
      <c r="C593" s="22" t="str">
        <f t="shared" si="18"/>
        <v>'3328042904900005</v>
      </c>
      <c r="D593" s="22" t="str">
        <f t="shared" si="19"/>
        <v>ganda</v>
      </c>
      <c r="E593" s="22" t="s">
        <v>1513</v>
      </c>
      <c r="F593" s="22" t="s">
        <v>10</v>
      </c>
      <c r="G593" s="22" t="s">
        <v>57</v>
      </c>
      <c r="H593" s="22" t="s">
        <v>18</v>
      </c>
      <c r="I593" s="22" t="s">
        <v>1514</v>
      </c>
      <c r="J593" s="22" t="s">
        <v>1515</v>
      </c>
      <c r="K593" s="23" t="s">
        <v>1516</v>
      </c>
    </row>
    <row r="594" spans="1:14" hidden="1" x14ac:dyDescent="0.35">
      <c r="A594" s="21">
        <v>2345574</v>
      </c>
      <c r="B594" s="22" t="str">
        <f>"3328042906970003"</f>
        <v>3328042906970003</v>
      </c>
      <c r="C594" s="22" t="str">
        <f t="shared" si="18"/>
        <v>'3328042906970003</v>
      </c>
      <c r="D594" s="22" t="str">
        <f t="shared" si="19"/>
        <v>tidak ganda</v>
      </c>
      <c r="E594" s="22" t="s">
        <v>1517</v>
      </c>
      <c r="F594" s="22" t="s">
        <v>10</v>
      </c>
      <c r="G594" s="22" t="s">
        <v>11</v>
      </c>
      <c r="H594" s="22" t="s">
        <v>18</v>
      </c>
      <c r="I594" s="22" t="s">
        <v>19</v>
      </c>
      <c r="J594" s="22" t="s">
        <v>745</v>
      </c>
      <c r="K594" s="23" t="s">
        <v>1262</v>
      </c>
      <c r="L594" t="e">
        <f>VLOOKUP(B594,ubah!$B$2:$L$234,4,FALSE)</f>
        <v>#N/A</v>
      </c>
      <c r="M594" t="e">
        <f>VLOOKUP(B594,ubah!$B$2:$L$234,5,FALSE)</f>
        <v>#N/A</v>
      </c>
      <c r="N594" t="e">
        <f>VLOOKUP(B594,ubah!$B$2:$L$234,6,FALSE)</f>
        <v>#N/A</v>
      </c>
    </row>
    <row r="595" spans="1:14" hidden="1" x14ac:dyDescent="0.35">
      <c r="A595" s="21">
        <v>1387501</v>
      </c>
      <c r="B595" s="22" t="str">
        <f>"3328043009880007"</f>
        <v>3328043009880007</v>
      </c>
      <c r="C595" s="22" t="str">
        <f t="shared" si="18"/>
        <v>'3328043009880007</v>
      </c>
      <c r="D595" s="22" t="str">
        <f t="shared" si="19"/>
        <v>tidak ganda</v>
      </c>
      <c r="E595" s="22" t="s">
        <v>1519</v>
      </c>
      <c r="F595" s="22" t="s">
        <v>10</v>
      </c>
      <c r="G595" s="22" t="s">
        <v>11</v>
      </c>
      <c r="H595" s="22" t="s">
        <v>67</v>
      </c>
      <c r="I595" s="22" t="s">
        <v>512</v>
      </c>
      <c r="J595" s="22" t="s">
        <v>219</v>
      </c>
      <c r="K595" s="23" t="s">
        <v>1520</v>
      </c>
    </row>
    <row r="596" spans="1:14" hidden="1" x14ac:dyDescent="0.35">
      <c r="A596" s="21">
        <v>2272592</v>
      </c>
      <c r="B596" s="22" t="str">
        <f>"3328043012720013"</f>
        <v>3328043012720013</v>
      </c>
      <c r="C596" s="22" t="str">
        <f t="shared" si="18"/>
        <v>'3328043012720013</v>
      </c>
      <c r="D596" s="22" t="str">
        <f t="shared" si="19"/>
        <v>ganda</v>
      </c>
      <c r="E596" s="22" t="s">
        <v>1521</v>
      </c>
      <c r="F596" s="22" t="s">
        <v>10</v>
      </c>
      <c r="G596" s="22" t="s">
        <v>11</v>
      </c>
      <c r="H596" s="22" t="s">
        <v>18</v>
      </c>
      <c r="I596" s="22" t="s">
        <v>19</v>
      </c>
      <c r="J596" s="22" t="s">
        <v>745</v>
      </c>
      <c r="K596" s="23" t="s">
        <v>1348</v>
      </c>
      <c r="L596" t="e">
        <f>VLOOKUP(B596,ubah!$B$2:$L$234,4,FALSE)</f>
        <v>#N/A</v>
      </c>
      <c r="M596" t="e">
        <f>VLOOKUP(B596,ubah!$B$2:$L$234,5,FALSE)</f>
        <v>#N/A</v>
      </c>
      <c r="N596" t="e">
        <f>VLOOKUP(B596,ubah!$B$2:$L$234,6,FALSE)</f>
        <v>#N/A</v>
      </c>
    </row>
    <row r="597" spans="1:14" hidden="1" x14ac:dyDescent="0.35">
      <c r="A597" s="21">
        <v>884796</v>
      </c>
      <c r="B597" s="22" t="str">
        <f>"3328043012720013"</f>
        <v>3328043012720013</v>
      </c>
      <c r="C597" s="22" t="str">
        <f t="shared" si="18"/>
        <v>'3328043012720013</v>
      </c>
      <c r="D597" s="22" t="str">
        <f t="shared" si="19"/>
        <v>ganda</v>
      </c>
      <c r="E597" s="22" t="s">
        <v>1521</v>
      </c>
      <c r="F597" s="22" t="s">
        <v>10</v>
      </c>
      <c r="G597" s="22" t="s">
        <v>11</v>
      </c>
      <c r="H597" s="22" t="s">
        <v>18</v>
      </c>
      <c r="I597" s="22" t="s">
        <v>1522</v>
      </c>
      <c r="J597" s="22" t="s">
        <v>1523</v>
      </c>
      <c r="K597" s="23" t="s">
        <v>1524</v>
      </c>
    </row>
    <row r="598" spans="1:14" hidden="1" x14ac:dyDescent="0.35">
      <c r="A598" s="21">
        <v>2351323</v>
      </c>
      <c r="B598" s="22" t="str">
        <f>"3328043112850010"</f>
        <v>3328043112850010</v>
      </c>
      <c r="C598" s="22" t="str">
        <f t="shared" si="18"/>
        <v>'3328043112850010</v>
      </c>
      <c r="D598" s="22" t="str">
        <f t="shared" si="19"/>
        <v>tidak ganda</v>
      </c>
      <c r="E598" s="22" t="s">
        <v>1525</v>
      </c>
      <c r="F598" s="22" t="s">
        <v>10</v>
      </c>
      <c r="G598" s="22" t="s">
        <v>11</v>
      </c>
      <c r="H598" s="22" t="s">
        <v>18</v>
      </c>
      <c r="I598" s="22" t="s">
        <v>19</v>
      </c>
      <c r="J598" s="22" t="s">
        <v>745</v>
      </c>
      <c r="K598" s="23" t="s">
        <v>1406</v>
      </c>
      <c r="L598" t="e">
        <f>VLOOKUP(B598,ubah!$B$2:$L$234,4,FALSE)</f>
        <v>#N/A</v>
      </c>
      <c r="M598" t="e">
        <f>VLOOKUP(B598,ubah!$B$2:$L$234,5,FALSE)</f>
        <v>#N/A</v>
      </c>
      <c r="N598" t="e">
        <f>VLOOKUP(B598,ubah!$B$2:$L$234,6,FALSE)</f>
        <v>#N/A</v>
      </c>
    </row>
    <row r="599" spans="1:14" hidden="1" x14ac:dyDescent="0.35">
      <c r="A599" s="21">
        <v>2395797</v>
      </c>
      <c r="B599" s="22" t="str">
        <f>"3328044101950007"</f>
        <v>3328044101950007</v>
      </c>
      <c r="C599" s="22" t="str">
        <f t="shared" si="18"/>
        <v>'3328044101950007</v>
      </c>
      <c r="D599" s="22" t="str">
        <f t="shared" si="19"/>
        <v>tidak ganda</v>
      </c>
      <c r="E599" s="22" t="s">
        <v>1528</v>
      </c>
      <c r="F599" s="22" t="s">
        <v>10</v>
      </c>
      <c r="G599" s="22" t="s">
        <v>11</v>
      </c>
      <c r="H599" s="22" t="s">
        <v>18</v>
      </c>
      <c r="I599" s="22" t="s">
        <v>19</v>
      </c>
      <c r="J599" s="22" t="s">
        <v>745</v>
      </c>
      <c r="K599" s="23" t="s">
        <v>1274</v>
      </c>
      <c r="L599" t="e">
        <f>VLOOKUP(B599,ubah!$B$2:$L$234,4,FALSE)</f>
        <v>#N/A</v>
      </c>
      <c r="M599" t="e">
        <f>VLOOKUP(B599,ubah!$B$2:$L$234,5,FALSE)</f>
        <v>#N/A</v>
      </c>
      <c r="N599" t="e">
        <f>VLOOKUP(B599,ubah!$B$2:$L$234,6,FALSE)</f>
        <v>#N/A</v>
      </c>
    </row>
    <row r="600" spans="1:14" hidden="1" x14ac:dyDescent="0.35">
      <c r="A600" s="21">
        <v>2250774</v>
      </c>
      <c r="B600" s="22" t="str">
        <f>"3328044101960011"</f>
        <v>3328044101960011</v>
      </c>
      <c r="C600" s="22" t="str">
        <f t="shared" si="18"/>
        <v>'3328044101960011</v>
      </c>
      <c r="D600" s="22" t="str">
        <f t="shared" si="19"/>
        <v>tidak ganda</v>
      </c>
      <c r="E600" s="22" t="s">
        <v>1529</v>
      </c>
      <c r="F600" s="22" t="s">
        <v>10</v>
      </c>
      <c r="G600" s="22" t="s">
        <v>11</v>
      </c>
      <c r="H600" s="22" t="s">
        <v>18</v>
      </c>
      <c r="I600" s="22" t="s">
        <v>19</v>
      </c>
      <c r="J600" s="22" t="s">
        <v>745</v>
      </c>
      <c r="K600" s="23" t="s">
        <v>1257</v>
      </c>
      <c r="L600" t="e">
        <f>VLOOKUP(B600,ubah!$B$2:$L$234,4,FALSE)</f>
        <v>#N/A</v>
      </c>
      <c r="M600" t="e">
        <f>VLOOKUP(B600,ubah!$B$2:$L$234,5,FALSE)</f>
        <v>#N/A</v>
      </c>
      <c r="N600" t="e">
        <f>VLOOKUP(B600,ubah!$B$2:$L$234,6,FALSE)</f>
        <v>#N/A</v>
      </c>
    </row>
    <row r="601" spans="1:14" hidden="1" x14ac:dyDescent="0.35">
      <c r="A601" s="21">
        <v>355804</v>
      </c>
      <c r="B601" s="22" t="str">
        <f>"3328044107950101"</f>
        <v>3328044107950101</v>
      </c>
      <c r="C601" s="22" t="str">
        <f t="shared" si="18"/>
        <v>'3328044107950101</v>
      </c>
      <c r="D601" s="22" t="str">
        <f t="shared" si="19"/>
        <v>tidak ganda</v>
      </c>
      <c r="E601" s="22" t="s">
        <v>1533</v>
      </c>
      <c r="F601" s="22" t="s">
        <v>10</v>
      </c>
      <c r="G601" s="22" t="s">
        <v>11</v>
      </c>
      <c r="H601" s="22" t="s">
        <v>91</v>
      </c>
      <c r="I601" s="22" t="s">
        <v>320</v>
      </c>
      <c r="J601" s="22" t="s">
        <v>664</v>
      </c>
      <c r="K601" s="23" t="s">
        <v>665</v>
      </c>
    </row>
    <row r="602" spans="1:14" hidden="1" x14ac:dyDescent="0.35">
      <c r="A602" s="21">
        <v>40666</v>
      </c>
      <c r="B602" s="22" t="str">
        <f>"3328044111850001"</f>
        <v>3328044111850001</v>
      </c>
      <c r="C602" s="22" t="str">
        <f t="shared" si="18"/>
        <v>'3328044111850001</v>
      </c>
      <c r="D602" s="22" t="str">
        <f t="shared" si="19"/>
        <v>tidak ganda</v>
      </c>
      <c r="E602" s="22" t="s">
        <v>1534</v>
      </c>
      <c r="F602" s="22" t="s">
        <v>10</v>
      </c>
      <c r="G602" s="22" t="s">
        <v>11</v>
      </c>
      <c r="H602" s="22" t="s">
        <v>18</v>
      </c>
      <c r="I602" s="22" t="s">
        <v>264</v>
      </c>
      <c r="J602" s="22" t="s">
        <v>324</v>
      </c>
      <c r="K602" s="23" t="s">
        <v>1535</v>
      </c>
    </row>
    <row r="603" spans="1:14" hidden="1" x14ac:dyDescent="0.35">
      <c r="A603" s="21">
        <v>2396086</v>
      </c>
      <c r="B603" s="22" t="str">
        <f>"3328044202916888"</f>
        <v>3328044202916888</v>
      </c>
      <c r="C603" s="22" t="str">
        <f t="shared" si="18"/>
        <v>'3328044202916888</v>
      </c>
      <c r="D603" s="22" t="str">
        <f t="shared" si="19"/>
        <v>tidak ganda</v>
      </c>
      <c r="E603" s="22" t="s">
        <v>1536</v>
      </c>
      <c r="F603" s="22" t="s">
        <v>10</v>
      </c>
      <c r="G603" s="22" t="s">
        <v>11</v>
      </c>
      <c r="H603" s="22" t="s">
        <v>18</v>
      </c>
      <c r="I603" s="22" t="s">
        <v>19</v>
      </c>
      <c r="J603" s="22" t="s">
        <v>745</v>
      </c>
      <c r="K603" s="23" t="s">
        <v>1274</v>
      </c>
      <c r="L603" t="e">
        <f>VLOOKUP(B603,ubah!$B$2:$L$234,4,FALSE)</f>
        <v>#N/A</v>
      </c>
      <c r="M603" t="e">
        <f>VLOOKUP(B603,ubah!$B$2:$L$234,5,FALSE)</f>
        <v>#N/A</v>
      </c>
      <c r="N603" t="e">
        <f>VLOOKUP(B603,ubah!$B$2:$L$234,6,FALSE)</f>
        <v>#N/A</v>
      </c>
    </row>
    <row r="604" spans="1:14" hidden="1" x14ac:dyDescent="0.35">
      <c r="A604" s="21">
        <v>322197</v>
      </c>
      <c r="B604" s="22" t="str">
        <f>"3328044203030003"</f>
        <v>3328044203030003</v>
      </c>
      <c r="C604" s="22" t="str">
        <f t="shared" si="18"/>
        <v>'3328044203030003</v>
      </c>
      <c r="D604" s="22" t="str">
        <f t="shared" si="19"/>
        <v>tidak ganda</v>
      </c>
      <c r="E604" s="22" t="s">
        <v>1538</v>
      </c>
      <c r="F604" s="22" t="s">
        <v>10</v>
      </c>
      <c r="G604" s="22" t="s">
        <v>11</v>
      </c>
      <c r="H604" s="22" t="s">
        <v>44</v>
      </c>
      <c r="I604" s="22" t="s">
        <v>1539</v>
      </c>
      <c r="J604" s="22" t="s">
        <v>1540</v>
      </c>
      <c r="K604" s="23" t="s">
        <v>1541</v>
      </c>
    </row>
    <row r="605" spans="1:14" hidden="1" x14ac:dyDescent="0.35">
      <c r="A605" s="21">
        <v>917702</v>
      </c>
      <c r="B605" s="22" t="str">
        <f>"3328044207870003"</f>
        <v>3328044207870003</v>
      </c>
      <c r="C605" s="22" t="str">
        <f t="shared" si="18"/>
        <v>'3328044207870003</v>
      </c>
      <c r="D605" s="22" t="str">
        <f t="shared" si="19"/>
        <v>tidak ganda</v>
      </c>
      <c r="E605" s="22" t="s">
        <v>1543</v>
      </c>
      <c r="F605" s="22" t="s">
        <v>10</v>
      </c>
      <c r="G605" s="22" t="s">
        <v>11</v>
      </c>
      <c r="H605" s="22" t="s">
        <v>91</v>
      </c>
      <c r="I605" s="22" t="s">
        <v>631</v>
      </c>
      <c r="J605" s="22" t="s">
        <v>1544</v>
      </c>
      <c r="K605" s="23" t="s">
        <v>1545</v>
      </c>
    </row>
    <row r="606" spans="1:14" hidden="1" x14ac:dyDescent="0.35">
      <c r="A606" s="21">
        <v>1084427</v>
      </c>
      <c r="B606" s="22" t="str">
        <f>"3328044402840001"</f>
        <v>3328044402840001</v>
      </c>
      <c r="C606" s="22" t="str">
        <f t="shared" si="18"/>
        <v>'3328044402840001</v>
      </c>
      <c r="D606" s="22" t="str">
        <f t="shared" si="19"/>
        <v>tidak ganda</v>
      </c>
      <c r="E606" s="22" t="s">
        <v>1546</v>
      </c>
      <c r="F606" s="22" t="s">
        <v>10</v>
      </c>
      <c r="G606" s="22" t="s">
        <v>11</v>
      </c>
      <c r="H606" s="22" t="s">
        <v>50</v>
      </c>
      <c r="I606" s="22" t="s">
        <v>51</v>
      </c>
      <c r="J606" s="22" t="s">
        <v>52</v>
      </c>
      <c r="K606" s="23" t="s">
        <v>52</v>
      </c>
    </row>
    <row r="607" spans="1:14" hidden="1" x14ac:dyDescent="0.35">
      <c r="A607" s="21">
        <v>1282635</v>
      </c>
      <c r="B607" s="22" t="str">
        <f>"3328044403900002"</f>
        <v>3328044403900002</v>
      </c>
      <c r="C607" s="22" t="str">
        <f t="shared" si="18"/>
        <v>'3328044403900002</v>
      </c>
      <c r="D607" s="22" t="str">
        <f t="shared" si="19"/>
        <v>tidak ganda</v>
      </c>
      <c r="E607" s="22" t="s">
        <v>1547</v>
      </c>
      <c r="F607" s="22" t="s">
        <v>10</v>
      </c>
      <c r="G607" s="22" t="s">
        <v>11</v>
      </c>
      <c r="H607" s="22" t="s">
        <v>91</v>
      </c>
      <c r="I607" s="22" t="s">
        <v>149</v>
      </c>
      <c r="J607" s="22" t="s">
        <v>1324</v>
      </c>
      <c r="K607" s="23" t="s">
        <v>1372</v>
      </c>
    </row>
    <row r="608" spans="1:14" hidden="1" x14ac:dyDescent="0.35">
      <c r="A608" s="21">
        <v>343425</v>
      </c>
      <c r="B608" s="22" t="str">
        <f>"3328044507570002"</f>
        <v>3328044507570002</v>
      </c>
      <c r="C608" s="22" t="str">
        <f t="shared" si="18"/>
        <v>'3328044507570002</v>
      </c>
      <c r="D608" s="22" t="str">
        <f t="shared" si="19"/>
        <v>tidak ganda</v>
      </c>
      <c r="E608" s="22" t="s">
        <v>1549</v>
      </c>
      <c r="F608" s="22" t="s">
        <v>10</v>
      </c>
      <c r="G608" s="22" t="s">
        <v>11</v>
      </c>
      <c r="H608" s="22" t="s">
        <v>91</v>
      </c>
      <c r="I608" s="22" t="s">
        <v>754</v>
      </c>
      <c r="J608" s="22" t="s">
        <v>1365</v>
      </c>
      <c r="K608" s="23" t="s">
        <v>1366</v>
      </c>
    </row>
    <row r="609" spans="1:14" hidden="1" x14ac:dyDescent="0.35">
      <c r="A609" s="21">
        <v>2344464</v>
      </c>
      <c r="B609" s="22" t="str">
        <f>"3328044511030001"</f>
        <v>3328044511030001</v>
      </c>
      <c r="C609" s="22" t="str">
        <f t="shared" si="18"/>
        <v>'3328044511030001</v>
      </c>
      <c r="D609" s="22" t="str">
        <f t="shared" si="19"/>
        <v>ganda</v>
      </c>
      <c r="E609" s="22" t="s">
        <v>1552</v>
      </c>
      <c r="F609" s="22" t="s">
        <v>10</v>
      </c>
      <c r="G609" s="22" t="s">
        <v>11</v>
      </c>
      <c r="H609" s="22" t="s">
        <v>18</v>
      </c>
      <c r="I609" s="22" t="s">
        <v>19</v>
      </c>
      <c r="J609" s="22" t="s">
        <v>745</v>
      </c>
      <c r="K609" s="23" t="s">
        <v>1262</v>
      </c>
      <c r="L609" t="e">
        <f>VLOOKUP(B609,ubah!$B$2:$L$234,4,FALSE)</f>
        <v>#N/A</v>
      </c>
      <c r="M609" t="e">
        <f>VLOOKUP(B609,ubah!$B$2:$L$234,5,FALSE)</f>
        <v>#N/A</v>
      </c>
      <c r="N609" t="e">
        <f>VLOOKUP(B609,ubah!$B$2:$L$234,6,FALSE)</f>
        <v>#N/A</v>
      </c>
    </row>
    <row r="610" spans="1:14" hidden="1" x14ac:dyDescent="0.35">
      <c r="A610" s="21">
        <v>1351122</v>
      </c>
      <c r="B610" s="22" t="str">
        <f>"3328044511030001"</f>
        <v>3328044511030001</v>
      </c>
      <c r="C610" s="22" t="str">
        <f t="shared" si="18"/>
        <v>'3328044511030001</v>
      </c>
      <c r="D610" s="22" t="str">
        <f t="shared" si="19"/>
        <v>ganda</v>
      </c>
      <c r="E610" s="22" t="s">
        <v>1553</v>
      </c>
      <c r="F610" s="22" t="s">
        <v>10</v>
      </c>
      <c r="G610" s="22" t="s">
        <v>57</v>
      </c>
      <c r="H610" s="22" t="s">
        <v>303</v>
      </c>
      <c r="I610" s="22" t="s">
        <v>608</v>
      </c>
      <c r="J610" s="22" t="s">
        <v>609</v>
      </c>
      <c r="K610" s="23" t="s">
        <v>610</v>
      </c>
    </row>
    <row r="611" spans="1:14" hidden="1" x14ac:dyDescent="0.35">
      <c r="A611" s="21">
        <v>180317</v>
      </c>
      <c r="B611" s="22" t="str">
        <f>"3328044602990005"</f>
        <v>3328044602990005</v>
      </c>
      <c r="C611" s="22" t="str">
        <f t="shared" si="18"/>
        <v>'3328044602990005</v>
      </c>
      <c r="D611" s="22" t="str">
        <f t="shared" si="19"/>
        <v>tidak ganda</v>
      </c>
      <c r="E611" s="22" t="s">
        <v>1554</v>
      </c>
      <c r="F611" s="22" t="s">
        <v>10</v>
      </c>
      <c r="G611" s="22" t="s">
        <v>11</v>
      </c>
      <c r="H611" s="22" t="s">
        <v>811</v>
      </c>
      <c r="I611" s="22" t="s">
        <v>812</v>
      </c>
      <c r="J611" s="22" t="s">
        <v>1555</v>
      </c>
      <c r="K611" s="23" t="s">
        <v>1556</v>
      </c>
    </row>
    <row r="612" spans="1:14" hidden="1" x14ac:dyDescent="0.35">
      <c r="A612" s="21">
        <v>2617959</v>
      </c>
      <c r="B612" s="22" t="str">
        <f>"3328044603060006"</f>
        <v>3328044603060006</v>
      </c>
      <c r="C612" s="22" t="str">
        <f t="shared" si="18"/>
        <v>'3328044603060006</v>
      </c>
      <c r="D612" s="22" t="str">
        <f t="shared" si="19"/>
        <v>tidak ganda</v>
      </c>
      <c r="E612" s="22" t="s">
        <v>1557</v>
      </c>
      <c r="F612" s="22" t="s">
        <v>10</v>
      </c>
      <c r="G612" s="22" t="s">
        <v>57</v>
      </c>
      <c r="H612" s="22" t="s">
        <v>18</v>
      </c>
      <c r="I612" s="22" t="s">
        <v>1438</v>
      </c>
      <c r="J612" s="22" t="s">
        <v>1439</v>
      </c>
      <c r="K612" s="23" t="s">
        <v>1440</v>
      </c>
    </row>
    <row r="613" spans="1:14" hidden="1" x14ac:dyDescent="0.35">
      <c r="A613" s="21">
        <v>2386259</v>
      </c>
      <c r="B613" s="22" t="str">
        <f>"3328044603970004"</f>
        <v>3328044603970004</v>
      </c>
      <c r="C613" s="22" t="str">
        <f t="shared" si="18"/>
        <v>'3328044603970004</v>
      </c>
      <c r="D613" s="22" t="str">
        <f t="shared" si="19"/>
        <v>tidak ganda</v>
      </c>
      <c r="E613" s="22" t="s">
        <v>1559</v>
      </c>
      <c r="F613" s="22" t="s">
        <v>10</v>
      </c>
      <c r="G613" s="22" t="s">
        <v>11</v>
      </c>
      <c r="H613" s="22" t="s">
        <v>18</v>
      </c>
      <c r="I613" s="22" t="s">
        <v>19</v>
      </c>
      <c r="J613" s="22" t="s">
        <v>745</v>
      </c>
      <c r="K613" s="23" t="s">
        <v>352</v>
      </c>
      <c r="L613" t="e">
        <f>VLOOKUP(B613,ubah!$B$2:$L$234,4,FALSE)</f>
        <v>#N/A</v>
      </c>
      <c r="M613" t="e">
        <f>VLOOKUP(B613,ubah!$B$2:$L$234,5,FALSE)</f>
        <v>#N/A</v>
      </c>
      <c r="N613" t="e">
        <f>VLOOKUP(B613,ubah!$B$2:$L$234,6,FALSE)</f>
        <v>#N/A</v>
      </c>
    </row>
    <row r="614" spans="1:14" hidden="1" x14ac:dyDescent="0.35">
      <c r="A614" s="21">
        <v>1802703</v>
      </c>
      <c r="B614" s="22" t="str">
        <f>"3328044708670002"</f>
        <v>3328044708670002</v>
      </c>
      <c r="C614" s="22" t="str">
        <f t="shared" si="18"/>
        <v>'3328044708670002</v>
      </c>
      <c r="D614" s="22" t="str">
        <f t="shared" si="19"/>
        <v>tidak ganda</v>
      </c>
      <c r="E614" s="22" t="s">
        <v>1562</v>
      </c>
      <c r="F614" s="22" t="s">
        <v>10</v>
      </c>
      <c r="G614" s="22" t="s">
        <v>11</v>
      </c>
      <c r="H614" s="22" t="s">
        <v>50</v>
      </c>
      <c r="I614" s="22" t="s">
        <v>58</v>
      </c>
      <c r="J614" s="22" t="s">
        <v>97</v>
      </c>
      <c r="K614" s="23" t="s">
        <v>97</v>
      </c>
    </row>
    <row r="615" spans="1:14" hidden="1" x14ac:dyDescent="0.35">
      <c r="A615" s="21">
        <v>2344250</v>
      </c>
      <c r="B615" s="22" t="str">
        <f>"3328044802020001"</f>
        <v>3328044802020001</v>
      </c>
      <c r="C615" s="22" t="str">
        <f t="shared" si="18"/>
        <v>'3328044802020001</v>
      </c>
      <c r="D615" s="22" t="str">
        <f t="shared" si="19"/>
        <v>ganda</v>
      </c>
      <c r="E615" s="22" t="s">
        <v>1563</v>
      </c>
      <c r="F615" s="22" t="s">
        <v>10</v>
      </c>
      <c r="G615" s="22" t="s">
        <v>11</v>
      </c>
      <c r="H615" s="22" t="s">
        <v>18</v>
      </c>
      <c r="I615" s="22" t="s">
        <v>19</v>
      </c>
      <c r="J615" s="22" t="s">
        <v>745</v>
      </c>
      <c r="K615" s="23" t="s">
        <v>1262</v>
      </c>
      <c r="L615" t="e">
        <f>VLOOKUP(B615,ubah!$B$2:$L$234,4,FALSE)</f>
        <v>#N/A</v>
      </c>
      <c r="M615" t="e">
        <f>VLOOKUP(B615,ubah!$B$2:$L$234,5,FALSE)</f>
        <v>#N/A</v>
      </c>
      <c r="N615" t="e">
        <f>VLOOKUP(B615,ubah!$B$2:$L$234,6,FALSE)</f>
        <v>#N/A</v>
      </c>
    </row>
    <row r="616" spans="1:14" hidden="1" x14ac:dyDescent="0.35">
      <c r="A616" s="21">
        <v>1862380</v>
      </c>
      <c r="B616" s="22" t="str">
        <f>"3328044802020001"</f>
        <v>3328044802020001</v>
      </c>
      <c r="C616" s="22" t="str">
        <f t="shared" si="18"/>
        <v>'3328044802020001</v>
      </c>
      <c r="D616" s="22" t="str">
        <f t="shared" si="19"/>
        <v>ganda</v>
      </c>
      <c r="E616" s="22" t="s">
        <v>1564</v>
      </c>
      <c r="F616" s="22" t="s">
        <v>10</v>
      </c>
      <c r="G616" s="22" t="s">
        <v>57</v>
      </c>
      <c r="H616" s="22" t="s">
        <v>18</v>
      </c>
      <c r="I616" s="22" t="s">
        <v>733</v>
      </c>
      <c r="J616" s="22" t="s">
        <v>733</v>
      </c>
      <c r="K616" s="23" t="s">
        <v>734</v>
      </c>
    </row>
    <row r="617" spans="1:14" hidden="1" x14ac:dyDescent="0.35">
      <c r="A617" s="21">
        <v>2385028</v>
      </c>
      <c r="B617" s="22" t="str">
        <f>"3328044902910005"</f>
        <v>3328044902910005</v>
      </c>
      <c r="C617" s="22" t="str">
        <f t="shared" si="18"/>
        <v>'3328044902910005</v>
      </c>
      <c r="D617" s="22" t="str">
        <f t="shared" si="19"/>
        <v>ganda</v>
      </c>
      <c r="E617" s="22" t="s">
        <v>1565</v>
      </c>
      <c r="F617" s="22" t="s">
        <v>10</v>
      </c>
      <c r="G617" s="22" t="s">
        <v>11</v>
      </c>
      <c r="H617" s="22" t="s">
        <v>18</v>
      </c>
      <c r="I617" s="22" t="s">
        <v>19</v>
      </c>
      <c r="J617" s="22" t="s">
        <v>745</v>
      </c>
      <c r="K617" s="23" t="s">
        <v>352</v>
      </c>
      <c r="L617" t="e">
        <f>VLOOKUP(B617,ubah!$B$2:$L$234,4,FALSE)</f>
        <v>#N/A</v>
      </c>
      <c r="M617" t="e">
        <f>VLOOKUP(B617,ubah!$B$2:$L$234,5,FALSE)</f>
        <v>#N/A</v>
      </c>
      <c r="N617" t="e">
        <f>VLOOKUP(B617,ubah!$B$2:$L$234,6,FALSE)</f>
        <v>#N/A</v>
      </c>
    </row>
    <row r="618" spans="1:14" hidden="1" x14ac:dyDescent="0.35">
      <c r="A618" s="21">
        <v>1434114</v>
      </c>
      <c r="B618" s="22" t="str">
        <f>"3328044902910005"</f>
        <v>3328044902910005</v>
      </c>
      <c r="C618" s="22" t="str">
        <f t="shared" si="18"/>
        <v>'3328044902910005</v>
      </c>
      <c r="D618" s="22" t="str">
        <f t="shared" si="19"/>
        <v>ganda</v>
      </c>
      <c r="E618" s="22" t="s">
        <v>1565</v>
      </c>
      <c r="F618" s="22" t="s">
        <v>10</v>
      </c>
      <c r="G618" s="22" t="s">
        <v>11</v>
      </c>
      <c r="H618" s="22" t="s">
        <v>91</v>
      </c>
      <c r="I618" s="22" t="s">
        <v>903</v>
      </c>
      <c r="J618" s="22" t="s">
        <v>767</v>
      </c>
      <c r="K618" s="23" t="s">
        <v>1566</v>
      </c>
    </row>
    <row r="619" spans="1:14" hidden="1" x14ac:dyDescent="0.35">
      <c r="A619" s="21">
        <v>155151</v>
      </c>
      <c r="B619" s="22" t="str">
        <f>"3328044905950002"</f>
        <v>3328044905950002</v>
      </c>
      <c r="C619" s="22" t="str">
        <f t="shared" si="18"/>
        <v>'3328044905950002</v>
      </c>
      <c r="D619" s="22" t="str">
        <f t="shared" si="19"/>
        <v>tidak ganda</v>
      </c>
      <c r="E619" s="22" t="s">
        <v>1567</v>
      </c>
      <c r="F619" s="22" t="s">
        <v>10</v>
      </c>
      <c r="G619" s="22" t="s">
        <v>11</v>
      </c>
      <c r="H619" s="22" t="s">
        <v>50</v>
      </c>
      <c r="I619" s="22" t="s">
        <v>280</v>
      </c>
      <c r="J619" s="22" t="s">
        <v>776</v>
      </c>
      <c r="K619" s="23" t="s">
        <v>1568</v>
      </c>
    </row>
    <row r="620" spans="1:14" hidden="1" x14ac:dyDescent="0.35">
      <c r="A620" s="21">
        <v>343426</v>
      </c>
      <c r="B620" s="22" t="str">
        <f>"3328045106010003"</f>
        <v>3328045106010003</v>
      </c>
      <c r="C620" s="22" t="str">
        <f t="shared" si="18"/>
        <v>'3328045106010003</v>
      </c>
      <c r="D620" s="22" t="str">
        <f t="shared" si="19"/>
        <v>tidak ganda</v>
      </c>
      <c r="E620" s="22" t="s">
        <v>1570</v>
      </c>
      <c r="F620" s="22" t="s">
        <v>10</v>
      </c>
      <c r="G620" s="22" t="s">
        <v>11</v>
      </c>
      <c r="H620" s="22" t="s">
        <v>91</v>
      </c>
      <c r="I620" s="22" t="s">
        <v>754</v>
      </c>
      <c r="J620" s="22" t="s">
        <v>1365</v>
      </c>
      <c r="K620" s="23" t="s">
        <v>1366</v>
      </c>
    </row>
    <row r="621" spans="1:14" hidden="1" x14ac:dyDescent="0.35">
      <c r="A621" s="21">
        <v>1501756</v>
      </c>
      <c r="B621" s="22" t="str">
        <f>"3328045106910003"</f>
        <v>3328045106910003</v>
      </c>
      <c r="C621" s="22" t="str">
        <f t="shared" si="18"/>
        <v>'3328045106910003</v>
      </c>
      <c r="D621" s="22" t="str">
        <f t="shared" si="19"/>
        <v>tidak ganda</v>
      </c>
      <c r="E621" s="22" t="s">
        <v>1571</v>
      </c>
      <c r="F621" s="22" t="s">
        <v>10</v>
      </c>
      <c r="G621" s="22" t="s">
        <v>11</v>
      </c>
      <c r="H621" s="22" t="s">
        <v>91</v>
      </c>
      <c r="I621" s="22" t="s">
        <v>149</v>
      </c>
      <c r="J621" s="22" t="s">
        <v>1572</v>
      </c>
      <c r="K621" s="23" t="s">
        <v>1573</v>
      </c>
    </row>
    <row r="622" spans="1:14" hidden="1" x14ac:dyDescent="0.35">
      <c r="A622" s="21">
        <v>2393987</v>
      </c>
      <c r="B622" s="22" t="str">
        <f>"3328045107850002"</f>
        <v>3328045107850002</v>
      </c>
      <c r="C622" s="22" t="str">
        <f t="shared" si="18"/>
        <v>'3328045107850002</v>
      </c>
      <c r="D622" s="22" t="str">
        <f t="shared" si="19"/>
        <v>tidak ganda</v>
      </c>
      <c r="E622" s="22" t="s">
        <v>1574</v>
      </c>
      <c r="F622" s="22" t="s">
        <v>10</v>
      </c>
      <c r="G622" s="22" t="s">
        <v>11</v>
      </c>
      <c r="H622" s="22" t="s">
        <v>18</v>
      </c>
      <c r="I622" s="22" t="s">
        <v>19</v>
      </c>
      <c r="J622" s="22" t="s">
        <v>745</v>
      </c>
      <c r="K622" s="23" t="s">
        <v>1274</v>
      </c>
      <c r="L622" t="e">
        <f>VLOOKUP(B622,ubah!$B$2:$L$234,4,FALSE)</f>
        <v>#N/A</v>
      </c>
      <c r="M622" t="e">
        <f>VLOOKUP(B622,ubah!$B$2:$L$234,5,FALSE)</f>
        <v>#N/A</v>
      </c>
      <c r="N622" t="e">
        <f>VLOOKUP(B622,ubah!$B$2:$L$234,6,FALSE)</f>
        <v>#N/A</v>
      </c>
    </row>
    <row r="623" spans="1:14" hidden="1" x14ac:dyDescent="0.35">
      <c r="A623" s="21">
        <v>2402035</v>
      </c>
      <c r="B623" s="22" t="str">
        <f>"3328045207670004"</f>
        <v>3328045207670004</v>
      </c>
      <c r="C623" s="22" t="str">
        <f t="shared" si="18"/>
        <v>'3328045207670004</v>
      </c>
      <c r="D623" s="22" t="str">
        <f t="shared" si="19"/>
        <v>ganda</v>
      </c>
      <c r="E623" s="22" t="s">
        <v>1577</v>
      </c>
      <c r="F623" s="22" t="s">
        <v>10</v>
      </c>
      <c r="G623" s="22" t="s">
        <v>11</v>
      </c>
      <c r="H623" s="22" t="s">
        <v>18</v>
      </c>
      <c r="I623" s="22" t="s">
        <v>19</v>
      </c>
      <c r="J623" s="22" t="s">
        <v>745</v>
      </c>
      <c r="K623" s="23" t="s">
        <v>1303</v>
      </c>
      <c r="L623" t="e">
        <f>VLOOKUP(B623,ubah!$B$2:$L$234,4,FALSE)</f>
        <v>#N/A</v>
      </c>
      <c r="M623" t="e">
        <f>VLOOKUP(B623,ubah!$B$2:$L$234,5,FALSE)</f>
        <v>#N/A</v>
      </c>
      <c r="N623" t="e">
        <f>VLOOKUP(B623,ubah!$B$2:$L$234,6,FALSE)</f>
        <v>#N/A</v>
      </c>
    </row>
    <row r="624" spans="1:14" hidden="1" x14ac:dyDescent="0.35">
      <c r="A624" s="21">
        <v>1349029</v>
      </c>
      <c r="B624" s="22" t="str">
        <f>"3328045207670004"</f>
        <v>3328045207670004</v>
      </c>
      <c r="C624" s="22" t="str">
        <f t="shared" si="18"/>
        <v>'3328045207670004</v>
      </c>
      <c r="D624" s="22" t="str">
        <f t="shared" si="19"/>
        <v>ganda</v>
      </c>
      <c r="E624" s="22" t="s">
        <v>1578</v>
      </c>
      <c r="F624" s="22" t="s">
        <v>10</v>
      </c>
      <c r="G624" s="22" t="s">
        <v>57</v>
      </c>
      <c r="H624" s="22" t="s">
        <v>303</v>
      </c>
      <c r="I624" s="22" t="s">
        <v>608</v>
      </c>
      <c r="J624" s="22" t="s">
        <v>609</v>
      </c>
      <c r="K624" s="23" t="s">
        <v>610</v>
      </c>
    </row>
    <row r="625" spans="1:14" hidden="1" x14ac:dyDescent="0.35">
      <c r="A625" s="21">
        <v>2345665</v>
      </c>
      <c r="B625" s="22" t="str">
        <f>"3328045404830003"</f>
        <v>3328045404830003</v>
      </c>
      <c r="C625" s="22" t="str">
        <f t="shared" si="18"/>
        <v>'3328045404830003</v>
      </c>
      <c r="D625" s="22" t="str">
        <f t="shared" si="19"/>
        <v>tidak ganda</v>
      </c>
      <c r="E625" s="22" t="s">
        <v>1579</v>
      </c>
      <c r="F625" s="22" t="s">
        <v>10</v>
      </c>
      <c r="G625" s="22" t="s">
        <v>11</v>
      </c>
      <c r="H625" s="22" t="s">
        <v>18</v>
      </c>
      <c r="I625" s="22" t="s">
        <v>19</v>
      </c>
      <c r="J625" s="22" t="s">
        <v>745</v>
      </c>
      <c r="K625" s="23" t="s">
        <v>1262</v>
      </c>
      <c r="L625" t="e">
        <f>VLOOKUP(B625,ubah!$B$2:$L$234,4,FALSE)</f>
        <v>#N/A</v>
      </c>
      <c r="M625" t="e">
        <f>VLOOKUP(B625,ubah!$B$2:$L$234,5,FALSE)</f>
        <v>#N/A</v>
      </c>
      <c r="N625" t="e">
        <f>VLOOKUP(B625,ubah!$B$2:$L$234,6,FALSE)</f>
        <v>#N/A</v>
      </c>
    </row>
    <row r="626" spans="1:14" hidden="1" x14ac:dyDescent="0.35">
      <c r="A626" s="21">
        <v>2353287</v>
      </c>
      <c r="B626" s="22" t="str">
        <f>"3328045501960005"</f>
        <v>3328045501960005</v>
      </c>
      <c r="C626" s="22" t="str">
        <f t="shared" si="18"/>
        <v>'3328045501960005</v>
      </c>
      <c r="D626" s="22" t="str">
        <f t="shared" si="19"/>
        <v>tidak ganda</v>
      </c>
      <c r="E626" s="22" t="s">
        <v>1582</v>
      </c>
      <c r="F626" s="22" t="s">
        <v>10</v>
      </c>
      <c r="G626" s="22" t="s">
        <v>11</v>
      </c>
      <c r="H626" s="22" t="s">
        <v>18</v>
      </c>
      <c r="I626" s="22" t="s">
        <v>19</v>
      </c>
      <c r="J626" s="22" t="s">
        <v>745</v>
      </c>
      <c r="K626" s="23" t="s">
        <v>1406</v>
      </c>
      <c r="L626" t="e">
        <f>VLOOKUP(B626,ubah!$B$2:$L$234,4,FALSE)</f>
        <v>#N/A</v>
      </c>
      <c r="M626" t="e">
        <f>VLOOKUP(B626,ubah!$B$2:$L$234,5,FALSE)</f>
        <v>#N/A</v>
      </c>
      <c r="N626" t="e">
        <f>VLOOKUP(B626,ubah!$B$2:$L$234,6,FALSE)</f>
        <v>#N/A</v>
      </c>
    </row>
    <row r="627" spans="1:14" hidden="1" x14ac:dyDescent="0.35">
      <c r="A627" s="21">
        <v>2260554</v>
      </c>
      <c r="B627" s="22" t="str">
        <f>"3328045506870004"</f>
        <v>3328045506870004</v>
      </c>
      <c r="C627" s="22" t="str">
        <f t="shared" si="18"/>
        <v>'3328045506870004</v>
      </c>
      <c r="D627" s="22" t="str">
        <f t="shared" si="19"/>
        <v>tidak ganda</v>
      </c>
      <c r="E627" s="22" t="s">
        <v>1143</v>
      </c>
      <c r="F627" s="22" t="s">
        <v>10</v>
      </c>
      <c r="G627" s="22" t="s">
        <v>11</v>
      </c>
      <c r="H627" s="22" t="s">
        <v>18</v>
      </c>
      <c r="I627" s="22" t="s">
        <v>19</v>
      </c>
      <c r="J627" s="22" t="s">
        <v>745</v>
      </c>
      <c r="K627" s="23" t="s">
        <v>1298</v>
      </c>
      <c r="L627" t="e">
        <f>VLOOKUP(B627,ubah!$B$2:$L$234,4,FALSE)</f>
        <v>#N/A</v>
      </c>
      <c r="M627" t="e">
        <f>VLOOKUP(B627,ubah!$B$2:$L$234,5,FALSE)</f>
        <v>#N/A</v>
      </c>
      <c r="N627" t="e">
        <f>VLOOKUP(B627,ubah!$B$2:$L$234,6,FALSE)</f>
        <v>#N/A</v>
      </c>
    </row>
    <row r="628" spans="1:14" hidden="1" x14ac:dyDescent="0.35">
      <c r="A628" s="21">
        <v>2344857</v>
      </c>
      <c r="B628" s="22" t="str">
        <f>"3328045607900001"</f>
        <v>3328045607900001</v>
      </c>
      <c r="C628" s="22" t="str">
        <f t="shared" si="18"/>
        <v>'3328045607900001</v>
      </c>
      <c r="D628" s="22" t="str">
        <f t="shared" si="19"/>
        <v>tidak ganda</v>
      </c>
      <c r="E628" s="22" t="s">
        <v>1587</v>
      </c>
      <c r="F628" s="22" t="s">
        <v>10</v>
      </c>
      <c r="G628" s="22" t="s">
        <v>11</v>
      </c>
      <c r="H628" s="22" t="s">
        <v>18</v>
      </c>
      <c r="I628" s="22" t="s">
        <v>19</v>
      </c>
      <c r="J628" s="22" t="s">
        <v>745</v>
      </c>
      <c r="K628" s="23" t="s">
        <v>1262</v>
      </c>
      <c r="L628" t="e">
        <f>VLOOKUP(B628,ubah!$B$2:$L$234,4,FALSE)</f>
        <v>#N/A</v>
      </c>
      <c r="M628" t="e">
        <f>VLOOKUP(B628,ubah!$B$2:$L$234,5,FALSE)</f>
        <v>#N/A</v>
      </c>
      <c r="N628" t="e">
        <f>VLOOKUP(B628,ubah!$B$2:$L$234,6,FALSE)</f>
        <v>#N/A</v>
      </c>
    </row>
    <row r="629" spans="1:14" hidden="1" x14ac:dyDescent="0.35">
      <c r="A629" s="21">
        <v>540260</v>
      </c>
      <c r="B629" s="22" t="str">
        <f>"3328045803030003"</f>
        <v>3328045803030003</v>
      </c>
      <c r="C629" s="22" t="str">
        <f t="shared" si="18"/>
        <v>'3328045803030003</v>
      </c>
      <c r="D629" s="22" t="str">
        <f t="shared" si="19"/>
        <v>tidak ganda</v>
      </c>
      <c r="E629" s="22" t="s">
        <v>1590</v>
      </c>
      <c r="F629" s="22" t="s">
        <v>10</v>
      </c>
      <c r="G629" s="22" t="s">
        <v>11</v>
      </c>
      <c r="H629" s="22" t="s">
        <v>50</v>
      </c>
      <c r="I629" s="22" t="s">
        <v>58</v>
      </c>
      <c r="J629" s="22" t="s">
        <v>316</v>
      </c>
      <c r="K629" s="23" t="s">
        <v>1293</v>
      </c>
    </row>
    <row r="630" spans="1:14" hidden="1" x14ac:dyDescent="0.35">
      <c r="A630" s="21">
        <v>1517753</v>
      </c>
      <c r="B630" s="22" t="str">
        <f>"3328045804910004"</f>
        <v>3328045804910004</v>
      </c>
      <c r="C630" s="22" t="str">
        <f t="shared" si="18"/>
        <v>'3328045804910004</v>
      </c>
      <c r="D630" s="22" t="str">
        <f t="shared" si="19"/>
        <v>tidak ganda</v>
      </c>
      <c r="E630" s="22" t="s">
        <v>1592</v>
      </c>
      <c r="F630" s="22" t="s">
        <v>10</v>
      </c>
      <c r="G630" s="22" t="s">
        <v>11</v>
      </c>
      <c r="H630" s="22" t="s">
        <v>18</v>
      </c>
      <c r="I630" s="22" t="s">
        <v>184</v>
      </c>
      <c r="J630" s="22" t="s">
        <v>1266</v>
      </c>
      <c r="K630" s="23" t="s">
        <v>1359</v>
      </c>
    </row>
    <row r="631" spans="1:14" hidden="1" x14ac:dyDescent="0.35">
      <c r="A631" s="21">
        <v>436834</v>
      </c>
      <c r="B631" s="22" t="str">
        <f>"3328045805900004"</f>
        <v>3328045805900004</v>
      </c>
      <c r="C631" s="22" t="str">
        <f t="shared" si="18"/>
        <v>'3328045805900004</v>
      </c>
      <c r="D631" s="22" t="str">
        <f t="shared" si="19"/>
        <v>tidak ganda</v>
      </c>
      <c r="E631" s="22" t="s">
        <v>1593</v>
      </c>
      <c r="F631" s="22" t="s">
        <v>10</v>
      </c>
      <c r="G631" s="22" t="s">
        <v>11</v>
      </c>
      <c r="H631" s="22" t="s">
        <v>44</v>
      </c>
      <c r="I631" s="22" t="s">
        <v>1594</v>
      </c>
      <c r="J631" s="22" t="s">
        <v>1595</v>
      </c>
      <c r="K631" s="23" t="s">
        <v>1596</v>
      </c>
    </row>
    <row r="632" spans="1:14" hidden="1" x14ac:dyDescent="0.35">
      <c r="A632" s="21">
        <v>2292418</v>
      </c>
      <c r="B632" s="22" t="str">
        <f>"3328045805970006"</f>
        <v>3328045805970006</v>
      </c>
      <c r="C632" s="22" t="str">
        <f t="shared" si="18"/>
        <v>'3328045805970006</v>
      </c>
      <c r="D632" s="22" t="str">
        <f t="shared" si="19"/>
        <v>tidak ganda</v>
      </c>
      <c r="E632" s="22" t="s">
        <v>1597</v>
      </c>
      <c r="F632" s="22" t="s">
        <v>10</v>
      </c>
      <c r="G632" s="22" t="s">
        <v>11</v>
      </c>
      <c r="H632" s="22" t="s">
        <v>18</v>
      </c>
      <c r="I632" s="22" t="s">
        <v>19</v>
      </c>
      <c r="J632" s="22" t="s">
        <v>745</v>
      </c>
      <c r="K632" s="23" t="s">
        <v>1264</v>
      </c>
      <c r="L632" t="e">
        <f>VLOOKUP(B632,ubah!$B$2:$L$234,4,FALSE)</f>
        <v>#N/A</v>
      </c>
      <c r="M632" t="e">
        <f>VLOOKUP(B632,ubah!$B$2:$L$234,5,FALSE)</f>
        <v>#N/A</v>
      </c>
      <c r="N632" t="e">
        <f>VLOOKUP(B632,ubah!$B$2:$L$234,6,FALSE)</f>
        <v>#N/A</v>
      </c>
    </row>
    <row r="633" spans="1:14" hidden="1" x14ac:dyDescent="0.35">
      <c r="A633" s="21">
        <v>2345042</v>
      </c>
      <c r="B633" s="22" t="str">
        <f>"3328046109040002"</f>
        <v>3328046109040002</v>
      </c>
      <c r="C633" s="22" t="str">
        <f t="shared" si="18"/>
        <v>'3328046109040002</v>
      </c>
      <c r="D633" s="22" t="str">
        <f t="shared" si="19"/>
        <v>ganda</v>
      </c>
      <c r="E633" s="22" t="s">
        <v>1599</v>
      </c>
      <c r="F633" s="22" t="s">
        <v>10</v>
      </c>
      <c r="G633" s="22" t="s">
        <v>11</v>
      </c>
      <c r="H633" s="22" t="s">
        <v>18</v>
      </c>
      <c r="I633" s="22" t="s">
        <v>19</v>
      </c>
      <c r="J633" s="22" t="s">
        <v>745</v>
      </c>
      <c r="K633" s="23" t="s">
        <v>1262</v>
      </c>
      <c r="L633" t="e">
        <f>VLOOKUP(B633,ubah!$B$2:$L$234,4,FALSE)</f>
        <v>#N/A</v>
      </c>
      <c r="M633" t="e">
        <f>VLOOKUP(B633,ubah!$B$2:$L$234,5,FALSE)</f>
        <v>#N/A</v>
      </c>
      <c r="N633" t="e">
        <f>VLOOKUP(B633,ubah!$B$2:$L$234,6,FALSE)</f>
        <v>#N/A</v>
      </c>
    </row>
    <row r="634" spans="1:14" hidden="1" x14ac:dyDescent="0.35">
      <c r="A634" s="21">
        <v>1384111</v>
      </c>
      <c r="B634" s="22" t="str">
        <f>"3328046109040002"</f>
        <v>3328046109040002</v>
      </c>
      <c r="C634" s="22" t="str">
        <f t="shared" si="18"/>
        <v>'3328046109040002</v>
      </c>
      <c r="D634" s="22" t="str">
        <f t="shared" si="19"/>
        <v>ganda</v>
      </c>
      <c r="E634" s="22" t="s">
        <v>1600</v>
      </c>
      <c r="F634" s="22" t="s">
        <v>10</v>
      </c>
      <c r="G634" s="22" t="s">
        <v>11</v>
      </c>
      <c r="H634" s="22" t="s">
        <v>303</v>
      </c>
      <c r="I634" s="22" t="s">
        <v>608</v>
      </c>
      <c r="J634" s="22" t="s">
        <v>1601</v>
      </c>
      <c r="K634" s="23" t="s">
        <v>1602</v>
      </c>
    </row>
    <row r="635" spans="1:14" hidden="1" x14ac:dyDescent="0.35">
      <c r="A635" s="21">
        <v>1352875</v>
      </c>
      <c r="B635" s="22" t="str">
        <f>"3328046410030003"</f>
        <v>3328046410030003</v>
      </c>
      <c r="C635" s="22" t="str">
        <f t="shared" si="18"/>
        <v>'3328046410030003</v>
      </c>
      <c r="D635" s="22" t="str">
        <f t="shared" si="19"/>
        <v>tidak ganda</v>
      </c>
      <c r="E635" s="22" t="s">
        <v>1603</v>
      </c>
      <c r="F635" s="22" t="s">
        <v>10</v>
      </c>
      <c r="G635" s="22" t="s">
        <v>57</v>
      </c>
      <c r="H635" s="22" t="s">
        <v>303</v>
      </c>
      <c r="I635" s="22" t="s">
        <v>608</v>
      </c>
      <c r="J635" s="22" t="s">
        <v>609</v>
      </c>
      <c r="K635" s="23" t="s">
        <v>610</v>
      </c>
    </row>
    <row r="636" spans="1:14" hidden="1" x14ac:dyDescent="0.35">
      <c r="A636" s="21">
        <v>2336269</v>
      </c>
      <c r="B636" s="22" t="str">
        <f>"3328046506790002"</f>
        <v>3328046506790002</v>
      </c>
      <c r="C636" s="22" t="str">
        <f t="shared" si="18"/>
        <v>'3328046506790002</v>
      </c>
      <c r="D636" s="22" t="str">
        <f t="shared" si="19"/>
        <v>tidak ganda</v>
      </c>
      <c r="E636" s="22" t="s">
        <v>1605</v>
      </c>
      <c r="F636" s="22" t="s">
        <v>10</v>
      </c>
      <c r="G636" s="22" t="s">
        <v>11</v>
      </c>
      <c r="H636" s="22" t="s">
        <v>18</v>
      </c>
      <c r="I636" s="22" t="s">
        <v>19</v>
      </c>
      <c r="J636" s="22" t="s">
        <v>745</v>
      </c>
      <c r="K636" s="23" t="s">
        <v>1277</v>
      </c>
      <c r="L636" t="e">
        <f>VLOOKUP(B636,ubah!$B$2:$L$234,4,FALSE)</f>
        <v>#N/A</v>
      </c>
      <c r="M636" t="e">
        <f>VLOOKUP(B636,ubah!$B$2:$L$234,5,FALSE)</f>
        <v>#N/A</v>
      </c>
      <c r="N636" t="e">
        <f>VLOOKUP(B636,ubah!$B$2:$L$234,6,FALSE)</f>
        <v>#N/A</v>
      </c>
    </row>
    <row r="637" spans="1:14" hidden="1" x14ac:dyDescent="0.35">
      <c r="A637" s="21">
        <v>48931</v>
      </c>
      <c r="B637" s="22" t="str">
        <f>"3328046512880006"</f>
        <v>3328046512880006</v>
      </c>
      <c r="C637" s="22" t="str">
        <f t="shared" si="18"/>
        <v>'3328046512880006</v>
      </c>
      <c r="D637" s="22" t="str">
        <f t="shared" si="19"/>
        <v>tidak ganda</v>
      </c>
      <c r="E637" s="22" t="s">
        <v>1606</v>
      </c>
      <c r="F637" s="22" t="s">
        <v>10</v>
      </c>
      <c r="G637" s="22" t="s">
        <v>11</v>
      </c>
      <c r="H637" s="22" t="s">
        <v>521</v>
      </c>
      <c r="I637" s="22" t="s">
        <v>657</v>
      </c>
      <c r="J637" s="22" t="s">
        <v>1390</v>
      </c>
      <c r="K637" s="23" t="s">
        <v>1391</v>
      </c>
    </row>
    <row r="638" spans="1:14" hidden="1" x14ac:dyDescent="0.35">
      <c r="A638" s="21">
        <v>2346738</v>
      </c>
      <c r="B638" s="22" t="str">
        <f>"3328046909010004"</f>
        <v>3328046909010004</v>
      </c>
      <c r="C638" s="22" t="str">
        <f t="shared" si="18"/>
        <v>'3328046909010004</v>
      </c>
      <c r="D638" s="22" t="str">
        <f t="shared" si="19"/>
        <v>ganda</v>
      </c>
      <c r="E638" s="22" t="s">
        <v>1609</v>
      </c>
      <c r="F638" s="22" t="s">
        <v>10</v>
      </c>
      <c r="G638" s="22" t="s">
        <v>11</v>
      </c>
      <c r="H638" s="22" t="s">
        <v>18</v>
      </c>
      <c r="I638" s="22" t="s">
        <v>19</v>
      </c>
      <c r="J638" s="22" t="s">
        <v>745</v>
      </c>
      <c r="K638" s="23" t="s">
        <v>1262</v>
      </c>
      <c r="L638" t="e">
        <f>VLOOKUP(B638,ubah!$B$2:$L$234,4,FALSE)</f>
        <v>#N/A</v>
      </c>
      <c r="M638" t="e">
        <f>VLOOKUP(B638,ubah!$B$2:$L$234,5,FALSE)</f>
        <v>#N/A</v>
      </c>
      <c r="N638" t="e">
        <f>VLOOKUP(B638,ubah!$B$2:$L$234,6,FALSE)</f>
        <v>#N/A</v>
      </c>
    </row>
    <row r="639" spans="1:14" hidden="1" x14ac:dyDescent="0.35">
      <c r="A639" s="21">
        <v>1862976</v>
      </c>
      <c r="B639" s="22" t="str">
        <f>"3328046909010004"</f>
        <v>3328046909010004</v>
      </c>
      <c r="C639" s="22" t="str">
        <f t="shared" si="18"/>
        <v>'3328046909010004</v>
      </c>
      <c r="D639" s="22" t="str">
        <f t="shared" si="19"/>
        <v>ganda</v>
      </c>
      <c r="E639" s="22" t="s">
        <v>1610</v>
      </c>
      <c r="F639" s="22" t="s">
        <v>10</v>
      </c>
      <c r="G639" s="22" t="s">
        <v>57</v>
      </c>
      <c r="H639" s="22" t="s">
        <v>18</v>
      </c>
      <c r="I639" s="22" t="s">
        <v>733</v>
      </c>
      <c r="J639" s="22" t="s">
        <v>1127</v>
      </c>
      <c r="K639" s="23" t="s">
        <v>1127</v>
      </c>
    </row>
    <row r="640" spans="1:14" hidden="1" x14ac:dyDescent="0.35">
      <c r="A640" s="21">
        <v>426694</v>
      </c>
      <c r="B640" s="22" t="str">
        <f>"3328047005940006"</f>
        <v>3328047005940006</v>
      </c>
      <c r="C640" s="22" t="str">
        <f t="shared" si="18"/>
        <v>'3328047005940006</v>
      </c>
      <c r="D640" s="22" t="str">
        <f t="shared" si="19"/>
        <v>tidak ganda</v>
      </c>
      <c r="E640" s="22" t="s">
        <v>1611</v>
      </c>
      <c r="F640" s="22" t="s">
        <v>10</v>
      </c>
      <c r="G640" s="22" t="s">
        <v>11</v>
      </c>
      <c r="H640" s="22" t="s">
        <v>50</v>
      </c>
      <c r="I640" s="22" t="s">
        <v>280</v>
      </c>
      <c r="J640" s="22" t="s">
        <v>281</v>
      </c>
      <c r="K640" s="23" t="s">
        <v>1256</v>
      </c>
    </row>
    <row r="641" spans="1:14" hidden="1" x14ac:dyDescent="0.35">
      <c r="A641" s="21">
        <v>1075216</v>
      </c>
      <c r="B641" s="22" t="str">
        <f>"3328047101960001"</f>
        <v>3328047101960001</v>
      </c>
      <c r="C641" s="22" t="str">
        <f t="shared" si="18"/>
        <v>'3328047101960001</v>
      </c>
      <c r="D641" s="22" t="str">
        <f t="shared" si="19"/>
        <v>tidak ganda</v>
      </c>
      <c r="E641" s="22" t="s">
        <v>1612</v>
      </c>
      <c r="F641" s="22" t="s">
        <v>10</v>
      </c>
      <c r="G641" s="22" t="s">
        <v>11</v>
      </c>
      <c r="H641" s="22" t="s">
        <v>50</v>
      </c>
      <c r="I641" s="22" t="s">
        <v>51</v>
      </c>
      <c r="J641" s="22" t="s">
        <v>52</v>
      </c>
      <c r="K641" s="23" t="s">
        <v>52</v>
      </c>
    </row>
    <row r="642" spans="1:14" hidden="1" x14ac:dyDescent="0.35">
      <c r="A642" s="21">
        <v>2350485</v>
      </c>
      <c r="B642" s="22" t="str">
        <f>"3328047112590022"</f>
        <v>3328047112590022</v>
      </c>
      <c r="C642" s="22" t="str">
        <f t="shared" si="18"/>
        <v>'3328047112590022</v>
      </c>
      <c r="D642" s="22" t="str">
        <f t="shared" si="19"/>
        <v>tidak ganda</v>
      </c>
      <c r="E642" s="22" t="s">
        <v>1614</v>
      </c>
      <c r="F642" s="22" t="s">
        <v>10</v>
      </c>
      <c r="G642" s="22" t="s">
        <v>11</v>
      </c>
      <c r="H642" s="22" t="s">
        <v>18</v>
      </c>
      <c r="I642" s="22" t="s">
        <v>19</v>
      </c>
      <c r="J642" s="22" t="s">
        <v>745</v>
      </c>
      <c r="K642" s="23" t="s">
        <v>1406</v>
      </c>
      <c r="L642" t="e">
        <f>VLOOKUP(B642,ubah!$B$2:$L$234,4,FALSE)</f>
        <v>#N/A</v>
      </c>
      <c r="M642" t="e">
        <f>VLOOKUP(B642,ubah!$B$2:$L$234,5,FALSE)</f>
        <v>#N/A</v>
      </c>
      <c r="N642" t="e">
        <f>VLOOKUP(B642,ubah!$B$2:$L$234,6,FALSE)</f>
        <v>#N/A</v>
      </c>
    </row>
    <row r="643" spans="1:14" hidden="1" x14ac:dyDescent="0.35">
      <c r="A643" s="21">
        <v>765434</v>
      </c>
      <c r="B643" s="22" t="str">
        <f>"3328047112830010"</f>
        <v>3328047112830010</v>
      </c>
      <c r="C643" s="22" t="str">
        <f t="shared" ref="C643:C706" si="20">"'"&amp;B643</f>
        <v>'3328047112830010</v>
      </c>
      <c r="D643" s="22" t="str">
        <f t="shared" ref="D643:D706" si="21">IF(COUNTIF($C:$C,C643)&gt;1,"ganda","tidak ganda")</f>
        <v>tidak ganda</v>
      </c>
      <c r="E643" s="22" t="s">
        <v>1616</v>
      </c>
      <c r="F643" s="22" t="s">
        <v>10</v>
      </c>
      <c r="G643" s="22" t="s">
        <v>11</v>
      </c>
      <c r="H643" s="22" t="s">
        <v>18</v>
      </c>
      <c r="I643" s="22" t="s">
        <v>264</v>
      </c>
      <c r="J643" s="22" t="s">
        <v>773</v>
      </c>
      <c r="K643" s="23" t="s">
        <v>1454</v>
      </c>
    </row>
    <row r="644" spans="1:14" hidden="1" x14ac:dyDescent="0.35">
      <c r="A644" s="21">
        <v>126057</v>
      </c>
      <c r="B644" s="22" t="str">
        <f>"3328062003840009"</f>
        <v>3328062003840009</v>
      </c>
      <c r="C644" s="22" t="str">
        <f t="shared" si="20"/>
        <v>'3328062003840009</v>
      </c>
      <c r="D644" s="22" t="str">
        <f t="shared" si="21"/>
        <v>tidak ganda</v>
      </c>
      <c r="E644" s="22" t="s">
        <v>1618</v>
      </c>
      <c r="F644" s="22" t="s">
        <v>10</v>
      </c>
      <c r="G644" s="22" t="s">
        <v>11</v>
      </c>
      <c r="H644" s="22" t="s">
        <v>18</v>
      </c>
      <c r="I644" s="22" t="s">
        <v>1522</v>
      </c>
      <c r="J644" s="22" t="s">
        <v>1619</v>
      </c>
      <c r="K644" s="23" t="s">
        <v>1620</v>
      </c>
    </row>
    <row r="645" spans="1:14" hidden="1" x14ac:dyDescent="0.35">
      <c r="A645" s="21">
        <v>18744</v>
      </c>
      <c r="B645" s="22" t="str">
        <f>"3329041109910002"</f>
        <v>3329041109910002</v>
      </c>
      <c r="C645" s="22" t="str">
        <f t="shared" si="20"/>
        <v>'3329041109910002</v>
      </c>
      <c r="D645" s="22" t="str">
        <f t="shared" si="21"/>
        <v>tidak ganda</v>
      </c>
      <c r="E645" s="22" t="s">
        <v>1622</v>
      </c>
      <c r="F645" s="22" t="s">
        <v>10</v>
      </c>
      <c r="G645" s="22" t="s">
        <v>11</v>
      </c>
      <c r="H645" s="22" t="s">
        <v>303</v>
      </c>
      <c r="I645" s="22" t="s">
        <v>608</v>
      </c>
      <c r="J645" s="22" t="s">
        <v>1623</v>
      </c>
      <c r="K645" s="23" t="s">
        <v>1624</v>
      </c>
    </row>
    <row r="646" spans="1:14" hidden="1" x14ac:dyDescent="0.35">
      <c r="A646" s="21">
        <v>1493960</v>
      </c>
      <c r="B646" s="22" t="str">
        <f>"3329051211010001"</f>
        <v>3329051211010001</v>
      </c>
      <c r="C646" s="22" t="str">
        <f t="shared" si="20"/>
        <v>'3329051211010001</v>
      </c>
      <c r="D646" s="22" t="str">
        <f t="shared" si="21"/>
        <v>tidak ganda</v>
      </c>
      <c r="E646" s="22" t="s">
        <v>1625</v>
      </c>
      <c r="F646" s="22" t="s">
        <v>10</v>
      </c>
      <c r="G646" s="22" t="s">
        <v>11</v>
      </c>
      <c r="H646" s="22" t="s">
        <v>18</v>
      </c>
      <c r="I646" s="22" t="s">
        <v>264</v>
      </c>
      <c r="J646" s="22" t="s">
        <v>289</v>
      </c>
      <c r="K646" s="23" t="s">
        <v>853</v>
      </c>
    </row>
    <row r="647" spans="1:14" hidden="1" x14ac:dyDescent="0.35">
      <c r="A647" s="21">
        <v>1352651</v>
      </c>
      <c r="B647" s="22" t="str">
        <f>"3329060309010003"</f>
        <v>3329060309010003</v>
      </c>
      <c r="C647" s="22" t="str">
        <f t="shared" si="20"/>
        <v>'3329060309010003</v>
      </c>
      <c r="D647" s="22" t="str">
        <f t="shared" si="21"/>
        <v>tidak ganda</v>
      </c>
      <c r="E647" s="22" t="s">
        <v>1626</v>
      </c>
      <c r="F647" s="22" t="s">
        <v>10</v>
      </c>
      <c r="G647" s="22" t="s">
        <v>57</v>
      </c>
      <c r="H647" s="22" t="s">
        <v>303</v>
      </c>
      <c r="I647" s="22" t="s">
        <v>608</v>
      </c>
      <c r="J647" s="22" t="s">
        <v>609</v>
      </c>
      <c r="K647" s="23" t="s">
        <v>610</v>
      </c>
    </row>
    <row r="648" spans="1:14" hidden="1" x14ac:dyDescent="0.35">
      <c r="A648" s="21">
        <v>1381977</v>
      </c>
      <c r="B648" s="22" t="str">
        <f>"3329070403970003"</f>
        <v>3329070403970003</v>
      </c>
      <c r="C648" s="22" t="str">
        <f t="shared" si="20"/>
        <v>'3329070403970003</v>
      </c>
      <c r="D648" s="22" t="str">
        <f t="shared" si="21"/>
        <v>tidak ganda</v>
      </c>
      <c r="E648" s="22" t="s">
        <v>1627</v>
      </c>
      <c r="F648" s="22" t="s">
        <v>10</v>
      </c>
      <c r="G648" s="22" t="s">
        <v>11</v>
      </c>
      <c r="H648" s="22" t="s">
        <v>18</v>
      </c>
      <c r="I648" s="22" t="s">
        <v>264</v>
      </c>
      <c r="J648" s="22" t="s">
        <v>265</v>
      </c>
      <c r="K648" s="23" t="s">
        <v>1628</v>
      </c>
    </row>
    <row r="649" spans="1:14" hidden="1" x14ac:dyDescent="0.35">
      <c r="A649" s="21">
        <v>707172</v>
      </c>
      <c r="B649" s="22" t="str">
        <f>"3329080310850007"</f>
        <v>3329080310850007</v>
      </c>
      <c r="C649" s="22" t="str">
        <f t="shared" si="20"/>
        <v>'3329080310850007</v>
      </c>
      <c r="D649" s="22" t="str">
        <f t="shared" si="21"/>
        <v>tidak ganda</v>
      </c>
      <c r="E649" s="22" t="s">
        <v>1629</v>
      </c>
      <c r="F649" s="22" t="s">
        <v>10</v>
      </c>
      <c r="G649" s="22" t="s">
        <v>11</v>
      </c>
      <c r="H649" s="22" t="s">
        <v>18</v>
      </c>
      <c r="I649" s="22" t="s">
        <v>264</v>
      </c>
      <c r="J649" s="22" t="s">
        <v>248</v>
      </c>
      <c r="K649" s="23" t="s">
        <v>1630</v>
      </c>
    </row>
    <row r="650" spans="1:14" hidden="1" x14ac:dyDescent="0.35">
      <c r="A650" s="21">
        <v>469927</v>
      </c>
      <c r="B650" s="22" t="str">
        <f>"3329080707860016"</f>
        <v>3329080707860016</v>
      </c>
      <c r="C650" s="22" t="str">
        <f t="shared" si="20"/>
        <v>'3329080707860016</v>
      </c>
      <c r="D650" s="22" t="str">
        <f t="shared" si="21"/>
        <v>tidak ganda</v>
      </c>
      <c r="E650" s="22" t="s">
        <v>1631</v>
      </c>
      <c r="F650" s="22" t="s">
        <v>10</v>
      </c>
      <c r="G650" s="22" t="s">
        <v>11</v>
      </c>
      <c r="H650" s="22" t="s">
        <v>91</v>
      </c>
      <c r="I650" s="22" t="s">
        <v>159</v>
      </c>
      <c r="J650" s="22" t="s">
        <v>685</v>
      </c>
      <c r="K650" s="23" t="s">
        <v>1632</v>
      </c>
    </row>
    <row r="651" spans="1:14" hidden="1" x14ac:dyDescent="0.35">
      <c r="A651" s="21">
        <v>707173</v>
      </c>
      <c r="B651" s="22" t="str">
        <f>"3329085208920011"</f>
        <v>3329085208920011</v>
      </c>
      <c r="C651" s="22" t="str">
        <f t="shared" si="20"/>
        <v>'3329085208920011</v>
      </c>
      <c r="D651" s="22" t="str">
        <f t="shared" si="21"/>
        <v>tidak ganda</v>
      </c>
      <c r="E651" s="22" t="s">
        <v>1635</v>
      </c>
      <c r="F651" s="22" t="s">
        <v>10</v>
      </c>
      <c r="G651" s="22" t="s">
        <v>11</v>
      </c>
      <c r="H651" s="22" t="s">
        <v>18</v>
      </c>
      <c r="I651" s="22" t="s">
        <v>264</v>
      </c>
      <c r="J651" s="22" t="s">
        <v>248</v>
      </c>
      <c r="K651" s="23" t="s">
        <v>1630</v>
      </c>
    </row>
    <row r="652" spans="1:14" hidden="1" x14ac:dyDescent="0.35">
      <c r="A652" s="21">
        <v>88144</v>
      </c>
      <c r="B652" s="22" t="str">
        <f>"3329140304880018"</f>
        <v>3329140304880018</v>
      </c>
      <c r="C652" s="22" t="str">
        <f t="shared" si="20"/>
        <v>'3329140304880018</v>
      </c>
      <c r="D652" s="22" t="str">
        <f t="shared" si="21"/>
        <v>tidak ganda</v>
      </c>
      <c r="E652" s="22" t="s">
        <v>1638</v>
      </c>
      <c r="F652" s="22" t="s">
        <v>10</v>
      </c>
      <c r="G652" s="22" t="s">
        <v>11</v>
      </c>
      <c r="H652" s="22" t="s">
        <v>18</v>
      </c>
      <c r="I652" s="22" t="s">
        <v>264</v>
      </c>
      <c r="J652" s="22" t="s">
        <v>477</v>
      </c>
      <c r="K652" s="23" t="s">
        <v>1639</v>
      </c>
    </row>
    <row r="653" spans="1:14" hidden="1" x14ac:dyDescent="0.35">
      <c r="A653" s="21">
        <v>93608</v>
      </c>
      <c r="B653" s="22" t="str">
        <f>"3329140810880007"</f>
        <v>3329140810880007</v>
      </c>
      <c r="C653" s="22" t="str">
        <f t="shared" si="20"/>
        <v>'3329140810880007</v>
      </c>
      <c r="D653" s="22" t="str">
        <f t="shared" si="21"/>
        <v>tidak ganda</v>
      </c>
      <c r="E653" s="22" t="s">
        <v>1641</v>
      </c>
      <c r="F653" s="22" t="s">
        <v>10</v>
      </c>
      <c r="G653" s="22" t="s">
        <v>11</v>
      </c>
      <c r="H653" s="22" t="s">
        <v>18</v>
      </c>
      <c r="I653" s="22" t="s">
        <v>264</v>
      </c>
      <c r="J653" s="22" t="s">
        <v>477</v>
      </c>
      <c r="K653" s="23" t="s">
        <v>480</v>
      </c>
    </row>
    <row r="654" spans="1:14" x14ac:dyDescent="0.35">
      <c r="A654" s="13">
        <v>2398332</v>
      </c>
      <c r="B654" s="14" t="str">
        <f>"3329141902920006"</f>
        <v>3329141902920006</v>
      </c>
      <c r="C654" s="14" t="str">
        <f t="shared" si="20"/>
        <v>'3329141902920006</v>
      </c>
      <c r="D654" s="14" t="str">
        <f t="shared" si="21"/>
        <v>tidak ganda</v>
      </c>
      <c r="E654" s="14" t="s">
        <v>1642</v>
      </c>
      <c r="F654" s="14" t="s">
        <v>10</v>
      </c>
      <c r="G654" s="14" t="s">
        <v>11</v>
      </c>
      <c r="H654" s="14" t="s">
        <v>18</v>
      </c>
      <c r="I654" s="14" t="s">
        <v>19</v>
      </c>
      <c r="J654" s="14" t="s">
        <v>745</v>
      </c>
      <c r="K654" s="15" t="s">
        <v>1266</v>
      </c>
      <c r="L654" s="16" t="str">
        <f>VLOOKUP(B654,ubah!$B$2:$L$234,4,FALSE)</f>
        <v>Reguler</v>
      </c>
      <c r="M654" s="16" t="str">
        <f>VLOOKUP(B654,ubah!$B$2:$L$234,5,FALSE)</f>
        <v>JAWA TENGAH</v>
      </c>
      <c r="N654" s="16" t="str">
        <f>VLOOKUP(B654,ubah!$B$2:$L$234,6,FALSE)</f>
        <v>BREBES</v>
      </c>
    </row>
    <row r="655" spans="1:14" hidden="1" x14ac:dyDescent="0.35">
      <c r="A655" s="21">
        <v>72545</v>
      </c>
      <c r="B655" s="22" t="str">
        <f>"3329142502760004"</f>
        <v>3329142502760004</v>
      </c>
      <c r="C655" s="22" t="str">
        <f t="shared" si="20"/>
        <v>'3329142502760004</v>
      </c>
      <c r="D655" s="22" t="str">
        <f t="shared" si="21"/>
        <v>tidak ganda</v>
      </c>
      <c r="E655" s="22" t="s">
        <v>1645</v>
      </c>
      <c r="F655" s="22" t="s">
        <v>10</v>
      </c>
      <c r="G655" s="22" t="s">
        <v>11</v>
      </c>
      <c r="H655" s="22" t="s">
        <v>18</v>
      </c>
      <c r="I655" s="22" t="s">
        <v>264</v>
      </c>
      <c r="J655" s="22" t="s">
        <v>477</v>
      </c>
      <c r="K655" s="23" t="s">
        <v>1646</v>
      </c>
    </row>
    <row r="656" spans="1:14" hidden="1" x14ac:dyDescent="0.35">
      <c r="A656" s="21">
        <v>88143</v>
      </c>
      <c r="B656" s="22" t="str">
        <f>"3329145109900014"</f>
        <v>3329145109900014</v>
      </c>
      <c r="C656" s="22" t="str">
        <f t="shared" si="20"/>
        <v>'3329145109900014</v>
      </c>
      <c r="D656" s="22" t="str">
        <f t="shared" si="21"/>
        <v>tidak ganda</v>
      </c>
      <c r="E656" s="22" t="s">
        <v>1648</v>
      </c>
      <c r="F656" s="22" t="s">
        <v>10</v>
      </c>
      <c r="G656" s="22" t="s">
        <v>11</v>
      </c>
      <c r="H656" s="22" t="s">
        <v>18</v>
      </c>
      <c r="I656" s="22" t="s">
        <v>264</v>
      </c>
      <c r="J656" s="22" t="s">
        <v>477</v>
      </c>
      <c r="K656" s="23" t="s">
        <v>1639</v>
      </c>
    </row>
    <row r="657" spans="1:14" hidden="1" x14ac:dyDescent="0.35">
      <c r="A657" s="21">
        <v>1545972</v>
      </c>
      <c r="B657" s="22" t="str">
        <f>"3329154105950005"</f>
        <v>3329154105950005</v>
      </c>
      <c r="C657" s="22" t="str">
        <f t="shared" si="20"/>
        <v>'3329154105950005</v>
      </c>
      <c r="D657" s="22" t="str">
        <f t="shared" si="21"/>
        <v>tidak ganda</v>
      </c>
      <c r="E657" s="22" t="s">
        <v>1650</v>
      </c>
      <c r="F657" s="22" t="s">
        <v>10</v>
      </c>
      <c r="G657" s="22" t="s">
        <v>11</v>
      </c>
      <c r="H657" s="22" t="s">
        <v>18</v>
      </c>
      <c r="I657" s="22" t="s">
        <v>264</v>
      </c>
      <c r="J657" s="22" t="s">
        <v>330</v>
      </c>
      <c r="K657" s="23" t="s">
        <v>331</v>
      </c>
    </row>
    <row r="658" spans="1:14" hidden="1" x14ac:dyDescent="0.35">
      <c r="A658" s="21">
        <v>2347222</v>
      </c>
      <c r="B658" s="22" t="str">
        <f>"3329160711860005"</f>
        <v>3329160711860005</v>
      </c>
      <c r="C658" s="22" t="str">
        <f t="shared" si="20"/>
        <v>'3329160711860005</v>
      </c>
      <c r="D658" s="22" t="str">
        <f t="shared" si="21"/>
        <v>tidak ganda</v>
      </c>
      <c r="E658" s="22" t="s">
        <v>1651</v>
      </c>
      <c r="F658" s="22" t="s">
        <v>10</v>
      </c>
      <c r="G658" s="22" t="s">
        <v>11</v>
      </c>
      <c r="H658" s="22" t="s">
        <v>18</v>
      </c>
      <c r="I658" s="22" t="s">
        <v>19</v>
      </c>
      <c r="J658" s="22" t="s">
        <v>745</v>
      </c>
      <c r="K658" s="23" t="s">
        <v>1262</v>
      </c>
      <c r="L658" t="e">
        <f>VLOOKUP(B658,ubah!$B$2:$L$234,4,FALSE)</f>
        <v>#N/A</v>
      </c>
      <c r="M658" t="e">
        <f>VLOOKUP(B658,ubah!$B$2:$L$234,5,FALSE)</f>
        <v>#N/A</v>
      </c>
      <c r="N658" t="e">
        <f>VLOOKUP(B658,ubah!$B$2:$L$234,6,FALSE)</f>
        <v>#N/A</v>
      </c>
    </row>
    <row r="659" spans="1:14" hidden="1" x14ac:dyDescent="0.35">
      <c r="A659" s="21">
        <v>2342778</v>
      </c>
      <c r="B659" s="22" t="str">
        <f>"3329174502910007"</f>
        <v>3329174502910007</v>
      </c>
      <c r="C659" s="22" t="str">
        <f t="shared" si="20"/>
        <v>'3329174502910007</v>
      </c>
      <c r="D659" s="22" t="str">
        <f t="shared" si="21"/>
        <v>tidak ganda</v>
      </c>
      <c r="E659" s="22" t="s">
        <v>1654</v>
      </c>
      <c r="F659" s="22" t="s">
        <v>10</v>
      </c>
      <c r="G659" s="22" t="s">
        <v>11</v>
      </c>
      <c r="H659" s="22" t="s">
        <v>18</v>
      </c>
      <c r="I659" s="22" t="s">
        <v>19</v>
      </c>
      <c r="J659" s="22" t="s">
        <v>745</v>
      </c>
      <c r="K659" s="23" t="s">
        <v>1277</v>
      </c>
      <c r="L659" t="e">
        <f>VLOOKUP(B659,ubah!$B$2:$L$234,4,FALSE)</f>
        <v>#N/A</v>
      </c>
      <c r="M659" t="e">
        <f>VLOOKUP(B659,ubah!$B$2:$L$234,5,FALSE)</f>
        <v>#N/A</v>
      </c>
      <c r="N659" t="e">
        <f>VLOOKUP(B659,ubah!$B$2:$L$234,6,FALSE)</f>
        <v>#N/A</v>
      </c>
    </row>
    <row r="660" spans="1:14" hidden="1" x14ac:dyDescent="0.35">
      <c r="A660" s="21">
        <v>1088617</v>
      </c>
      <c r="B660" s="22" t="str">
        <f>"3329174507810001"</f>
        <v>3329174507810001</v>
      </c>
      <c r="C660" s="22" t="str">
        <f t="shared" si="20"/>
        <v>'3329174507810001</v>
      </c>
      <c r="D660" s="22" t="str">
        <f t="shared" si="21"/>
        <v>tidak ganda</v>
      </c>
      <c r="E660" s="22" t="s">
        <v>1657</v>
      </c>
      <c r="F660" s="22" t="s">
        <v>10</v>
      </c>
      <c r="G660" s="22" t="s">
        <v>11</v>
      </c>
      <c r="H660" s="22" t="s">
        <v>18</v>
      </c>
      <c r="I660" s="22" t="s">
        <v>264</v>
      </c>
      <c r="J660" s="22" t="s">
        <v>881</v>
      </c>
      <c r="K660" s="23" t="s">
        <v>1656</v>
      </c>
    </row>
    <row r="661" spans="1:14" hidden="1" x14ac:dyDescent="0.35">
      <c r="A661" s="21">
        <v>270170</v>
      </c>
      <c r="B661" s="22" t="str">
        <f>"3376010307950001"</f>
        <v>3376010307950001</v>
      </c>
      <c r="C661" s="22" t="str">
        <f t="shared" si="20"/>
        <v>'3376010307950001</v>
      </c>
      <c r="D661" s="22" t="str">
        <f t="shared" si="21"/>
        <v>tidak ganda</v>
      </c>
      <c r="E661" s="22" t="s">
        <v>1658</v>
      </c>
      <c r="F661" s="22" t="s">
        <v>10</v>
      </c>
      <c r="G661" s="22" t="s">
        <v>11</v>
      </c>
      <c r="H661" s="22" t="s">
        <v>18</v>
      </c>
      <c r="I661" s="22" t="s">
        <v>268</v>
      </c>
      <c r="J661" s="22" t="s">
        <v>277</v>
      </c>
      <c r="K661" s="23" t="s">
        <v>1659</v>
      </c>
    </row>
    <row r="662" spans="1:14" hidden="1" x14ac:dyDescent="0.35">
      <c r="A662" s="21">
        <v>314656</v>
      </c>
      <c r="B662" s="22" t="str">
        <f>"3376031202820002"</f>
        <v>3376031202820002</v>
      </c>
      <c r="C662" s="22" t="str">
        <f t="shared" si="20"/>
        <v>'3376031202820002</v>
      </c>
      <c r="D662" s="22" t="str">
        <f t="shared" si="21"/>
        <v>tidak ganda</v>
      </c>
      <c r="E662" s="22" t="s">
        <v>1661</v>
      </c>
      <c r="F662" s="22" t="s">
        <v>10</v>
      </c>
      <c r="G662" s="22" t="s">
        <v>11</v>
      </c>
      <c r="H662" s="22" t="s">
        <v>18</v>
      </c>
      <c r="I662" s="22" t="s">
        <v>268</v>
      </c>
      <c r="J662" s="22" t="s">
        <v>269</v>
      </c>
      <c r="K662" s="23" t="s">
        <v>1662</v>
      </c>
    </row>
    <row r="663" spans="1:14" hidden="1" x14ac:dyDescent="0.35">
      <c r="A663" s="21">
        <v>363877</v>
      </c>
      <c r="B663" s="22" t="str">
        <f>"3376033112910002"</f>
        <v>3376033112910002</v>
      </c>
      <c r="C663" s="22" t="str">
        <f t="shared" si="20"/>
        <v>'3376033112910002</v>
      </c>
      <c r="D663" s="22" t="str">
        <f t="shared" si="21"/>
        <v>tidak ganda</v>
      </c>
      <c r="E663" s="22" t="s">
        <v>1664</v>
      </c>
      <c r="F663" s="22" t="s">
        <v>10</v>
      </c>
      <c r="G663" s="22" t="s">
        <v>11</v>
      </c>
      <c r="H663" s="22" t="s">
        <v>18</v>
      </c>
      <c r="I663" s="22" t="s">
        <v>268</v>
      </c>
      <c r="J663" s="22" t="s">
        <v>269</v>
      </c>
      <c r="K663" s="23" t="s">
        <v>996</v>
      </c>
    </row>
    <row r="664" spans="1:14" hidden="1" x14ac:dyDescent="0.35">
      <c r="A664" s="21">
        <v>1087671</v>
      </c>
      <c r="B664" s="22" t="str">
        <f>"3505012206970001"</f>
        <v>3505012206970001</v>
      </c>
      <c r="C664" s="22" t="str">
        <f t="shared" si="20"/>
        <v>'3505012206970001</v>
      </c>
      <c r="D664" s="22" t="str">
        <f t="shared" si="21"/>
        <v>tidak ganda</v>
      </c>
      <c r="E664" s="22" t="s">
        <v>1668</v>
      </c>
      <c r="F664" s="22" t="s">
        <v>10</v>
      </c>
      <c r="G664" s="22" t="s">
        <v>11</v>
      </c>
      <c r="H664" s="22" t="s">
        <v>303</v>
      </c>
      <c r="I664" s="22" t="s">
        <v>1669</v>
      </c>
      <c r="J664" s="22" t="s">
        <v>1670</v>
      </c>
      <c r="K664" s="23" t="s">
        <v>1671</v>
      </c>
    </row>
    <row r="665" spans="1:14" hidden="1" x14ac:dyDescent="0.35">
      <c r="A665" s="21">
        <v>134606</v>
      </c>
      <c r="B665" s="22" t="str">
        <f>"3506205312040003"</f>
        <v>3506205312040003</v>
      </c>
      <c r="C665" s="22" t="str">
        <f t="shared" si="20"/>
        <v>'3506205312040003</v>
      </c>
      <c r="D665" s="22" t="str">
        <f t="shared" si="21"/>
        <v>tidak ganda</v>
      </c>
      <c r="E665" s="22" t="s">
        <v>1672</v>
      </c>
      <c r="F665" s="22" t="s">
        <v>10</v>
      </c>
      <c r="G665" s="22" t="s">
        <v>11</v>
      </c>
      <c r="H665" s="22" t="s">
        <v>303</v>
      </c>
      <c r="I665" s="22" t="s">
        <v>608</v>
      </c>
      <c r="J665" s="22" t="s">
        <v>1673</v>
      </c>
      <c r="K665" s="23" t="s">
        <v>1639</v>
      </c>
    </row>
    <row r="666" spans="1:14" hidden="1" x14ac:dyDescent="0.35">
      <c r="A666" s="21">
        <v>30020</v>
      </c>
      <c r="B666" s="22" t="str">
        <f>"3526162505730001"</f>
        <v>3526162505730001</v>
      </c>
      <c r="C666" s="22" t="str">
        <f t="shared" si="20"/>
        <v>'3526162505730001</v>
      </c>
      <c r="D666" s="22" t="str">
        <f t="shared" si="21"/>
        <v>tidak ganda</v>
      </c>
      <c r="E666" s="22" t="s">
        <v>1675</v>
      </c>
      <c r="F666" s="22" t="s">
        <v>10</v>
      </c>
      <c r="G666" s="22" t="s">
        <v>11</v>
      </c>
      <c r="H666" s="22" t="s">
        <v>303</v>
      </c>
      <c r="I666" s="22" t="s">
        <v>1676</v>
      </c>
      <c r="J666" s="22" t="s">
        <v>1677</v>
      </c>
      <c r="K666" s="23" t="s">
        <v>1678</v>
      </c>
    </row>
    <row r="667" spans="1:14" hidden="1" x14ac:dyDescent="0.35">
      <c r="A667" s="21">
        <v>30021</v>
      </c>
      <c r="B667" s="22" t="str">
        <f>"3526164505830003"</f>
        <v>3526164505830003</v>
      </c>
      <c r="C667" s="22" t="str">
        <f t="shared" si="20"/>
        <v>'3526164505830003</v>
      </c>
      <c r="D667" s="22" t="str">
        <f t="shared" si="21"/>
        <v>tidak ganda</v>
      </c>
      <c r="E667" s="22" t="s">
        <v>1679</v>
      </c>
      <c r="F667" s="22" t="s">
        <v>10</v>
      </c>
      <c r="G667" s="22" t="s">
        <v>11</v>
      </c>
      <c r="H667" s="22" t="s">
        <v>303</v>
      </c>
      <c r="I667" s="22" t="s">
        <v>1676</v>
      </c>
      <c r="J667" s="22" t="s">
        <v>1677</v>
      </c>
      <c r="K667" s="23" t="s">
        <v>1678</v>
      </c>
    </row>
    <row r="668" spans="1:14" hidden="1" x14ac:dyDescent="0.35">
      <c r="A668" s="21">
        <v>1968481</v>
      </c>
      <c r="B668" s="22" t="str">
        <f>"3601120610900001"</f>
        <v>3601120610900001</v>
      </c>
      <c r="C668" s="22" t="str">
        <f t="shared" si="20"/>
        <v>'3601120610900001</v>
      </c>
      <c r="D668" s="22" t="str">
        <f t="shared" si="21"/>
        <v>tidak ganda</v>
      </c>
      <c r="E668" s="22" t="s">
        <v>1680</v>
      </c>
      <c r="F668" s="22" t="s">
        <v>10</v>
      </c>
      <c r="G668" s="22" t="s">
        <v>11</v>
      </c>
      <c r="H668" s="22" t="s">
        <v>67</v>
      </c>
      <c r="I668" s="22" t="s">
        <v>890</v>
      </c>
      <c r="J668" s="22" t="s">
        <v>1681</v>
      </c>
      <c r="K668" s="23" t="s">
        <v>1682</v>
      </c>
    </row>
    <row r="669" spans="1:14" hidden="1" x14ac:dyDescent="0.35">
      <c r="A669" s="21">
        <v>112387</v>
      </c>
      <c r="B669" s="22" t="str">
        <f>"3603174704000011"</f>
        <v>3603174704000011</v>
      </c>
      <c r="C669" s="22" t="str">
        <f t="shared" si="20"/>
        <v>'3603174704000011</v>
      </c>
      <c r="D669" s="22" t="str">
        <f t="shared" si="21"/>
        <v>tidak ganda</v>
      </c>
      <c r="E669" s="22" t="s">
        <v>1684</v>
      </c>
      <c r="F669" s="22" t="s">
        <v>10</v>
      </c>
      <c r="G669" s="22" t="s">
        <v>11</v>
      </c>
      <c r="H669" s="22" t="s">
        <v>67</v>
      </c>
      <c r="I669" s="22" t="s">
        <v>791</v>
      </c>
      <c r="J669" s="22" t="s">
        <v>1410</v>
      </c>
      <c r="K669" s="23" t="s">
        <v>1685</v>
      </c>
    </row>
    <row r="670" spans="1:14" hidden="1" x14ac:dyDescent="0.35">
      <c r="A670" s="21">
        <v>1597646</v>
      </c>
      <c r="B670" s="22" t="str">
        <f>"3603175212790009"</f>
        <v>3603175212790009</v>
      </c>
      <c r="C670" s="22" t="str">
        <f t="shared" si="20"/>
        <v>'3603175212790009</v>
      </c>
      <c r="D670" s="22" t="str">
        <f t="shared" si="21"/>
        <v>tidak ganda</v>
      </c>
      <c r="E670" s="22" t="s">
        <v>1686</v>
      </c>
      <c r="F670" s="22" t="s">
        <v>10</v>
      </c>
      <c r="G670" s="22" t="s">
        <v>11</v>
      </c>
      <c r="H670" s="22" t="s">
        <v>67</v>
      </c>
      <c r="I670" s="22" t="s">
        <v>791</v>
      </c>
      <c r="J670" s="22" t="s">
        <v>1687</v>
      </c>
      <c r="K670" s="23" t="s">
        <v>1688</v>
      </c>
    </row>
    <row r="671" spans="1:14" hidden="1" x14ac:dyDescent="0.35">
      <c r="A671" s="21">
        <v>1715870</v>
      </c>
      <c r="B671" s="22" t="str">
        <f>"3604272306960002"</f>
        <v>3604272306960002</v>
      </c>
      <c r="C671" s="22" t="str">
        <f t="shared" si="20"/>
        <v>'3604272306960002</v>
      </c>
      <c r="D671" s="22" t="str">
        <f t="shared" si="21"/>
        <v>tidak ganda</v>
      </c>
      <c r="E671" s="22" t="s">
        <v>1689</v>
      </c>
      <c r="F671" s="22" t="s">
        <v>10</v>
      </c>
      <c r="G671" s="22" t="s">
        <v>11</v>
      </c>
      <c r="H671" s="22" t="s">
        <v>67</v>
      </c>
      <c r="I671" s="22" t="s">
        <v>375</v>
      </c>
      <c r="J671" s="22" t="s">
        <v>637</v>
      </c>
      <c r="K671" s="23" t="s">
        <v>1690</v>
      </c>
    </row>
    <row r="672" spans="1:14" hidden="1" x14ac:dyDescent="0.35">
      <c r="A672" s="21">
        <v>2371272</v>
      </c>
      <c r="B672" s="22" t="str">
        <f>"3671061407840003"</f>
        <v>3671061407840003</v>
      </c>
      <c r="C672" s="22" t="str">
        <f t="shared" si="20"/>
        <v>'3671061407840003</v>
      </c>
      <c r="D672" s="22" t="str">
        <f t="shared" si="21"/>
        <v>tidak ganda</v>
      </c>
      <c r="E672" s="22" t="s">
        <v>1691</v>
      </c>
      <c r="F672" s="22" t="s">
        <v>10</v>
      </c>
      <c r="G672" s="22" t="s">
        <v>11</v>
      </c>
      <c r="H672" s="22" t="s">
        <v>18</v>
      </c>
      <c r="I672" s="22" t="s">
        <v>19</v>
      </c>
      <c r="J672" s="22" t="s">
        <v>745</v>
      </c>
      <c r="K672" s="23" t="s">
        <v>746</v>
      </c>
      <c r="L672" t="e">
        <f>VLOOKUP(B672,ubah!$B$2:$L$234,4,FALSE)</f>
        <v>#N/A</v>
      </c>
      <c r="M672" t="e">
        <f>VLOOKUP(B672,ubah!$B$2:$L$234,5,FALSE)</f>
        <v>#N/A</v>
      </c>
      <c r="N672" t="e">
        <f>VLOOKUP(B672,ubah!$B$2:$L$234,6,FALSE)</f>
        <v>#N/A</v>
      </c>
    </row>
    <row r="673" spans="1:14" hidden="1" x14ac:dyDescent="0.35">
      <c r="A673" s="21">
        <v>1387502</v>
      </c>
      <c r="B673" s="22" t="str">
        <f>"3671096406880003"</f>
        <v>3671096406880003</v>
      </c>
      <c r="C673" s="22" t="str">
        <f t="shared" si="20"/>
        <v>'3671096406880003</v>
      </c>
      <c r="D673" s="22" t="str">
        <f t="shared" si="21"/>
        <v>tidak ganda</v>
      </c>
      <c r="E673" s="22" t="s">
        <v>1693</v>
      </c>
      <c r="F673" s="22" t="s">
        <v>10</v>
      </c>
      <c r="G673" s="22" t="s">
        <v>11</v>
      </c>
      <c r="H673" s="22" t="s">
        <v>67</v>
      </c>
      <c r="I673" s="22" t="s">
        <v>512</v>
      </c>
      <c r="J673" s="22" t="s">
        <v>219</v>
      </c>
      <c r="K673" s="23" t="s">
        <v>1520</v>
      </c>
    </row>
    <row r="674" spans="1:14" hidden="1" x14ac:dyDescent="0.35">
      <c r="A674" s="21">
        <v>2418123</v>
      </c>
      <c r="B674" s="22" t="str">
        <f>"3674016711670001"</f>
        <v>3674016711670001</v>
      </c>
      <c r="C674" s="22" t="str">
        <f t="shared" si="20"/>
        <v>'3674016711670001</v>
      </c>
      <c r="D674" s="22" t="str">
        <f t="shared" si="21"/>
        <v>tidak ganda</v>
      </c>
      <c r="E674" s="22" t="s">
        <v>1694</v>
      </c>
      <c r="F674" s="22" t="s">
        <v>10</v>
      </c>
      <c r="G674" s="22" t="s">
        <v>11</v>
      </c>
      <c r="H674" s="22" t="s">
        <v>91</v>
      </c>
      <c r="I674" s="22" t="s">
        <v>650</v>
      </c>
      <c r="J674" s="22" t="s">
        <v>1695</v>
      </c>
      <c r="K674" s="23" t="s">
        <v>1410</v>
      </c>
    </row>
    <row r="675" spans="1:14" hidden="1" x14ac:dyDescent="0.35">
      <c r="A675" s="21">
        <v>205492</v>
      </c>
      <c r="B675" s="22" t="str">
        <f>"6303025008550003"</f>
        <v>6303025008550003</v>
      </c>
      <c r="C675" s="22" t="str">
        <f t="shared" si="20"/>
        <v>'6303025008550003</v>
      </c>
      <c r="D675" s="22" t="str">
        <f t="shared" si="21"/>
        <v>tidak ganda</v>
      </c>
      <c r="E675" s="22" t="s">
        <v>1697</v>
      </c>
      <c r="F675" s="22" t="s">
        <v>10</v>
      </c>
      <c r="G675" s="22" t="s">
        <v>11</v>
      </c>
      <c r="H675" s="22" t="s">
        <v>240</v>
      </c>
      <c r="I675" s="22" t="s">
        <v>241</v>
      </c>
      <c r="J675" s="22" t="s">
        <v>1698</v>
      </c>
      <c r="K675" s="23" t="s">
        <v>1699</v>
      </c>
    </row>
    <row r="676" spans="1:14" hidden="1" x14ac:dyDescent="0.35">
      <c r="A676" s="21">
        <v>141486</v>
      </c>
      <c r="B676" s="22" t="str">
        <f>"6308050407810005"</f>
        <v>6308050407810005</v>
      </c>
      <c r="C676" s="22" t="str">
        <f t="shared" si="20"/>
        <v>'6308050407810005</v>
      </c>
      <c r="D676" s="22" t="str">
        <f t="shared" si="21"/>
        <v>tidak ganda</v>
      </c>
      <c r="E676" s="22" t="s">
        <v>1700</v>
      </c>
      <c r="F676" s="22" t="s">
        <v>10</v>
      </c>
      <c r="G676" s="22" t="s">
        <v>11</v>
      </c>
      <c r="H676" s="22" t="s">
        <v>240</v>
      </c>
      <c r="I676" s="22" t="s">
        <v>1701</v>
      </c>
      <c r="J676" s="22" t="s">
        <v>1702</v>
      </c>
      <c r="K676" s="23" t="s">
        <v>1703</v>
      </c>
    </row>
    <row r="677" spans="1:14" hidden="1" x14ac:dyDescent="0.35">
      <c r="A677" s="21">
        <v>141487</v>
      </c>
      <c r="B677" s="22" t="str">
        <f>"6308051005870006"</f>
        <v>6308051005870006</v>
      </c>
      <c r="C677" s="22" t="str">
        <f t="shared" si="20"/>
        <v>'6308051005870006</v>
      </c>
      <c r="D677" s="22" t="str">
        <f t="shared" si="21"/>
        <v>tidak ganda</v>
      </c>
      <c r="E677" s="22" t="s">
        <v>1705</v>
      </c>
      <c r="F677" s="22" t="s">
        <v>10</v>
      </c>
      <c r="G677" s="22" t="s">
        <v>11</v>
      </c>
      <c r="H677" s="22" t="s">
        <v>240</v>
      </c>
      <c r="I677" s="22" t="s">
        <v>1701</v>
      </c>
      <c r="J677" s="22" t="s">
        <v>1702</v>
      </c>
      <c r="K677" s="23" t="s">
        <v>1703</v>
      </c>
    </row>
    <row r="678" spans="1:14" hidden="1" x14ac:dyDescent="0.35">
      <c r="A678" s="21">
        <v>78773</v>
      </c>
      <c r="B678" s="22" t="str">
        <f>"6371022305870002"</f>
        <v>6371022305870002</v>
      </c>
      <c r="C678" s="22" t="str">
        <f t="shared" si="20"/>
        <v>'6371022305870002</v>
      </c>
      <c r="D678" s="22" t="str">
        <f t="shared" si="21"/>
        <v>tidak ganda</v>
      </c>
      <c r="E678" s="22" t="s">
        <v>1706</v>
      </c>
      <c r="F678" s="22" t="s">
        <v>10</v>
      </c>
      <c r="G678" s="22" t="s">
        <v>11</v>
      </c>
      <c r="H678" s="22" t="s">
        <v>240</v>
      </c>
      <c r="I678" s="22" t="s">
        <v>1707</v>
      </c>
      <c r="J678" s="22" t="s">
        <v>1708</v>
      </c>
      <c r="K678" s="23" t="s">
        <v>1709</v>
      </c>
    </row>
    <row r="679" spans="1:14" hidden="1" x14ac:dyDescent="0.35">
      <c r="A679" s="21">
        <v>2387541</v>
      </c>
      <c r="B679" s="22" t="str">
        <f>"9109011708880016"</f>
        <v>9109011708880016</v>
      </c>
      <c r="C679" s="22" t="str">
        <f t="shared" si="20"/>
        <v>'9109011708880016</v>
      </c>
      <c r="D679" s="22" t="str">
        <f t="shared" si="21"/>
        <v>tidak ganda</v>
      </c>
      <c r="E679" s="22" t="s">
        <v>1711</v>
      </c>
      <c r="F679" s="22" t="s">
        <v>10</v>
      </c>
      <c r="G679" s="22" t="s">
        <v>11</v>
      </c>
      <c r="H679" s="22" t="s">
        <v>18</v>
      </c>
      <c r="I679" s="22" t="s">
        <v>19</v>
      </c>
      <c r="J679" s="22" t="s">
        <v>745</v>
      </c>
      <c r="K679" s="23" t="s">
        <v>1401</v>
      </c>
      <c r="L679" t="e">
        <f>VLOOKUP(B679,ubah!$B$2:$L$234,4,FALSE)</f>
        <v>#N/A</v>
      </c>
      <c r="M679" t="e">
        <f>VLOOKUP(B679,ubah!$B$2:$L$234,5,FALSE)</f>
        <v>#N/A</v>
      </c>
      <c r="N679" t="e">
        <f>VLOOKUP(B679,ubah!$B$2:$L$234,6,FALSE)</f>
        <v>#N/A</v>
      </c>
    </row>
    <row r="680" spans="1:14" hidden="1" x14ac:dyDescent="0.35">
      <c r="A680" s="21">
        <v>480189</v>
      </c>
      <c r="B680" s="22" t="str">
        <f>"9171011008860012"</f>
        <v>9171011008860012</v>
      </c>
      <c r="C680" s="22" t="str">
        <f t="shared" si="20"/>
        <v>'9171011008860012</v>
      </c>
      <c r="D680" s="22" t="str">
        <f t="shared" si="21"/>
        <v>tidak ganda</v>
      </c>
      <c r="E680" s="22" t="s">
        <v>1713</v>
      </c>
      <c r="F680" s="22" t="s">
        <v>10</v>
      </c>
      <c r="G680" s="22" t="s">
        <v>11</v>
      </c>
      <c r="H680" s="22" t="s">
        <v>783</v>
      </c>
      <c r="I680" s="22" t="s">
        <v>1112</v>
      </c>
      <c r="J680" s="22" t="s">
        <v>1113</v>
      </c>
      <c r="K680" s="23" t="s">
        <v>1714</v>
      </c>
    </row>
    <row r="681" spans="1:14" hidden="1" x14ac:dyDescent="0.35">
      <c r="A681" s="21">
        <v>480191</v>
      </c>
      <c r="B681" s="22" t="str">
        <f>"9171011008860013"</f>
        <v>9171011008860013</v>
      </c>
      <c r="C681" s="22" t="str">
        <f t="shared" si="20"/>
        <v>'9171011008860013</v>
      </c>
      <c r="D681" s="22" t="str">
        <f t="shared" si="21"/>
        <v>tidak ganda</v>
      </c>
      <c r="E681" s="22" t="s">
        <v>1716</v>
      </c>
      <c r="F681" s="22" t="s">
        <v>10</v>
      </c>
      <c r="G681" s="22" t="s">
        <v>11</v>
      </c>
      <c r="H681" s="22" t="s">
        <v>783</v>
      </c>
      <c r="I681" s="22" t="s">
        <v>1112</v>
      </c>
      <c r="J681" s="22" t="s">
        <v>1113</v>
      </c>
      <c r="K681" s="23" t="s">
        <v>1714</v>
      </c>
    </row>
    <row r="682" spans="1:14" hidden="1" x14ac:dyDescent="0.35">
      <c r="A682" s="21">
        <v>109926</v>
      </c>
      <c r="B682" s="22" t="str">
        <f>"3172011502800016"</f>
        <v>3172011502800016</v>
      </c>
      <c r="C682" s="22" t="str">
        <f t="shared" si="20"/>
        <v>'3172011502800016</v>
      </c>
      <c r="D682" s="22" t="str">
        <f t="shared" si="21"/>
        <v>ganda</v>
      </c>
      <c r="E682" s="22" t="s">
        <v>1718</v>
      </c>
      <c r="F682" s="22" t="s">
        <v>10</v>
      </c>
      <c r="G682" s="22" t="s">
        <v>11</v>
      </c>
      <c r="H682" s="22" t="s">
        <v>50</v>
      </c>
      <c r="I682" s="22" t="s">
        <v>51</v>
      </c>
      <c r="J682" s="22" t="s">
        <v>52</v>
      </c>
      <c r="K682" s="23" t="s">
        <v>1719</v>
      </c>
    </row>
    <row r="683" spans="1:14" hidden="1" x14ac:dyDescent="0.35">
      <c r="A683" s="21">
        <v>2534943</v>
      </c>
      <c r="B683" s="22" t="str">
        <f>"3172011502800016"</f>
        <v>3172011502800016</v>
      </c>
      <c r="C683" s="22" t="str">
        <f t="shared" si="20"/>
        <v>'3172011502800016</v>
      </c>
      <c r="D683" s="22" t="str">
        <f t="shared" si="21"/>
        <v>ganda</v>
      </c>
      <c r="E683" s="22" t="s">
        <v>1718</v>
      </c>
      <c r="F683" s="22" t="s">
        <v>10</v>
      </c>
      <c r="G683" s="22" t="s">
        <v>11</v>
      </c>
      <c r="H683" s="22" t="s">
        <v>18</v>
      </c>
      <c r="I683" s="22" t="s">
        <v>19</v>
      </c>
      <c r="J683" s="22" t="s">
        <v>1720</v>
      </c>
      <c r="K683" s="23" t="s">
        <v>1721</v>
      </c>
      <c r="L683" t="e">
        <f>VLOOKUP(B683,ubah!$B$2:$L$234,4,FALSE)</f>
        <v>#N/A</v>
      </c>
      <c r="M683" t="e">
        <f>VLOOKUP(B683,ubah!$B$2:$L$234,5,FALSE)</f>
        <v>#N/A</v>
      </c>
      <c r="N683" t="e">
        <f>VLOOKUP(B683,ubah!$B$2:$L$234,6,FALSE)</f>
        <v>#N/A</v>
      </c>
    </row>
    <row r="684" spans="1:14" hidden="1" x14ac:dyDescent="0.35">
      <c r="A684" s="21">
        <v>1089607</v>
      </c>
      <c r="B684" s="22" t="str">
        <f>"3172014510650002"</f>
        <v>3172014510650002</v>
      </c>
      <c r="C684" s="22" t="str">
        <f t="shared" si="20"/>
        <v>'3172014510650002</v>
      </c>
      <c r="D684" s="22" t="str">
        <f t="shared" si="21"/>
        <v>tidak ganda</v>
      </c>
      <c r="E684" s="22" t="s">
        <v>1722</v>
      </c>
      <c r="F684" s="22" t="s">
        <v>10</v>
      </c>
      <c r="G684" s="22" t="s">
        <v>11</v>
      </c>
      <c r="H684" s="22" t="s">
        <v>50</v>
      </c>
      <c r="I684" s="22" t="s">
        <v>51</v>
      </c>
      <c r="J684" s="22" t="s">
        <v>52</v>
      </c>
      <c r="K684" s="23" t="s">
        <v>52</v>
      </c>
    </row>
    <row r="685" spans="1:14" hidden="1" x14ac:dyDescent="0.35">
      <c r="A685" s="21">
        <v>1101018</v>
      </c>
      <c r="B685" s="22" t="str">
        <f>"3172015102900007"</f>
        <v>3172015102900007</v>
      </c>
      <c r="C685" s="22" t="str">
        <f t="shared" si="20"/>
        <v>'3172015102900007</v>
      </c>
      <c r="D685" s="22" t="str">
        <f t="shared" si="21"/>
        <v>tidak ganda</v>
      </c>
      <c r="E685" s="22" t="s">
        <v>1724</v>
      </c>
      <c r="F685" s="22" t="s">
        <v>10</v>
      </c>
      <c r="G685" s="22" t="s">
        <v>11</v>
      </c>
      <c r="H685" s="22" t="s">
        <v>50</v>
      </c>
      <c r="I685" s="22" t="s">
        <v>51</v>
      </c>
      <c r="J685" s="22" t="s">
        <v>52</v>
      </c>
      <c r="K685" s="23" t="s">
        <v>52</v>
      </c>
    </row>
    <row r="686" spans="1:14" hidden="1" x14ac:dyDescent="0.35">
      <c r="A686" s="21">
        <v>1219127</v>
      </c>
      <c r="B686" s="22" t="str">
        <f>"3172046307920009"</f>
        <v>3172046307920009</v>
      </c>
      <c r="C686" s="22" t="str">
        <f t="shared" si="20"/>
        <v>'3172046307920009</v>
      </c>
      <c r="D686" s="22" t="str">
        <f t="shared" si="21"/>
        <v>tidak ganda</v>
      </c>
      <c r="E686" s="22" t="s">
        <v>1725</v>
      </c>
      <c r="F686" s="22" t="s">
        <v>10</v>
      </c>
      <c r="G686" s="22" t="s">
        <v>11</v>
      </c>
      <c r="H686" s="22" t="s">
        <v>50</v>
      </c>
      <c r="I686" s="22" t="s">
        <v>51</v>
      </c>
      <c r="J686" s="22" t="s">
        <v>78</v>
      </c>
      <c r="K686" s="23" t="s">
        <v>84</v>
      </c>
    </row>
    <row r="687" spans="1:14" hidden="1" x14ac:dyDescent="0.35">
      <c r="A687" s="21">
        <v>947635</v>
      </c>
      <c r="B687" s="22" t="str">
        <f>"3172051404871001"</f>
        <v>3172051404871001</v>
      </c>
      <c r="C687" s="22" t="str">
        <f t="shared" si="20"/>
        <v>'3172051404871001</v>
      </c>
      <c r="D687" s="22" t="str">
        <f t="shared" si="21"/>
        <v>tidak ganda</v>
      </c>
      <c r="E687" s="22" t="s">
        <v>1728</v>
      </c>
      <c r="F687" s="22" t="s">
        <v>10</v>
      </c>
      <c r="G687" s="22" t="s">
        <v>11</v>
      </c>
      <c r="H687" s="22" t="s">
        <v>50</v>
      </c>
      <c r="I687" s="22" t="s">
        <v>51</v>
      </c>
      <c r="J687" s="22" t="s">
        <v>922</v>
      </c>
      <c r="K687" s="23" t="s">
        <v>1729</v>
      </c>
    </row>
    <row r="688" spans="1:14" hidden="1" x14ac:dyDescent="0.35">
      <c r="A688" s="21">
        <v>607326</v>
      </c>
      <c r="B688" s="22" t="str">
        <f>"3173036412640001"</f>
        <v>3173036412640001</v>
      </c>
      <c r="C688" s="22" t="str">
        <f t="shared" si="20"/>
        <v>'3173036412640001</v>
      </c>
      <c r="D688" s="22" t="str">
        <f t="shared" si="21"/>
        <v>tidak ganda</v>
      </c>
      <c r="E688" s="22" t="s">
        <v>1732</v>
      </c>
      <c r="F688" s="22" t="s">
        <v>10</v>
      </c>
      <c r="G688" s="22" t="s">
        <v>11</v>
      </c>
      <c r="H688" s="22" t="s">
        <v>50</v>
      </c>
      <c r="I688" s="22" t="s">
        <v>86</v>
      </c>
      <c r="J688" s="22" t="s">
        <v>1463</v>
      </c>
      <c r="K688" s="23" t="s">
        <v>1733</v>
      </c>
    </row>
    <row r="689" spans="1:14" hidden="1" x14ac:dyDescent="0.35">
      <c r="A689" s="21">
        <v>1840622</v>
      </c>
      <c r="B689" s="22" t="str">
        <f>"3173045206981002"</f>
        <v>3173045206981002</v>
      </c>
      <c r="C689" s="22" t="str">
        <f t="shared" si="20"/>
        <v>'3173045206981002</v>
      </c>
      <c r="D689" s="22" t="str">
        <f t="shared" si="21"/>
        <v>tidak ganda</v>
      </c>
      <c r="E689" s="22" t="s">
        <v>1735</v>
      </c>
      <c r="F689" s="22" t="s">
        <v>10</v>
      </c>
      <c r="G689" s="22" t="s">
        <v>11</v>
      </c>
      <c r="H689" s="22" t="s">
        <v>50</v>
      </c>
      <c r="I689" s="22" t="s">
        <v>86</v>
      </c>
      <c r="J689" s="22" t="s">
        <v>445</v>
      </c>
      <c r="K689" s="23" t="s">
        <v>1736</v>
      </c>
    </row>
    <row r="690" spans="1:14" hidden="1" x14ac:dyDescent="0.35">
      <c r="A690" s="21">
        <v>1641640</v>
      </c>
      <c r="B690" s="22" t="str">
        <f>"3173070810970007"</f>
        <v>3173070810970007</v>
      </c>
      <c r="C690" s="22" t="str">
        <f t="shared" si="20"/>
        <v>'3173070810970007</v>
      </c>
      <c r="D690" s="22" t="str">
        <f t="shared" si="21"/>
        <v>tidak ganda</v>
      </c>
      <c r="E690" s="22" t="s">
        <v>1738</v>
      </c>
      <c r="F690" s="22" t="s">
        <v>10</v>
      </c>
      <c r="G690" s="22" t="s">
        <v>11</v>
      </c>
      <c r="H690" s="22" t="s">
        <v>50</v>
      </c>
      <c r="I690" s="22" t="s">
        <v>86</v>
      </c>
      <c r="J690" s="22" t="s">
        <v>445</v>
      </c>
      <c r="K690" s="23" t="s">
        <v>1739</v>
      </c>
    </row>
    <row r="691" spans="1:14" hidden="1" x14ac:dyDescent="0.35">
      <c r="A691" s="21">
        <v>614420</v>
      </c>
      <c r="B691" s="22" t="str">
        <f>"3174070502820003"</f>
        <v>3174070502820003</v>
      </c>
      <c r="C691" s="22" t="str">
        <f t="shared" si="20"/>
        <v>'3174070502820003</v>
      </c>
      <c r="D691" s="22" t="str">
        <f t="shared" si="21"/>
        <v>tidak ganda</v>
      </c>
      <c r="E691" s="22" t="s">
        <v>1499</v>
      </c>
      <c r="F691" s="22" t="s">
        <v>10</v>
      </c>
      <c r="G691" s="22" t="s">
        <v>11</v>
      </c>
      <c r="H691" s="22" t="s">
        <v>50</v>
      </c>
      <c r="I691" s="22" t="s">
        <v>72</v>
      </c>
      <c r="J691" s="22" t="s">
        <v>628</v>
      </c>
      <c r="K691" s="23" t="s">
        <v>1281</v>
      </c>
    </row>
    <row r="692" spans="1:14" hidden="1" x14ac:dyDescent="0.35">
      <c r="A692" s="21">
        <v>678895</v>
      </c>
      <c r="B692" s="22" t="str">
        <f>"3175082312520003"</f>
        <v>3175082312520003</v>
      </c>
      <c r="C692" s="22" t="str">
        <f t="shared" si="20"/>
        <v>'3175082312520003</v>
      </c>
      <c r="D692" s="22" t="str">
        <f t="shared" si="21"/>
        <v>tidak ganda</v>
      </c>
      <c r="E692" s="22" t="s">
        <v>1741</v>
      </c>
      <c r="F692" s="22" t="s">
        <v>10</v>
      </c>
      <c r="G692" s="22" t="s">
        <v>11</v>
      </c>
      <c r="H692" s="22" t="s">
        <v>50</v>
      </c>
      <c r="I692" s="22" t="s">
        <v>58</v>
      </c>
      <c r="J692" s="22" t="s">
        <v>1742</v>
      </c>
      <c r="K692" s="23" t="s">
        <v>1743</v>
      </c>
    </row>
    <row r="693" spans="1:14" hidden="1" x14ac:dyDescent="0.35">
      <c r="A693" s="21">
        <v>1434043</v>
      </c>
      <c r="B693" s="22" t="str">
        <f>"3175090701020005"</f>
        <v>3175090701020005</v>
      </c>
      <c r="C693" s="22" t="str">
        <f t="shared" si="20"/>
        <v>'3175090701020005</v>
      </c>
      <c r="D693" s="22" t="str">
        <f t="shared" si="21"/>
        <v>tidak ganda</v>
      </c>
      <c r="E693" s="22" t="s">
        <v>1746</v>
      </c>
      <c r="F693" s="22" t="s">
        <v>10</v>
      </c>
      <c r="G693" s="22" t="s">
        <v>11</v>
      </c>
      <c r="H693" s="22" t="s">
        <v>50</v>
      </c>
      <c r="I693" s="22" t="s">
        <v>58</v>
      </c>
      <c r="J693" s="22" t="s">
        <v>1747</v>
      </c>
      <c r="K693" s="23" t="s">
        <v>1748</v>
      </c>
    </row>
    <row r="694" spans="1:14" hidden="1" x14ac:dyDescent="0.35">
      <c r="A694" s="21">
        <v>1433937</v>
      </c>
      <c r="B694" s="22" t="str">
        <f>"3175091511620009"</f>
        <v>3175091511620009</v>
      </c>
      <c r="C694" s="22" t="str">
        <f t="shared" si="20"/>
        <v>'3175091511620009</v>
      </c>
      <c r="D694" s="22" t="str">
        <f t="shared" si="21"/>
        <v>tidak ganda</v>
      </c>
      <c r="E694" s="22" t="s">
        <v>1749</v>
      </c>
      <c r="F694" s="22" t="s">
        <v>10</v>
      </c>
      <c r="G694" s="22" t="s">
        <v>11</v>
      </c>
      <c r="H694" s="22" t="s">
        <v>50</v>
      </c>
      <c r="I694" s="22" t="s">
        <v>58</v>
      </c>
      <c r="J694" s="22" t="s">
        <v>1747</v>
      </c>
      <c r="K694" s="23" t="s">
        <v>1748</v>
      </c>
    </row>
    <row r="695" spans="1:14" hidden="1" x14ac:dyDescent="0.35">
      <c r="A695" s="21">
        <v>1434044</v>
      </c>
      <c r="B695" s="22" t="str">
        <f>"3175096507730003"</f>
        <v>3175096507730003</v>
      </c>
      <c r="C695" s="22" t="str">
        <f t="shared" si="20"/>
        <v>'3175096507730003</v>
      </c>
      <c r="D695" s="22" t="str">
        <f t="shared" si="21"/>
        <v>tidak ganda</v>
      </c>
      <c r="E695" s="22" t="s">
        <v>1750</v>
      </c>
      <c r="F695" s="22" t="s">
        <v>10</v>
      </c>
      <c r="G695" s="22" t="s">
        <v>11</v>
      </c>
      <c r="H695" s="22" t="s">
        <v>50</v>
      </c>
      <c r="I695" s="22" t="s">
        <v>58</v>
      </c>
      <c r="J695" s="22" t="s">
        <v>1747</v>
      </c>
      <c r="K695" s="23" t="s">
        <v>1748</v>
      </c>
    </row>
    <row r="696" spans="1:14" hidden="1" x14ac:dyDescent="0.35">
      <c r="A696" s="21">
        <v>3816319</v>
      </c>
      <c r="B696" s="22" t="str">
        <f>"3202022407850001"</f>
        <v>3202022407850001</v>
      </c>
      <c r="C696" s="22" t="str">
        <f t="shared" si="20"/>
        <v>'3202022407850001</v>
      </c>
      <c r="D696" s="22" t="str">
        <f t="shared" si="21"/>
        <v>tidak ganda</v>
      </c>
      <c r="E696" s="22" t="s">
        <v>1751</v>
      </c>
      <c r="F696" s="22" t="s">
        <v>10</v>
      </c>
      <c r="G696" s="22" t="s">
        <v>11</v>
      </c>
      <c r="H696" s="22" t="s">
        <v>91</v>
      </c>
      <c r="I696" s="22" t="s">
        <v>650</v>
      </c>
      <c r="J696" s="22" t="s">
        <v>1752</v>
      </c>
      <c r="K696" s="23" t="s">
        <v>1753</v>
      </c>
    </row>
    <row r="697" spans="1:14" hidden="1" x14ac:dyDescent="0.35">
      <c r="A697" s="21">
        <v>1434045</v>
      </c>
      <c r="B697" s="22" t="str">
        <f>"3208100107700409"</f>
        <v>3208100107700409</v>
      </c>
      <c r="C697" s="22" t="str">
        <f t="shared" si="20"/>
        <v>'3208100107700409</v>
      </c>
      <c r="D697" s="22" t="str">
        <f t="shared" si="21"/>
        <v>tidak ganda</v>
      </c>
      <c r="E697" s="22" t="s">
        <v>1754</v>
      </c>
      <c r="F697" s="22" t="s">
        <v>10</v>
      </c>
      <c r="G697" s="22" t="s">
        <v>11</v>
      </c>
      <c r="H697" s="22" t="s">
        <v>50</v>
      </c>
      <c r="I697" s="22" t="s">
        <v>58</v>
      </c>
      <c r="J697" s="22" t="s">
        <v>1747</v>
      </c>
      <c r="K697" s="23" t="s">
        <v>1748</v>
      </c>
    </row>
    <row r="698" spans="1:14" hidden="1" x14ac:dyDescent="0.35">
      <c r="A698" s="21">
        <v>22748</v>
      </c>
      <c r="B698" s="22" t="str">
        <f>"3208270606920004"</f>
        <v>3208270606920004</v>
      </c>
      <c r="C698" s="22" t="str">
        <f t="shared" si="20"/>
        <v>'3208270606920004</v>
      </c>
      <c r="D698" s="22" t="str">
        <f t="shared" si="21"/>
        <v>tidak ganda</v>
      </c>
      <c r="E698" s="22" t="s">
        <v>1755</v>
      </c>
      <c r="F698" s="22" t="s">
        <v>10</v>
      </c>
      <c r="G698" s="22" t="s">
        <v>11</v>
      </c>
      <c r="H698" s="22" t="s">
        <v>91</v>
      </c>
      <c r="I698" s="22" t="s">
        <v>109</v>
      </c>
      <c r="J698" s="22" t="s">
        <v>1756</v>
      </c>
      <c r="K698" s="23" t="s">
        <v>1757</v>
      </c>
    </row>
    <row r="699" spans="1:14" hidden="1" x14ac:dyDescent="0.35">
      <c r="A699" s="21">
        <v>50870</v>
      </c>
      <c r="B699" s="22" t="str">
        <f>"3208282903950004"</f>
        <v>3208282903950004</v>
      </c>
      <c r="C699" s="22" t="str">
        <f t="shared" si="20"/>
        <v>'3208282903950004</v>
      </c>
      <c r="D699" s="22" t="str">
        <f t="shared" si="21"/>
        <v>tidak ganda</v>
      </c>
      <c r="E699" s="22" t="s">
        <v>1758</v>
      </c>
      <c r="F699" s="22" t="s">
        <v>10</v>
      </c>
      <c r="G699" s="22" t="s">
        <v>11</v>
      </c>
      <c r="H699" s="22" t="s">
        <v>91</v>
      </c>
      <c r="I699" s="22" t="s">
        <v>109</v>
      </c>
      <c r="J699" s="22" t="s">
        <v>1759</v>
      </c>
      <c r="K699" s="23" t="s">
        <v>1760</v>
      </c>
    </row>
    <row r="700" spans="1:14" hidden="1" x14ac:dyDescent="0.35">
      <c r="A700" s="21">
        <v>1615502</v>
      </c>
      <c r="B700" s="22" t="str">
        <f>"3211251511910009"</f>
        <v>3211251511910009</v>
      </c>
      <c r="C700" s="22" t="str">
        <f t="shared" si="20"/>
        <v>'3211251511910009</v>
      </c>
      <c r="D700" s="22" t="str">
        <f t="shared" si="21"/>
        <v>tidak ganda</v>
      </c>
      <c r="E700" s="22" t="s">
        <v>1762</v>
      </c>
      <c r="F700" s="22" t="s">
        <v>10</v>
      </c>
      <c r="G700" s="22" t="s">
        <v>11</v>
      </c>
      <c r="H700" s="22" t="s">
        <v>18</v>
      </c>
      <c r="I700" s="22" t="s">
        <v>19</v>
      </c>
      <c r="J700" s="22" t="s">
        <v>1720</v>
      </c>
      <c r="K700" s="23" t="s">
        <v>1721</v>
      </c>
      <c r="L700" t="e">
        <f>VLOOKUP(B700,ubah!$B$2:$L$234,4,FALSE)</f>
        <v>#N/A</v>
      </c>
      <c r="M700" t="e">
        <f>VLOOKUP(B700,ubah!$B$2:$L$234,5,FALSE)</f>
        <v>#N/A</v>
      </c>
      <c r="N700" t="e">
        <f>VLOOKUP(B700,ubah!$B$2:$L$234,6,FALSE)</f>
        <v>#N/A</v>
      </c>
    </row>
    <row r="701" spans="1:14" hidden="1" x14ac:dyDescent="0.35">
      <c r="A701" s="21">
        <v>1409580</v>
      </c>
      <c r="B701" s="22" t="str">
        <f>"3215257006890002"</f>
        <v>3215257006890002</v>
      </c>
      <c r="C701" s="22" t="str">
        <f t="shared" si="20"/>
        <v>'3215257006890002</v>
      </c>
      <c r="D701" s="22" t="str">
        <f t="shared" si="21"/>
        <v>tidak ganda</v>
      </c>
      <c r="E701" s="22" t="s">
        <v>1765</v>
      </c>
      <c r="F701" s="22" t="s">
        <v>10</v>
      </c>
      <c r="G701" s="22" t="s">
        <v>11</v>
      </c>
      <c r="H701" s="22" t="s">
        <v>91</v>
      </c>
      <c r="I701" s="22" t="s">
        <v>320</v>
      </c>
      <c r="J701" s="22" t="s">
        <v>1289</v>
      </c>
      <c r="K701" s="23" t="s">
        <v>1766</v>
      </c>
    </row>
    <row r="702" spans="1:14" hidden="1" x14ac:dyDescent="0.35">
      <c r="A702" s="21">
        <v>657084</v>
      </c>
      <c r="B702" s="22" t="str">
        <f>"3216100308820010"</f>
        <v>3216100308820010</v>
      </c>
      <c r="C702" s="22" t="str">
        <f t="shared" si="20"/>
        <v>'3216100308820010</v>
      </c>
      <c r="D702" s="22" t="str">
        <f t="shared" si="21"/>
        <v>tidak ganda</v>
      </c>
      <c r="E702" s="22" t="s">
        <v>1768</v>
      </c>
      <c r="F702" s="22" t="s">
        <v>10</v>
      </c>
      <c r="G702" s="22" t="s">
        <v>11</v>
      </c>
      <c r="H702" s="22" t="s">
        <v>91</v>
      </c>
      <c r="I702" s="22" t="s">
        <v>92</v>
      </c>
      <c r="J702" s="22" t="s">
        <v>1769</v>
      </c>
      <c r="K702" s="23" t="s">
        <v>1770</v>
      </c>
    </row>
    <row r="703" spans="1:14" hidden="1" x14ac:dyDescent="0.35">
      <c r="A703" s="21">
        <v>1538091</v>
      </c>
      <c r="B703" s="22" t="str">
        <f>"3275010910760012"</f>
        <v>3275010910760012</v>
      </c>
      <c r="C703" s="22" t="str">
        <f t="shared" si="20"/>
        <v>'3275010910760012</v>
      </c>
      <c r="D703" s="22" t="str">
        <f t="shared" si="21"/>
        <v>tidak ganda</v>
      </c>
      <c r="E703" s="22" t="s">
        <v>1772</v>
      </c>
      <c r="F703" s="22" t="s">
        <v>10</v>
      </c>
      <c r="G703" s="22" t="s">
        <v>11</v>
      </c>
      <c r="H703" s="22" t="s">
        <v>91</v>
      </c>
      <c r="I703" s="22" t="s">
        <v>159</v>
      </c>
      <c r="J703" s="22" t="s">
        <v>685</v>
      </c>
      <c r="K703" s="23" t="s">
        <v>1773</v>
      </c>
    </row>
    <row r="704" spans="1:14" hidden="1" x14ac:dyDescent="0.35">
      <c r="A704" s="21">
        <v>1538094</v>
      </c>
      <c r="B704" s="22" t="str">
        <f>"3275016703790023"</f>
        <v>3275016703790023</v>
      </c>
      <c r="C704" s="22" t="str">
        <f t="shared" si="20"/>
        <v>'3275016703790023</v>
      </c>
      <c r="D704" s="22" t="str">
        <f t="shared" si="21"/>
        <v>tidak ganda</v>
      </c>
      <c r="E704" s="22" t="s">
        <v>1775</v>
      </c>
      <c r="F704" s="22" t="s">
        <v>10</v>
      </c>
      <c r="G704" s="22" t="s">
        <v>11</v>
      </c>
      <c r="H704" s="22" t="s">
        <v>91</v>
      </c>
      <c r="I704" s="22" t="s">
        <v>159</v>
      </c>
      <c r="J704" s="22" t="s">
        <v>685</v>
      </c>
      <c r="K704" s="23" t="s">
        <v>1773</v>
      </c>
    </row>
    <row r="705" spans="1:14" hidden="1" x14ac:dyDescent="0.35">
      <c r="A705" s="21">
        <v>1486611</v>
      </c>
      <c r="B705" s="22" t="str">
        <f>"3275050108780018"</f>
        <v>3275050108780018</v>
      </c>
      <c r="C705" s="22" t="str">
        <f t="shared" si="20"/>
        <v>'3275050108780018</v>
      </c>
      <c r="D705" s="22" t="str">
        <f t="shared" si="21"/>
        <v>tidak ganda</v>
      </c>
      <c r="E705" s="22" t="s">
        <v>1776</v>
      </c>
      <c r="F705" s="22" t="s">
        <v>10</v>
      </c>
      <c r="G705" s="22" t="s">
        <v>11</v>
      </c>
      <c r="H705" s="22" t="s">
        <v>91</v>
      </c>
      <c r="I705" s="22" t="s">
        <v>159</v>
      </c>
      <c r="J705" s="22" t="s">
        <v>160</v>
      </c>
      <c r="K705" s="23" t="s">
        <v>980</v>
      </c>
    </row>
    <row r="706" spans="1:14" hidden="1" x14ac:dyDescent="0.35">
      <c r="A706" s="21">
        <v>1486612</v>
      </c>
      <c r="B706" s="22" t="str">
        <f>"3275054403780039"</f>
        <v>3275054403780039</v>
      </c>
      <c r="C706" s="22" t="str">
        <f t="shared" si="20"/>
        <v>'3275054403780039</v>
      </c>
      <c r="D706" s="22" t="str">
        <f t="shared" si="21"/>
        <v>tidak ganda</v>
      </c>
      <c r="E706" s="22" t="s">
        <v>1778</v>
      </c>
      <c r="F706" s="22" t="s">
        <v>10</v>
      </c>
      <c r="G706" s="22" t="s">
        <v>11</v>
      </c>
      <c r="H706" s="22" t="s">
        <v>91</v>
      </c>
      <c r="I706" s="22" t="s">
        <v>159</v>
      </c>
      <c r="J706" s="22" t="s">
        <v>160</v>
      </c>
      <c r="K706" s="23" t="s">
        <v>980</v>
      </c>
    </row>
    <row r="707" spans="1:14" hidden="1" x14ac:dyDescent="0.35">
      <c r="A707" s="21">
        <v>1486613</v>
      </c>
      <c r="B707" s="22" t="str">
        <f>"3275055708060009"</f>
        <v>3275055708060009</v>
      </c>
      <c r="C707" s="22" t="str">
        <f t="shared" ref="C707:C770" si="22">"'"&amp;B707</f>
        <v>'3275055708060009</v>
      </c>
      <c r="D707" s="22" t="str">
        <f t="shared" ref="D707:D770" si="23">IF(COUNTIF($C:$C,C707)&gt;1,"ganda","tidak ganda")</f>
        <v>tidak ganda</v>
      </c>
      <c r="E707" s="22" t="s">
        <v>1779</v>
      </c>
      <c r="F707" s="22" t="s">
        <v>10</v>
      </c>
      <c r="G707" s="22" t="s">
        <v>11</v>
      </c>
      <c r="H707" s="22" t="s">
        <v>91</v>
      </c>
      <c r="I707" s="22" t="s">
        <v>159</v>
      </c>
      <c r="J707" s="22" t="s">
        <v>160</v>
      </c>
      <c r="K707" s="23" t="s">
        <v>980</v>
      </c>
    </row>
    <row r="708" spans="1:14" hidden="1" x14ac:dyDescent="0.35">
      <c r="A708" s="21">
        <v>1591410</v>
      </c>
      <c r="B708" s="22" t="str">
        <f>"3276076809790001"</f>
        <v>3276076809790001</v>
      </c>
      <c r="C708" s="22" t="str">
        <f t="shared" si="22"/>
        <v>'3276076809790001</v>
      </c>
      <c r="D708" s="22" t="str">
        <f t="shared" si="23"/>
        <v>tidak ganda</v>
      </c>
      <c r="E708" s="22" t="s">
        <v>1781</v>
      </c>
      <c r="F708" s="22" t="s">
        <v>10</v>
      </c>
      <c r="G708" s="22" t="s">
        <v>11</v>
      </c>
      <c r="H708" s="22" t="s">
        <v>91</v>
      </c>
      <c r="I708" s="22" t="s">
        <v>159</v>
      </c>
      <c r="J708" s="22" t="s">
        <v>685</v>
      </c>
      <c r="K708" s="23" t="s">
        <v>1773</v>
      </c>
    </row>
    <row r="709" spans="1:14" hidden="1" x14ac:dyDescent="0.35">
      <c r="A709" s="21">
        <v>1623033</v>
      </c>
      <c r="B709" s="22" t="str">
        <f>"3302086110900002"</f>
        <v>3302086110900002</v>
      </c>
      <c r="C709" s="22" t="str">
        <f t="shared" si="22"/>
        <v>'3302086110900002</v>
      </c>
      <c r="D709" s="22" t="str">
        <f t="shared" si="23"/>
        <v>tidak ganda</v>
      </c>
      <c r="E709" s="22" t="s">
        <v>1782</v>
      </c>
      <c r="F709" s="22" t="s">
        <v>10</v>
      </c>
      <c r="G709" s="22" t="s">
        <v>11</v>
      </c>
      <c r="H709" s="22" t="s">
        <v>18</v>
      </c>
      <c r="I709" s="22" t="s">
        <v>19</v>
      </c>
      <c r="J709" s="22" t="s">
        <v>1720</v>
      </c>
      <c r="K709" s="23" t="s">
        <v>1777</v>
      </c>
      <c r="L709" t="e">
        <f>VLOOKUP(B709,ubah!$B$2:$L$234,4,FALSE)</f>
        <v>#N/A</v>
      </c>
      <c r="M709" t="e">
        <f>VLOOKUP(B709,ubah!$B$2:$L$234,5,FALSE)</f>
        <v>#N/A</v>
      </c>
      <c r="N709" t="e">
        <f>VLOOKUP(B709,ubah!$B$2:$L$234,6,FALSE)</f>
        <v>#N/A</v>
      </c>
    </row>
    <row r="710" spans="1:14" hidden="1" x14ac:dyDescent="0.35">
      <c r="A710" s="21">
        <v>798356</v>
      </c>
      <c r="B710" s="22" t="str">
        <f>"3315082309850004"</f>
        <v>3315082309850004</v>
      </c>
      <c r="C710" s="22" t="str">
        <f t="shared" si="22"/>
        <v>'3315082309850004</v>
      </c>
      <c r="D710" s="22" t="str">
        <f t="shared" si="23"/>
        <v>tidak ganda</v>
      </c>
      <c r="E710" s="22" t="s">
        <v>1784</v>
      </c>
      <c r="F710" s="22" t="s">
        <v>10</v>
      </c>
      <c r="G710" s="22" t="s">
        <v>11</v>
      </c>
      <c r="H710" s="22" t="s">
        <v>18</v>
      </c>
      <c r="I710" s="22" t="s">
        <v>180</v>
      </c>
      <c r="J710" s="22" t="s">
        <v>1785</v>
      </c>
      <c r="K710" s="23" t="s">
        <v>1785</v>
      </c>
    </row>
    <row r="711" spans="1:14" hidden="1" x14ac:dyDescent="0.35">
      <c r="A711" s="21">
        <v>964556</v>
      </c>
      <c r="B711" s="22" t="str">
        <f>"3318020804740005"</f>
        <v>3318020804740005</v>
      </c>
      <c r="C711" s="22" t="str">
        <f t="shared" si="22"/>
        <v>'3318020804740005</v>
      </c>
      <c r="D711" s="22" t="str">
        <f t="shared" si="23"/>
        <v>tidak ganda</v>
      </c>
      <c r="E711" s="22" t="s">
        <v>1786</v>
      </c>
      <c r="F711" s="22" t="s">
        <v>10</v>
      </c>
      <c r="G711" s="22" t="s">
        <v>11</v>
      </c>
      <c r="H711" s="22" t="s">
        <v>18</v>
      </c>
      <c r="I711" s="22" t="s">
        <v>1787</v>
      </c>
      <c r="J711" s="22" t="s">
        <v>1788</v>
      </c>
      <c r="K711" s="23" t="s">
        <v>1789</v>
      </c>
    </row>
    <row r="712" spans="1:14" hidden="1" x14ac:dyDescent="0.35">
      <c r="A712" s="21">
        <v>1546673</v>
      </c>
      <c r="B712" s="22" t="str">
        <f>"3325112007670001"</f>
        <v>3325112007670001</v>
      </c>
      <c r="C712" s="22" t="str">
        <f t="shared" si="22"/>
        <v>'3325112007670001</v>
      </c>
      <c r="D712" s="22" t="str">
        <f t="shared" si="23"/>
        <v>ganda</v>
      </c>
      <c r="E712" s="22" t="s">
        <v>1790</v>
      </c>
      <c r="F712" s="22" t="s">
        <v>10</v>
      </c>
      <c r="G712" s="22" t="s">
        <v>11</v>
      </c>
      <c r="H712" s="22" t="s">
        <v>18</v>
      </c>
      <c r="I712" s="22" t="s">
        <v>19</v>
      </c>
      <c r="J712" s="22" t="s">
        <v>1720</v>
      </c>
      <c r="K712" s="23" t="s">
        <v>1771</v>
      </c>
      <c r="L712" t="e">
        <f>VLOOKUP(B712,ubah!$B$2:$L$234,4,FALSE)</f>
        <v>#N/A</v>
      </c>
      <c r="M712" t="e">
        <f>VLOOKUP(B712,ubah!$B$2:$L$234,5,FALSE)</f>
        <v>#N/A</v>
      </c>
      <c r="N712" t="e">
        <f>VLOOKUP(B712,ubah!$B$2:$L$234,6,FALSE)</f>
        <v>#N/A</v>
      </c>
    </row>
    <row r="713" spans="1:14" hidden="1" x14ac:dyDescent="0.35">
      <c r="A713" s="21">
        <v>2662325</v>
      </c>
      <c r="B713" s="22" t="str">
        <f>"3325112007670001"</f>
        <v>3325112007670001</v>
      </c>
      <c r="C713" s="22" t="str">
        <f t="shared" si="22"/>
        <v>'3325112007670001</v>
      </c>
      <c r="D713" s="22" t="str">
        <f t="shared" si="23"/>
        <v>ganda</v>
      </c>
      <c r="E713" s="22" t="s">
        <v>1791</v>
      </c>
      <c r="F713" s="22" t="s">
        <v>10</v>
      </c>
      <c r="G713" s="22" t="s">
        <v>57</v>
      </c>
      <c r="H713" s="22" t="s">
        <v>18</v>
      </c>
      <c r="I713" s="22" t="s">
        <v>199</v>
      </c>
      <c r="J713" s="22" t="s">
        <v>199</v>
      </c>
      <c r="K713" s="23" t="s">
        <v>839</v>
      </c>
    </row>
    <row r="714" spans="1:14" hidden="1" x14ac:dyDescent="0.35">
      <c r="A714" s="21">
        <v>556804</v>
      </c>
      <c r="B714" s="22" t="str">
        <f>"3328011112820005"</f>
        <v>3328011112820005</v>
      </c>
      <c r="C714" s="22" t="str">
        <f t="shared" si="22"/>
        <v>'3328011112820005</v>
      </c>
      <c r="D714" s="22" t="str">
        <f t="shared" si="23"/>
        <v>tidak ganda</v>
      </c>
      <c r="E714" s="22" t="s">
        <v>1795</v>
      </c>
      <c r="F714" s="22" t="s">
        <v>10</v>
      </c>
      <c r="G714" s="22" t="s">
        <v>11</v>
      </c>
      <c r="H714" s="22" t="s">
        <v>67</v>
      </c>
      <c r="I714" s="22" t="s">
        <v>791</v>
      </c>
      <c r="J714" s="22" t="s">
        <v>1796</v>
      </c>
      <c r="K714" s="23" t="s">
        <v>1797</v>
      </c>
    </row>
    <row r="715" spans="1:14" hidden="1" x14ac:dyDescent="0.35">
      <c r="A715" s="21">
        <v>1623059</v>
      </c>
      <c r="B715" s="22" t="str">
        <f>"3328050107920008"</f>
        <v>3328050107920008</v>
      </c>
      <c r="C715" s="22" t="str">
        <f t="shared" si="22"/>
        <v>'3328050107920008</v>
      </c>
      <c r="D715" s="22" t="str">
        <f t="shared" si="23"/>
        <v>tidak ganda</v>
      </c>
      <c r="E715" s="22" t="s">
        <v>1798</v>
      </c>
      <c r="F715" s="22" t="s">
        <v>10</v>
      </c>
      <c r="G715" s="22" t="s">
        <v>11</v>
      </c>
      <c r="H715" s="22" t="s">
        <v>18</v>
      </c>
      <c r="I715" s="22" t="s">
        <v>19</v>
      </c>
      <c r="J715" s="22" t="s">
        <v>1720</v>
      </c>
      <c r="K715" s="23" t="s">
        <v>1777</v>
      </c>
      <c r="L715" t="e">
        <f>VLOOKUP(B715,ubah!$B$2:$L$234,4,FALSE)</f>
        <v>#N/A</v>
      </c>
      <c r="M715" t="e">
        <f>VLOOKUP(B715,ubah!$B$2:$L$234,5,FALSE)</f>
        <v>#N/A</v>
      </c>
      <c r="N715" t="e">
        <f>VLOOKUP(B715,ubah!$B$2:$L$234,6,FALSE)</f>
        <v>#N/A</v>
      </c>
    </row>
    <row r="716" spans="1:14" hidden="1" x14ac:dyDescent="0.35">
      <c r="A716" s="21">
        <v>1548470</v>
      </c>
      <c r="B716" s="22" t="str">
        <f>"3328050107950006"</f>
        <v>3328050107950006</v>
      </c>
      <c r="C716" s="22" t="str">
        <f t="shared" si="22"/>
        <v>'3328050107950006</v>
      </c>
      <c r="D716" s="22" t="str">
        <f t="shared" si="23"/>
        <v>tidak ganda</v>
      </c>
      <c r="E716" s="22" t="s">
        <v>1799</v>
      </c>
      <c r="F716" s="22" t="s">
        <v>10</v>
      </c>
      <c r="G716" s="22" t="s">
        <v>11</v>
      </c>
      <c r="H716" s="22" t="s">
        <v>18</v>
      </c>
      <c r="I716" s="22" t="s">
        <v>19</v>
      </c>
      <c r="J716" s="22" t="s">
        <v>1720</v>
      </c>
      <c r="K716" s="23" t="s">
        <v>1771</v>
      </c>
      <c r="L716" t="e">
        <f>VLOOKUP(B716,ubah!$B$2:$L$234,4,FALSE)</f>
        <v>#N/A</v>
      </c>
      <c r="M716" t="e">
        <f>VLOOKUP(B716,ubah!$B$2:$L$234,5,FALSE)</f>
        <v>#N/A</v>
      </c>
      <c r="N716" t="e">
        <f>VLOOKUP(B716,ubah!$B$2:$L$234,6,FALSE)</f>
        <v>#N/A</v>
      </c>
    </row>
    <row r="717" spans="1:14" hidden="1" x14ac:dyDescent="0.35">
      <c r="A717" s="21">
        <v>1803237</v>
      </c>
      <c r="B717" s="22" t="str">
        <f>"3328050204740002"</f>
        <v>3328050204740002</v>
      </c>
      <c r="C717" s="22" t="str">
        <f t="shared" si="22"/>
        <v>'3328050204740002</v>
      </c>
      <c r="D717" s="22" t="str">
        <f t="shared" si="23"/>
        <v>tidak ganda</v>
      </c>
      <c r="E717" s="22" t="s">
        <v>1805</v>
      </c>
      <c r="F717" s="22" t="s">
        <v>10</v>
      </c>
      <c r="G717" s="22" t="s">
        <v>11</v>
      </c>
      <c r="H717" s="22" t="s">
        <v>50</v>
      </c>
      <c r="I717" s="22" t="s">
        <v>58</v>
      </c>
      <c r="J717" s="22" t="s">
        <v>97</v>
      </c>
      <c r="K717" s="23" t="s">
        <v>97</v>
      </c>
    </row>
    <row r="718" spans="1:14" hidden="1" x14ac:dyDescent="0.35">
      <c r="A718" s="21">
        <v>1614065</v>
      </c>
      <c r="B718" s="22" t="str">
        <f>"3328050205030002"</f>
        <v>3328050205030002</v>
      </c>
      <c r="C718" s="22" t="str">
        <f t="shared" si="22"/>
        <v>'3328050205030002</v>
      </c>
      <c r="D718" s="22" t="str">
        <f t="shared" si="23"/>
        <v>tidak ganda</v>
      </c>
      <c r="E718" s="22" t="s">
        <v>1806</v>
      </c>
      <c r="F718" s="22" t="s">
        <v>10</v>
      </c>
      <c r="G718" s="22" t="s">
        <v>11</v>
      </c>
      <c r="H718" s="22" t="s">
        <v>18</v>
      </c>
      <c r="I718" s="22" t="s">
        <v>19</v>
      </c>
      <c r="J718" s="22" t="s">
        <v>1720</v>
      </c>
      <c r="K718" s="23" t="s">
        <v>1721</v>
      </c>
      <c r="L718" t="e">
        <f>VLOOKUP(B718,ubah!$B$2:$L$234,4,FALSE)</f>
        <v>#N/A</v>
      </c>
      <c r="M718" t="e">
        <f>VLOOKUP(B718,ubah!$B$2:$L$234,5,FALSE)</f>
        <v>#N/A</v>
      </c>
      <c r="N718" t="e">
        <f>VLOOKUP(B718,ubah!$B$2:$L$234,6,FALSE)</f>
        <v>#N/A</v>
      </c>
    </row>
    <row r="719" spans="1:14" hidden="1" x14ac:dyDescent="0.35">
      <c r="A719" s="21">
        <v>1922655</v>
      </c>
      <c r="B719" s="22" t="str">
        <f>"3328050210040004"</f>
        <v>3328050210040004</v>
      </c>
      <c r="C719" s="22" t="str">
        <f t="shared" si="22"/>
        <v>'3328050210040004</v>
      </c>
      <c r="D719" s="22" t="str">
        <f t="shared" si="23"/>
        <v>tidak ganda</v>
      </c>
      <c r="E719" s="22" t="s">
        <v>1811</v>
      </c>
      <c r="F719" s="22" t="s">
        <v>10</v>
      </c>
      <c r="G719" s="22" t="s">
        <v>11</v>
      </c>
      <c r="H719" s="22" t="s">
        <v>50</v>
      </c>
      <c r="I719" s="22" t="s">
        <v>86</v>
      </c>
      <c r="J719" s="22" t="s">
        <v>1268</v>
      </c>
      <c r="K719" s="23" t="s">
        <v>1269</v>
      </c>
    </row>
    <row r="720" spans="1:14" hidden="1" x14ac:dyDescent="0.35">
      <c r="A720" s="21">
        <v>1364443</v>
      </c>
      <c r="B720" s="22" t="str">
        <f>"3328050304920002"</f>
        <v>3328050304920002</v>
      </c>
      <c r="C720" s="22" t="str">
        <f t="shared" si="22"/>
        <v>'3328050304920002</v>
      </c>
      <c r="D720" s="22" t="str">
        <f t="shared" si="23"/>
        <v>tidak ganda</v>
      </c>
      <c r="E720" s="22" t="s">
        <v>1813</v>
      </c>
      <c r="F720" s="22" t="s">
        <v>10</v>
      </c>
      <c r="G720" s="22" t="s">
        <v>11</v>
      </c>
      <c r="H720" s="22" t="s">
        <v>18</v>
      </c>
      <c r="I720" s="22" t="s">
        <v>19</v>
      </c>
      <c r="J720" s="22" t="s">
        <v>1720</v>
      </c>
      <c r="K720" s="23" t="s">
        <v>1740</v>
      </c>
      <c r="L720" t="e">
        <f>VLOOKUP(B720,ubah!$B$2:$L$234,4,FALSE)</f>
        <v>#N/A</v>
      </c>
      <c r="M720" t="e">
        <f>VLOOKUP(B720,ubah!$B$2:$L$234,5,FALSE)</f>
        <v>#N/A</v>
      </c>
      <c r="N720" t="e">
        <f>VLOOKUP(B720,ubah!$B$2:$L$234,6,FALSE)</f>
        <v>#N/A</v>
      </c>
    </row>
    <row r="721" spans="1:14" hidden="1" x14ac:dyDescent="0.35">
      <c r="A721" s="21">
        <v>1554524</v>
      </c>
      <c r="B721" s="22" t="str">
        <f>"3328050409700001"</f>
        <v>3328050409700001</v>
      </c>
      <c r="C721" s="22" t="str">
        <f t="shared" si="22"/>
        <v>'3328050409700001</v>
      </c>
      <c r="D721" s="22" t="str">
        <f t="shared" si="23"/>
        <v>tidak ganda</v>
      </c>
      <c r="E721" s="22" t="s">
        <v>1816</v>
      </c>
      <c r="F721" s="22" t="s">
        <v>10</v>
      </c>
      <c r="G721" s="22" t="s">
        <v>11</v>
      </c>
      <c r="H721" s="22" t="s">
        <v>18</v>
      </c>
      <c r="I721" s="22" t="s">
        <v>19</v>
      </c>
      <c r="J721" s="22" t="s">
        <v>1720</v>
      </c>
      <c r="K721" s="23" t="s">
        <v>1720</v>
      </c>
      <c r="L721" t="e">
        <f>VLOOKUP(B721,ubah!$B$2:$L$234,4,FALSE)</f>
        <v>#N/A</v>
      </c>
      <c r="M721" t="e">
        <f>VLOOKUP(B721,ubah!$B$2:$L$234,5,FALSE)</f>
        <v>#N/A</v>
      </c>
      <c r="N721" t="e">
        <f>VLOOKUP(B721,ubah!$B$2:$L$234,6,FALSE)</f>
        <v>#N/A</v>
      </c>
    </row>
    <row r="722" spans="1:14" hidden="1" x14ac:dyDescent="0.35">
      <c r="A722" s="21">
        <v>1212670</v>
      </c>
      <c r="B722" s="22" t="str">
        <f>"3328050409870003"</f>
        <v>3328050409870003</v>
      </c>
      <c r="C722" s="22" t="str">
        <f t="shared" si="22"/>
        <v>'3328050409870003</v>
      </c>
      <c r="D722" s="22" t="str">
        <f t="shared" si="23"/>
        <v>tidak ganda</v>
      </c>
      <c r="E722" s="22" t="s">
        <v>1818</v>
      </c>
      <c r="F722" s="22" t="s">
        <v>10</v>
      </c>
      <c r="G722" s="22" t="s">
        <v>11</v>
      </c>
      <c r="H722" s="22" t="s">
        <v>50</v>
      </c>
      <c r="I722" s="22" t="s">
        <v>51</v>
      </c>
      <c r="J722" s="22" t="s">
        <v>78</v>
      </c>
      <c r="K722" s="23" t="s">
        <v>84</v>
      </c>
    </row>
    <row r="723" spans="1:14" hidden="1" x14ac:dyDescent="0.35">
      <c r="A723" s="21">
        <v>1363050</v>
      </c>
      <c r="B723" s="22" t="str">
        <f>"3328050503930001"</f>
        <v>3328050503930001</v>
      </c>
      <c r="C723" s="22" t="str">
        <f t="shared" si="22"/>
        <v>'3328050503930001</v>
      </c>
      <c r="D723" s="22" t="str">
        <f t="shared" si="23"/>
        <v>tidak ganda</v>
      </c>
      <c r="E723" s="22" t="s">
        <v>1819</v>
      </c>
      <c r="F723" s="22" t="s">
        <v>10</v>
      </c>
      <c r="G723" s="22" t="s">
        <v>11</v>
      </c>
      <c r="H723" s="22" t="s">
        <v>18</v>
      </c>
      <c r="I723" s="22" t="s">
        <v>19</v>
      </c>
      <c r="J723" s="22" t="s">
        <v>1720</v>
      </c>
      <c r="K723" s="23" t="s">
        <v>1740</v>
      </c>
      <c r="L723" t="e">
        <f>VLOOKUP(B723,ubah!$B$2:$L$234,4,FALSE)</f>
        <v>#N/A</v>
      </c>
      <c r="M723" t="e">
        <f>VLOOKUP(B723,ubah!$B$2:$L$234,5,FALSE)</f>
        <v>#N/A</v>
      </c>
      <c r="N723" t="e">
        <f>VLOOKUP(B723,ubah!$B$2:$L$234,6,FALSE)</f>
        <v>#N/A</v>
      </c>
    </row>
    <row r="724" spans="1:14" hidden="1" x14ac:dyDescent="0.35">
      <c r="A724" s="21">
        <v>2138461</v>
      </c>
      <c r="B724" s="22" t="str">
        <f>"3328050504720004"</f>
        <v>3328050504720004</v>
      </c>
      <c r="C724" s="22" t="str">
        <f t="shared" si="22"/>
        <v>'3328050504720004</v>
      </c>
      <c r="D724" s="22" t="str">
        <f t="shared" si="23"/>
        <v>tidak ganda</v>
      </c>
      <c r="E724" s="22" t="s">
        <v>1821</v>
      </c>
      <c r="F724" s="22" t="s">
        <v>10</v>
      </c>
      <c r="G724" s="22" t="s">
        <v>11</v>
      </c>
      <c r="H724" s="22" t="s">
        <v>18</v>
      </c>
      <c r="I724" s="22" t="s">
        <v>19</v>
      </c>
      <c r="J724" s="22" t="s">
        <v>1720</v>
      </c>
      <c r="K724" s="23" t="s">
        <v>1723</v>
      </c>
      <c r="L724" t="e">
        <f>VLOOKUP(B724,ubah!$B$2:$L$234,4,FALSE)</f>
        <v>#N/A</v>
      </c>
      <c r="M724" t="e">
        <f>VLOOKUP(B724,ubah!$B$2:$L$234,5,FALSE)</f>
        <v>#N/A</v>
      </c>
      <c r="N724" t="e">
        <f>VLOOKUP(B724,ubah!$B$2:$L$234,6,FALSE)</f>
        <v>#N/A</v>
      </c>
    </row>
    <row r="725" spans="1:14" hidden="1" x14ac:dyDescent="0.35">
      <c r="A725" s="21">
        <v>2128717</v>
      </c>
      <c r="B725" s="22" t="str">
        <f>"3328050506920002"</f>
        <v>3328050506920002</v>
      </c>
      <c r="C725" s="22" t="str">
        <f t="shared" si="22"/>
        <v>'3328050506920002</v>
      </c>
      <c r="D725" s="22" t="str">
        <f t="shared" si="23"/>
        <v>ganda</v>
      </c>
      <c r="E725" s="22" t="s">
        <v>1822</v>
      </c>
      <c r="F725" s="22" t="s">
        <v>10</v>
      </c>
      <c r="G725" s="22" t="s">
        <v>11</v>
      </c>
      <c r="H725" s="22" t="s">
        <v>18</v>
      </c>
      <c r="I725" s="22" t="s">
        <v>19</v>
      </c>
      <c r="J725" s="22" t="s">
        <v>1720</v>
      </c>
      <c r="K725" s="23" t="s">
        <v>1731</v>
      </c>
      <c r="L725" t="e">
        <f>VLOOKUP(B725,ubah!$B$2:$L$234,4,FALSE)</f>
        <v>#N/A</v>
      </c>
      <c r="M725" t="e">
        <f>VLOOKUP(B725,ubah!$B$2:$L$234,5,FALSE)</f>
        <v>#N/A</v>
      </c>
      <c r="N725" t="e">
        <f>VLOOKUP(B725,ubah!$B$2:$L$234,6,FALSE)</f>
        <v>#N/A</v>
      </c>
    </row>
    <row r="726" spans="1:14" hidden="1" x14ac:dyDescent="0.35">
      <c r="A726" s="21">
        <v>255958</v>
      </c>
      <c r="B726" s="22" t="str">
        <f>"3328050506920002"</f>
        <v>3328050506920002</v>
      </c>
      <c r="C726" s="22" t="str">
        <f t="shared" si="22"/>
        <v>'3328050506920002</v>
      </c>
      <c r="D726" s="22" t="str">
        <f t="shared" si="23"/>
        <v>ganda</v>
      </c>
      <c r="E726" s="22" t="s">
        <v>1822</v>
      </c>
      <c r="F726" s="22" t="s">
        <v>10</v>
      </c>
      <c r="G726" s="22" t="s">
        <v>57</v>
      </c>
      <c r="H726" s="22" t="s">
        <v>521</v>
      </c>
      <c r="I726" s="22" t="s">
        <v>657</v>
      </c>
      <c r="J726" s="22" t="s">
        <v>658</v>
      </c>
      <c r="K726" s="23" t="s">
        <v>659</v>
      </c>
    </row>
    <row r="727" spans="1:14" hidden="1" x14ac:dyDescent="0.35">
      <c r="A727" s="21">
        <v>142046</v>
      </c>
      <c r="B727" s="22" t="str">
        <f>"3328050608990006"</f>
        <v>3328050608990006</v>
      </c>
      <c r="C727" s="22" t="str">
        <f t="shared" si="22"/>
        <v>'3328050608990006</v>
      </c>
      <c r="D727" s="22" t="str">
        <f t="shared" si="23"/>
        <v>tidak ganda</v>
      </c>
      <c r="E727" s="22" t="s">
        <v>1823</v>
      </c>
      <c r="F727" s="22" t="s">
        <v>10</v>
      </c>
      <c r="G727" s="22" t="s">
        <v>11</v>
      </c>
      <c r="H727" s="22" t="s">
        <v>521</v>
      </c>
      <c r="I727" s="22" t="s">
        <v>1824</v>
      </c>
      <c r="J727" s="22" t="s">
        <v>1825</v>
      </c>
      <c r="K727" s="23" t="s">
        <v>1826</v>
      </c>
    </row>
    <row r="728" spans="1:14" hidden="1" x14ac:dyDescent="0.35">
      <c r="A728" s="21">
        <v>841215</v>
      </c>
      <c r="B728" s="22" t="str">
        <f>"3328050801730002"</f>
        <v>3328050801730002</v>
      </c>
      <c r="C728" s="22" t="str">
        <f t="shared" si="22"/>
        <v>'3328050801730002</v>
      </c>
      <c r="D728" s="22" t="str">
        <f t="shared" si="23"/>
        <v>tidak ganda</v>
      </c>
      <c r="E728" s="22" t="s">
        <v>1827</v>
      </c>
      <c r="F728" s="22" t="s">
        <v>10</v>
      </c>
      <c r="G728" s="22" t="s">
        <v>11</v>
      </c>
      <c r="H728" s="22" t="s">
        <v>91</v>
      </c>
      <c r="I728" s="22" t="s">
        <v>159</v>
      </c>
      <c r="J728" s="22" t="s">
        <v>1828</v>
      </c>
      <c r="K728" s="23" t="s">
        <v>1829</v>
      </c>
    </row>
    <row r="729" spans="1:14" hidden="1" x14ac:dyDescent="0.35">
      <c r="A729" s="21">
        <v>1351817</v>
      </c>
      <c r="B729" s="22" t="str">
        <f>"3328050812950001"</f>
        <v>3328050812950001</v>
      </c>
      <c r="C729" s="22" t="str">
        <f t="shared" si="22"/>
        <v>'3328050812950001</v>
      </c>
      <c r="D729" s="22" t="str">
        <f t="shared" si="23"/>
        <v>tidak ganda</v>
      </c>
      <c r="E729" s="22" t="s">
        <v>1830</v>
      </c>
      <c r="F729" s="22" t="s">
        <v>10</v>
      </c>
      <c r="G729" s="22" t="s">
        <v>11</v>
      </c>
      <c r="H729" s="22" t="s">
        <v>18</v>
      </c>
      <c r="I729" s="22" t="s">
        <v>19</v>
      </c>
      <c r="J729" s="22" t="s">
        <v>1720</v>
      </c>
      <c r="K729" s="23" t="s">
        <v>789</v>
      </c>
      <c r="L729" t="e">
        <f>VLOOKUP(B729,ubah!$B$2:$L$234,4,FALSE)</f>
        <v>#N/A</v>
      </c>
      <c r="M729" t="e">
        <f>VLOOKUP(B729,ubah!$B$2:$L$234,5,FALSE)</f>
        <v>#N/A</v>
      </c>
      <c r="N729" t="e">
        <f>VLOOKUP(B729,ubah!$B$2:$L$234,6,FALSE)</f>
        <v>#N/A</v>
      </c>
    </row>
    <row r="730" spans="1:14" hidden="1" x14ac:dyDescent="0.35">
      <c r="A730" s="21">
        <v>101147</v>
      </c>
      <c r="B730" s="22" t="str">
        <f>"3328050903000004"</f>
        <v>3328050903000004</v>
      </c>
      <c r="C730" s="22" t="str">
        <f t="shared" si="22"/>
        <v>'3328050903000004</v>
      </c>
      <c r="D730" s="22" t="str">
        <f t="shared" si="23"/>
        <v>tidak ganda</v>
      </c>
      <c r="E730" s="22" t="s">
        <v>1832</v>
      </c>
      <c r="F730" s="22" t="s">
        <v>10</v>
      </c>
      <c r="G730" s="22" t="s">
        <v>11</v>
      </c>
      <c r="H730" s="22" t="s">
        <v>44</v>
      </c>
      <c r="I730" s="22" t="s">
        <v>1833</v>
      </c>
      <c r="J730" s="22" t="s">
        <v>1834</v>
      </c>
      <c r="K730" s="23" t="s">
        <v>1835</v>
      </c>
    </row>
    <row r="731" spans="1:14" hidden="1" x14ac:dyDescent="0.35">
      <c r="A731" s="21">
        <v>72257</v>
      </c>
      <c r="B731" s="22" t="str">
        <f>"3328050904040003"</f>
        <v>3328050904040003</v>
      </c>
      <c r="C731" s="22" t="str">
        <f t="shared" si="22"/>
        <v>'3328050904040003</v>
      </c>
      <c r="D731" s="22" t="str">
        <f t="shared" si="23"/>
        <v>tidak ganda</v>
      </c>
      <c r="E731" s="22" t="s">
        <v>1836</v>
      </c>
      <c r="F731" s="22" t="s">
        <v>10</v>
      </c>
      <c r="G731" s="22" t="s">
        <v>11</v>
      </c>
      <c r="H731" s="22" t="s">
        <v>44</v>
      </c>
      <c r="I731" s="22" t="s">
        <v>45</v>
      </c>
      <c r="J731" s="22" t="s">
        <v>1837</v>
      </c>
      <c r="K731" s="23" t="s">
        <v>1838</v>
      </c>
    </row>
    <row r="732" spans="1:14" hidden="1" x14ac:dyDescent="0.35">
      <c r="A732" s="21">
        <v>1352475</v>
      </c>
      <c r="B732" s="22" t="str">
        <f>"3328050907890002"</f>
        <v>3328050907890002</v>
      </c>
      <c r="C732" s="22" t="str">
        <f t="shared" si="22"/>
        <v>'3328050907890002</v>
      </c>
      <c r="D732" s="22" t="str">
        <f t="shared" si="23"/>
        <v>tidak ganda</v>
      </c>
      <c r="E732" s="22" t="s">
        <v>1839</v>
      </c>
      <c r="F732" s="22" t="s">
        <v>10</v>
      </c>
      <c r="G732" s="22" t="s">
        <v>11</v>
      </c>
      <c r="H732" s="22" t="s">
        <v>18</v>
      </c>
      <c r="I732" s="22" t="s">
        <v>19</v>
      </c>
      <c r="J732" s="22" t="s">
        <v>1720</v>
      </c>
      <c r="K732" s="23" t="s">
        <v>789</v>
      </c>
      <c r="L732" t="e">
        <f>VLOOKUP(B732,ubah!$B$2:$L$234,4,FALSE)</f>
        <v>#N/A</v>
      </c>
      <c r="M732" t="e">
        <f>VLOOKUP(B732,ubah!$B$2:$L$234,5,FALSE)</f>
        <v>#N/A</v>
      </c>
      <c r="N732" t="e">
        <f>VLOOKUP(B732,ubah!$B$2:$L$234,6,FALSE)</f>
        <v>#N/A</v>
      </c>
    </row>
    <row r="733" spans="1:14" hidden="1" x14ac:dyDescent="0.35">
      <c r="A733" s="21">
        <v>2127883</v>
      </c>
      <c r="B733" s="22" t="str">
        <f>"3328051007780001"</f>
        <v>3328051007780001</v>
      </c>
      <c r="C733" s="22" t="str">
        <f t="shared" si="22"/>
        <v>'3328051007780001</v>
      </c>
      <c r="D733" s="22" t="str">
        <f t="shared" si="23"/>
        <v>tidak ganda</v>
      </c>
      <c r="E733" s="22" t="s">
        <v>1842</v>
      </c>
      <c r="F733" s="22" t="s">
        <v>10</v>
      </c>
      <c r="G733" s="22" t="s">
        <v>11</v>
      </c>
      <c r="H733" s="22" t="s">
        <v>18</v>
      </c>
      <c r="I733" s="22" t="s">
        <v>19</v>
      </c>
      <c r="J733" s="22" t="s">
        <v>1720</v>
      </c>
      <c r="K733" s="23" t="s">
        <v>1731</v>
      </c>
      <c r="L733" t="e">
        <f>VLOOKUP(B733,ubah!$B$2:$L$234,4,FALSE)</f>
        <v>#N/A</v>
      </c>
      <c r="M733" t="e">
        <f>VLOOKUP(B733,ubah!$B$2:$L$234,5,FALSE)</f>
        <v>#N/A</v>
      </c>
      <c r="N733" t="e">
        <f>VLOOKUP(B733,ubah!$B$2:$L$234,6,FALSE)</f>
        <v>#N/A</v>
      </c>
    </row>
    <row r="734" spans="1:14" hidden="1" x14ac:dyDescent="0.35">
      <c r="A734" s="21">
        <v>448740</v>
      </c>
      <c r="B734" s="22" t="str">
        <f>"3328051010820001"</f>
        <v>3328051010820001</v>
      </c>
      <c r="C734" s="22" t="str">
        <f t="shared" si="22"/>
        <v>'3328051010820001</v>
      </c>
      <c r="D734" s="22" t="str">
        <f t="shared" si="23"/>
        <v>tidak ganda</v>
      </c>
      <c r="E734" s="22" t="s">
        <v>1844</v>
      </c>
      <c r="F734" s="22" t="s">
        <v>10</v>
      </c>
      <c r="G734" s="22" t="s">
        <v>11</v>
      </c>
      <c r="H734" s="22" t="s">
        <v>18</v>
      </c>
      <c r="I734" s="22" t="s">
        <v>264</v>
      </c>
      <c r="J734" s="22" t="s">
        <v>477</v>
      </c>
      <c r="K734" s="23" t="s">
        <v>1845</v>
      </c>
    </row>
    <row r="735" spans="1:14" hidden="1" x14ac:dyDescent="0.35">
      <c r="A735" s="21">
        <v>1784025</v>
      </c>
      <c r="B735" s="22" t="str">
        <f>"3328051103730005"</f>
        <v>3328051103730005</v>
      </c>
      <c r="C735" s="22" t="str">
        <f t="shared" si="22"/>
        <v>'3328051103730005</v>
      </c>
      <c r="D735" s="22" t="str">
        <f t="shared" si="23"/>
        <v>tidak ganda</v>
      </c>
      <c r="E735" s="22" t="s">
        <v>1847</v>
      </c>
      <c r="F735" s="22" t="s">
        <v>10</v>
      </c>
      <c r="G735" s="22" t="s">
        <v>11</v>
      </c>
      <c r="H735" s="22" t="s">
        <v>50</v>
      </c>
      <c r="I735" s="22" t="s">
        <v>86</v>
      </c>
      <c r="J735" s="22" t="s">
        <v>445</v>
      </c>
      <c r="K735" s="23" t="s">
        <v>1848</v>
      </c>
    </row>
    <row r="736" spans="1:14" hidden="1" x14ac:dyDescent="0.35">
      <c r="A736" s="21">
        <v>1549014</v>
      </c>
      <c r="B736" s="22" t="str">
        <f>"3328051103900001"</f>
        <v>3328051103900001</v>
      </c>
      <c r="C736" s="22" t="str">
        <f t="shared" si="22"/>
        <v>'3328051103900001</v>
      </c>
      <c r="D736" s="22" t="str">
        <f t="shared" si="23"/>
        <v>tidak ganda</v>
      </c>
      <c r="E736" s="22" t="s">
        <v>1849</v>
      </c>
      <c r="F736" s="22" t="s">
        <v>10</v>
      </c>
      <c r="G736" s="22" t="s">
        <v>11</v>
      </c>
      <c r="H736" s="22" t="s">
        <v>18</v>
      </c>
      <c r="I736" s="22" t="s">
        <v>19</v>
      </c>
      <c r="J736" s="22" t="s">
        <v>1720</v>
      </c>
      <c r="K736" s="23" t="s">
        <v>1771</v>
      </c>
      <c r="L736" t="e">
        <f>VLOOKUP(B736,ubah!$B$2:$L$234,4,FALSE)</f>
        <v>#N/A</v>
      </c>
      <c r="M736" t="e">
        <f>VLOOKUP(B736,ubah!$B$2:$L$234,5,FALSE)</f>
        <v>#N/A</v>
      </c>
      <c r="N736" t="e">
        <f>VLOOKUP(B736,ubah!$B$2:$L$234,6,FALSE)</f>
        <v>#N/A</v>
      </c>
    </row>
    <row r="737" spans="1:14" hidden="1" x14ac:dyDescent="0.35">
      <c r="A737" s="21">
        <v>1277714</v>
      </c>
      <c r="B737" s="22" t="str">
        <f>"3328051111860001"</f>
        <v>3328051111860001</v>
      </c>
      <c r="C737" s="22" t="str">
        <f t="shared" si="22"/>
        <v>'3328051111860001</v>
      </c>
      <c r="D737" s="22" t="str">
        <f t="shared" si="23"/>
        <v>tidak ganda</v>
      </c>
      <c r="E737" s="22" t="s">
        <v>1851</v>
      </c>
      <c r="F737" s="22" t="s">
        <v>10</v>
      </c>
      <c r="G737" s="22" t="s">
        <v>11</v>
      </c>
      <c r="H737" s="22" t="s">
        <v>67</v>
      </c>
      <c r="I737" s="22" t="s">
        <v>791</v>
      </c>
      <c r="J737" s="22" t="s">
        <v>1852</v>
      </c>
      <c r="K737" s="23" t="s">
        <v>1853</v>
      </c>
    </row>
    <row r="738" spans="1:14" hidden="1" x14ac:dyDescent="0.35">
      <c r="A738" s="21">
        <v>666636</v>
      </c>
      <c r="B738" s="22" t="str">
        <f>"3328051201800003"</f>
        <v>3328051201800003</v>
      </c>
      <c r="C738" s="22" t="str">
        <f t="shared" si="22"/>
        <v>'3328051201800003</v>
      </c>
      <c r="D738" s="22" t="str">
        <f t="shared" si="23"/>
        <v>tidak ganda</v>
      </c>
      <c r="E738" s="22" t="s">
        <v>1854</v>
      </c>
      <c r="F738" s="22" t="s">
        <v>10</v>
      </c>
      <c r="G738" s="22" t="s">
        <v>11</v>
      </c>
      <c r="H738" s="22" t="s">
        <v>303</v>
      </c>
      <c r="I738" s="22" t="s">
        <v>1855</v>
      </c>
      <c r="J738" s="22" t="s">
        <v>1856</v>
      </c>
      <c r="K738" s="23" t="s">
        <v>1856</v>
      </c>
    </row>
    <row r="739" spans="1:14" hidden="1" x14ac:dyDescent="0.35">
      <c r="A739" s="21">
        <v>2142556</v>
      </c>
      <c r="B739" s="22" t="str">
        <f>"3328051208900001"</f>
        <v>3328051208900001</v>
      </c>
      <c r="C739" s="22" t="str">
        <f t="shared" si="22"/>
        <v>'3328051208900001</v>
      </c>
      <c r="D739" s="22" t="str">
        <f t="shared" si="23"/>
        <v>tidak ganda</v>
      </c>
      <c r="E739" s="22" t="s">
        <v>1858</v>
      </c>
      <c r="F739" s="22" t="s">
        <v>10</v>
      </c>
      <c r="G739" s="22" t="s">
        <v>11</v>
      </c>
      <c r="H739" s="22" t="s">
        <v>18</v>
      </c>
      <c r="I739" s="22" t="s">
        <v>19</v>
      </c>
      <c r="J739" s="22" t="s">
        <v>1720</v>
      </c>
      <c r="K739" s="23" t="s">
        <v>1737</v>
      </c>
      <c r="L739" t="e">
        <f>VLOOKUP(B739,ubah!$B$2:$L$234,4,FALSE)</f>
        <v>#N/A</v>
      </c>
      <c r="M739" t="e">
        <f>VLOOKUP(B739,ubah!$B$2:$L$234,5,FALSE)</f>
        <v>#N/A</v>
      </c>
      <c r="N739" t="e">
        <f>VLOOKUP(B739,ubah!$B$2:$L$234,6,FALSE)</f>
        <v>#N/A</v>
      </c>
    </row>
    <row r="740" spans="1:14" hidden="1" x14ac:dyDescent="0.35">
      <c r="A740" s="21">
        <v>334741</v>
      </c>
      <c r="B740" s="22" t="str">
        <f>"3328051210910002"</f>
        <v>3328051210910002</v>
      </c>
      <c r="C740" s="22" t="str">
        <f t="shared" si="22"/>
        <v>'3328051210910002</v>
      </c>
      <c r="D740" s="22" t="str">
        <f t="shared" si="23"/>
        <v>tidak ganda</v>
      </c>
      <c r="E740" s="22" t="s">
        <v>1862</v>
      </c>
      <c r="F740" s="22" t="s">
        <v>10</v>
      </c>
      <c r="G740" s="22" t="s">
        <v>11</v>
      </c>
      <c r="H740" s="22" t="s">
        <v>91</v>
      </c>
      <c r="I740" s="22" t="s">
        <v>137</v>
      </c>
      <c r="J740" s="22" t="s">
        <v>1863</v>
      </c>
      <c r="K740" s="23" t="s">
        <v>1864</v>
      </c>
    </row>
    <row r="741" spans="1:14" hidden="1" x14ac:dyDescent="0.35">
      <c r="A741" s="21">
        <v>1366571</v>
      </c>
      <c r="B741" s="22" t="str">
        <f>"3328051210940001"</f>
        <v>3328051210940001</v>
      </c>
      <c r="C741" s="22" t="str">
        <f t="shared" si="22"/>
        <v>'3328051210940001</v>
      </c>
      <c r="D741" s="22" t="str">
        <f t="shared" si="23"/>
        <v>ganda</v>
      </c>
      <c r="E741" s="22" t="s">
        <v>1866</v>
      </c>
      <c r="F741" s="22" t="s">
        <v>10</v>
      </c>
      <c r="G741" s="22" t="s">
        <v>11</v>
      </c>
      <c r="H741" s="22" t="s">
        <v>18</v>
      </c>
      <c r="I741" s="22" t="s">
        <v>19</v>
      </c>
      <c r="J741" s="22" t="s">
        <v>1720</v>
      </c>
      <c r="K741" s="23" t="s">
        <v>1740</v>
      </c>
      <c r="L741" t="e">
        <f>VLOOKUP(B741,ubah!$B$2:$L$234,4,FALSE)</f>
        <v>#N/A</v>
      </c>
      <c r="M741" t="e">
        <f>VLOOKUP(B741,ubah!$B$2:$L$234,5,FALSE)</f>
        <v>#N/A</v>
      </c>
      <c r="N741" t="e">
        <f>VLOOKUP(B741,ubah!$B$2:$L$234,6,FALSE)</f>
        <v>#N/A</v>
      </c>
    </row>
    <row r="742" spans="1:14" hidden="1" x14ac:dyDescent="0.35">
      <c r="A742" s="21">
        <v>474870</v>
      </c>
      <c r="B742" s="22" t="str">
        <f>"3328051210940001"</f>
        <v>3328051210940001</v>
      </c>
      <c r="C742" s="22" t="str">
        <f t="shared" si="22"/>
        <v>'3328051210940001</v>
      </c>
      <c r="D742" s="22" t="str">
        <f t="shared" si="23"/>
        <v>ganda</v>
      </c>
      <c r="E742" s="22" t="s">
        <v>1866</v>
      </c>
      <c r="F742" s="22" t="s">
        <v>10</v>
      </c>
      <c r="G742" s="22" t="s">
        <v>57</v>
      </c>
      <c r="H742" s="22" t="s">
        <v>727</v>
      </c>
      <c r="I742" s="22" t="s">
        <v>728</v>
      </c>
      <c r="J742" s="22" t="s">
        <v>1867</v>
      </c>
      <c r="K742" s="23" t="s">
        <v>1867</v>
      </c>
    </row>
    <row r="743" spans="1:14" hidden="1" x14ac:dyDescent="0.35">
      <c r="A743" s="21">
        <v>1316249</v>
      </c>
      <c r="B743" s="22" t="str">
        <f>"3328051211920004"</f>
        <v>3328051211920004</v>
      </c>
      <c r="C743" s="22" t="str">
        <f t="shared" si="22"/>
        <v>'3328051211920004</v>
      </c>
      <c r="D743" s="22" t="str">
        <f t="shared" si="23"/>
        <v>tidak ganda</v>
      </c>
      <c r="E743" s="22" t="s">
        <v>1868</v>
      </c>
      <c r="F743" s="22" t="s">
        <v>10</v>
      </c>
      <c r="G743" s="22" t="s">
        <v>11</v>
      </c>
      <c r="H743" s="22" t="s">
        <v>18</v>
      </c>
      <c r="I743" s="22" t="s">
        <v>264</v>
      </c>
      <c r="J743" s="22" t="s">
        <v>265</v>
      </c>
      <c r="K743" s="23" t="s">
        <v>1869</v>
      </c>
    </row>
    <row r="744" spans="1:14" hidden="1" x14ac:dyDescent="0.35">
      <c r="A744" s="21">
        <v>2138771</v>
      </c>
      <c r="B744" s="22" t="str">
        <f>"3328051212890006"</f>
        <v>3328051212890006</v>
      </c>
      <c r="C744" s="22" t="str">
        <f t="shared" si="22"/>
        <v>'3328051212890006</v>
      </c>
      <c r="D744" s="22" t="str">
        <f t="shared" si="23"/>
        <v>tidak ganda</v>
      </c>
      <c r="E744" s="22" t="s">
        <v>1871</v>
      </c>
      <c r="F744" s="22" t="s">
        <v>10</v>
      </c>
      <c r="G744" s="22" t="s">
        <v>11</v>
      </c>
      <c r="H744" s="22" t="s">
        <v>18</v>
      </c>
      <c r="I744" s="22" t="s">
        <v>19</v>
      </c>
      <c r="J744" s="22" t="s">
        <v>1720</v>
      </c>
      <c r="K744" s="23" t="s">
        <v>1723</v>
      </c>
      <c r="L744" t="e">
        <f>VLOOKUP(B744,ubah!$B$2:$L$234,4,FALSE)</f>
        <v>#N/A</v>
      </c>
      <c r="M744" t="e">
        <f>VLOOKUP(B744,ubah!$B$2:$L$234,5,FALSE)</f>
        <v>#N/A</v>
      </c>
      <c r="N744" t="e">
        <f>VLOOKUP(B744,ubah!$B$2:$L$234,6,FALSE)</f>
        <v>#N/A</v>
      </c>
    </row>
    <row r="745" spans="1:14" hidden="1" x14ac:dyDescent="0.35">
      <c r="A745" s="21">
        <v>943008</v>
      </c>
      <c r="B745" s="22" t="str">
        <f>"3328051301030003"</f>
        <v>3328051301030003</v>
      </c>
      <c r="C745" s="22" t="str">
        <f t="shared" si="22"/>
        <v>'3328051301030003</v>
      </c>
      <c r="D745" s="22" t="str">
        <f t="shared" si="23"/>
        <v>tidak ganda</v>
      </c>
      <c r="E745" s="22" t="s">
        <v>1872</v>
      </c>
      <c r="F745" s="22" t="s">
        <v>10</v>
      </c>
      <c r="G745" s="22" t="s">
        <v>11</v>
      </c>
      <c r="H745" s="22" t="s">
        <v>91</v>
      </c>
      <c r="I745" s="22" t="s">
        <v>159</v>
      </c>
      <c r="J745" s="22" t="s">
        <v>1332</v>
      </c>
      <c r="K745" s="23" t="s">
        <v>1333</v>
      </c>
    </row>
    <row r="746" spans="1:14" hidden="1" x14ac:dyDescent="0.35">
      <c r="A746" s="21">
        <v>2143863</v>
      </c>
      <c r="B746" s="22" t="str">
        <f>"3328051305040004"</f>
        <v>3328051305040004</v>
      </c>
      <c r="C746" s="22" t="str">
        <f t="shared" si="22"/>
        <v>'3328051305040004</v>
      </c>
      <c r="D746" s="22" t="str">
        <f t="shared" si="23"/>
        <v>ganda</v>
      </c>
      <c r="E746" s="22" t="s">
        <v>1873</v>
      </c>
      <c r="F746" s="22" t="s">
        <v>10</v>
      </c>
      <c r="G746" s="22" t="s">
        <v>11</v>
      </c>
      <c r="H746" s="22" t="s">
        <v>18</v>
      </c>
      <c r="I746" s="22" t="s">
        <v>19</v>
      </c>
      <c r="J746" s="22" t="s">
        <v>1720</v>
      </c>
      <c r="K746" s="23" t="s">
        <v>1857</v>
      </c>
      <c r="L746" t="e">
        <f>VLOOKUP(B746,ubah!$B$2:$L$234,4,FALSE)</f>
        <v>#N/A</v>
      </c>
      <c r="M746" t="e">
        <f>VLOOKUP(B746,ubah!$B$2:$L$234,5,FALSE)</f>
        <v>#N/A</v>
      </c>
      <c r="N746" t="e">
        <f>VLOOKUP(B746,ubah!$B$2:$L$234,6,FALSE)</f>
        <v>#N/A</v>
      </c>
    </row>
    <row r="747" spans="1:14" hidden="1" x14ac:dyDescent="0.35">
      <c r="A747" s="21">
        <v>761473</v>
      </c>
      <c r="B747" s="22" t="str">
        <f>"3328051305040004"</f>
        <v>3328051305040004</v>
      </c>
      <c r="C747" s="22" t="str">
        <f t="shared" si="22"/>
        <v>'3328051305040004</v>
      </c>
      <c r="D747" s="22" t="str">
        <f t="shared" si="23"/>
        <v>ganda</v>
      </c>
      <c r="E747" s="22" t="s">
        <v>1874</v>
      </c>
      <c r="F747" s="22" t="s">
        <v>10</v>
      </c>
      <c r="G747" s="22" t="s">
        <v>57</v>
      </c>
      <c r="H747" s="22" t="s">
        <v>379</v>
      </c>
      <c r="I747" s="22" t="s">
        <v>711</v>
      </c>
      <c r="J747" s="22" t="s">
        <v>1875</v>
      </c>
      <c r="K747" s="23" t="s">
        <v>1876</v>
      </c>
    </row>
    <row r="748" spans="1:14" hidden="1" x14ac:dyDescent="0.35">
      <c r="A748" s="21">
        <v>1324764</v>
      </c>
      <c r="B748" s="22" t="str">
        <f>"3328051503910007"</f>
        <v>3328051503910007</v>
      </c>
      <c r="C748" s="22" t="str">
        <f t="shared" si="22"/>
        <v>'3328051503910007</v>
      </c>
      <c r="D748" s="22" t="str">
        <f t="shared" si="23"/>
        <v>tidak ganda</v>
      </c>
      <c r="E748" s="22" t="s">
        <v>1877</v>
      </c>
      <c r="F748" s="22" t="s">
        <v>10</v>
      </c>
      <c r="G748" s="22" t="s">
        <v>11</v>
      </c>
      <c r="H748" s="22" t="s">
        <v>18</v>
      </c>
      <c r="I748" s="22" t="s">
        <v>264</v>
      </c>
      <c r="J748" s="22" t="s">
        <v>265</v>
      </c>
      <c r="K748" s="23" t="s">
        <v>1878</v>
      </c>
    </row>
    <row r="749" spans="1:14" hidden="1" x14ac:dyDescent="0.35">
      <c r="A749" s="21">
        <v>1613239</v>
      </c>
      <c r="B749" s="22" t="str">
        <f>"3328051507820007"</f>
        <v>3328051507820007</v>
      </c>
      <c r="C749" s="22" t="str">
        <f t="shared" si="22"/>
        <v>'3328051507820007</v>
      </c>
      <c r="D749" s="22" t="str">
        <f t="shared" si="23"/>
        <v>tidak ganda</v>
      </c>
      <c r="E749" s="22" t="s">
        <v>1879</v>
      </c>
      <c r="F749" s="22" t="s">
        <v>10</v>
      </c>
      <c r="G749" s="22" t="s">
        <v>11</v>
      </c>
      <c r="H749" s="22" t="s">
        <v>18</v>
      </c>
      <c r="I749" s="22" t="s">
        <v>19</v>
      </c>
      <c r="J749" s="22" t="s">
        <v>1720</v>
      </c>
      <c r="K749" s="23" t="s">
        <v>1721</v>
      </c>
      <c r="L749" t="e">
        <f>VLOOKUP(B749,ubah!$B$2:$L$234,4,FALSE)</f>
        <v>#N/A</v>
      </c>
      <c r="M749" t="e">
        <f>VLOOKUP(B749,ubah!$B$2:$L$234,5,FALSE)</f>
        <v>#N/A</v>
      </c>
      <c r="N749" t="e">
        <f>VLOOKUP(B749,ubah!$B$2:$L$234,6,FALSE)</f>
        <v>#N/A</v>
      </c>
    </row>
    <row r="750" spans="1:14" hidden="1" x14ac:dyDescent="0.35">
      <c r="A750" s="21">
        <v>1361521</v>
      </c>
      <c r="B750" s="22" t="str">
        <f>"3328051512970003"</f>
        <v>3328051512970003</v>
      </c>
      <c r="C750" s="22" t="str">
        <f t="shared" si="22"/>
        <v>'3328051512970003</v>
      </c>
      <c r="D750" s="22" t="str">
        <f t="shared" si="23"/>
        <v>tidak ganda</v>
      </c>
      <c r="E750" s="22" t="s">
        <v>1882</v>
      </c>
      <c r="F750" s="22" t="s">
        <v>10</v>
      </c>
      <c r="G750" s="22" t="s">
        <v>11</v>
      </c>
      <c r="H750" s="22" t="s">
        <v>18</v>
      </c>
      <c r="I750" s="22" t="s">
        <v>19</v>
      </c>
      <c r="J750" s="22" t="s">
        <v>1720</v>
      </c>
      <c r="K750" s="23" t="s">
        <v>1740</v>
      </c>
      <c r="L750" t="e">
        <f>VLOOKUP(B750,ubah!$B$2:$L$234,4,FALSE)</f>
        <v>#N/A</v>
      </c>
      <c r="M750" t="e">
        <f>VLOOKUP(B750,ubah!$B$2:$L$234,5,FALSE)</f>
        <v>#N/A</v>
      </c>
      <c r="N750" t="e">
        <f>VLOOKUP(B750,ubah!$B$2:$L$234,6,FALSE)</f>
        <v>#N/A</v>
      </c>
    </row>
    <row r="751" spans="1:14" hidden="1" x14ac:dyDescent="0.35">
      <c r="A751" s="21">
        <v>1348729</v>
      </c>
      <c r="B751" s="22" t="str">
        <f>"3328051701000002"</f>
        <v>3328051701000002</v>
      </c>
      <c r="C751" s="22" t="str">
        <f t="shared" si="22"/>
        <v>'3328051701000002</v>
      </c>
      <c r="D751" s="22" t="str">
        <f t="shared" si="23"/>
        <v>ganda</v>
      </c>
      <c r="E751" s="22" t="s">
        <v>1888</v>
      </c>
      <c r="F751" s="22" t="s">
        <v>10</v>
      </c>
      <c r="G751" s="22" t="s">
        <v>11</v>
      </c>
      <c r="H751" s="22" t="s">
        <v>18</v>
      </c>
      <c r="I751" s="22" t="s">
        <v>19</v>
      </c>
      <c r="J751" s="22" t="s">
        <v>1720</v>
      </c>
      <c r="K751" s="23" t="s">
        <v>1381</v>
      </c>
      <c r="L751" t="e">
        <f>VLOOKUP(B751,ubah!$B$2:$L$234,4,FALSE)</f>
        <v>#N/A</v>
      </c>
      <c r="M751" t="e">
        <f>VLOOKUP(B751,ubah!$B$2:$L$234,5,FALSE)</f>
        <v>#N/A</v>
      </c>
      <c r="N751" t="e">
        <f>VLOOKUP(B751,ubah!$B$2:$L$234,6,FALSE)</f>
        <v>#N/A</v>
      </c>
    </row>
    <row r="752" spans="1:14" hidden="1" x14ac:dyDescent="0.35">
      <c r="A752" s="21">
        <v>1350405</v>
      </c>
      <c r="B752" s="22" t="str">
        <f>"3328051701000002"</f>
        <v>3328051701000002</v>
      </c>
      <c r="C752" s="22" t="str">
        <f t="shared" si="22"/>
        <v>'3328051701000002</v>
      </c>
      <c r="D752" s="22" t="str">
        <f t="shared" si="23"/>
        <v>ganda</v>
      </c>
      <c r="E752" s="22" t="s">
        <v>1888</v>
      </c>
      <c r="F752" s="22" t="s">
        <v>10</v>
      </c>
      <c r="G752" s="22" t="s">
        <v>57</v>
      </c>
      <c r="H752" s="22" t="s">
        <v>303</v>
      </c>
      <c r="I752" s="22" t="s">
        <v>608</v>
      </c>
      <c r="J752" s="22" t="s">
        <v>609</v>
      </c>
      <c r="K752" s="23" t="s">
        <v>610</v>
      </c>
    </row>
    <row r="753" spans="1:14" hidden="1" x14ac:dyDescent="0.35">
      <c r="A753" s="21">
        <v>2383649</v>
      </c>
      <c r="B753" s="22" t="str">
        <f>"3328051702880004"</f>
        <v>3328051702880004</v>
      </c>
      <c r="C753" s="22" t="str">
        <f t="shared" si="22"/>
        <v>'3328051702880004</v>
      </c>
      <c r="D753" s="22" t="str">
        <f t="shared" si="23"/>
        <v>tidak ganda</v>
      </c>
      <c r="E753" s="22" t="s">
        <v>1889</v>
      </c>
      <c r="F753" s="22" t="s">
        <v>10</v>
      </c>
      <c r="G753" s="22" t="s">
        <v>11</v>
      </c>
      <c r="H753" s="22" t="s">
        <v>50</v>
      </c>
      <c r="I753" s="22" t="s">
        <v>58</v>
      </c>
      <c r="J753" s="22" t="s">
        <v>417</v>
      </c>
      <c r="K753" s="23" t="s">
        <v>59</v>
      </c>
    </row>
    <row r="754" spans="1:14" hidden="1" x14ac:dyDescent="0.35">
      <c r="A754" s="21">
        <v>2142760</v>
      </c>
      <c r="B754" s="22" t="str">
        <f>"3328051707870002"</f>
        <v>3328051707870002</v>
      </c>
      <c r="C754" s="22" t="str">
        <f t="shared" si="22"/>
        <v>'3328051707870002</v>
      </c>
      <c r="D754" s="22" t="str">
        <f t="shared" si="23"/>
        <v>tidak ganda</v>
      </c>
      <c r="E754" s="22" t="s">
        <v>1890</v>
      </c>
      <c r="F754" s="22" t="s">
        <v>10</v>
      </c>
      <c r="G754" s="22" t="s">
        <v>11</v>
      </c>
      <c r="H754" s="22" t="s">
        <v>18</v>
      </c>
      <c r="I754" s="22" t="s">
        <v>19</v>
      </c>
      <c r="J754" s="22" t="s">
        <v>1720</v>
      </c>
      <c r="K754" s="23" t="s">
        <v>1737</v>
      </c>
      <c r="L754" t="e">
        <f>VLOOKUP(B754,ubah!$B$2:$L$234,4,FALSE)</f>
        <v>#N/A</v>
      </c>
      <c r="M754" t="e">
        <f>VLOOKUP(B754,ubah!$B$2:$L$234,5,FALSE)</f>
        <v>#N/A</v>
      </c>
      <c r="N754" t="e">
        <f>VLOOKUP(B754,ubah!$B$2:$L$234,6,FALSE)</f>
        <v>#N/A</v>
      </c>
    </row>
    <row r="755" spans="1:14" hidden="1" x14ac:dyDescent="0.35">
      <c r="A755" s="21">
        <v>1451364</v>
      </c>
      <c r="B755" s="22" t="str">
        <f>"3328051904760003"</f>
        <v>3328051904760003</v>
      </c>
      <c r="C755" s="22" t="str">
        <f t="shared" si="22"/>
        <v>'3328051904760003</v>
      </c>
      <c r="D755" s="22" t="str">
        <f t="shared" si="23"/>
        <v>tidak ganda</v>
      </c>
      <c r="E755" s="22" t="s">
        <v>1892</v>
      </c>
      <c r="F755" s="22" t="s">
        <v>10</v>
      </c>
      <c r="G755" s="22" t="s">
        <v>11</v>
      </c>
      <c r="H755" s="22" t="s">
        <v>18</v>
      </c>
      <c r="I755" s="22" t="s">
        <v>264</v>
      </c>
      <c r="J755" s="22" t="s">
        <v>273</v>
      </c>
      <c r="K755" s="23" t="s">
        <v>875</v>
      </c>
    </row>
    <row r="756" spans="1:14" hidden="1" x14ac:dyDescent="0.35">
      <c r="A756" s="21">
        <v>690209</v>
      </c>
      <c r="B756" s="22" t="str">
        <f>"3328051904840004"</f>
        <v>3328051904840004</v>
      </c>
      <c r="C756" s="22" t="str">
        <f t="shared" si="22"/>
        <v>'3328051904840004</v>
      </c>
      <c r="D756" s="22" t="str">
        <f t="shared" si="23"/>
        <v>tidak ganda</v>
      </c>
      <c r="E756" s="22" t="s">
        <v>1894</v>
      </c>
      <c r="F756" s="22" t="s">
        <v>10</v>
      </c>
      <c r="G756" s="22" t="s">
        <v>11</v>
      </c>
      <c r="H756" s="22" t="s">
        <v>50</v>
      </c>
      <c r="I756" s="22" t="s">
        <v>280</v>
      </c>
      <c r="J756" s="22" t="s">
        <v>402</v>
      </c>
      <c r="K756" s="23" t="s">
        <v>1249</v>
      </c>
    </row>
    <row r="757" spans="1:14" hidden="1" x14ac:dyDescent="0.35">
      <c r="A757" s="21">
        <v>1803043</v>
      </c>
      <c r="B757" s="22" t="str">
        <f>"3328051905630001"</f>
        <v>3328051905630001</v>
      </c>
      <c r="C757" s="22" t="str">
        <f t="shared" si="22"/>
        <v>'3328051905630001</v>
      </c>
      <c r="D757" s="22" t="str">
        <f t="shared" si="23"/>
        <v>tidak ganda</v>
      </c>
      <c r="E757" s="22" t="s">
        <v>1896</v>
      </c>
      <c r="F757" s="22" t="s">
        <v>10</v>
      </c>
      <c r="G757" s="22" t="s">
        <v>11</v>
      </c>
      <c r="H757" s="22" t="s">
        <v>50</v>
      </c>
      <c r="I757" s="22" t="s">
        <v>58</v>
      </c>
      <c r="J757" s="22" t="s">
        <v>97</v>
      </c>
      <c r="K757" s="23" t="s">
        <v>97</v>
      </c>
    </row>
    <row r="758" spans="1:14" hidden="1" x14ac:dyDescent="0.35">
      <c r="A758" s="21">
        <v>1546962</v>
      </c>
      <c r="B758" s="22" t="str">
        <f>"3328052009060001"</f>
        <v>3328052009060001</v>
      </c>
      <c r="C758" s="22" t="str">
        <f t="shared" si="22"/>
        <v>'3328052009060001</v>
      </c>
      <c r="D758" s="22" t="str">
        <f t="shared" si="23"/>
        <v>tidak ganda</v>
      </c>
      <c r="E758" s="22" t="s">
        <v>1902</v>
      </c>
      <c r="F758" s="22" t="s">
        <v>10</v>
      </c>
      <c r="G758" s="22" t="s">
        <v>11</v>
      </c>
      <c r="H758" s="22" t="s">
        <v>18</v>
      </c>
      <c r="I758" s="22" t="s">
        <v>19</v>
      </c>
      <c r="J758" s="22" t="s">
        <v>1720</v>
      </c>
      <c r="K758" s="23" t="s">
        <v>1771</v>
      </c>
      <c r="L758" t="e">
        <f>VLOOKUP(B758,ubah!$B$2:$L$234,4,FALSE)</f>
        <v>#N/A</v>
      </c>
      <c r="M758" t="e">
        <f>VLOOKUP(B758,ubah!$B$2:$L$234,5,FALSE)</f>
        <v>#N/A</v>
      </c>
      <c r="N758" t="e">
        <f>VLOOKUP(B758,ubah!$B$2:$L$234,6,FALSE)</f>
        <v>#N/A</v>
      </c>
    </row>
    <row r="759" spans="1:14" hidden="1" x14ac:dyDescent="0.35">
      <c r="A759" s="21">
        <v>2142151</v>
      </c>
      <c r="B759" s="22" t="str">
        <f>"3328052201940006"</f>
        <v>3328052201940006</v>
      </c>
      <c r="C759" s="22" t="str">
        <f t="shared" si="22"/>
        <v>'3328052201940006</v>
      </c>
      <c r="D759" s="22" t="str">
        <f t="shared" si="23"/>
        <v>tidak ganda</v>
      </c>
      <c r="E759" s="22" t="s">
        <v>1904</v>
      </c>
      <c r="F759" s="22" t="s">
        <v>10</v>
      </c>
      <c r="G759" s="22" t="s">
        <v>11</v>
      </c>
      <c r="H759" s="22" t="s">
        <v>18</v>
      </c>
      <c r="I759" s="22" t="s">
        <v>19</v>
      </c>
      <c r="J759" s="22" t="s">
        <v>1720</v>
      </c>
      <c r="K759" s="23" t="s">
        <v>1737</v>
      </c>
      <c r="L759" t="e">
        <f>VLOOKUP(B759,ubah!$B$2:$L$234,4,FALSE)</f>
        <v>#N/A</v>
      </c>
      <c r="M759" t="e">
        <f>VLOOKUP(B759,ubah!$B$2:$L$234,5,FALSE)</f>
        <v>#N/A</v>
      </c>
      <c r="N759" t="e">
        <f>VLOOKUP(B759,ubah!$B$2:$L$234,6,FALSE)</f>
        <v>#N/A</v>
      </c>
    </row>
    <row r="760" spans="1:14" hidden="1" x14ac:dyDescent="0.35">
      <c r="A760" s="21">
        <v>1214748</v>
      </c>
      <c r="B760" s="22" t="str">
        <f>"3328052207820001"</f>
        <v>3328052207820001</v>
      </c>
      <c r="C760" s="22" t="str">
        <f t="shared" si="22"/>
        <v>'3328052207820001</v>
      </c>
      <c r="D760" s="22" t="str">
        <f t="shared" si="23"/>
        <v>tidak ganda</v>
      </c>
      <c r="E760" s="22" t="s">
        <v>1909</v>
      </c>
      <c r="F760" s="22" t="s">
        <v>10</v>
      </c>
      <c r="G760" s="22" t="s">
        <v>11</v>
      </c>
      <c r="H760" s="22" t="s">
        <v>18</v>
      </c>
      <c r="I760" s="22" t="s">
        <v>264</v>
      </c>
      <c r="J760" s="22" t="s">
        <v>265</v>
      </c>
      <c r="K760" s="23" t="s">
        <v>1910</v>
      </c>
    </row>
    <row r="761" spans="1:14" hidden="1" x14ac:dyDescent="0.35">
      <c r="A761" s="21">
        <v>2141905</v>
      </c>
      <c r="B761" s="22" t="str">
        <f>"3328052308970002"</f>
        <v>3328052308970002</v>
      </c>
      <c r="C761" s="22" t="str">
        <f t="shared" si="22"/>
        <v>'3328052308970002</v>
      </c>
      <c r="D761" s="22" t="str">
        <f t="shared" si="23"/>
        <v>tidak ganda</v>
      </c>
      <c r="E761" s="22" t="s">
        <v>1911</v>
      </c>
      <c r="F761" s="22" t="s">
        <v>10</v>
      </c>
      <c r="G761" s="22" t="s">
        <v>11</v>
      </c>
      <c r="H761" s="22" t="s">
        <v>18</v>
      </c>
      <c r="I761" s="22" t="s">
        <v>19</v>
      </c>
      <c r="J761" s="22" t="s">
        <v>1720</v>
      </c>
      <c r="K761" s="23" t="s">
        <v>1737</v>
      </c>
      <c r="L761" t="e">
        <f>VLOOKUP(B761,ubah!$B$2:$L$234,4,FALSE)</f>
        <v>#N/A</v>
      </c>
      <c r="M761" t="e">
        <f>VLOOKUP(B761,ubah!$B$2:$L$234,5,FALSE)</f>
        <v>#N/A</v>
      </c>
      <c r="N761" t="e">
        <f>VLOOKUP(B761,ubah!$B$2:$L$234,6,FALSE)</f>
        <v>#N/A</v>
      </c>
    </row>
    <row r="762" spans="1:14" hidden="1" x14ac:dyDescent="0.35">
      <c r="A762" s="21">
        <v>1364060</v>
      </c>
      <c r="B762" s="22" t="str">
        <f>"3328052404000002"</f>
        <v>3328052404000002</v>
      </c>
      <c r="C762" s="22" t="str">
        <f t="shared" si="22"/>
        <v>'3328052404000002</v>
      </c>
      <c r="D762" s="22" t="str">
        <f t="shared" si="23"/>
        <v>ganda</v>
      </c>
      <c r="E762" s="22" t="s">
        <v>1912</v>
      </c>
      <c r="F762" s="22" t="s">
        <v>10</v>
      </c>
      <c r="G762" s="22" t="s">
        <v>11</v>
      </c>
      <c r="H762" s="22" t="s">
        <v>18</v>
      </c>
      <c r="I762" s="22" t="s">
        <v>19</v>
      </c>
      <c r="J762" s="22" t="s">
        <v>1720</v>
      </c>
      <c r="K762" s="23" t="s">
        <v>1740</v>
      </c>
      <c r="L762" t="e">
        <f>VLOOKUP(B762,ubah!$B$2:$L$234,4,FALSE)</f>
        <v>#N/A</v>
      </c>
      <c r="M762" t="e">
        <f>VLOOKUP(B762,ubah!$B$2:$L$234,5,FALSE)</f>
        <v>#N/A</v>
      </c>
      <c r="N762" t="e">
        <f>VLOOKUP(B762,ubah!$B$2:$L$234,6,FALSE)</f>
        <v>#N/A</v>
      </c>
    </row>
    <row r="763" spans="1:14" hidden="1" x14ac:dyDescent="0.35">
      <c r="A763" s="21">
        <v>1392483</v>
      </c>
      <c r="B763" s="22" t="str">
        <f>"3328052404000002"</f>
        <v>3328052404000002</v>
      </c>
      <c r="C763" s="22" t="str">
        <f t="shared" si="22"/>
        <v>'3328052404000002</v>
      </c>
      <c r="D763" s="22" t="str">
        <f t="shared" si="23"/>
        <v>ganda</v>
      </c>
      <c r="E763" s="22" t="s">
        <v>1913</v>
      </c>
      <c r="F763" s="22" t="s">
        <v>10</v>
      </c>
      <c r="G763" s="22" t="s">
        <v>57</v>
      </c>
      <c r="H763" s="22" t="s">
        <v>303</v>
      </c>
      <c r="I763" s="22" t="s">
        <v>608</v>
      </c>
      <c r="J763" s="22" t="s">
        <v>1089</v>
      </c>
      <c r="K763" s="23" t="s">
        <v>1090</v>
      </c>
    </row>
    <row r="764" spans="1:14" hidden="1" x14ac:dyDescent="0.35">
      <c r="A764" s="21">
        <v>735051</v>
      </c>
      <c r="B764" s="22" t="str">
        <f>"3328052407870001"</f>
        <v>3328052407870001</v>
      </c>
      <c r="C764" s="22" t="str">
        <f t="shared" si="22"/>
        <v>'3328052407870001</v>
      </c>
      <c r="D764" s="22" t="str">
        <f t="shared" si="23"/>
        <v>tidak ganda</v>
      </c>
      <c r="E764" s="22" t="s">
        <v>1914</v>
      </c>
      <c r="F764" s="22" t="s">
        <v>10</v>
      </c>
      <c r="G764" s="22" t="s">
        <v>11</v>
      </c>
      <c r="H764" s="22" t="s">
        <v>18</v>
      </c>
      <c r="I764" s="22" t="s">
        <v>264</v>
      </c>
      <c r="J764" s="22" t="s">
        <v>248</v>
      </c>
      <c r="K764" s="23" t="s">
        <v>1915</v>
      </c>
    </row>
    <row r="765" spans="1:14" hidden="1" x14ac:dyDescent="0.35">
      <c r="A765" s="21">
        <v>1625565</v>
      </c>
      <c r="B765" s="22" t="str">
        <f>"3328052504850001"</f>
        <v>3328052504850001</v>
      </c>
      <c r="C765" s="22" t="str">
        <f t="shared" si="22"/>
        <v>'3328052504850001</v>
      </c>
      <c r="D765" s="22" t="str">
        <f t="shared" si="23"/>
        <v>tidak ganda</v>
      </c>
      <c r="E765" s="22" t="s">
        <v>1916</v>
      </c>
      <c r="F765" s="22" t="s">
        <v>10</v>
      </c>
      <c r="G765" s="22" t="s">
        <v>11</v>
      </c>
      <c r="H765" s="22" t="s">
        <v>18</v>
      </c>
      <c r="I765" s="22" t="s">
        <v>19</v>
      </c>
      <c r="J765" s="22" t="s">
        <v>1720</v>
      </c>
      <c r="K765" s="23" t="s">
        <v>1777</v>
      </c>
      <c r="L765" t="e">
        <f>VLOOKUP(B765,ubah!$B$2:$L$234,4,FALSE)</f>
        <v>#N/A</v>
      </c>
      <c r="M765" t="e">
        <f>VLOOKUP(B765,ubah!$B$2:$L$234,5,FALSE)</f>
        <v>#N/A</v>
      </c>
      <c r="N765" t="e">
        <f>VLOOKUP(B765,ubah!$B$2:$L$234,6,FALSE)</f>
        <v>#N/A</v>
      </c>
    </row>
    <row r="766" spans="1:14" hidden="1" x14ac:dyDescent="0.35">
      <c r="A766" s="21">
        <v>72255</v>
      </c>
      <c r="B766" s="22" t="str">
        <f>"3328052506760003"</f>
        <v>3328052506760003</v>
      </c>
      <c r="C766" s="22" t="str">
        <f t="shared" si="22"/>
        <v>'3328052506760003</v>
      </c>
      <c r="D766" s="22" t="str">
        <f t="shared" si="23"/>
        <v>tidak ganda</v>
      </c>
      <c r="E766" s="22" t="s">
        <v>1918</v>
      </c>
      <c r="F766" s="22" t="s">
        <v>10</v>
      </c>
      <c r="G766" s="22" t="s">
        <v>11</v>
      </c>
      <c r="H766" s="22" t="s">
        <v>44</v>
      </c>
      <c r="I766" s="22" t="s">
        <v>45</v>
      </c>
      <c r="J766" s="22" t="s">
        <v>1837</v>
      </c>
      <c r="K766" s="23" t="s">
        <v>1838</v>
      </c>
    </row>
    <row r="767" spans="1:14" hidden="1" x14ac:dyDescent="0.35">
      <c r="A767" s="21">
        <v>2142656</v>
      </c>
      <c r="B767" s="22" t="str">
        <f>"3328052612040002"</f>
        <v>3328052612040002</v>
      </c>
      <c r="C767" s="22" t="str">
        <f t="shared" si="22"/>
        <v>'3328052612040002</v>
      </c>
      <c r="D767" s="22" t="str">
        <f t="shared" si="23"/>
        <v>tidak ganda</v>
      </c>
      <c r="E767" s="22" t="s">
        <v>1919</v>
      </c>
      <c r="F767" s="22" t="s">
        <v>10</v>
      </c>
      <c r="G767" s="22" t="s">
        <v>11</v>
      </c>
      <c r="H767" s="22" t="s">
        <v>18</v>
      </c>
      <c r="I767" s="22" t="s">
        <v>19</v>
      </c>
      <c r="J767" s="22" t="s">
        <v>1720</v>
      </c>
      <c r="K767" s="23" t="s">
        <v>1737</v>
      </c>
      <c r="L767" t="e">
        <f>VLOOKUP(B767,ubah!$B$2:$L$234,4,FALSE)</f>
        <v>#N/A</v>
      </c>
      <c r="M767" t="e">
        <f>VLOOKUP(B767,ubah!$B$2:$L$234,5,FALSE)</f>
        <v>#N/A</v>
      </c>
      <c r="N767" t="e">
        <f>VLOOKUP(B767,ubah!$B$2:$L$234,6,FALSE)</f>
        <v>#N/A</v>
      </c>
    </row>
    <row r="768" spans="1:14" hidden="1" x14ac:dyDescent="0.35">
      <c r="A768" s="21">
        <v>1549533</v>
      </c>
      <c r="B768" s="22" t="str">
        <f>"3328052706980003"</f>
        <v>3328052706980003</v>
      </c>
      <c r="C768" s="22" t="str">
        <f t="shared" si="22"/>
        <v>'3328052706980003</v>
      </c>
      <c r="D768" s="22" t="str">
        <f t="shared" si="23"/>
        <v>tidak ganda</v>
      </c>
      <c r="E768" s="22" t="s">
        <v>1923</v>
      </c>
      <c r="F768" s="22" t="s">
        <v>10</v>
      </c>
      <c r="G768" s="22" t="s">
        <v>11</v>
      </c>
      <c r="H768" s="22" t="s">
        <v>18</v>
      </c>
      <c r="I768" s="22" t="s">
        <v>19</v>
      </c>
      <c r="J768" s="22" t="s">
        <v>1720</v>
      </c>
      <c r="K768" s="23" t="s">
        <v>1720</v>
      </c>
      <c r="L768" t="e">
        <f>VLOOKUP(B768,ubah!$B$2:$L$234,4,FALSE)</f>
        <v>#N/A</v>
      </c>
      <c r="M768" t="e">
        <f>VLOOKUP(B768,ubah!$B$2:$L$234,5,FALSE)</f>
        <v>#N/A</v>
      </c>
      <c r="N768" t="e">
        <f>VLOOKUP(B768,ubah!$B$2:$L$234,6,FALSE)</f>
        <v>#N/A</v>
      </c>
    </row>
    <row r="769" spans="1:14" hidden="1" x14ac:dyDescent="0.35">
      <c r="A769" s="21">
        <v>439455</v>
      </c>
      <c r="B769" s="22" t="str">
        <f>"3328054102720002"</f>
        <v>3328054102720002</v>
      </c>
      <c r="C769" s="22" t="str">
        <f t="shared" si="22"/>
        <v>'3328054102720002</v>
      </c>
      <c r="D769" s="22" t="str">
        <f t="shared" si="23"/>
        <v>tidak ganda</v>
      </c>
      <c r="E769" s="22" t="s">
        <v>1928</v>
      </c>
      <c r="F769" s="22" t="s">
        <v>10</v>
      </c>
      <c r="G769" s="22" t="s">
        <v>11</v>
      </c>
      <c r="H769" s="22" t="s">
        <v>50</v>
      </c>
      <c r="I769" s="22" t="s">
        <v>86</v>
      </c>
      <c r="J769" s="22" t="s">
        <v>925</v>
      </c>
      <c r="K769" s="23" t="s">
        <v>1929</v>
      </c>
    </row>
    <row r="770" spans="1:14" hidden="1" x14ac:dyDescent="0.35">
      <c r="A770" s="21">
        <v>1552795</v>
      </c>
      <c r="B770" s="22" t="str">
        <f>"3328054103010001"</f>
        <v>3328054103010001</v>
      </c>
      <c r="C770" s="22" t="str">
        <f t="shared" si="22"/>
        <v>'3328054103010001</v>
      </c>
      <c r="D770" s="22" t="str">
        <f t="shared" si="23"/>
        <v>tidak ganda</v>
      </c>
      <c r="E770" s="22" t="s">
        <v>1931</v>
      </c>
      <c r="F770" s="22" t="s">
        <v>10</v>
      </c>
      <c r="G770" s="22" t="s">
        <v>11</v>
      </c>
      <c r="H770" s="22" t="s">
        <v>18</v>
      </c>
      <c r="I770" s="22" t="s">
        <v>19</v>
      </c>
      <c r="J770" s="22" t="s">
        <v>1720</v>
      </c>
      <c r="K770" s="23" t="s">
        <v>1720</v>
      </c>
      <c r="L770" t="e">
        <f>VLOOKUP(B770,ubah!$B$2:$L$234,4,FALSE)</f>
        <v>#N/A</v>
      </c>
      <c r="M770" t="e">
        <f>VLOOKUP(B770,ubah!$B$2:$L$234,5,FALSE)</f>
        <v>#N/A</v>
      </c>
      <c r="N770" t="e">
        <f>VLOOKUP(B770,ubah!$B$2:$L$234,6,FALSE)</f>
        <v>#N/A</v>
      </c>
    </row>
    <row r="771" spans="1:14" hidden="1" x14ac:dyDescent="0.35">
      <c r="A771" s="21">
        <v>2146155</v>
      </c>
      <c r="B771" s="22" t="str">
        <f>"3328054103010002"</f>
        <v>3328054103010002</v>
      </c>
      <c r="C771" s="22" t="str">
        <f t="shared" ref="C771:C834" si="24">"'"&amp;B771</f>
        <v>'3328054103010002</v>
      </c>
      <c r="D771" s="22" t="str">
        <f t="shared" ref="D771:D834" si="25">IF(COUNTIF($C:$C,C771)&gt;1,"ganda","tidak ganda")</f>
        <v>tidak ganda</v>
      </c>
      <c r="E771" s="22" t="s">
        <v>1934</v>
      </c>
      <c r="F771" s="22" t="s">
        <v>10</v>
      </c>
      <c r="G771" s="22" t="s">
        <v>11</v>
      </c>
      <c r="H771" s="22" t="s">
        <v>18</v>
      </c>
      <c r="I771" s="22" t="s">
        <v>19</v>
      </c>
      <c r="J771" s="22" t="s">
        <v>1720</v>
      </c>
      <c r="K771" s="23" t="s">
        <v>1857</v>
      </c>
      <c r="L771" t="e">
        <f>VLOOKUP(B771,ubah!$B$2:$L$234,4,FALSE)</f>
        <v>#N/A</v>
      </c>
      <c r="M771" t="e">
        <f>VLOOKUP(B771,ubah!$B$2:$L$234,5,FALSE)</f>
        <v>#N/A</v>
      </c>
      <c r="N771" t="e">
        <f>VLOOKUP(B771,ubah!$B$2:$L$234,6,FALSE)</f>
        <v>#N/A</v>
      </c>
    </row>
    <row r="772" spans="1:14" hidden="1" x14ac:dyDescent="0.35">
      <c r="A772" s="21">
        <v>1343760</v>
      </c>
      <c r="B772" s="22" t="str">
        <f>"3328054107050022"</f>
        <v>3328054107050022</v>
      </c>
      <c r="C772" s="22" t="str">
        <f t="shared" si="24"/>
        <v>'3328054107050022</v>
      </c>
      <c r="D772" s="22" t="str">
        <f t="shared" si="25"/>
        <v>tidak ganda</v>
      </c>
      <c r="E772" s="22" t="s">
        <v>1935</v>
      </c>
      <c r="F772" s="22" t="s">
        <v>10</v>
      </c>
      <c r="G772" s="22" t="s">
        <v>11</v>
      </c>
      <c r="H772" s="22" t="s">
        <v>18</v>
      </c>
      <c r="I772" s="22" t="s">
        <v>19</v>
      </c>
      <c r="J772" s="22" t="s">
        <v>1720</v>
      </c>
      <c r="K772" s="23" t="s">
        <v>1381</v>
      </c>
      <c r="L772" t="e">
        <f>VLOOKUP(B772,ubah!$B$2:$L$234,4,FALSE)</f>
        <v>#N/A</v>
      </c>
      <c r="M772" t="e">
        <f>VLOOKUP(B772,ubah!$B$2:$L$234,5,FALSE)</f>
        <v>#N/A</v>
      </c>
      <c r="N772" t="e">
        <f>VLOOKUP(B772,ubah!$B$2:$L$234,6,FALSE)</f>
        <v>#N/A</v>
      </c>
    </row>
    <row r="773" spans="1:14" hidden="1" x14ac:dyDescent="0.35">
      <c r="A773" s="21">
        <v>101146</v>
      </c>
      <c r="B773" s="22" t="str">
        <f>"3328054107720109"</f>
        <v>3328054107720109</v>
      </c>
      <c r="C773" s="22" t="str">
        <f t="shared" si="24"/>
        <v>'3328054107720109</v>
      </c>
      <c r="D773" s="22" t="str">
        <f t="shared" si="25"/>
        <v>tidak ganda</v>
      </c>
      <c r="E773" s="22" t="s">
        <v>1937</v>
      </c>
      <c r="F773" s="22" t="s">
        <v>10</v>
      </c>
      <c r="G773" s="22" t="s">
        <v>11</v>
      </c>
      <c r="H773" s="22" t="s">
        <v>44</v>
      </c>
      <c r="I773" s="22" t="s">
        <v>1833</v>
      </c>
      <c r="J773" s="22" t="s">
        <v>1834</v>
      </c>
      <c r="K773" s="23" t="s">
        <v>1835</v>
      </c>
    </row>
    <row r="774" spans="1:14" hidden="1" x14ac:dyDescent="0.35">
      <c r="A774" s="21">
        <v>1553231</v>
      </c>
      <c r="B774" s="22" t="str">
        <f>"3328054107770108"</f>
        <v>3328054107770108</v>
      </c>
      <c r="C774" s="22" t="str">
        <f t="shared" si="24"/>
        <v>'3328054107770108</v>
      </c>
      <c r="D774" s="22" t="str">
        <f t="shared" si="25"/>
        <v>tidak ganda</v>
      </c>
      <c r="E774" s="22" t="s">
        <v>1938</v>
      </c>
      <c r="F774" s="22" t="s">
        <v>10</v>
      </c>
      <c r="G774" s="22" t="s">
        <v>11</v>
      </c>
      <c r="H774" s="22" t="s">
        <v>18</v>
      </c>
      <c r="I774" s="22" t="s">
        <v>19</v>
      </c>
      <c r="J774" s="22" t="s">
        <v>1720</v>
      </c>
      <c r="K774" s="23" t="s">
        <v>1720</v>
      </c>
      <c r="L774" t="e">
        <f>VLOOKUP(B774,ubah!$B$2:$L$234,4,FALSE)</f>
        <v>#N/A</v>
      </c>
      <c r="M774" t="e">
        <f>VLOOKUP(B774,ubah!$B$2:$L$234,5,FALSE)</f>
        <v>#N/A</v>
      </c>
      <c r="N774" t="e">
        <f>VLOOKUP(B774,ubah!$B$2:$L$234,6,FALSE)</f>
        <v>#N/A</v>
      </c>
    </row>
    <row r="775" spans="1:14" hidden="1" x14ac:dyDescent="0.35">
      <c r="A775" s="21">
        <v>2119958</v>
      </c>
      <c r="B775" s="22" t="str">
        <f>"3328054205010001"</f>
        <v>3328054205010001</v>
      </c>
      <c r="C775" s="22" t="str">
        <f t="shared" si="24"/>
        <v>'3328054205010001</v>
      </c>
      <c r="D775" s="22" t="str">
        <f t="shared" si="25"/>
        <v>tidak ganda</v>
      </c>
      <c r="E775" s="22" t="s">
        <v>1941</v>
      </c>
      <c r="F775" s="22" t="s">
        <v>10</v>
      </c>
      <c r="G775" s="22" t="s">
        <v>11</v>
      </c>
      <c r="H775" s="22" t="s">
        <v>18</v>
      </c>
      <c r="I775" s="22" t="s">
        <v>19</v>
      </c>
      <c r="J775" s="22" t="s">
        <v>1720</v>
      </c>
      <c r="K775" s="23" t="s">
        <v>1774</v>
      </c>
      <c r="L775" t="e">
        <f>VLOOKUP(B775,ubah!$B$2:$L$234,4,FALSE)</f>
        <v>#N/A</v>
      </c>
      <c r="M775" t="e">
        <f>VLOOKUP(B775,ubah!$B$2:$L$234,5,FALSE)</f>
        <v>#N/A</v>
      </c>
      <c r="N775" t="e">
        <f>VLOOKUP(B775,ubah!$B$2:$L$234,6,FALSE)</f>
        <v>#N/A</v>
      </c>
    </row>
    <row r="776" spans="1:14" hidden="1" x14ac:dyDescent="0.35">
      <c r="A776" s="21">
        <v>1284214</v>
      </c>
      <c r="B776" s="22" t="str">
        <f>"3328054311960001"</f>
        <v>3328054311960001</v>
      </c>
      <c r="C776" s="22" t="str">
        <f t="shared" si="24"/>
        <v>'3328054311960001</v>
      </c>
      <c r="D776" s="22" t="str">
        <f t="shared" si="25"/>
        <v>tidak ganda</v>
      </c>
      <c r="E776" s="22" t="s">
        <v>1945</v>
      </c>
      <c r="F776" s="22" t="s">
        <v>10</v>
      </c>
      <c r="G776" s="22" t="s">
        <v>11</v>
      </c>
      <c r="H776" s="22" t="s">
        <v>18</v>
      </c>
      <c r="I776" s="22" t="s">
        <v>264</v>
      </c>
      <c r="J776" s="22" t="s">
        <v>265</v>
      </c>
      <c r="K776" s="23" t="s">
        <v>1598</v>
      </c>
    </row>
    <row r="777" spans="1:14" hidden="1" x14ac:dyDescent="0.35">
      <c r="A777" s="21">
        <v>1582520</v>
      </c>
      <c r="B777" s="22" t="str">
        <f>"3328054403940005"</f>
        <v>3328054403940005</v>
      </c>
      <c r="C777" s="22" t="str">
        <f t="shared" si="24"/>
        <v>'3328054403940005</v>
      </c>
      <c r="D777" s="22" t="str">
        <f t="shared" si="25"/>
        <v>tidak ganda</v>
      </c>
      <c r="E777" s="22" t="s">
        <v>1946</v>
      </c>
      <c r="F777" s="22" t="s">
        <v>10</v>
      </c>
      <c r="G777" s="22" t="s">
        <v>11</v>
      </c>
      <c r="H777" s="22" t="s">
        <v>50</v>
      </c>
      <c r="I777" s="22" t="s">
        <v>86</v>
      </c>
      <c r="J777" s="22" t="s">
        <v>445</v>
      </c>
      <c r="K777" s="23" t="s">
        <v>1947</v>
      </c>
    </row>
    <row r="778" spans="1:14" hidden="1" x14ac:dyDescent="0.35">
      <c r="A778" s="21">
        <v>2142642</v>
      </c>
      <c r="B778" s="22" t="str">
        <f>"3328054405800001"</f>
        <v>3328054405800001</v>
      </c>
      <c r="C778" s="22" t="str">
        <f t="shared" si="24"/>
        <v>'3328054405800001</v>
      </c>
      <c r="D778" s="22" t="str">
        <f t="shared" si="25"/>
        <v>tidak ganda</v>
      </c>
      <c r="E778" s="22" t="s">
        <v>1949</v>
      </c>
      <c r="F778" s="22" t="s">
        <v>10</v>
      </c>
      <c r="G778" s="22" t="s">
        <v>11</v>
      </c>
      <c r="H778" s="22" t="s">
        <v>18</v>
      </c>
      <c r="I778" s="22" t="s">
        <v>19</v>
      </c>
      <c r="J778" s="22" t="s">
        <v>1720</v>
      </c>
      <c r="K778" s="23" t="s">
        <v>1737</v>
      </c>
      <c r="L778" t="e">
        <f>VLOOKUP(B778,ubah!$B$2:$L$234,4,FALSE)</f>
        <v>#N/A</v>
      </c>
      <c r="M778" t="e">
        <f>VLOOKUP(B778,ubah!$B$2:$L$234,5,FALSE)</f>
        <v>#N/A</v>
      </c>
      <c r="N778" t="e">
        <f>VLOOKUP(B778,ubah!$B$2:$L$234,6,FALSE)</f>
        <v>#N/A</v>
      </c>
    </row>
    <row r="779" spans="1:14" hidden="1" x14ac:dyDescent="0.35">
      <c r="A779" s="21">
        <v>1433938</v>
      </c>
      <c r="B779" s="22" t="str">
        <f>"3328054411680001"</f>
        <v>3328054411680001</v>
      </c>
      <c r="C779" s="22" t="str">
        <f t="shared" si="24"/>
        <v>'3328054411680001</v>
      </c>
      <c r="D779" s="22" t="str">
        <f t="shared" si="25"/>
        <v>tidak ganda</v>
      </c>
      <c r="E779" s="22" t="s">
        <v>1950</v>
      </c>
      <c r="F779" s="22" t="s">
        <v>10</v>
      </c>
      <c r="G779" s="22" t="s">
        <v>11</v>
      </c>
      <c r="H779" s="22" t="s">
        <v>50</v>
      </c>
      <c r="I779" s="22" t="s">
        <v>58</v>
      </c>
      <c r="J779" s="22" t="s">
        <v>1747</v>
      </c>
      <c r="K779" s="23" t="s">
        <v>1748</v>
      </c>
    </row>
    <row r="780" spans="1:14" hidden="1" x14ac:dyDescent="0.35">
      <c r="A780" s="21">
        <v>2132753</v>
      </c>
      <c r="B780" s="22" t="str">
        <f>"3328054506920005"</f>
        <v>3328054506920005</v>
      </c>
      <c r="C780" s="22" t="str">
        <f t="shared" si="24"/>
        <v>'3328054506920005</v>
      </c>
      <c r="D780" s="22" t="str">
        <f t="shared" si="25"/>
        <v>tidak ganda</v>
      </c>
      <c r="E780" s="22" t="s">
        <v>1951</v>
      </c>
      <c r="F780" s="22" t="s">
        <v>10</v>
      </c>
      <c r="G780" s="22" t="s">
        <v>11</v>
      </c>
      <c r="H780" s="22" t="s">
        <v>18</v>
      </c>
      <c r="I780" s="22" t="s">
        <v>19</v>
      </c>
      <c r="J780" s="22" t="s">
        <v>1720</v>
      </c>
      <c r="K780" s="23" t="s">
        <v>1727</v>
      </c>
      <c r="L780" t="e">
        <f>VLOOKUP(B780,ubah!$B$2:$L$234,4,FALSE)</f>
        <v>#N/A</v>
      </c>
      <c r="M780" t="e">
        <f>VLOOKUP(B780,ubah!$B$2:$L$234,5,FALSE)</f>
        <v>#N/A</v>
      </c>
      <c r="N780" t="e">
        <f>VLOOKUP(B780,ubah!$B$2:$L$234,6,FALSE)</f>
        <v>#N/A</v>
      </c>
    </row>
    <row r="781" spans="1:14" hidden="1" x14ac:dyDescent="0.35">
      <c r="A781" s="21">
        <v>2119960</v>
      </c>
      <c r="B781" s="22" t="str">
        <f>"3328054506950001"</f>
        <v>3328054506950001</v>
      </c>
      <c r="C781" s="22" t="str">
        <f t="shared" si="24"/>
        <v>'3328054506950001</v>
      </c>
      <c r="D781" s="22" t="str">
        <f t="shared" si="25"/>
        <v>tidak ganda</v>
      </c>
      <c r="E781" s="22" t="s">
        <v>1953</v>
      </c>
      <c r="F781" s="22" t="s">
        <v>10</v>
      </c>
      <c r="G781" s="22" t="s">
        <v>11</v>
      </c>
      <c r="H781" s="22" t="s">
        <v>18</v>
      </c>
      <c r="I781" s="22" t="s">
        <v>19</v>
      </c>
      <c r="J781" s="22" t="s">
        <v>1720</v>
      </c>
      <c r="K781" s="23" t="s">
        <v>1774</v>
      </c>
      <c r="L781" t="e">
        <f>VLOOKUP(B781,ubah!$B$2:$L$234,4,FALSE)</f>
        <v>#N/A</v>
      </c>
      <c r="M781" t="e">
        <f>VLOOKUP(B781,ubah!$B$2:$L$234,5,FALSE)</f>
        <v>#N/A</v>
      </c>
      <c r="N781" t="e">
        <f>VLOOKUP(B781,ubah!$B$2:$L$234,6,FALSE)</f>
        <v>#N/A</v>
      </c>
    </row>
    <row r="782" spans="1:14" hidden="1" x14ac:dyDescent="0.35">
      <c r="A782" s="21">
        <v>1350259</v>
      </c>
      <c r="B782" s="22" t="str">
        <f>"3328054603900002"</f>
        <v>3328054603900002</v>
      </c>
      <c r="C782" s="22" t="str">
        <f t="shared" si="24"/>
        <v>'3328054603900002</v>
      </c>
      <c r="D782" s="22" t="str">
        <f t="shared" si="25"/>
        <v>tidak ganda</v>
      </c>
      <c r="E782" s="22" t="s">
        <v>1956</v>
      </c>
      <c r="F782" s="22" t="s">
        <v>10</v>
      </c>
      <c r="G782" s="22" t="s">
        <v>11</v>
      </c>
      <c r="H782" s="22" t="s">
        <v>18</v>
      </c>
      <c r="I782" s="22" t="s">
        <v>19</v>
      </c>
      <c r="J782" s="22" t="s">
        <v>1720</v>
      </c>
      <c r="K782" s="23" t="s">
        <v>789</v>
      </c>
      <c r="L782" t="e">
        <f>VLOOKUP(B782,ubah!$B$2:$L$234,4,FALSE)</f>
        <v>#N/A</v>
      </c>
      <c r="M782" t="e">
        <f>VLOOKUP(B782,ubah!$B$2:$L$234,5,FALSE)</f>
        <v>#N/A</v>
      </c>
      <c r="N782" t="e">
        <f>VLOOKUP(B782,ubah!$B$2:$L$234,6,FALSE)</f>
        <v>#N/A</v>
      </c>
    </row>
    <row r="783" spans="1:14" hidden="1" x14ac:dyDescent="0.35">
      <c r="A783" s="21">
        <v>126760</v>
      </c>
      <c r="B783" s="22" t="str">
        <f>"3328054607920001"</f>
        <v>3328054607920001</v>
      </c>
      <c r="C783" s="22" t="str">
        <f t="shared" si="24"/>
        <v>'3328054607920001</v>
      </c>
      <c r="D783" s="22" t="str">
        <f t="shared" si="25"/>
        <v>tidak ganda</v>
      </c>
      <c r="E783" s="22" t="s">
        <v>1958</v>
      </c>
      <c r="F783" s="22" t="s">
        <v>10</v>
      </c>
      <c r="G783" s="22" t="s">
        <v>11</v>
      </c>
      <c r="H783" s="22" t="s">
        <v>1959</v>
      </c>
      <c r="I783" s="22" t="s">
        <v>1960</v>
      </c>
      <c r="J783" s="22" t="s">
        <v>1961</v>
      </c>
      <c r="K783" s="23" t="s">
        <v>1962</v>
      </c>
    </row>
    <row r="784" spans="1:14" hidden="1" x14ac:dyDescent="0.35">
      <c r="A784" s="21">
        <v>790623</v>
      </c>
      <c r="B784" s="22" t="str">
        <f>"3328054608900009"</f>
        <v>3328054608900009</v>
      </c>
      <c r="C784" s="22" t="str">
        <f t="shared" si="24"/>
        <v>'3328054608900009</v>
      </c>
      <c r="D784" s="22" t="str">
        <f t="shared" si="25"/>
        <v>tidak ganda</v>
      </c>
      <c r="E784" s="22" t="s">
        <v>1963</v>
      </c>
      <c r="F784" s="22" t="s">
        <v>10</v>
      </c>
      <c r="G784" s="22" t="s">
        <v>11</v>
      </c>
      <c r="H784" s="22" t="s">
        <v>91</v>
      </c>
      <c r="I784" s="22" t="s">
        <v>320</v>
      </c>
      <c r="J784" s="22" t="s">
        <v>321</v>
      </c>
      <c r="K784" s="23" t="s">
        <v>1964</v>
      </c>
    </row>
    <row r="785" spans="1:14" hidden="1" x14ac:dyDescent="0.35">
      <c r="A785" s="21">
        <v>1358918</v>
      </c>
      <c r="B785" s="22" t="str">
        <f>"3328054802930001"</f>
        <v>3328054802930001</v>
      </c>
      <c r="C785" s="22" t="str">
        <f t="shared" si="24"/>
        <v>'3328054802930001</v>
      </c>
      <c r="D785" s="22" t="str">
        <f t="shared" si="25"/>
        <v>tidak ganda</v>
      </c>
      <c r="E785" s="22" t="s">
        <v>1965</v>
      </c>
      <c r="F785" s="22" t="s">
        <v>10</v>
      </c>
      <c r="G785" s="22" t="s">
        <v>11</v>
      </c>
      <c r="H785" s="22" t="s">
        <v>18</v>
      </c>
      <c r="I785" s="22" t="s">
        <v>19</v>
      </c>
      <c r="J785" s="22" t="s">
        <v>1720</v>
      </c>
      <c r="K785" s="23" t="s">
        <v>1740</v>
      </c>
      <c r="L785" t="e">
        <f>VLOOKUP(B785,ubah!$B$2:$L$234,4,FALSE)</f>
        <v>#N/A</v>
      </c>
      <c r="M785" t="e">
        <f>VLOOKUP(B785,ubah!$B$2:$L$234,5,FALSE)</f>
        <v>#N/A</v>
      </c>
      <c r="N785" t="e">
        <f>VLOOKUP(B785,ubah!$B$2:$L$234,6,FALSE)</f>
        <v>#N/A</v>
      </c>
    </row>
    <row r="786" spans="1:14" hidden="1" x14ac:dyDescent="0.35">
      <c r="A786" s="21">
        <v>1547787</v>
      </c>
      <c r="B786" s="22" t="str">
        <f>"3328054804930003"</f>
        <v>3328054804930003</v>
      </c>
      <c r="C786" s="22" t="str">
        <f t="shared" si="24"/>
        <v>'3328054804930003</v>
      </c>
      <c r="D786" s="22" t="str">
        <f t="shared" si="25"/>
        <v>tidak ganda</v>
      </c>
      <c r="E786" s="22" t="s">
        <v>1967</v>
      </c>
      <c r="F786" s="22" t="s">
        <v>10</v>
      </c>
      <c r="G786" s="22" t="s">
        <v>11</v>
      </c>
      <c r="H786" s="22" t="s">
        <v>18</v>
      </c>
      <c r="I786" s="22" t="s">
        <v>19</v>
      </c>
      <c r="J786" s="22" t="s">
        <v>1720</v>
      </c>
      <c r="K786" s="23" t="s">
        <v>1771</v>
      </c>
      <c r="L786" t="e">
        <f>VLOOKUP(B786,ubah!$B$2:$L$234,4,FALSE)</f>
        <v>#N/A</v>
      </c>
      <c r="M786" t="e">
        <f>VLOOKUP(B786,ubah!$B$2:$L$234,5,FALSE)</f>
        <v>#N/A</v>
      </c>
      <c r="N786" t="e">
        <f>VLOOKUP(B786,ubah!$B$2:$L$234,6,FALSE)</f>
        <v>#N/A</v>
      </c>
    </row>
    <row r="787" spans="1:14" hidden="1" x14ac:dyDescent="0.35">
      <c r="A787" s="21">
        <v>2144181</v>
      </c>
      <c r="B787" s="22" t="str">
        <f>"3328054808890001"</f>
        <v>3328054808890001</v>
      </c>
      <c r="C787" s="22" t="str">
        <f t="shared" si="24"/>
        <v>'3328054808890001</v>
      </c>
      <c r="D787" s="22" t="str">
        <f t="shared" si="25"/>
        <v>tidak ganda</v>
      </c>
      <c r="E787" s="22" t="s">
        <v>1969</v>
      </c>
      <c r="F787" s="22" t="s">
        <v>10</v>
      </c>
      <c r="G787" s="22" t="s">
        <v>11</v>
      </c>
      <c r="H787" s="22" t="s">
        <v>18</v>
      </c>
      <c r="I787" s="22" t="s">
        <v>19</v>
      </c>
      <c r="J787" s="22" t="s">
        <v>1720</v>
      </c>
      <c r="K787" s="23" t="s">
        <v>1857</v>
      </c>
      <c r="L787" t="e">
        <f>VLOOKUP(B787,ubah!$B$2:$L$234,4,FALSE)</f>
        <v>#N/A</v>
      </c>
      <c r="M787" t="e">
        <f>VLOOKUP(B787,ubah!$B$2:$L$234,5,FALSE)</f>
        <v>#N/A</v>
      </c>
      <c r="N787" t="e">
        <f>VLOOKUP(B787,ubah!$B$2:$L$234,6,FALSE)</f>
        <v>#N/A</v>
      </c>
    </row>
    <row r="788" spans="1:14" hidden="1" x14ac:dyDescent="0.35">
      <c r="A788" s="21">
        <v>325811</v>
      </c>
      <c r="B788" s="22" t="str">
        <f>"3328054906670001"</f>
        <v>3328054906670001</v>
      </c>
      <c r="C788" s="22" t="str">
        <f t="shared" si="24"/>
        <v>'3328054906670001</v>
      </c>
      <c r="D788" s="22" t="str">
        <f t="shared" si="25"/>
        <v>tidak ganda</v>
      </c>
      <c r="E788" s="22" t="s">
        <v>1971</v>
      </c>
      <c r="F788" s="22" t="s">
        <v>10</v>
      </c>
      <c r="G788" s="22" t="s">
        <v>11</v>
      </c>
      <c r="H788" s="22" t="s">
        <v>91</v>
      </c>
      <c r="I788" s="22" t="s">
        <v>438</v>
      </c>
      <c r="J788" s="22" t="s">
        <v>760</v>
      </c>
      <c r="K788" s="23" t="s">
        <v>1972</v>
      </c>
    </row>
    <row r="789" spans="1:14" hidden="1" x14ac:dyDescent="0.35">
      <c r="A789" s="21">
        <v>2141004</v>
      </c>
      <c r="B789" s="22" t="str">
        <f>"3328055001900005"</f>
        <v>3328055001900005</v>
      </c>
      <c r="C789" s="22" t="str">
        <f t="shared" si="24"/>
        <v>'3328055001900005</v>
      </c>
      <c r="D789" s="22" t="str">
        <f t="shared" si="25"/>
        <v>tidak ganda</v>
      </c>
      <c r="E789" s="22" t="s">
        <v>1973</v>
      </c>
      <c r="F789" s="22" t="s">
        <v>10</v>
      </c>
      <c r="G789" s="22" t="s">
        <v>11</v>
      </c>
      <c r="H789" s="22" t="s">
        <v>18</v>
      </c>
      <c r="I789" s="22" t="s">
        <v>19</v>
      </c>
      <c r="J789" s="22" t="s">
        <v>1720</v>
      </c>
      <c r="K789" s="23" t="s">
        <v>1737</v>
      </c>
      <c r="L789" t="e">
        <f>VLOOKUP(B789,ubah!$B$2:$L$234,4,FALSE)</f>
        <v>#N/A</v>
      </c>
      <c r="M789" t="e">
        <f>VLOOKUP(B789,ubah!$B$2:$L$234,5,FALSE)</f>
        <v>#N/A</v>
      </c>
      <c r="N789" t="e">
        <f>VLOOKUP(B789,ubah!$B$2:$L$234,6,FALSE)</f>
        <v>#N/A</v>
      </c>
    </row>
    <row r="790" spans="1:14" hidden="1" x14ac:dyDescent="0.35">
      <c r="A790" s="21">
        <v>1623169</v>
      </c>
      <c r="B790" s="22" t="str">
        <f>"3328055206980004"</f>
        <v>3328055206980004</v>
      </c>
      <c r="C790" s="22" t="str">
        <f t="shared" si="24"/>
        <v>'3328055206980004</v>
      </c>
      <c r="D790" s="22" t="str">
        <f t="shared" si="25"/>
        <v>tidak ganda</v>
      </c>
      <c r="E790" s="22" t="s">
        <v>1975</v>
      </c>
      <c r="F790" s="22" t="s">
        <v>10</v>
      </c>
      <c r="G790" s="22" t="s">
        <v>11</v>
      </c>
      <c r="H790" s="22" t="s">
        <v>18</v>
      </c>
      <c r="I790" s="22" t="s">
        <v>19</v>
      </c>
      <c r="J790" s="22" t="s">
        <v>1720</v>
      </c>
      <c r="K790" s="23" t="s">
        <v>1777</v>
      </c>
      <c r="L790" t="e">
        <f>VLOOKUP(B790,ubah!$B$2:$L$234,4,FALSE)</f>
        <v>#N/A</v>
      </c>
      <c r="M790" t="e">
        <f>VLOOKUP(B790,ubah!$B$2:$L$234,5,FALSE)</f>
        <v>#N/A</v>
      </c>
      <c r="N790" t="e">
        <f>VLOOKUP(B790,ubah!$B$2:$L$234,6,FALSE)</f>
        <v>#N/A</v>
      </c>
    </row>
    <row r="791" spans="1:14" hidden="1" x14ac:dyDescent="0.35">
      <c r="A791" s="21">
        <v>1719565</v>
      </c>
      <c r="B791" s="22" t="str">
        <f>"3328055212820001"</f>
        <v>3328055212820001</v>
      </c>
      <c r="C791" s="22" t="str">
        <f t="shared" si="24"/>
        <v>'3328055212820001</v>
      </c>
      <c r="D791" s="22" t="str">
        <f t="shared" si="25"/>
        <v>tidak ganda</v>
      </c>
      <c r="E791" s="22" t="s">
        <v>1977</v>
      </c>
      <c r="F791" s="22" t="s">
        <v>10</v>
      </c>
      <c r="G791" s="22" t="s">
        <v>11</v>
      </c>
      <c r="H791" s="22" t="s">
        <v>50</v>
      </c>
      <c r="I791" s="22" t="s">
        <v>86</v>
      </c>
      <c r="J791" s="22" t="s">
        <v>1268</v>
      </c>
      <c r="K791" s="23" t="s">
        <v>1978</v>
      </c>
    </row>
    <row r="792" spans="1:14" hidden="1" x14ac:dyDescent="0.35">
      <c r="A792" s="21">
        <v>876717</v>
      </c>
      <c r="B792" s="22" t="str">
        <f>"3328055402950002"</f>
        <v>3328055402950002</v>
      </c>
      <c r="C792" s="22" t="str">
        <f t="shared" si="24"/>
        <v>'3328055402950002</v>
      </c>
      <c r="D792" s="22" t="str">
        <f t="shared" si="25"/>
        <v>tidak ganda</v>
      </c>
      <c r="E792" s="22" t="s">
        <v>1980</v>
      </c>
      <c r="F792" s="22" t="s">
        <v>10</v>
      </c>
      <c r="G792" s="22" t="s">
        <v>11</v>
      </c>
      <c r="H792" s="22" t="s">
        <v>232</v>
      </c>
      <c r="I792" s="22" t="s">
        <v>1981</v>
      </c>
      <c r="J792" s="22" t="s">
        <v>1982</v>
      </c>
      <c r="K792" s="23" t="s">
        <v>1983</v>
      </c>
    </row>
    <row r="793" spans="1:14" hidden="1" x14ac:dyDescent="0.35">
      <c r="A793" s="21">
        <v>2145532</v>
      </c>
      <c r="B793" s="22" t="str">
        <f>"3328055404990003"</f>
        <v>3328055404990003</v>
      </c>
      <c r="C793" s="22" t="str">
        <f t="shared" si="24"/>
        <v>'3328055404990003</v>
      </c>
      <c r="D793" s="22" t="str">
        <f t="shared" si="25"/>
        <v>tidak ganda</v>
      </c>
      <c r="E793" s="22" t="s">
        <v>1984</v>
      </c>
      <c r="F793" s="22" t="s">
        <v>10</v>
      </c>
      <c r="G793" s="22" t="s">
        <v>11</v>
      </c>
      <c r="H793" s="22" t="s">
        <v>18</v>
      </c>
      <c r="I793" s="22" t="s">
        <v>19</v>
      </c>
      <c r="J793" s="22" t="s">
        <v>1720</v>
      </c>
      <c r="K793" s="23" t="s">
        <v>1857</v>
      </c>
      <c r="L793" t="e">
        <f>VLOOKUP(B793,ubah!$B$2:$L$234,4,FALSE)</f>
        <v>#N/A</v>
      </c>
      <c r="M793" t="e">
        <f>VLOOKUP(B793,ubah!$B$2:$L$234,5,FALSE)</f>
        <v>#N/A</v>
      </c>
      <c r="N793" t="e">
        <f>VLOOKUP(B793,ubah!$B$2:$L$234,6,FALSE)</f>
        <v>#N/A</v>
      </c>
    </row>
    <row r="794" spans="1:14" hidden="1" x14ac:dyDescent="0.35">
      <c r="A794" s="21">
        <v>1360972</v>
      </c>
      <c r="B794" s="22" t="str">
        <f>"3328055510010001"</f>
        <v>3328055510010001</v>
      </c>
      <c r="C794" s="22" t="str">
        <f t="shared" si="24"/>
        <v>'3328055510010001</v>
      </c>
      <c r="D794" s="22" t="str">
        <f t="shared" si="25"/>
        <v>tidak ganda</v>
      </c>
      <c r="E794" s="22" t="s">
        <v>1985</v>
      </c>
      <c r="F794" s="22" t="s">
        <v>10</v>
      </c>
      <c r="G794" s="22" t="s">
        <v>11</v>
      </c>
      <c r="H794" s="22" t="s">
        <v>18</v>
      </c>
      <c r="I794" s="22" t="s">
        <v>19</v>
      </c>
      <c r="J794" s="22" t="s">
        <v>1720</v>
      </c>
      <c r="K794" s="23" t="s">
        <v>1740</v>
      </c>
      <c r="L794" t="e">
        <f>VLOOKUP(B794,ubah!$B$2:$L$234,4,FALSE)</f>
        <v>#N/A</v>
      </c>
      <c r="M794" t="e">
        <f>VLOOKUP(B794,ubah!$B$2:$L$234,5,FALSE)</f>
        <v>#N/A</v>
      </c>
      <c r="N794" t="e">
        <f>VLOOKUP(B794,ubah!$B$2:$L$234,6,FALSE)</f>
        <v>#N/A</v>
      </c>
    </row>
    <row r="795" spans="1:14" hidden="1" x14ac:dyDescent="0.35">
      <c r="A795" s="21">
        <v>1349034</v>
      </c>
      <c r="B795" s="22" t="str">
        <f>"3328055606940001"</f>
        <v>3328055606940001</v>
      </c>
      <c r="C795" s="22" t="str">
        <f t="shared" si="24"/>
        <v>'3328055606940001</v>
      </c>
      <c r="D795" s="22" t="str">
        <f t="shared" si="25"/>
        <v>tidak ganda</v>
      </c>
      <c r="E795" s="22" t="s">
        <v>1990</v>
      </c>
      <c r="F795" s="22" t="s">
        <v>10</v>
      </c>
      <c r="G795" s="22" t="s">
        <v>11</v>
      </c>
      <c r="H795" s="22" t="s">
        <v>18</v>
      </c>
      <c r="I795" s="22" t="s">
        <v>19</v>
      </c>
      <c r="J795" s="22" t="s">
        <v>1720</v>
      </c>
      <c r="K795" s="23" t="s">
        <v>1381</v>
      </c>
      <c r="L795" t="e">
        <f>VLOOKUP(B795,ubah!$B$2:$L$234,4,FALSE)</f>
        <v>#N/A</v>
      </c>
      <c r="M795" t="e">
        <f>VLOOKUP(B795,ubah!$B$2:$L$234,5,FALSE)</f>
        <v>#N/A</v>
      </c>
      <c r="N795" t="e">
        <f>VLOOKUP(B795,ubah!$B$2:$L$234,6,FALSE)</f>
        <v>#N/A</v>
      </c>
    </row>
    <row r="796" spans="1:14" hidden="1" x14ac:dyDescent="0.35">
      <c r="A796" s="21">
        <v>1362019</v>
      </c>
      <c r="B796" s="22" t="str">
        <f>"3328055803970001"</f>
        <v>3328055803970001</v>
      </c>
      <c r="C796" s="22" t="str">
        <f t="shared" si="24"/>
        <v>'3328055803970001</v>
      </c>
      <c r="D796" s="22" t="str">
        <f t="shared" si="25"/>
        <v>tidak ganda</v>
      </c>
      <c r="E796" s="22" t="s">
        <v>1993</v>
      </c>
      <c r="F796" s="22" t="s">
        <v>10</v>
      </c>
      <c r="G796" s="22" t="s">
        <v>11</v>
      </c>
      <c r="H796" s="22" t="s">
        <v>18</v>
      </c>
      <c r="I796" s="22" t="s">
        <v>19</v>
      </c>
      <c r="J796" s="22" t="s">
        <v>1720</v>
      </c>
      <c r="K796" s="23" t="s">
        <v>1740</v>
      </c>
      <c r="L796" t="e">
        <f>VLOOKUP(B796,ubah!$B$2:$L$234,4,FALSE)</f>
        <v>#N/A</v>
      </c>
      <c r="M796" t="e">
        <f>VLOOKUP(B796,ubah!$B$2:$L$234,5,FALSE)</f>
        <v>#N/A</v>
      </c>
      <c r="N796" t="e">
        <f>VLOOKUP(B796,ubah!$B$2:$L$234,6,FALSE)</f>
        <v>#N/A</v>
      </c>
    </row>
    <row r="797" spans="1:14" hidden="1" x14ac:dyDescent="0.35">
      <c r="A797" s="21">
        <v>1365815</v>
      </c>
      <c r="B797" s="22" t="str">
        <f>"3328055806030004"</f>
        <v>3328055806030004</v>
      </c>
      <c r="C797" s="22" t="str">
        <f t="shared" si="24"/>
        <v>'3328055806030004</v>
      </c>
      <c r="D797" s="22" t="str">
        <f t="shared" si="25"/>
        <v>tidak ganda</v>
      </c>
      <c r="E797" s="22" t="s">
        <v>1996</v>
      </c>
      <c r="F797" s="22" t="s">
        <v>10</v>
      </c>
      <c r="G797" s="22" t="s">
        <v>11</v>
      </c>
      <c r="H797" s="22" t="s">
        <v>18</v>
      </c>
      <c r="I797" s="22" t="s">
        <v>19</v>
      </c>
      <c r="J797" s="22" t="s">
        <v>1720</v>
      </c>
      <c r="K797" s="23" t="s">
        <v>1740</v>
      </c>
      <c r="L797" t="e">
        <f>VLOOKUP(B797,ubah!$B$2:$L$234,4,FALSE)</f>
        <v>#N/A</v>
      </c>
      <c r="M797" t="e">
        <f>VLOOKUP(B797,ubah!$B$2:$L$234,5,FALSE)</f>
        <v>#N/A</v>
      </c>
      <c r="N797" t="e">
        <f>VLOOKUP(B797,ubah!$B$2:$L$234,6,FALSE)</f>
        <v>#N/A</v>
      </c>
    </row>
    <row r="798" spans="1:14" hidden="1" x14ac:dyDescent="0.35">
      <c r="A798" s="21">
        <v>1613874</v>
      </c>
      <c r="B798" s="22" t="str">
        <f>"3328055806950001"</f>
        <v>3328055806950001</v>
      </c>
      <c r="C798" s="22" t="str">
        <f t="shared" si="24"/>
        <v>'3328055806950001</v>
      </c>
      <c r="D798" s="22" t="str">
        <f t="shared" si="25"/>
        <v>tidak ganda</v>
      </c>
      <c r="E798" s="22" t="s">
        <v>1997</v>
      </c>
      <c r="F798" s="22" t="s">
        <v>10</v>
      </c>
      <c r="G798" s="22" t="s">
        <v>11</v>
      </c>
      <c r="H798" s="22" t="s">
        <v>18</v>
      </c>
      <c r="I798" s="22" t="s">
        <v>19</v>
      </c>
      <c r="J798" s="22" t="s">
        <v>1720</v>
      </c>
      <c r="K798" s="23" t="s">
        <v>1721</v>
      </c>
      <c r="L798" t="e">
        <f>VLOOKUP(B798,ubah!$B$2:$L$234,4,FALSE)</f>
        <v>#N/A</v>
      </c>
      <c r="M798" t="e">
        <f>VLOOKUP(B798,ubah!$B$2:$L$234,5,FALSE)</f>
        <v>#N/A</v>
      </c>
      <c r="N798" t="e">
        <f>VLOOKUP(B798,ubah!$B$2:$L$234,6,FALSE)</f>
        <v>#N/A</v>
      </c>
    </row>
    <row r="799" spans="1:14" hidden="1" x14ac:dyDescent="0.35">
      <c r="A799" s="21">
        <v>1602861</v>
      </c>
      <c r="B799" s="22" t="str">
        <f>"3328055908800002"</f>
        <v>3328055908800002</v>
      </c>
      <c r="C799" s="22" t="str">
        <f t="shared" si="24"/>
        <v>'3328055908800002</v>
      </c>
      <c r="D799" s="22" t="str">
        <f t="shared" si="25"/>
        <v>tidak ganda</v>
      </c>
      <c r="E799" s="22" t="s">
        <v>2000</v>
      </c>
      <c r="F799" s="22" t="s">
        <v>10</v>
      </c>
      <c r="G799" s="22" t="s">
        <v>11</v>
      </c>
      <c r="H799" s="22" t="s">
        <v>50</v>
      </c>
      <c r="I799" s="22" t="s">
        <v>72</v>
      </c>
      <c r="J799" s="22" t="s">
        <v>738</v>
      </c>
      <c r="K799" s="23" t="s">
        <v>2001</v>
      </c>
    </row>
    <row r="800" spans="1:14" hidden="1" x14ac:dyDescent="0.35">
      <c r="A800" s="21">
        <v>624646</v>
      </c>
      <c r="B800" s="22" t="str">
        <f>"3328055909900003"</f>
        <v>3328055909900003</v>
      </c>
      <c r="C800" s="22" t="str">
        <f t="shared" si="24"/>
        <v>'3328055909900003</v>
      </c>
      <c r="D800" s="22" t="str">
        <f t="shared" si="25"/>
        <v>tidak ganda</v>
      </c>
      <c r="E800" s="22" t="s">
        <v>2003</v>
      </c>
      <c r="F800" s="22" t="s">
        <v>10</v>
      </c>
      <c r="G800" s="22" t="s">
        <v>11</v>
      </c>
      <c r="H800" s="22" t="s">
        <v>18</v>
      </c>
      <c r="I800" s="22" t="s">
        <v>264</v>
      </c>
      <c r="J800" s="22" t="s">
        <v>264</v>
      </c>
      <c r="K800" s="23" t="s">
        <v>2004</v>
      </c>
    </row>
    <row r="801" spans="1:14" hidden="1" x14ac:dyDescent="0.35">
      <c r="A801" s="21">
        <v>121495</v>
      </c>
      <c r="B801" s="22" t="str">
        <f>"3328056004940005"</f>
        <v>3328056004940005</v>
      </c>
      <c r="C801" s="22" t="str">
        <f t="shared" si="24"/>
        <v>'3328056004940005</v>
      </c>
      <c r="D801" s="22" t="str">
        <f t="shared" si="25"/>
        <v>tidak ganda</v>
      </c>
      <c r="E801" s="22" t="s">
        <v>2005</v>
      </c>
      <c r="F801" s="22" t="s">
        <v>10</v>
      </c>
      <c r="G801" s="22" t="s">
        <v>11</v>
      </c>
      <c r="H801" s="22" t="s">
        <v>91</v>
      </c>
      <c r="I801" s="22" t="s">
        <v>159</v>
      </c>
      <c r="J801" s="22" t="s">
        <v>685</v>
      </c>
      <c r="K801" s="23" t="s">
        <v>686</v>
      </c>
    </row>
    <row r="802" spans="1:14" hidden="1" x14ac:dyDescent="0.35">
      <c r="A802" s="21">
        <v>1345336</v>
      </c>
      <c r="B802" s="22" t="str">
        <f>"3328056006850005"</f>
        <v>3328056006850005</v>
      </c>
      <c r="C802" s="22" t="str">
        <f t="shared" si="24"/>
        <v>'3328056006850005</v>
      </c>
      <c r="D802" s="22" t="str">
        <f t="shared" si="25"/>
        <v>tidak ganda</v>
      </c>
      <c r="E802" s="22" t="s">
        <v>2006</v>
      </c>
      <c r="F802" s="22" t="s">
        <v>10</v>
      </c>
      <c r="G802" s="22" t="s">
        <v>11</v>
      </c>
      <c r="H802" s="22" t="s">
        <v>18</v>
      </c>
      <c r="I802" s="22" t="s">
        <v>264</v>
      </c>
      <c r="J802" s="22" t="s">
        <v>265</v>
      </c>
      <c r="K802" s="23" t="s">
        <v>2007</v>
      </c>
    </row>
    <row r="803" spans="1:14" hidden="1" x14ac:dyDescent="0.35">
      <c r="A803" s="21">
        <v>3816321</v>
      </c>
      <c r="B803" s="22" t="str">
        <f>"3328056006880003"</f>
        <v>3328056006880003</v>
      </c>
      <c r="C803" s="22" t="str">
        <f t="shared" si="24"/>
        <v>'3328056006880003</v>
      </c>
      <c r="D803" s="22" t="str">
        <f t="shared" si="25"/>
        <v>tidak ganda</v>
      </c>
      <c r="E803" s="22" t="s">
        <v>2009</v>
      </c>
      <c r="F803" s="22" t="s">
        <v>10</v>
      </c>
      <c r="G803" s="22" t="s">
        <v>11</v>
      </c>
      <c r="H803" s="22" t="s">
        <v>91</v>
      </c>
      <c r="I803" s="22" t="s">
        <v>650</v>
      </c>
      <c r="J803" s="22" t="s">
        <v>1752</v>
      </c>
      <c r="K803" s="23" t="s">
        <v>1753</v>
      </c>
    </row>
    <row r="804" spans="1:14" hidden="1" x14ac:dyDescent="0.35">
      <c r="A804" s="21">
        <v>1549228</v>
      </c>
      <c r="B804" s="22" t="str">
        <f>"3328056006920001"</f>
        <v>3328056006920001</v>
      </c>
      <c r="C804" s="22" t="str">
        <f t="shared" si="24"/>
        <v>'3328056006920001</v>
      </c>
      <c r="D804" s="22" t="str">
        <f t="shared" si="25"/>
        <v>tidak ganda</v>
      </c>
      <c r="E804" s="22" t="s">
        <v>2010</v>
      </c>
      <c r="F804" s="22" t="s">
        <v>10</v>
      </c>
      <c r="G804" s="22" t="s">
        <v>11</v>
      </c>
      <c r="H804" s="22" t="s">
        <v>18</v>
      </c>
      <c r="I804" s="22" t="s">
        <v>19</v>
      </c>
      <c r="J804" s="22" t="s">
        <v>1720</v>
      </c>
      <c r="K804" s="23" t="s">
        <v>1771</v>
      </c>
      <c r="L804" t="e">
        <f>VLOOKUP(B804,ubah!$B$2:$L$234,4,FALSE)</f>
        <v>#N/A</v>
      </c>
      <c r="M804" t="e">
        <f>VLOOKUP(B804,ubah!$B$2:$L$234,5,FALSE)</f>
        <v>#N/A</v>
      </c>
      <c r="N804" t="e">
        <f>VLOOKUP(B804,ubah!$B$2:$L$234,6,FALSE)</f>
        <v>#N/A</v>
      </c>
    </row>
    <row r="805" spans="1:14" hidden="1" x14ac:dyDescent="0.35">
      <c r="A805" s="21">
        <v>1624253</v>
      </c>
      <c r="B805" s="22" t="str">
        <f>"3328056104960003"</f>
        <v>3328056104960003</v>
      </c>
      <c r="C805" s="22" t="str">
        <f t="shared" si="24"/>
        <v>'3328056104960003</v>
      </c>
      <c r="D805" s="22" t="str">
        <f t="shared" si="25"/>
        <v>tidak ganda</v>
      </c>
      <c r="E805" s="22" t="s">
        <v>2011</v>
      </c>
      <c r="F805" s="22" t="s">
        <v>10</v>
      </c>
      <c r="G805" s="22" t="s">
        <v>11</v>
      </c>
      <c r="H805" s="22" t="s">
        <v>18</v>
      </c>
      <c r="I805" s="22" t="s">
        <v>19</v>
      </c>
      <c r="J805" s="22" t="s">
        <v>1720</v>
      </c>
      <c r="K805" s="23" t="s">
        <v>1777</v>
      </c>
      <c r="L805" t="e">
        <f>VLOOKUP(B805,ubah!$B$2:$L$234,4,FALSE)</f>
        <v>#N/A</v>
      </c>
      <c r="M805" t="e">
        <f>VLOOKUP(B805,ubah!$B$2:$L$234,5,FALSE)</f>
        <v>#N/A</v>
      </c>
      <c r="N805" t="e">
        <f>VLOOKUP(B805,ubah!$B$2:$L$234,6,FALSE)</f>
        <v>#N/A</v>
      </c>
    </row>
    <row r="806" spans="1:14" hidden="1" x14ac:dyDescent="0.35">
      <c r="A806" s="21">
        <v>1350701</v>
      </c>
      <c r="B806" s="22" t="str">
        <f>"3328056309990005"</f>
        <v>3328056309990005</v>
      </c>
      <c r="C806" s="22" t="str">
        <f t="shared" si="24"/>
        <v>'3328056309990005</v>
      </c>
      <c r="D806" s="22" t="str">
        <f t="shared" si="25"/>
        <v>tidak ganda</v>
      </c>
      <c r="E806" s="22" t="s">
        <v>2014</v>
      </c>
      <c r="F806" s="22" t="s">
        <v>10</v>
      </c>
      <c r="G806" s="22" t="s">
        <v>11</v>
      </c>
      <c r="H806" s="22" t="s">
        <v>18</v>
      </c>
      <c r="I806" s="22" t="s">
        <v>19</v>
      </c>
      <c r="J806" s="22" t="s">
        <v>1720</v>
      </c>
      <c r="K806" s="23" t="s">
        <v>789</v>
      </c>
      <c r="L806" t="e">
        <f>VLOOKUP(B806,ubah!$B$2:$L$234,4,FALSE)</f>
        <v>#N/A</v>
      </c>
      <c r="M806" t="e">
        <f>VLOOKUP(B806,ubah!$B$2:$L$234,5,FALSE)</f>
        <v>#N/A</v>
      </c>
      <c r="N806" t="e">
        <f>VLOOKUP(B806,ubah!$B$2:$L$234,6,FALSE)</f>
        <v>#N/A</v>
      </c>
    </row>
    <row r="807" spans="1:14" hidden="1" x14ac:dyDescent="0.35">
      <c r="A807" s="21">
        <v>690208</v>
      </c>
      <c r="B807" s="22" t="str">
        <f>"3328056401840004"</f>
        <v>3328056401840004</v>
      </c>
      <c r="C807" s="22" t="str">
        <f t="shared" si="24"/>
        <v>'3328056401840004</v>
      </c>
      <c r="D807" s="22" t="str">
        <f t="shared" si="25"/>
        <v>tidak ganda</v>
      </c>
      <c r="E807" s="22" t="s">
        <v>2017</v>
      </c>
      <c r="F807" s="22" t="s">
        <v>10</v>
      </c>
      <c r="G807" s="22" t="s">
        <v>11</v>
      </c>
      <c r="H807" s="22" t="s">
        <v>50</v>
      </c>
      <c r="I807" s="22" t="s">
        <v>280</v>
      </c>
      <c r="J807" s="22" t="s">
        <v>402</v>
      </c>
      <c r="K807" s="23" t="s">
        <v>1249</v>
      </c>
    </row>
    <row r="808" spans="1:14" hidden="1" x14ac:dyDescent="0.35">
      <c r="A808" s="21">
        <v>1784028</v>
      </c>
      <c r="B808" s="22" t="str">
        <f>"3328056406030001"</f>
        <v>3328056406030001</v>
      </c>
      <c r="C808" s="22" t="str">
        <f t="shared" si="24"/>
        <v>'3328056406030001</v>
      </c>
      <c r="D808" s="22" t="str">
        <f t="shared" si="25"/>
        <v>tidak ganda</v>
      </c>
      <c r="E808" s="22" t="s">
        <v>2019</v>
      </c>
      <c r="F808" s="22" t="s">
        <v>10</v>
      </c>
      <c r="G808" s="22" t="s">
        <v>11</v>
      </c>
      <c r="H808" s="22" t="s">
        <v>50</v>
      </c>
      <c r="I808" s="22" t="s">
        <v>86</v>
      </c>
      <c r="J808" s="22" t="s">
        <v>445</v>
      </c>
      <c r="K808" s="23" t="s">
        <v>1848</v>
      </c>
    </row>
    <row r="809" spans="1:14" hidden="1" x14ac:dyDescent="0.35">
      <c r="A809" s="21">
        <v>1546737</v>
      </c>
      <c r="B809" s="22" t="str">
        <f>"3328056505940005"</f>
        <v>3328056505940005</v>
      </c>
      <c r="C809" s="22" t="str">
        <f t="shared" si="24"/>
        <v>'3328056505940005</v>
      </c>
      <c r="D809" s="22" t="str">
        <f t="shared" si="25"/>
        <v>tidak ganda</v>
      </c>
      <c r="E809" s="22" t="s">
        <v>2021</v>
      </c>
      <c r="F809" s="22" t="s">
        <v>10</v>
      </c>
      <c r="G809" s="22" t="s">
        <v>11</v>
      </c>
      <c r="H809" s="22" t="s">
        <v>50</v>
      </c>
      <c r="I809" s="22" t="s">
        <v>86</v>
      </c>
      <c r="J809" s="22" t="s">
        <v>1268</v>
      </c>
      <c r="K809" s="23" t="s">
        <v>1978</v>
      </c>
    </row>
    <row r="810" spans="1:14" hidden="1" x14ac:dyDescent="0.35">
      <c r="A810" s="21">
        <v>1614064</v>
      </c>
      <c r="B810" s="22" t="str">
        <f>"3328056509760001"</f>
        <v>3328056509760001</v>
      </c>
      <c r="C810" s="22" t="str">
        <f t="shared" si="24"/>
        <v>'3328056509760001</v>
      </c>
      <c r="D810" s="22" t="str">
        <f t="shared" si="25"/>
        <v>tidak ganda</v>
      </c>
      <c r="E810" s="22" t="s">
        <v>2023</v>
      </c>
      <c r="F810" s="22" t="s">
        <v>10</v>
      </c>
      <c r="G810" s="22" t="s">
        <v>11</v>
      </c>
      <c r="H810" s="22" t="s">
        <v>18</v>
      </c>
      <c r="I810" s="22" t="s">
        <v>19</v>
      </c>
      <c r="J810" s="22" t="s">
        <v>1720</v>
      </c>
      <c r="K810" s="23" t="s">
        <v>1721</v>
      </c>
      <c r="L810" t="e">
        <f>VLOOKUP(B810,ubah!$B$2:$L$234,4,FALSE)</f>
        <v>#N/A</v>
      </c>
      <c r="M810" t="e">
        <f>VLOOKUP(B810,ubah!$B$2:$L$234,5,FALSE)</f>
        <v>#N/A</v>
      </c>
      <c r="N810" t="e">
        <f>VLOOKUP(B810,ubah!$B$2:$L$234,6,FALSE)</f>
        <v>#N/A</v>
      </c>
    </row>
    <row r="811" spans="1:14" hidden="1" x14ac:dyDescent="0.35">
      <c r="A811" s="21">
        <v>1360493</v>
      </c>
      <c r="B811" s="22" t="str">
        <f>"3328056512940002"</f>
        <v>3328056512940002</v>
      </c>
      <c r="C811" s="22" t="str">
        <f t="shared" si="24"/>
        <v>'3328056512940002</v>
      </c>
      <c r="D811" s="22" t="str">
        <f t="shared" si="25"/>
        <v>tidak ganda</v>
      </c>
      <c r="E811" s="22" t="s">
        <v>2024</v>
      </c>
      <c r="F811" s="22" t="s">
        <v>10</v>
      </c>
      <c r="G811" s="22" t="s">
        <v>11</v>
      </c>
      <c r="H811" s="22" t="s">
        <v>18</v>
      </c>
      <c r="I811" s="22" t="s">
        <v>19</v>
      </c>
      <c r="J811" s="22" t="s">
        <v>1720</v>
      </c>
      <c r="K811" s="23" t="s">
        <v>1740</v>
      </c>
      <c r="L811" t="e">
        <f>VLOOKUP(B811,ubah!$B$2:$L$234,4,FALSE)</f>
        <v>#N/A</v>
      </c>
      <c r="M811" t="e">
        <f>VLOOKUP(B811,ubah!$B$2:$L$234,5,FALSE)</f>
        <v>#N/A</v>
      </c>
      <c r="N811" t="e">
        <f>VLOOKUP(B811,ubah!$B$2:$L$234,6,FALSE)</f>
        <v>#N/A</v>
      </c>
    </row>
    <row r="812" spans="1:14" hidden="1" x14ac:dyDescent="0.35">
      <c r="A812" s="21">
        <v>2059114</v>
      </c>
      <c r="B812" s="22" t="str">
        <f>"3328056703730003"</f>
        <v>3328056703730003</v>
      </c>
      <c r="C812" s="22" t="str">
        <f t="shared" si="24"/>
        <v>'3328056703730003</v>
      </c>
      <c r="D812" s="22" t="str">
        <f t="shared" si="25"/>
        <v>tidak ganda</v>
      </c>
      <c r="E812" s="22" t="s">
        <v>2026</v>
      </c>
      <c r="F812" s="22" t="s">
        <v>10</v>
      </c>
      <c r="G812" s="22" t="s">
        <v>11</v>
      </c>
      <c r="H812" s="22" t="s">
        <v>50</v>
      </c>
      <c r="I812" s="22" t="s">
        <v>58</v>
      </c>
      <c r="J812" s="22" t="s">
        <v>1742</v>
      </c>
      <c r="K812" s="23" t="s">
        <v>1742</v>
      </c>
    </row>
    <row r="813" spans="1:14" hidden="1" x14ac:dyDescent="0.35">
      <c r="A813" s="21">
        <v>1553682</v>
      </c>
      <c r="B813" s="22" t="str">
        <f>"3328056706760002"</f>
        <v>3328056706760002</v>
      </c>
      <c r="C813" s="22" t="str">
        <f t="shared" si="24"/>
        <v>'3328056706760002</v>
      </c>
      <c r="D813" s="22" t="str">
        <f t="shared" si="25"/>
        <v>tidak ganda</v>
      </c>
      <c r="E813" s="22" t="s">
        <v>2027</v>
      </c>
      <c r="F813" s="22" t="s">
        <v>10</v>
      </c>
      <c r="G813" s="22" t="s">
        <v>11</v>
      </c>
      <c r="H813" s="22" t="s">
        <v>18</v>
      </c>
      <c r="I813" s="22" t="s">
        <v>19</v>
      </c>
      <c r="J813" s="22" t="s">
        <v>1720</v>
      </c>
      <c r="K813" s="23" t="s">
        <v>1720</v>
      </c>
      <c r="L813" t="e">
        <f>VLOOKUP(B813,ubah!$B$2:$L$234,4,FALSE)</f>
        <v>#N/A</v>
      </c>
      <c r="M813" t="e">
        <f>VLOOKUP(B813,ubah!$B$2:$L$234,5,FALSE)</f>
        <v>#N/A</v>
      </c>
      <c r="N813" t="e">
        <f>VLOOKUP(B813,ubah!$B$2:$L$234,6,FALSE)</f>
        <v>#N/A</v>
      </c>
    </row>
    <row r="814" spans="1:14" hidden="1" x14ac:dyDescent="0.35">
      <c r="A814" s="21">
        <v>2383650</v>
      </c>
      <c r="B814" s="22" t="str">
        <f>"3328056804900003"</f>
        <v>3328056804900003</v>
      </c>
      <c r="C814" s="22" t="str">
        <f t="shared" si="24"/>
        <v>'3328056804900003</v>
      </c>
      <c r="D814" s="22" t="str">
        <f t="shared" si="25"/>
        <v>tidak ganda</v>
      </c>
      <c r="E814" s="22" t="s">
        <v>2028</v>
      </c>
      <c r="F814" s="22" t="s">
        <v>10</v>
      </c>
      <c r="G814" s="22" t="s">
        <v>11</v>
      </c>
      <c r="H814" s="22" t="s">
        <v>50</v>
      </c>
      <c r="I814" s="22" t="s">
        <v>58</v>
      </c>
      <c r="J814" s="22" t="s">
        <v>417</v>
      </c>
      <c r="K814" s="23" t="s">
        <v>59</v>
      </c>
    </row>
    <row r="815" spans="1:14" hidden="1" x14ac:dyDescent="0.35">
      <c r="A815" s="21">
        <v>1382866</v>
      </c>
      <c r="B815" s="22" t="str">
        <f>"3328056912970002"</f>
        <v>3328056912970002</v>
      </c>
      <c r="C815" s="22" t="str">
        <f t="shared" si="24"/>
        <v>'3328056912970002</v>
      </c>
      <c r="D815" s="22" t="str">
        <f t="shared" si="25"/>
        <v>tidak ganda</v>
      </c>
      <c r="E815" s="22" t="s">
        <v>2029</v>
      </c>
      <c r="F815" s="22" t="s">
        <v>10</v>
      </c>
      <c r="G815" s="22" t="s">
        <v>11</v>
      </c>
      <c r="H815" s="22" t="s">
        <v>18</v>
      </c>
      <c r="I815" s="22" t="s">
        <v>264</v>
      </c>
      <c r="J815" s="22" t="s">
        <v>265</v>
      </c>
      <c r="K815" s="23" t="s">
        <v>1628</v>
      </c>
    </row>
    <row r="816" spans="1:14" hidden="1" x14ac:dyDescent="0.35">
      <c r="A816" s="21">
        <v>2141747</v>
      </c>
      <c r="B816" s="22" t="str">
        <f>"3328057008000001"</f>
        <v>3328057008000001</v>
      </c>
      <c r="C816" s="22" t="str">
        <f t="shared" si="24"/>
        <v>'3328057008000001</v>
      </c>
      <c r="D816" s="22" t="str">
        <f t="shared" si="25"/>
        <v>tidak ganda</v>
      </c>
      <c r="E816" s="22" t="s">
        <v>2031</v>
      </c>
      <c r="F816" s="22" t="s">
        <v>10</v>
      </c>
      <c r="G816" s="22" t="s">
        <v>11</v>
      </c>
      <c r="H816" s="22" t="s">
        <v>18</v>
      </c>
      <c r="I816" s="22" t="s">
        <v>19</v>
      </c>
      <c r="J816" s="22" t="s">
        <v>1720</v>
      </c>
      <c r="K816" s="23" t="s">
        <v>1737</v>
      </c>
      <c r="L816" t="e">
        <f>VLOOKUP(B816,ubah!$B$2:$L$234,4,FALSE)</f>
        <v>#N/A</v>
      </c>
      <c r="M816" t="e">
        <f>VLOOKUP(B816,ubah!$B$2:$L$234,5,FALSE)</f>
        <v>#N/A</v>
      </c>
      <c r="N816" t="e">
        <f>VLOOKUP(B816,ubah!$B$2:$L$234,6,FALSE)</f>
        <v>#N/A</v>
      </c>
    </row>
    <row r="817" spans="1:14" hidden="1" x14ac:dyDescent="0.35">
      <c r="A817" s="21">
        <v>1364437</v>
      </c>
      <c r="B817" s="22" t="str">
        <f>"3328057112630019"</f>
        <v>3328057112630019</v>
      </c>
      <c r="C817" s="22" t="str">
        <f t="shared" si="24"/>
        <v>'3328057112630019</v>
      </c>
      <c r="D817" s="22" t="str">
        <f t="shared" si="25"/>
        <v>tidak ganda</v>
      </c>
      <c r="E817" s="22" t="s">
        <v>2032</v>
      </c>
      <c r="F817" s="22" t="s">
        <v>10</v>
      </c>
      <c r="G817" s="22" t="s">
        <v>11</v>
      </c>
      <c r="H817" s="22" t="s">
        <v>18</v>
      </c>
      <c r="I817" s="22" t="s">
        <v>19</v>
      </c>
      <c r="J817" s="22" t="s">
        <v>1720</v>
      </c>
      <c r="K817" s="23" t="s">
        <v>1740</v>
      </c>
      <c r="L817" t="e">
        <f>VLOOKUP(B817,ubah!$B$2:$L$234,4,FALSE)</f>
        <v>#N/A</v>
      </c>
      <c r="M817" t="e">
        <f>VLOOKUP(B817,ubah!$B$2:$L$234,5,FALSE)</f>
        <v>#N/A</v>
      </c>
      <c r="N817" t="e">
        <f>VLOOKUP(B817,ubah!$B$2:$L$234,6,FALSE)</f>
        <v>#N/A</v>
      </c>
    </row>
    <row r="818" spans="1:14" hidden="1" x14ac:dyDescent="0.35">
      <c r="A818" s="21">
        <v>126761</v>
      </c>
      <c r="B818" s="22" t="str">
        <f>"3328110501850010"</f>
        <v>3328110501850010</v>
      </c>
      <c r="C818" s="22" t="str">
        <f t="shared" si="24"/>
        <v>'3328110501850010</v>
      </c>
      <c r="D818" s="22" t="str">
        <f t="shared" si="25"/>
        <v>tidak ganda</v>
      </c>
      <c r="E818" s="22" t="s">
        <v>2034</v>
      </c>
      <c r="F818" s="22" t="s">
        <v>10</v>
      </c>
      <c r="G818" s="22" t="s">
        <v>11</v>
      </c>
      <c r="H818" s="22" t="s">
        <v>1959</v>
      </c>
      <c r="I818" s="22" t="s">
        <v>1960</v>
      </c>
      <c r="J818" s="22" t="s">
        <v>1961</v>
      </c>
      <c r="K818" s="23" t="s">
        <v>1962</v>
      </c>
    </row>
    <row r="819" spans="1:14" hidden="1" x14ac:dyDescent="0.35">
      <c r="A819" s="21">
        <v>2138772</v>
      </c>
      <c r="B819" s="22" t="str">
        <f>"3329035006930009"</f>
        <v>3329035006930009</v>
      </c>
      <c r="C819" s="22" t="str">
        <f t="shared" si="24"/>
        <v>'3329035006930009</v>
      </c>
      <c r="D819" s="22" t="str">
        <f t="shared" si="25"/>
        <v>tidak ganda</v>
      </c>
      <c r="E819" s="22" t="s">
        <v>1997</v>
      </c>
      <c r="F819" s="22" t="s">
        <v>10</v>
      </c>
      <c r="G819" s="22" t="s">
        <v>11</v>
      </c>
      <c r="H819" s="22" t="s">
        <v>18</v>
      </c>
      <c r="I819" s="22" t="s">
        <v>19</v>
      </c>
      <c r="J819" s="22" t="s">
        <v>1720</v>
      </c>
      <c r="K819" s="23" t="s">
        <v>1723</v>
      </c>
      <c r="L819" t="e">
        <f>VLOOKUP(B819,ubah!$B$2:$L$234,4,FALSE)</f>
        <v>#N/A</v>
      </c>
      <c r="M819" t="e">
        <f>VLOOKUP(B819,ubah!$B$2:$L$234,5,FALSE)</f>
        <v>#N/A</v>
      </c>
      <c r="N819" t="e">
        <f>VLOOKUP(B819,ubah!$B$2:$L$234,6,FALSE)</f>
        <v>#N/A</v>
      </c>
    </row>
    <row r="820" spans="1:14" hidden="1" x14ac:dyDescent="0.35">
      <c r="A820" s="21">
        <v>424483</v>
      </c>
      <c r="B820" s="22" t="str">
        <f>"3329040409930004"</f>
        <v>3329040409930004</v>
      </c>
      <c r="C820" s="22" t="str">
        <f t="shared" si="24"/>
        <v>'3329040409930004</v>
      </c>
      <c r="D820" s="22" t="str">
        <f t="shared" si="25"/>
        <v>tidak ganda</v>
      </c>
      <c r="E820" s="22" t="s">
        <v>2035</v>
      </c>
      <c r="F820" s="22" t="s">
        <v>10</v>
      </c>
      <c r="G820" s="22" t="s">
        <v>11</v>
      </c>
      <c r="H820" s="22" t="s">
        <v>18</v>
      </c>
      <c r="I820" s="22" t="s">
        <v>264</v>
      </c>
      <c r="J820" s="22" t="s">
        <v>396</v>
      </c>
      <c r="K820" s="23" t="s">
        <v>2036</v>
      </c>
    </row>
    <row r="821" spans="1:14" hidden="1" x14ac:dyDescent="0.35">
      <c r="A821" s="21">
        <v>1549380</v>
      </c>
      <c r="B821" s="22" t="str">
        <f>"3329040605970003"</f>
        <v>3329040605970003</v>
      </c>
      <c r="C821" s="22" t="str">
        <f t="shared" si="24"/>
        <v>'3329040605970003</v>
      </c>
      <c r="D821" s="22" t="str">
        <f t="shared" si="25"/>
        <v>tidak ganda</v>
      </c>
      <c r="E821" s="22" t="s">
        <v>2038</v>
      </c>
      <c r="F821" s="22" t="s">
        <v>10</v>
      </c>
      <c r="G821" s="22" t="s">
        <v>11</v>
      </c>
      <c r="H821" s="22" t="s">
        <v>18</v>
      </c>
      <c r="I821" s="22" t="s">
        <v>19</v>
      </c>
      <c r="J821" s="22" t="s">
        <v>1720</v>
      </c>
      <c r="K821" s="23" t="s">
        <v>1771</v>
      </c>
      <c r="L821" t="e">
        <f>VLOOKUP(B821,ubah!$B$2:$L$234,4,FALSE)</f>
        <v>#N/A</v>
      </c>
      <c r="M821" t="e">
        <f>VLOOKUP(B821,ubah!$B$2:$L$234,5,FALSE)</f>
        <v>#N/A</v>
      </c>
      <c r="N821" t="e">
        <f>VLOOKUP(B821,ubah!$B$2:$L$234,6,FALSE)</f>
        <v>#N/A</v>
      </c>
    </row>
    <row r="822" spans="1:14" hidden="1" x14ac:dyDescent="0.35">
      <c r="A822" s="21">
        <v>1549381</v>
      </c>
      <c r="B822" s="22" t="str">
        <f>"3329044908920001"</f>
        <v>3329044908920001</v>
      </c>
      <c r="C822" s="22" t="str">
        <f t="shared" si="24"/>
        <v>'3329044908920001</v>
      </c>
      <c r="D822" s="22" t="str">
        <f t="shared" si="25"/>
        <v>tidak ganda</v>
      </c>
      <c r="E822" s="22" t="s">
        <v>2040</v>
      </c>
      <c r="F822" s="22" t="s">
        <v>10</v>
      </c>
      <c r="G822" s="22" t="s">
        <v>11</v>
      </c>
      <c r="H822" s="22" t="s">
        <v>18</v>
      </c>
      <c r="I822" s="22" t="s">
        <v>19</v>
      </c>
      <c r="J822" s="22" t="s">
        <v>1720</v>
      </c>
      <c r="K822" s="23" t="s">
        <v>1771</v>
      </c>
      <c r="L822" t="e">
        <f>VLOOKUP(B822,ubah!$B$2:$L$234,4,FALSE)</f>
        <v>#N/A</v>
      </c>
      <c r="M822" t="e">
        <f>VLOOKUP(B822,ubah!$B$2:$L$234,5,FALSE)</f>
        <v>#N/A</v>
      </c>
      <c r="N822" t="e">
        <f>VLOOKUP(B822,ubah!$B$2:$L$234,6,FALSE)</f>
        <v>#N/A</v>
      </c>
    </row>
    <row r="823" spans="1:14" hidden="1" x14ac:dyDescent="0.35">
      <c r="A823" s="21">
        <v>1365861</v>
      </c>
      <c r="B823" s="22" t="str">
        <f>"3329070106880004"</f>
        <v>3329070106880004</v>
      </c>
      <c r="C823" s="22" t="str">
        <f t="shared" si="24"/>
        <v>'3329070106880004</v>
      </c>
      <c r="D823" s="22" t="str">
        <f t="shared" si="25"/>
        <v>tidak ganda</v>
      </c>
      <c r="E823" s="22" t="s">
        <v>2041</v>
      </c>
      <c r="F823" s="22" t="s">
        <v>10</v>
      </c>
      <c r="G823" s="22" t="s">
        <v>11</v>
      </c>
      <c r="H823" s="22" t="s">
        <v>18</v>
      </c>
      <c r="I823" s="22" t="s">
        <v>19</v>
      </c>
      <c r="J823" s="22" t="s">
        <v>1720</v>
      </c>
      <c r="K823" s="23" t="s">
        <v>1740</v>
      </c>
      <c r="L823" t="e">
        <f>VLOOKUP(B823,ubah!$B$2:$L$234,4,FALSE)</f>
        <v>#N/A</v>
      </c>
      <c r="M823" t="e">
        <f>VLOOKUP(B823,ubah!$B$2:$L$234,5,FALSE)</f>
        <v>#N/A</v>
      </c>
      <c r="N823" t="e">
        <f>VLOOKUP(B823,ubah!$B$2:$L$234,6,FALSE)</f>
        <v>#N/A</v>
      </c>
    </row>
    <row r="824" spans="1:14" hidden="1" x14ac:dyDescent="0.35">
      <c r="A824" s="21">
        <v>1378739</v>
      </c>
      <c r="B824" s="22" t="str">
        <f>"3329070111850002"</f>
        <v>3329070111850002</v>
      </c>
      <c r="C824" s="22" t="str">
        <f t="shared" si="24"/>
        <v>'3329070111850002</v>
      </c>
      <c r="D824" s="22" t="str">
        <f t="shared" si="25"/>
        <v>tidak ganda</v>
      </c>
      <c r="E824" s="22" t="s">
        <v>1892</v>
      </c>
      <c r="F824" s="22" t="s">
        <v>10</v>
      </c>
      <c r="G824" s="22" t="s">
        <v>11</v>
      </c>
      <c r="H824" s="22" t="s">
        <v>18</v>
      </c>
      <c r="I824" s="22" t="s">
        <v>264</v>
      </c>
      <c r="J824" s="22" t="s">
        <v>265</v>
      </c>
      <c r="K824" s="23" t="s">
        <v>1628</v>
      </c>
    </row>
    <row r="825" spans="1:14" hidden="1" x14ac:dyDescent="0.35">
      <c r="A825" s="21">
        <v>1283054</v>
      </c>
      <c r="B825" s="22" t="str">
        <f>"3329071109840006"</f>
        <v>3329071109840006</v>
      </c>
      <c r="C825" s="22" t="str">
        <f t="shared" si="24"/>
        <v>'3329071109840006</v>
      </c>
      <c r="D825" s="22" t="str">
        <f t="shared" si="25"/>
        <v>tidak ganda</v>
      </c>
      <c r="E825" s="22" t="s">
        <v>2046</v>
      </c>
      <c r="F825" s="22" t="s">
        <v>10</v>
      </c>
      <c r="G825" s="22" t="s">
        <v>11</v>
      </c>
      <c r="H825" s="22" t="s">
        <v>18</v>
      </c>
      <c r="I825" s="22" t="s">
        <v>264</v>
      </c>
      <c r="J825" s="22" t="s">
        <v>265</v>
      </c>
      <c r="K825" s="23" t="s">
        <v>1598</v>
      </c>
    </row>
    <row r="826" spans="1:14" hidden="1" x14ac:dyDescent="0.35">
      <c r="A826" s="21">
        <v>1215143</v>
      </c>
      <c r="B826" s="22" t="str">
        <f>"3329071701920002"</f>
        <v>3329071701920002</v>
      </c>
      <c r="C826" s="22" t="str">
        <f t="shared" si="24"/>
        <v>'3329071701920002</v>
      </c>
      <c r="D826" s="22" t="str">
        <f t="shared" si="25"/>
        <v>tidak ganda</v>
      </c>
      <c r="E826" s="22" t="s">
        <v>2048</v>
      </c>
      <c r="F826" s="22" t="s">
        <v>10</v>
      </c>
      <c r="G826" s="22" t="s">
        <v>11</v>
      </c>
      <c r="H826" s="22" t="s">
        <v>18</v>
      </c>
      <c r="I826" s="22" t="s">
        <v>264</v>
      </c>
      <c r="J826" s="22" t="s">
        <v>265</v>
      </c>
      <c r="K826" s="23" t="s">
        <v>1910</v>
      </c>
    </row>
    <row r="827" spans="1:14" hidden="1" x14ac:dyDescent="0.35">
      <c r="A827" s="21">
        <v>1345335</v>
      </c>
      <c r="B827" s="22" t="str">
        <f>"3329072001680001"</f>
        <v>3329072001680001</v>
      </c>
      <c r="C827" s="22" t="str">
        <f t="shared" si="24"/>
        <v>'3329072001680001</v>
      </c>
      <c r="D827" s="22" t="str">
        <f t="shared" si="25"/>
        <v>tidak ganda</v>
      </c>
      <c r="E827" s="22" t="s">
        <v>2049</v>
      </c>
      <c r="F827" s="22" t="s">
        <v>10</v>
      </c>
      <c r="G827" s="22" t="s">
        <v>11</v>
      </c>
      <c r="H827" s="22" t="s">
        <v>18</v>
      </c>
      <c r="I827" s="22" t="s">
        <v>264</v>
      </c>
      <c r="J827" s="22" t="s">
        <v>265</v>
      </c>
      <c r="K827" s="23" t="s">
        <v>2007</v>
      </c>
    </row>
    <row r="828" spans="1:14" hidden="1" x14ac:dyDescent="0.35">
      <c r="A828" s="21">
        <v>1340454</v>
      </c>
      <c r="B828" s="22" t="str">
        <f>"3329072102990002"</f>
        <v>3329072102990002</v>
      </c>
      <c r="C828" s="22" t="str">
        <f t="shared" si="24"/>
        <v>'3329072102990002</v>
      </c>
      <c r="D828" s="22" t="str">
        <f t="shared" si="25"/>
        <v>tidak ganda</v>
      </c>
      <c r="E828" s="22" t="s">
        <v>2051</v>
      </c>
      <c r="F828" s="22" t="s">
        <v>10</v>
      </c>
      <c r="G828" s="22" t="s">
        <v>11</v>
      </c>
      <c r="H828" s="22" t="s">
        <v>18</v>
      </c>
      <c r="I828" s="22" t="s">
        <v>264</v>
      </c>
      <c r="J828" s="22" t="s">
        <v>265</v>
      </c>
      <c r="K828" s="23" t="s">
        <v>2007</v>
      </c>
    </row>
    <row r="829" spans="1:14" hidden="1" x14ac:dyDescent="0.35">
      <c r="A829" s="21">
        <v>1363611</v>
      </c>
      <c r="B829" s="22" t="str">
        <f>"3329072403900002"</f>
        <v>3329072403900002</v>
      </c>
      <c r="C829" s="22" t="str">
        <f t="shared" si="24"/>
        <v>'3329072403900002</v>
      </c>
      <c r="D829" s="22" t="str">
        <f t="shared" si="25"/>
        <v>tidak ganda</v>
      </c>
      <c r="E829" s="22" t="s">
        <v>2052</v>
      </c>
      <c r="F829" s="22" t="s">
        <v>10</v>
      </c>
      <c r="G829" s="22" t="s">
        <v>11</v>
      </c>
      <c r="H829" s="22" t="s">
        <v>18</v>
      </c>
      <c r="I829" s="22" t="s">
        <v>19</v>
      </c>
      <c r="J829" s="22" t="s">
        <v>1720</v>
      </c>
      <c r="K829" s="23" t="s">
        <v>1740</v>
      </c>
      <c r="L829" t="e">
        <f>VLOOKUP(B829,ubah!$B$2:$L$234,4,FALSE)</f>
        <v>#N/A</v>
      </c>
      <c r="M829" t="e">
        <f>VLOOKUP(B829,ubah!$B$2:$L$234,5,FALSE)</f>
        <v>#N/A</v>
      </c>
      <c r="N829" t="e">
        <f>VLOOKUP(B829,ubah!$B$2:$L$234,6,FALSE)</f>
        <v>#N/A</v>
      </c>
    </row>
    <row r="830" spans="1:14" hidden="1" x14ac:dyDescent="0.35">
      <c r="A830" s="21">
        <v>1349828</v>
      </c>
      <c r="B830" s="22" t="str">
        <f>"3329072506860003"</f>
        <v>3329072506860003</v>
      </c>
      <c r="C830" s="22" t="str">
        <f t="shared" si="24"/>
        <v>'3329072506860003</v>
      </c>
      <c r="D830" s="22" t="str">
        <f t="shared" si="25"/>
        <v>tidak ganda</v>
      </c>
      <c r="E830" s="22" t="s">
        <v>2054</v>
      </c>
      <c r="F830" s="22" t="s">
        <v>10</v>
      </c>
      <c r="G830" s="22" t="s">
        <v>11</v>
      </c>
      <c r="H830" s="22" t="s">
        <v>18</v>
      </c>
      <c r="I830" s="22" t="s">
        <v>19</v>
      </c>
      <c r="J830" s="22" t="s">
        <v>1720</v>
      </c>
      <c r="K830" s="23" t="s">
        <v>1381</v>
      </c>
      <c r="L830" t="e">
        <f>VLOOKUP(B830,ubah!$B$2:$L$234,4,FALSE)</f>
        <v>#N/A</v>
      </c>
      <c r="M830" t="e">
        <f>VLOOKUP(B830,ubah!$B$2:$L$234,5,FALSE)</f>
        <v>#N/A</v>
      </c>
      <c r="N830" t="e">
        <f>VLOOKUP(B830,ubah!$B$2:$L$234,6,FALSE)</f>
        <v>#N/A</v>
      </c>
    </row>
    <row r="831" spans="1:14" hidden="1" x14ac:dyDescent="0.35">
      <c r="A831" s="21">
        <v>1342280</v>
      </c>
      <c r="B831" s="22" t="str">
        <f>"3329074210860001"</f>
        <v>3329074210860001</v>
      </c>
      <c r="C831" s="22" t="str">
        <f t="shared" si="24"/>
        <v>'3329074210860001</v>
      </c>
      <c r="D831" s="22" t="str">
        <f t="shared" si="25"/>
        <v>tidak ganda</v>
      </c>
      <c r="E831" s="22" t="s">
        <v>2056</v>
      </c>
      <c r="F831" s="22" t="s">
        <v>10</v>
      </c>
      <c r="G831" s="22" t="s">
        <v>11</v>
      </c>
      <c r="H831" s="22" t="s">
        <v>18</v>
      </c>
      <c r="I831" s="22" t="s">
        <v>264</v>
      </c>
      <c r="J831" s="22" t="s">
        <v>265</v>
      </c>
      <c r="K831" s="23" t="s">
        <v>2007</v>
      </c>
    </row>
    <row r="832" spans="1:14" hidden="1" x14ac:dyDescent="0.35">
      <c r="A832" s="21">
        <v>1324765</v>
      </c>
      <c r="B832" s="22" t="str">
        <f>"3329076403940001"</f>
        <v>3329076403940001</v>
      </c>
      <c r="C832" s="22" t="str">
        <f t="shared" si="24"/>
        <v>'3329076403940001</v>
      </c>
      <c r="D832" s="22" t="str">
        <f t="shared" si="25"/>
        <v>tidak ganda</v>
      </c>
      <c r="E832" s="22" t="s">
        <v>2058</v>
      </c>
      <c r="F832" s="22" t="s">
        <v>10</v>
      </c>
      <c r="G832" s="22" t="s">
        <v>11</v>
      </c>
      <c r="H832" s="22" t="s">
        <v>18</v>
      </c>
      <c r="I832" s="22" t="s">
        <v>264</v>
      </c>
      <c r="J832" s="22" t="s">
        <v>265</v>
      </c>
      <c r="K832" s="23" t="s">
        <v>1878</v>
      </c>
    </row>
    <row r="833" spans="1:14" hidden="1" x14ac:dyDescent="0.35">
      <c r="A833" s="21">
        <v>1343028</v>
      </c>
      <c r="B833" s="22" t="str">
        <f>"3329076408960002"</f>
        <v>3329076408960002</v>
      </c>
      <c r="C833" s="22" t="str">
        <f t="shared" si="24"/>
        <v>'3329076408960002</v>
      </c>
      <c r="D833" s="22" t="str">
        <f t="shared" si="25"/>
        <v>tidak ganda</v>
      </c>
      <c r="E833" s="22" t="s">
        <v>2059</v>
      </c>
      <c r="F833" s="22" t="s">
        <v>10</v>
      </c>
      <c r="G833" s="22" t="s">
        <v>11</v>
      </c>
      <c r="H833" s="22" t="s">
        <v>18</v>
      </c>
      <c r="I833" s="22" t="s">
        <v>264</v>
      </c>
      <c r="J833" s="22" t="s">
        <v>265</v>
      </c>
      <c r="K833" s="23" t="s">
        <v>2007</v>
      </c>
    </row>
    <row r="834" spans="1:14" hidden="1" x14ac:dyDescent="0.35">
      <c r="A834" s="21">
        <v>2130874</v>
      </c>
      <c r="B834" s="22" t="str">
        <f>"3329076507950001"</f>
        <v>3329076507950001</v>
      </c>
      <c r="C834" s="22" t="str">
        <f t="shared" si="24"/>
        <v>'3329076507950001</v>
      </c>
      <c r="D834" s="22" t="str">
        <f t="shared" si="25"/>
        <v>tidak ganda</v>
      </c>
      <c r="E834" s="22" t="s">
        <v>2060</v>
      </c>
      <c r="F834" s="22" t="s">
        <v>10</v>
      </c>
      <c r="G834" s="22" t="s">
        <v>11</v>
      </c>
      <c r="H834" s="22" t="s">
        <v>18</v>
      </c>
      <c r="I834" s="22" t="s">
        <v>19</v>
      </c>
      <c r="J834" s="22" t="s">
        <v>1720</v>
      </c>
      <c r="K834" s="23" t="s">
        <v>1727</v>
      </c>
      <c r="L834" t="e">
        <f>VLOOKUP(B834,ubah!$B$2:$L$234,4,FALSE)</f>
        <v>#N/A</v>
      </c>
      <c r="M834" t="e">
        <f>VLOOKUP(B834,ubah!$B$2:$L$234,5,FALSE)</f>
        <v>#N/A</v>
      </c>
      <c r="N834" t="e">
        <f>VLOOKUP(B834,ubah!$B$2:$L$234,6,FALSE)</f>
        <v>#N/A</v>
      </c>
    </row>
    <row r="835" spans="1:14" hidden="1" x14ac:dyDescent="0.35">
      <c r="A835" s="21">
        <v>1229709</v>
      </c>
      <c r="B835" s="22" t="str">
        <f>"3329076703860008"</f>
        <v>3329076703860008</v>
      </c>
      <c r="C835" s="22" t="str">
        <f t="shared" ref="C835:C898" si="26">"'"&amp;B835</f>
        <v>'3329076703860008</v>
      </c>
      <c r="D835" s="22" t="str">
        <f t="shared" ref="D835:D898" si="27">IF(COUNTIF($C:$C,C835)&gt;1,"ganda","tidak ganda")</f>
        <v>tidak ganda</v>
      </c>
      <c r="E835" s="22" t="s">
        <v>2062</v>
      </c>
      <c r="F835" s="22" t="s">
        <v>10</v>
      </c>
      <c r="G835" s="22" t="s">
        <v>11</v>
      </c>
      <c r="H835" s="22" t="s">
        <v>18</v>
      </c>
      <c r="I835" s="22" t="s">
        <v>264</v>
      </c>
      <c r="J835" s="22" t="s">
        <v>265</v>
      </c>
      <c r="K835" s="23" t="s">
        <v>982</v>
      </c>
    </row>
    <row r="836" spans="1:14" hidden="1" x14ac:dyDescent="0.35">
      <c r="A836" s="21">
        <v>735050</v>
      </c>
      <c r="B836" s="22" t="str">
        <f>"3329076803960005"</f>
        <v>3329076803960005</v>
      </c>
      <c r="C836" s="22" t="str">
        <f t="shared" si="26"/>
        <v>'3329076803960005</v>
      </c>
      <c r="D836" s="22" t="str">
        <f t="shared" si="27"/>
        <v>tidak ganda</v>
      </c>
      <c r="E836" s="22" t="s">
        <v>2064</v>
      </c>
      <c r="F836" s="22" t="s">
        <v>10</v>
      </c>
      <c r="G836" s="22" t="s">
        <v>11</v>
      </c>
      <c r="H836" s="22" t="s">
        <v>18</v>
      </c>
      <c r="I836" s="22" t="s">
        <v>264</v>
      </c>
      <c r="J836" s="22" t="s">
        <v>248</v>
      </c>
      <c r="K836" s="23" t="s">
        <v>1915</v>
      </c>
    </row>
    <row r="837" spans="1:14" hidden="1" x14ac:dyDescent="0.35">
      <c r="A837" s="21">
        <v>1074730</v>
      </c>
      <c r="B837" s="22" t="str">
        <f>"3329082812860003"</f>
        <v>3329082812860003</v>
      </c>
      <c r="C837" s="22" t="str">
        <f t="shared" si="26"/>
        <v>'3329082812860003</v>
      </c>
      <c r="D837" s="22" t="str">
        <f t="shared" si="27"/>
        <v>tidak ganda</v>
      </c>
      <c r="E837" s="22" t="s">
        <v>2065</v>
      </c>
      <c r="F837" s="22" t="s">
        <v>10</v>
      </c>
      <c r="G837" s="22" t="s">
        <v>11</v>
      </c>
      <c r="H837" s="22" t="s">
        <v>18</v>
      </c>
      <c r="I837" s="22" t="s">
        <v>264</v>
      </c>
      <c r="J837" s="22" t="s">
        <v>248</v>
      </c>
      <c r="K837" s="23" t="s">
        <v>2066</v>
      </c>
    </row>
    <row r="838" spans="1:14" hidden="1" x14ac:dyDescent="0.35">
      <c r="A838" s="21">
        <v>1352465</v>
      </c>
      <c r="B838" s="22" t="str">
        <f>"3329090608920007"</f>
        <v>3329090608920007</v>
      </c>
      <c r="C838" s="22" t="str">
        <f t="shared" si="26"/>
        <v>'3329090608920007</v>
      </c>
      <c r="D838" s="22" t="str">
        <f t="shared" si="27"/>
        <v>tidak ganda</v>
      </c>
      <c r="E838" s="22" t="s">
        <v>2069</v>
      </c>
      <c r="F838" s="22" t="s">
        <v>10</v>
      </c>
      <c r="G838" s="22" t="s">
        <v>11</v>
      </c>
      <c r="H838" s="22" t="s">
        <v>18</v>
      </c>
      <c r="I838" s="22" t="s">
        <v>19</v>
      </c>
      <c r="J838" s="22" t="s">
        <v>1720</v>
      </c>
      <c r="K838" s="23" t="s">
        <v>789</v>
      </c>
      <c r="L838" t="e">
        <f>VLOOKUP(B838,ubah!$B$2:$L$234,4,FALSE)</f>
        <v>#N/A</v>
      </c>
      <c r="M838" t="e">
        <f>VLOOKUP(B838,ubah!$B$2:$L$234,5,FALSE)</f>
        <v>#N/A</v>
      </c>
      <c r="N838" t="e">
        <f>VLOOKUP(B838,ubah!$B$2:$L$234,6,FALSE)</f>
        <v>#N/A</v>
      </c>
    </row>
    <row r="839" spans="1:14" hidden="1" x14ac:dyDescent="0.35">
      <c r="A839" s="21">
        <v>1116520</v>
      </c>
      <c r="B839" s="22" t="str">
        <f>"3329092302900003"</f>
        <v>3329092302900003</v>
      </c>
      <c r="C839" s="22" t="str">
        <f t="shared" si="26"/>
        <v>'3329092302900003</v>
      </c>
      <c r="D839" s="22" t="str">
        <f t="shared" si="27"/>
        <v>tidak ganda</v>
      </c>
      <c r="E839" s="22" t="s">
        <v>2070</v>
      </c>
      <c r="F839" s="22" t="s">
        <v>10</v>
      </c>
      <c r="G839" s="22" t="s">
        <v>11</v>
      </c>
      <c r="H839" s="22" t="s">
        <v>18</v>
      </c>
      <c r="I839" s="22" t="s">
        <v>264</v>
      </c>
      <c r="J839" s="22" t="s">
        <v>264</v>
      </c>
      <c r="K839" s="23" t="s">
        <v>2071</v>
      </c>
    </row>
    <row r="840" spans="1:14" hidden="1" x14ac:dyDescent="0.35">
      <c r="A840" s="21">
        <v>957337</v>
      </c>
      <c r="B840" s="22" t="str">
        <f>"3329095405850003"</f>
        <v>3329095405850003</v>
      </c>
      <c r="C840" s="22" t="str">
        <f t="shared" si="26"/>
        <v>'3329095405850003</v>
      </c>
      <c r="D840" s="22" t="str">
        <f t="shared" si="27"/>
        <v>tidak ganda</v>
      </c>
      <c r="E840" s="22" t="s">
        <v>2073</v>
      </c>
      <c r="F840" s="22" t="s">
        <v>10</v>
      </c>
      <c r="G840" s="22" t="s">
        <v>11</v>
      </c>
      <c r="H840" s="22" t="s">
        <v>18</v>
      </c>
      <c r="I840" s="22" t="s">
        <v>264</v>
      </c>
      <c r="J840" s="22" t="s">
        <v>264</v>
      </c>
      <c r="K840" s="23" t="s">
        <v>2074</v>
      </c>
    </row>
    <row r="841" spans="1:14" hidden="1" x14ac:dyDescent="0.35">
      <c r="A841" s="21">
        <v>1437478</v>
      </c>
      <c r="B841" s="22" t="str">
        <f>"3329100303960003"</f>
        <v>3329100303960003</v>
      </c>
      <c r="C841" s="22" t="str">
        <f t="shared" si="26"/>
        <v>'3329100303960003</v>
      </c>
      <c r="D841" s="22" t="str">
        <f t="shared" si="27"/>
        <v>tidak ganda</v>
      </c>
      <c r="E841" s="22" t="s">
        <v>2075</v>
      </c>
      <c r="F841" s="22" t="s">
        <v>10</v>
      </c>
      <c r="G841" s="22" t="s">
        <v>11</v>
      </c>
      <c r="H841" s="22" t="s">
        <v>18</v>
      </c>
      <c r="I841" s="22" t="s">
        <v>264</v>
      </c>
      <c r="J841" s="22" t="s">
        <v>273</v>
      </c>
      <c r="K841" s="23" t="s">
        <v>1156</v>
      </c>
    </row>
    <row r="842" spans="1:14" hidden="1" x14ac:dyDescent="0.35">
      <c r="A842" s="21">
        <v>2141090</v>
      </c>
      <c r="B842" s="22" t="str">
        <f>"3329100710930002"</f>
        <v>3329100710930002</v>
      </c>
      <c r="C842" s="22" t="str">
        <f t="shared" si="26"/>
        <v>'3329100710930002</v>
      </c>
      <c r="D842" s="22" t="str">
        <f t="shared" si="27"/>
        <v>tidak ganda</v>
      </c>
      <c r="E842" s="22" t="s">
        <v>2077</v>
      </c>
      <c r="F842" s="22" t="s">
        <v>10</v>
      </c>
      <c r="G842" s="22" t="s">
        <v>11</v>
      </c>
      <c r="H842" s="22" t="s">
        <v>18</v>
      </c>
      <c r="I842" s="22" t="s">
        <v>19</v>
      </c>
      <c r="J842" s="22" t="s">
        <v>1720</v>
      </c>
      <c r="K842" s="23" t="s">
        <v>1737</v>
      </c>
      <c r="L842" t="e">
        <f>VLOOKUP(B842,ubah!$B$2:$L$234,4,FALSE)</f>
        <v>#N/A</v>
      </c>
      <c r="M842" t="e">
        <f>VLOOKUP(B842,ubah!$B$2:$L$234,5,FALSE)</f>
        <v>#N/A</v>
      </c>
      <c r="N842" t="e">
        <f>VLOOKUP(B842,ubah!$B$2:$L$234,6,FALSE)</f>
        <v>#N/A</v>
      </c>
    </row>
    <row r="843" spans="1:14" hidden="1" x14ac:dyDescent="0.35">
      <c r="A843" s="21">
        <v>1468068</v>
      </c>
      <c r="B843" s="22" t="str">
        <f>"3329101301980005"</f>
        <v>3329101301980005</v>
      </c>
      <c r="C843" s="22" t="str">
        <f t="shared" si="26"/>
        <v>'3329101301980005</v>
      </c>
      <c r="D843" s="22" t="str">
        <f t="shared" si="27"/>
        <v>tidak ganda</v>
      </c>
      <c r="E843" s="22" t="s">
        <v>2079</v>
      </c>
      <c r="F843" s="22" t="s">
        <v>10</v>
      </c>
      <c r="G843" s="22" t="s">
        <v>11</v>
      </c>
      <c r="H843" s="22" t="s">
        <v>18</v>
      </c>
      <c r="I843" s="22" t="s">
        <v>264</v>
      </c>
      <c r="J843" s="22" t="s">
        <v>273</v>
      </c>
      <c r="K843" s="23" t="s">
        <v>2080</v>
      </c>
    </row>
    <row r="844" spans="1:14" hidden="1" x14ac:dyDescent="0.35">
      <c r="A844" s="21">
        <v>1443926</v>
      </c>
      <c r="B844" s="22" t="str">
        <f>"3329102705860004"</f>
        <v>3329102705860004</v>
      </c>
      <c r="C844" s="22" t="str">
        <f t="shared" si="26"/>
        <v>'3329102705860004</v>
      </c>
      <c r="D844" s="22" t="str">
        <f t="shared" si="27"/>
        <v>tidak ganda</v>
      </c>
      <c r="E844" s="22" t="s">
        <v>2084</v>
      </c>
      <c r="F844" s="22" t="s">
        <v>10</v>
      </c>
      <c r="G844" s="22" t="s">
        <v>11</v>
      </c>
      <c r="H844" s="22" t="s">
        <v>18</v>
      </c>
      <c r="I844" s="22" t="s">
        <v>264</v>
      </c>
      <c r="J844" s="22" t="s">
        <v>273</v>
      </c>
      <c r="K844" s="23" t="s">
        <v>875</v>
      </c>
    </row>
    <row r="845" spans="1:14" hidden="1" x14ac:dyDescent="0.35">
      <c r="A845" s="21">
        <v>1473729</v>
      </c>
      <c r="B845" s="22" t="str">
        <f>"3329102706000005"</f>
        <v>3329102706000005</v>
      </c>
      <c r="C845" s="22" t="str">
        <f t="shared" si="26"/>
        <v>'3329102706000005</v>
      </c>
      <c r="D845" s="22" t="str">
        <f t="shared" si="27"/>
        <v>tidak ganda</v>
      </c>
      <c r="E845" s="22" t="s">
        <v>2085</v>
      </c>
      <c r="F845" s="22" t="s">
        <v>10</v>
      </c>
      <c r="G845" s="22" t="s">
        <v>11</v>
      </c>
      <c r="H845" s="22" t="s">
        <v>18</v>
      </c>
      <c r="I845" s="22" t="s">
        <v>264</v>
      </c>
      <c r="J845" s="22" t="s">
        <v>273</v>
      </c>
      <c r="K845" s="23" t="s">
        <v>1156</v>
      </c>
    </row>
    <row r="846" spans="1:14" hidden="1" x14ac:dyDescent="0.35">
      <c r="A846" s="21">
        <v>731920</v>
      </c>
      <c r="B846" s="22" t="str">
        <f>"3329135210740002"</f>
        <v>3329135210740002</v>
      </c>
      <c r="C846" s="22" t="str">
        <f t="shared" si="26"/>
        <v>'3329135210740002</v>
      </c>
      <c r="D846" s="22" t="str">
        <f t="shared" si="27"/>
        <v>tidak ganda</v>
      </c>
      <c r="E846" s="22" t="s">
        <v>2086</v>
      </c>
      <c r="F846" s="22" t="s">
        <v>10</v>
      </c>
      <c r="G846" s="22" t="s">
        <v>11</v>
      </c>
      <c r="H846" s="22" t="s">
        <v>18</v>
      </c>
      <c r="I846" s="22" t="s">
        <v>264</v>
      </c>
      <c r="J846" s="22" t="s">
        <v>773</v>
      </c>
      <c r="K846" s="23" t="s">
        <v>2087</v>
      </c>
    </row>
    <row r="847" spans="1:14" hidden="1" x14ac:dyDescent="0.35">
      <c r="A847" s="21">
        <v>1615625</v>
      </c>
      <c r="B847" s="22" t="str">
        <f>"3329135806040007"</f>
        <v>3329135806040007</v>
      </c>
      <c r="C847" s="22" t="str">
        <f t="shared" si="26"/>
        <v>'3329135806040007</v>
      </c>
      <c r="D847" s="22" t="str">
        <f t="shared" si="27"/>
        <v>tidak ganda</v>
      </c>
      <c r="E847" s="22" t="s">
        <v>2088</v>
      </c>
      <c r="F847" s="22" t="s">
        <v>10</v>
      </c>
      <c r="G847" s="22" t="s">
        <v>11</v>
      </c>
      <c r="H847" s="22" t="s">
        <v>18</v>
      </c>
      <c r="I847" s="22" t="s">
        <v>19</v>
      </c>
      <c r="J847" s="22" t="s">
        <v>1720</v>
      </c>
      <c r="K847" s="23" t="s">
        <v>1721</v>
      </c>
      <c r="L847" t="e">
        <f>VLOOKUP(B847,ubah!$B$2:$L$234,4,FALSE)</f>
        <v>#N/A</v>
      </c>
      <c r="M847" t="e">
        <f>VLOOKUP(B847,ubah!$B$2:$L$234,5,FALSE)</f>
        <v>#N/A</v>
      </c>
      <c r="N847" t="e">
        <f>VLOOKUP(B847,ubah!$B$2:$L$234,6,FALSE)</f>
        <v>#N/A</v>
      </c>
    </row>
    <row r="848" spans="1:14" hidden="1" x14ac:dyDescent="0.35">
      <c r="A848" s="21">
        <v>1548973</v>
      </c>
      <c r="B848" s="22" t="str">
        <f>"3329142004820022"</f>
        <v>3329142004820022</v>
      </c>
      <c r="C848" s="22" t="str">
        <f t="shared" si="26"/>
        <v>'3329142004820022</v>
      </c>
      <c r="D848" s="22" t="str">
        <f t="shared" si="27"/>
        <v>tidak ganda</v>
      </c>
      <c r="E848" s="22" t="s">
        <v>2090</v>
      </c>
      <c r="F848" s="22" t="s">
        <v>10</v>
      </c>
      <c r="G848" s="22" t="s">
        <v>11</v>
      </c>
      <c r="H848" s="22" t="s">
        <v>18</v>
      </c>
      <c r="I848" s="22" t="s">
        <v>19</v>
      </c>
      <c r="J848" s="22" t="s">
        <v>1720</v>
      </c>
      <c r="K848" s="23" t="s">
        <v>1771</v>
      </c>
      <c r="L848" t="e">
        <f>VLOOKUP(B848,ubah!$B$2:$L$234,4,FALSE)</f>
        <v>#N/A</v>
      </c>
      <c r="M848" t="e">
        <f>VLOOKUP(B848,ubah!$B$2:$L$234,5,FALSE)</f>
        <v>#N/A</v>
      </c>
      <c r="N848" t="e">
        <f>VLOOKUP(B848,ubah!$B$2:$L$234,6,FALSE)</f>
        <v>#N/A</v>
      </c>
    </row>
    <row r="849" spans="1:14" hidden="1" x14ac:dyDescent="0.35">
      <c r="A849" s="21">
        <v>720217</v>
      </c>
      <c r="B849" s="22" t="str">
        <f>"3329151201970005"</f>
        <v>3329151201970005</v>
      </c>
      <c r="C849" s="22" t="str">
        <f t="shared" si="26"/>
        <v>'3329151201970005</v>
      </c>
      <c r="D849" s="22" t="str">
        <f t="shared" si="27"/>
        <v>tidak ganda</v>
      </c>
      <c r="E849" s="22" t="s">
        <v>2092</v>
      </c>
      <c r="F849" s="22" t="s">
        <v>10</v>
      </c>
      <c r="G849" s="22" t="s">
        <v>11</v>
      </c>
      <c r="H849" s="22" t="s">
        <v>18</v>
      </c>
      <c r="I849" s="22" t="s">
        <v>264</v>
      </c>
      <c r="J849" s="22" t="s">
        <v>330</v>
      </c>
      <c r="K849" s="23" t="s">
        <v>2093</v>
      </c>
    </row>
    <row r="850" spans="1:14" hidden="1" x14ac:dyDescent="0.35">
      <c r="A850" s="21">
        <v>1542198</v>
      </c>
      <c r="B850" s="22" t="str">
        <f>"3329152712940004"</f>
        <v>3329152712940004</v>
      </c>
      <c r="C850" s="22" t="str">
        <f t="shared" si="26"/>
        <v>'3329152712940004</v>
      </c>
      <c r="D850" s="22" t="str">
        <f t="shared" si="27"/>
        <v>ganda</v>
      </c>
      <c r="E850" s="22" t="s">
        <v>2094</v>
      </c>
      <c r="F850" s="22" t="s">
        <v>10</v>
      </c>
      <c r="G850" s="22" t="s">
        <v>11</v>
      </c>
      <c r="H850" s="22" t="s">
        <v>18</v>
      </c>
      <c r="I850" s="22" t="s">
        <v>264</v>
      </c>
      <c r="J850" s="22" t="s">
        <v>330</v>
      </c>
      <c r="K850" s="23" t="s">
        <v>2095</v>
      </c>
    </row>
    <row r="851" spans="1:14" hidden="1" x14ac:dyDescent="0.35">
      <c r="A851" s="21">
        <v>2534919</v>
      </c>
      <c r="B851" s="22" t="str">
        <f>"3329152712940004"</f>
        <v>3329152712940004</v>
      </c>
      <c r="C851" s="22" t="str">
        <f t="shared" si="26"/>
        <v>'3329152712940004</v>
      </c>
      <c r="D851" s="22" t="str">
        <f t="shared" si="27"/>
        <v>ganda</v>
      </c>
      <c r="E851" s="22" t="s">
        <v>2094</v>
      </c>
      <c r="F851" s="22" t="s">
        <v>10</v>
      </c>
      <c r="G851" s="22" t="s">
        <v>11</v>
      </c>
      <c r="H851" s="22" t="s">
        <v>18</v>
      </c>
      <c r="I851" s="22" t="s">
        <v>19</v>
      </c>
      <c r="J851" s="22" t="s">
        <v>1720</v>
      </c>
      <c r="K851" s="23" t="s">
        <v>1721</v>
      </c>
      <c r="L851" t="e">
        <f>VLOOKUP(B851,ubah!$B$2:$L$234,4,FALSE)</f>
        <v>#N/A</v>
      </c>
      <c r="M851" t="e">
        <f>VLOOKUP(B851,ubah!$B$2:$L$234,5,FALSE)</f>
        <v>#N/A</v>
      </c>
      <c r="N851" t="e">
        <f>VLOOKUP(B851,ubah!$B$2:$L$234,6,FALSE)</f>
        <v>#N/A</v>
      </c>
    </row>
    <row r="852" spans="1:14" hidden="1" x14ac:dyDescent="0.35">
      <c r="A852" s="21">
        <v>1547797</v>
      </c>
      <c r="B852" s="22" t="str">
        <f>"3329160105920013"</f>
        <v>3329160105920013</v>
      </c>
      <c r="C852" s="22" t="str">
        <f t="shared" si="26"/>
        <v>'3329160105920013</v>
      </c>
      <c r="D852" s="22" t="str">
        <f t="shared" si="27"/>
        <v>tidak ganda</v>
      </c>
      <c r="E852" s="22" t="s">
        <v>2096</v>
      </c>
      <c r="F852" s="22" t="s">
        <v>10</v>
      </c>
      <c r="G852" s="22" t="s">
        <v>11</v>
      </c>
      <c r="H852" s="22" t="s">
        <v>18</v>
      </c>
      <c r="I852" s="22" t="s">
        <v>19</v>
      </c>
      <c r="J852" s="22" t="s">
        <v>1720</v>
      </c>
      <c r="K852" s="23" t="s">
        <v>1771</v>
      </c>
      <c r="L852" t="e">
        <f>VLOOKUP(B852,ubah!$B$2:$L$234,4,FALSE)</f>
        <v>#N/A</v>
      </c>
      <c r="M852" t="e">
        <f>VLOOKUP(B852,ubah!$B$2:$L$234,5,FALSE)</f>
        <v>#N/A</v>
      </c>
      <c r="N852" t="e">
        <f>VLOOKUP(B852,ubah!$B$2:$L$234,6,FALSE)</f>
        <v>#N/A</v>
      </c>
    </row>
    <row r="853" spans="1:14" hidden="1" x14ac:dyDescent="0.35">
      <c r="A853" s="21">
        <v>798341</v>
      </c>
      <c r="B853" s="22" t="str">
        <f>"3329162104970006"</f>
        <v>3329162104970006</v>
      </c>
      <c r="C853" s="22" t="str">
        <f t="shared" si="26"/>
        <v>'3329162104970006</v>
      </c>
      <c r="D853" s="22" t="str">
        <f t="shared" si="27"/>
        <v>tidak ganda</v>
      </c>
      <c r="E853" s="22" t="s">
        <v>2097</v>
      </c>
      <c r="F853" s="22" t="s">
        <v>10</v>
      </c>
      <c r="G853" s="22" t="s">
        <v>11</v>
      </c>
      <c r="H853" s="22" t="s">
        <v>18</v>
      </c>
      <c r="I853" s="22" t="s">
        <v>264</v>
      </c>
      <c r="J853" s="22" t="s">
        <v>344</v>
      </c>
      <c r="K853" s="23" t="s">
        <v>939</v>
      </c>
    </row>
    <row r="854" spans="1:14" hidden="1" x14ac:dyDescent="0.35">
      <c r="A854" s="21">
        <v>1088142</v>
      </c>
      <c r="B854" s="22" t="str">
        <f>"3329176404930002"</f>
        <v>3329176404930002</v>
      </c>
      <c r="C854" s="22" t="str">
        <f t="shared" si="26"/>
        <v>'3329176404930002</v>
      </c>
      <c r="D854" s="22" t="str">
        <f t="shared" si="27"/>
        <v>tidak ganda</v>
      </c>
      <c r="E854" s="22" t="s">
        <v>2098</v>
      </c>
      <c r="F854" s="22" t="s">
        <v>10</v>
      </c>
      <c r="G854" s="22" t="s">
        <v>11</v>
      </c>
      <c r="H854" s="22" t="s">
        <v>18</v>
      </c>
      <c r="I854" s="22" t="s">
        <v>264</v>
      </c>
      <c r="J854" s="22" t="s">
        <v>881</v>
      </c>
      <c r="K854" s="23" t="s">
        <v>1656</v>
      </c>
    </row>
    <row r="855" spans="1:14" hidden="1" x14ac:dyDescent="0.35">
      <c r="A855" s="21">
        <v>371051</v>
      </c>
      <c r="B855" s="22" t="str">
        <f>"3376022805830001"</f>
        <v>3376022805830001</v>
      </c>
      <c r="C855" s="22" t="str">
        <f t="shared" si="26"/>
        <v>'3376022805830001</v>
      </c>
      <c r="D855" s="22" t="str">
        <f t="shared" si="27"/>
        <v>tidak ganda</v>
      </c>
      <c r="E855" s="22" t="s">
        <v>2099</v>
      </c>
      <c r="F855" s="22" t="s">
        <v>10</v>
      </c>
      <c r="G855" s="22" t="s">
        <v>11</v>
      </c>
      <c r="H855" s="22" t="s">
        <v>18</v>
      </c>
      <c r="I855" s="22" t="s">
        <v>268</v>
      </c>
      <c r="J855" s="22" t="s">
        <v>269</v>
      </c>
      <c r="K855" s="23" t="s">
        <v>996</v>
      </c>
    </row>
    <row r="856" spans="1:14" hidden="1" x14ac:dyDescent="0.35">
      <c r="A856" s="21">
        <v>378885</v>
      </c>
      <c r="B856" s="22" t="str">
        <f>"3376047003840002"</f>
        <v>3376047003840002</v>
      </c>
      <c r="C856" s="22" t="str">
        <f t="shared" si="26"/>
        <v>'3376047003840002</v>
      </c>
      <c r="D856" s="22" t="str">
        <f t="shared" si="27"/>
        <v>tidak ganda</v>
      </c>
      <c r="E856" s="22" t="s">
        <v>1935</v>
      </c>
      <c r="F856" s="22" t="s">
        <v>10</v>
      </c>
      <c r="G856" s="22" t="s">
        <v>11</v>
      </c>
      <c r="H856" s="22" t="s">
        <v>18</v>
      </c>
      <c r="I856" s="22" t="s">
        <v>268</v>
      </c>
      <c r="J856" s="22" t="s">
        <v>448</v>
      </c>
      <c r="K856" s="23" t="s">
        <v>2101</v>
      </c>
    </row>
    <row r="857" spans="1:14" hidden="1" x14ac:dyDescent="0.35">
      <c r="A857" s="21">
        <v>1611925</v>
      </c>
      <c r="B857" s="22" t="str">
        <f>"3522205204000002"</f>
        <v>3522205204000002</v>
      </c>
      <c r="C857" s="22" t="str">
        <f t="shared" si="26"/>
        <v>'3522205204000002</v>
      </c>
      <c r="D857" s="22" t="str">
        <f t="shared" si="27"/>
        <v>tidak ganda</v>
      </c>
      <c r="E857" s="22" t="s">
        <v>2106</v>
      </c>
      <c r="F857" s="22" t="s">
        <v>10</v>
      </c>
      <c r="G857" s="22" t="s">
        <v>11</v>
      </c>
      <c r="H857" s="22" t="s">
        <v>18</v>
      </c>
      <c r="I857" s="22" t="s">
        <v>19</v>
      </c>
      <c r="J857" s="22" t="s">
        <v>1720</v>
      </c>
      <c r="K857" s="23" t="s">
        <v>1721</v>
      </c>
      <c r="L857" t="e">
        <f>VLOOKUP(B857,ubah!$B$2:$L$234,4,FALSE)</f>
        <v>#N/A</v>
      </c>
      <c r="M857" t="e">
        <f>VLOOKUP(B857,ubah!$B$2:$L$234,5,FALSE)</f>
        <v>#N/A</v>
      </c>
      <c r="N857" t="e">
        <f>VLOOKUP(B857,ubah!$B$2:$L$234,6,FALSE)</f>
        <v>#N/A</v>
      </c>
    </row>
    <row r="858" spans="1:14" hidden="1" x14ac:dyDescent="0.35">
      <c r="A858" s="21">
        <v>1087477</v>
      </c>
      <c r="B858" s="22" t="str">
        <f>"3602234704970001"</f>
        <v>3602234704970001</v>
      </c>
      <c r="C858" s="22" t="str">
        <f t="shared" si="26"/>
        <v>'3602234704970001</v>
      </c>
      <c r="D858" s="22" t="str">
        <f t="shared" si="27"/>
        <v>tidak ganda</v>
      </c>
      <c r="E858" s="22" t="s">
        <v>2109</v>
      </c>
      <c r="F858" s="22" t="s">
        <v>10</v>
      </c>
      <c r="G858" s="22" t="s">
        <v>11</v>
      </c>
      <c r="H858" s="22" t="s">
        <v>67</v>
      </c>
      <c r="I858" s="22" t="s">
        <v>638</v>
      </c>
      <c r="J858" s="22" t="s">
        <v>2110</v>
      </c>
      <c r="K858" s="23" t="s">
        <v>2111</v>
      </c>
    </row>
    <row r="859" spans="1:14" hidden="1" x14ac:dyDescent="0.35">
      <c r="A859" s="21">
        <v>2304124</v>
      </c>
      <c r="B859" s="22" t="str">
        <f>"3604180404940003"</f>
        <v>3604180404940003</v>
      </c>
      <c r="C859" s="22" t="str">
        <f t="shared" si="26"/>
        <v>'3604180404940003</v>
      </c>
      <c r="D859" s="22" t="str">
        <f t="shared" si="27"/>
        <v>ganda</v>
      </c>
      <c r="E859" s="22" t="s">
        <v>2113</v>
      </c>
      <c r="F859" s="22" t="s">
        <v>10</v>
      </c>
      <c r="G859" s="22" t="s">
        <v>11</v>
      </c>
      <c r="H859" s="22" t="s">
        <v>67</v>
      </c>
      <c r="I859" s="22" t="s">
        <v>375</v>
      </c>
      <c r="J859" s="22" t="s">
        <v>2114</v>
      </c>
      <c r="K859" s="23" t="s">
        <v>417</v>
      </c>
    </row>
    <row r="860" spans="1:14" hidden="1" x14ac:dyDescent="0.35">
      <c r="A860" s="21">
        <v>2534917</v>
      </c>
      <c r="B860" s="22" t="str">
        <f>"3604180404940003"</f>
        <v>3604180404940003</v>
      </c>
      <c r="C860" s="22" t="str">
        <f t="shared" si="26"/>
        <v>'3604180404940003</v>
      </c>
      <c r="D860" s="22" t="str">
        <f t="shared" si="27"/>
        <v>ganda</v>
      </c>
      <c r="E860" s="22" t="s">
        <v>2113</v>
      </c>
      <c r="F860" s="22" t="s">
        <v>10</v>
      </c>
      <c r="G860" s="22" t="s">
        <v>11</v>
      </c>
      <c r="H860" s="22" t="s">
        <v>18</v>
      </c>
      <c r="I860" s="22" t="s">
        <v>19</v>
      </c>
      <c r="J860" s="22" t="s">
        <v>1720</v>
      </c>
      <c r="K860" s="23" t="s">
        <v>1721</v>
      </c>
      <c r="L860" t="e">
        <f>VLOOKUP(B860,ubah!$B$2:$L$234,4,FALSE)</f>
        <v>#N/A</v>
      </c>
      <c r="M860" t="e">
        <f>VLOOKUP(B860,ubah!$B$2:$L$234,5,FALSE)</f>
        <v>#N/A</v>
      </c>
      <c r="N860" t="e">
        <f>VLOOKUP(B860,ubah!$B$2:$L$234,6,FALSE)</f>
        <v>#N/A</v>
      </c>
    </row>
    <row r="861" spans="1:14" hidden="1" x14ac:dyDescent="0.35">
      <c r="A861" s="21">
        <v>2312528</v>
      </c>
      <c r="B861" s="22" t="str">
        <f>"3671131011780010"</f>
        <v>3671131011780010</v>
      </c>
      <c r="C861" s="22" t="str">
        <f t="shared" si="26"/>
        <v>'3671131011780010</v>
      </c>
      <c r="D861" s="22" t="str">
        <f t="shared" si="27"/>
        <v>tidak ganda</v>
      </c>
      <c r="E861" s="22" t="s">
        <v>2115</v>
      </c>
      <c r="F861" s="22" t="s">
        <v>10</v>
      </c>
      <c r="G861" s="22" t="s">
        <v>11</v>
      </c>
      <c r="H861" s="22" t="s">
        <v>67</v>
      </c>
      <c r="I861" s="22" t="s">
        <v>512</v>
      </c>
      <c r="J861" s="22" t="s">
        <v>330</v>
      </c>
      <c r="K861" s="23" t="s">
        <v>1797</v>
      </c>
    </row>
    <row r="862" spans="1:14" hidden="1" x14ac:dyDescent="0.35">
      <c r="A862" s="21">
        <v>1415852</v>
      </c>
      <c r="B862" s="22" t="str">
        <f>"3674040101830007"</f>
        <v>3674040101830007</v>
      </c>
      <c r="C862" s="22" t="str">
        <f t="shared" si="26"/>
        <v>'3674040101830007</v>
      </c>
      <c r="D862" s="22" t="str">
        <f t="shared" si="27"/>
        <v>tidak ganda</v>
      </c>
      <c r="E862" s="22" t="s">
        <v>2116</v>
      </c>
      <c r="F862" s="22" t="s">
        <v>10</v>
      </c>
      <c r="G862" s="22" t="s">
        <v>11</v>
      </c>
      <c r="H862" s="22" t="s">
        <v>67</v>
      </c>
      <c r="I862" s="22" t="s">
        <v>68</v>
      </c>
      <c r="J862" s="22" t="s">
        <v>69</v>
      </c>
      <c r="K862" s="23" t="s">
        <v>2117</v>
      </c>
    </row>
    <row r="863" spans="1:14" hidden="1" x14ac:dyDescent="0.35">
      <c r="A863" s="21">
        <v>1415851</v>
      </c>
      <c r="B863" s="22" t="str">
        <f>"3674045702840004"</f>
        <v>3674045702840004</v>
      </c>
      <c r="C863" s="22" t="str">
        <f t="shared" si="26"/>
        <v>'3674045702840004</v>
      </c>
      <c r="D863" s="22" t="str">
        <f t="shared" si="27"/>
        <v>tidak ganda</v>
      </c>
      <c r="E863" s="22" t="s">
        <v>2119</v>
      </c>
      <c r="F863" s="22" t="s">
        <v>10</v>
      </c>
      <c r="G863" s="22" t="s">
        <v>11</v>
      </c>
      <c r="H863" s="22" t="s">
        <v>67</v>
      </c>
      <c r="I863" s="22" t="s">
        <v>68</v>
      </c>
      <c r="J863" s="22" t="s">
        <v>69</v>
      </c>
      <c r="K863" s="23" t="s">
        <v>2117</v>
      </c>
    </row>
    <row r="864" spans="1:14" hidden="1" x14ac:dyDescent="0.35">
      <c r="A864" s="21">
        <v>2129848</v>
      </c>
      <c r="B864" s="22" t="str">
        <f>"5311182304860001"</f>
        <v>5311182304860001</v>
      </c>
      <c r="C864" s="22" t="str">
        <f t="shared" si="26"/>
        <v>'5311182304860001</v>
      </c>
      <c r="D864" s="22" t="str">
        <f t="shared" si="27"/>
        <v>tidak ganda</v>
      </c>
      <c r="E864" s="22" t="s">
        <v>2120</v>
      </c>
      <c r="F864" s="22" t="s">
        <v>10</v>
      </c>
      <c r="G864" s="22" t="s">
        <v>11</v>
      </c>
      <c r="H864" s="22" t="s">
        <v>18</v>
      </c>
      <c r="I864" s="22" t="s">
        <v>19</v>
      </c>
      <c r="J864" s="22" t="s">
        <v>1720</v>
      </c>
      <c r="K864" s="23" t="s">
        <v>1727</v>
      </c>
      <c r="L864" t="e">
        <f>VLOOKUP(B864,ubah!$B$2:$L$234,4,FALSE)</f>
        <v>#N/A</v>
      </c>
      <c r="M864" t="e">
        <f>VLOOKUP(B864,ubah!$B$2:$L$234,5,FALSE)</f>
        <v>#N/A</v>
      </c>
      <c r="N864" t="e">
        <f>VLOOKUP(B864,ubah!$B$2:$L$234,6,FALSE)</f>
        <v>#N/A</v>
      </c>
    </row>
    <row r="865" spans="1:14" hidden="1" x14ac:dyDescent="0.35">
      <c r="A865" s="21">
        <v>142045</v>
      </c>
      <c r="B865" s="22" t="str">
        <f>"6203015802980003"</f>
        <v>6203015802980003</v>
      </c>
      <c r="C865" s="22" t="str">
        <f t="shared" si="26"/>
        <v>'6203015802980003</v>
      </c>
      <c r="D865" s="22" t="str">
        <f t="shared" si="27"/>
        <v>tidak ganda</v>
      </c>
      <c r="E865" s="22" t="s">
        <v>2126</v>
      </c>
      <c r="F865" s="22" t="s">
        <v>10</v>
      </c>
      <c r="G865" s="22" t="s">
        <v>11</v>
      </c>
      <c r="H865" s="22" t="s">
        <v>521</v>
      </c>
      <c r="I865" s="22" t="s">
        <v>1824</v>
      </c>
      <c r="J865" s="22" t="s">
        <v>1825</v>
      </c>
      <c r="K865" s="23" t="s">
        <v>1826</v>
      </c>
    </row>
    <row r="866" spans="1:14" hidden="1" x14ac:dyDescent="0.35">
      <c r="A866" s="21">
        <v>814921</v>
      </c>
      <c r="B866" s="22" t="str">
        <f>"1108160511990001"</f>
        <v>1108160511990001</v>
      </c>
      <c r="C866" s="22" t="str">
        <f t="shared" si="26"/>
        <v>'1108160511990001</v>
      </c>
      <c r="D866" s="22" t="str">
        <f t="shared" si="27"/>
        <v>ganda</v>
      </c>
      <c r="E866" s="22" t="s">
        <v>2127</v>
      </c>
      <c r="F866" s="22" t="s">
        <v>10</v>
      </c>
      <c r="G866" s="22" t="s">
        <v>11</v>
      </c>
      <c r="H866" s="22" t="s">
        <v>412</v>
      </c>
      <c r="I866" s="22" t="s">
        <v>2128</v>
      </c>
      <c r="J866" s="22" t="s">
        <v>2129</v>
      </c>
      <c r="K866" s="23" t="s">
        <v>2130</v>
      </c>
    </row>
    <row r="867" spans="1:14" hidden="1" x14ac:dyDescent="0.35">
      <c r="A867" s="21">
        <v>2540895</v>
      </c>
      <c r="B867" s="22" t="str">
        <f>"1108160511990001"</f>
        <v>1108160511990001</v>
      </c>
      <c r="C867" s="22" t="str">
        <f t="shared" si="26"/>
        <v>'1108160511990001</v>
      </c>
      <c r="D867" s="22" t="str">
        <f t="shared" si="27"/>
        <v>ganda</v>
      </c>
      <c r="E867" s="22" t="s">
        <v>2131</v>
      </c>
      <c r="F867" s="22" t="s">
        <v>10</v>
      </c>
      <c r="G867" s="22" t="s">
        <v>57</v>
      </c>
      <c r="H867" s="22" t="s">
        <v>18</v>
      </c>
      <c r="I867" s="22" t="s">
        <v>19</v>
      </c>
      <c r="J867" s="22" t="s">
        <v>1394</v>
      </c>
      <c r="K867" s="23" t="s">
        <v>1395</v>
      </c>
      <c r="L867" t="e">
        <f>VLOOKUP(B867,ubah!$B$2:$L$234,4,FALSE)</f>
        <v>#N/A</v>
      </c>
      <c r="M867" t="e">
        <f>VLOOKUP(B867,ubah!$B$2:$L$234,5,FALSE)</f>
        <v>#N/A</v>
      </c>
      <c r="N867" t="e">
        <f>VLOOKUP(B867,ubah!$B$2:$L$234,6,FALSE)</f>
        <v>#N/A</v>
      </c>
    </row>
    <row r="868" spans="1:14" hidden="1" x14ac:dyDescent="0.35">
      <c r="A868" s="21">
        <v>470865</v>
      </c>
      <c r="B868" s="22" t="str">
        <f>"1111132406840002"</f>
        <v>1111132406840002</v>
      </c>
      <c r="C868" s="22" t="str">
        <f t="shared" si="26"/>
        <v>'1111132406840002</v>
      </c>
      <c r="D868" s="22" t="str">
        <f t="shared" si="27"/>
        <v>ganda</v>
      </c>
      <c r="E868" s="22" t="s">
        <v>2132</v>
      </c>
      <c r="F868" s="22" t="s">
        <v>10</v>
      </c>
      <c r="G868" s="22" t="s">
        <v>11</v>
      </c>
      <c r="H868" s="22" t="s">
        <v>412</v>
      </c>
      <c r="I868" s="22" t="s">
        <v>2128</v>
      </c>
      <c r="J868" s="22" t="s">
        <v>2133</v>
      </c>
      <c r="K868" s="23" t="s">
        <v>2134</v>
      </c>
    </row>
    <row r="869" spans="1:14" hidden="1" x14ac:dyDescent="0.35">
      <c r="A869" s="21">
        <v>2540849</v>
      </c>
      <c r="B869" s="22" t="str">
        <f>"1111132406840002"</f>
        <v>1111132406840002</v>
      </c>
      <c r="C869" s="22" t="str">
        <f t="shared" si="26"/>
        <v>'1111132406840002</v>
      </c>
      <c r="D869" s="22" t="str">
        <f t="shared" si="27"/>
        <v>ganda</v>
      </c>
      <c r="E869" s="22" t="s">
        <v>2135</v>
      </c>
      <c r="F869" s="22" t="s">
        <v>10</v>
      </c>
      <c r="G869" s="22" t="s">
        <v>57</v>
      </c>
      <c r="H869" s="22" t="s">
        <v>18</v>
      </c>
      <c r="I869" s="22" t="s">
        <v>19</v>
      </c>
      <c r="J869" s="22" t="s">
        <v>1394</v>
      </c>
      <c r="K869" s="23" t="s">
        <v>1395</v>
      </c>
      <c r="L869" t="e">
        <f>VLOOKUP(B869,ubah!$B$2:$L$234,4,FALSE)</f>
        <v>#N/A</v>
      </c>
      <c r="M869" t="e">
        <f>VLOOKUP(B869,ubah!$B$2:$L$234,5,FALSE)</f>
        <v>#N/A</v>
      </c>
      <c r="N869" t="e">
        <f>VLOOKUP(B869,ubah!$B$2:$L$234,6,FALSE)</f>
        <v>#N/A</v>
      </c>
    </row>
    <row r="870" spans="1:14" hidden="1" x14ac:dyDescent="0.35">
      <c r="A870" s="21">
        <v>2540759</v>
      </c>
      <c r="B870" s="22" t="str">
        <f>"1211111706040001"</f>
        <v>1211111706040001</v>
      </c>
      <c r="C870" s="22" t="str">
        <f t="shared" si="26"/>
        <v>'1211111706040001</v>
      </c>
      <c r="D870" s="22" t="str">
        <f t="shared" si="27"/>
        <v>tidak ganda</v>
      </c>
      <c r="E870" s="22" t="s">
        <v>2140</v>
      </c>
      <c r="F870" s="22" t="s">
        <v>10</v>
      </c>
      <c r="G870" s="22" t="s">
        <v>57</v>
      </c>
      <c r="H870" s="22" t="s">
        <v>18</v>
      </c>
      <c r="I870" s="22" t="s">
        <v>19</v>
      </c>
      <c r="J870" s="22" t="s">
        <v>1394</v>
      </c>
      <c r="K870" s="23" t="s">
        <v>1395</v>
      </c>
      <c r="L870" t="e">
        <f>VLOOKUP(B870,ubah!$B$2:$L$234,4,FALSE)</f>
        <v>#N/A</v>
      </c>
      <c r="M870" t="e">
        <f>VLOOKUP(B870,ubah!$B$2:$L$234,5,FALSE)</f>
        <v>#N/A</v>
      </c>
      <c r="N870" t="e">
        <f>VLOOKUP(B870,ubah!$B$2:$L$234,6,FALSE)</f>
        <v>#N/A</v>
      </c>
    </row>
    <row r="871" spans="1:14" hidden="1" x14ac:dyDescent="0.35">
      <c r="A871" s="21">
        <v>189097</v>
      </c>
      <c r="B871" s="22" t="str">
        <f>"1223011807880007"</f>
        <v>1223011807880007</v>
      </c>
      <c r="C871" s="22" t="str">
        <f t="shared" si="26"/>
        <v>'1223011807880007</v>
      </c>
      <c r="D871" s="22" t="str">
        <f t="shared" si="27"/>
        <v>ganda</v>
      </c>
      <c r="E871" s="22" t="s">
        <v>2141</v>
      </c>
      <c r="F871" s="22" t="s">
        <v>10</v>
      </c>
      <c r="G871" s="22" t="s">
        <v>11</v>
      </c>
      <c r="H871" s="22" t="s">
        <v>228</v>
      </c>
      <c r="I871" s="22" t="s">
        <v>2142</v>
      </c>
      <c r="J871" s="22" t="s">
        <v>2143</v>
      </c>
      <c r="K871" s="23" t="s">
        <v>2144</v>
      </c>
    </row>
    <row r="872" spans="1:14" hidden="1" x14ac:dyDescent="0.35">
      <c r="A872" s="21">
        <v>2540898</v>
      </c>
      <c r="B872" s="22" t="str">
        <f>"1223011807880007"</f>
        <v>1223011807880007</v>
      </c>
      <c r="C872" s="22" t="str">
        <f t="shared" si="26"/>
        <v>'1223011807880007</v>
      </c>
      <c r="D872" s="22" t="str">
        <f t="shared" si="27"/>
        <v>ganda</v>
      </c>
      <c r="E872" s="22" t="s">
        <v>2145</v>
      </c>
      <c r="F872" s="22" t="s">
        <v>10</v>
      </c>
      <c r="G872" s="22" t="s">
        <v>57</v>
      </c>
      <c r="H872" s="22" t="s">
        <v>18</v>
      </c>
      <c r="I872" s="22" t="s">
        <v>19</v>
      </c>
      <c r="J872" s="22" t="s">
        <v>1394</v>
      </c>
      <c r="K872" s="23" t="s">
        <v>1395</v>
      </c>
      <c r="L872" t="e">
        <f>VLOOKUP(B872,ubah!$B$2:$L$234,4,FALSE)</f>
        <v>#N/A</v>
      </c>
      <c r="M872" t="e">
        <f>VLOOKUP(B872,ubah!$B$2:$L$234,5,FALSE)</f>
        <v>#N/A</v>
      </c>
      <c r="N872" t="e">
        <f>VLOOKUP(B872,ubah!$B$2:$L$234,6,FALSE)</f>
        <v>#N/A</v>
      </c>
    </row>
    <row r="873" spans="1:14" hidden="1" x14ac:dyDescent="0.35">
      <c r="A873" s="21">
        <v>82549</v>
      </c>
      <c r="B873" s="22" t="str">
        <f>"1223021010000003"</f>
        <v>1223021010000003</v>
      </c>
      <c r="C873" s="22" t="str">
        <f t="shared" si="26"/>
        <v>'1223021010000003</v>
      </c>
      <c r="D873" s="22" t="str">
        <f t="shared" si="27"/>
        <v>ganda</v>
      </c>
      <c r="E873" s="22" t="s">
        <v>2146</v>
      </c>
      <c r="F873" s="22" t="s">
        <v>10</v>
      </c>
      <c r="G873" s="22" t="s">
        <v>11</v>
      </c>
      <c r="H873" s="22" t="s">
        <v>667</v>
      </c>
      <c r="I873" s="22" t="s">
        <v>2147</v>
      </c>
      <c r="J873" s="22" t="s">
        <v>2148</v>
      </c>
      <c r="K873" s="23" t="s">
        <v>2149</v>
      </c>
    </row>
    <row r="874" spans="1:14" hidden="1" x14ac:dyDescent="0.35">
      <c r="A874" s="21">
        <v>2540874</v>
      </c>
      <c r="B874" s="22" t="str">
        <f>"1223021010000003"</f>
        <v>1223021010000003</v>
      </c>
      <c r="C874" s="22" t="str">
        <f t="shared" si="26"/>
        <v>'1223021010000003</v>
      </c>
      <c r="D874" s="22" t="str">
        <f t="shared" si="27"/>
        <v>ganda</v>
      </c>
      <c r="E874" s="22" t="s">
        <v>2150</v>
      </c>
      <c r="F874" s="22" t="s">
        <v>10</v>
      </c>
      <c r="G874" s="22" t="s">
        <v>57</v>
      </c>
      <c r="H874" s="22" t="s">
        <v>18</v>
      </c>
      <c r="I874" s="22" t="s">
        <v>19</v>
      </c>
      <c r="J874" s="22" t="s">
        <v>1394</v>
      </c>
      <c r="K874" s="23" t="s">
        <v>1395</v>
      </c>
      <c r="L874" t="e">
        <f>VLOOKUP(B874,ubah!$B$2:$L$234,4,FALSE)</f>
        <v>#N/A</v>
      </c>
      <c r="M874" t="e">
        <f>VLOOKUP(B874,ubah!$B$2:$L$234,5,FALSE)</f>
        <v>#N/A</v>
      </c>
      <c r="N874" t="e">
        <f>VLOOKUP(B874,ubah!$B$2:$L$234,6,FALSE)</f>
        <v>#N/A</v>
      </c>
    </row>
    <row r="875" spans="1:14" hidden="1" x14ac:dyDescent="0.35">
      <c r="A875" s="21">
        <v>2540878</v>
      </c>
      <c r="B875" s="22" t="str">
        <f>"1401112910000001"</f>
        <v>1401112910000001</v>
      </c>
      <c r="C875" s="22" t="str">
        <f t="shared" si="26"/>
        <v>'1401112910000001</v>
      </c>
      <c r="D875" s="22" t="str">
        <f t="shared" si="27"/>
        <v>tidak ganda</v>
      </c>
      <c r="E875" s="22" t="s">
        <v>2151</v>
      </c>
      <c r="F875" s="22" t="s">
        <v>10</v>
      </c>
      <c r="G875" s="22" t="s">
        <v>57</v>
      </c>
      <c r="H875" s="22" t="s">
        <v>18</v>
      </c>
      <c r="I875" s="22" t="s">
        <v>19</v>
      </c>
      <c r="J875" s="22" t="s">
        <v>1394</v>
      </c>
      <c r="K875" s="23" t="s">
        <v>1395</v>
      </c>
      <c r="L875" t="e">
        <f>VLOOKUP(B875,ubah!$B$2:$L$234,4,FALSE)</f>
        <v>#N/A</v>
      </c>
      <c r="M875" t="e">
        <f>VLOOKUP(B875,ubah!$B$2:$L$234,5,FALSE)</f>
        <v>#N/A</v>
      </c>
      <c r="N875" t="e">
        <f>VLOOKUP(B875,ubah!$B$2:$L$234,6,FALSE)</f>
        <v>#N/A</v>
      </c>
    </row>
    <row r="876" spans="1:14" hidden="1" x14ac:dyDescent="0.35">
      <c r="A876" s="21">
        <v>859365</v>
      </c>
      <c r="B876" s="22" t="str">
        <f>"1671026005910002"</f>
        <v>1671026005910002</v>
      </c>
      <c r="C876" s="22" t="str">
        <f t="shared" si="26"/>
        <v>'1671026005910002</v>
      </c>
      <c r="D876" s="22" t="str">
        <f t="shared" si="27"/>
        <v>tidak ganda</v>
      </c>
      <c r="E876" s="22" t="s">
        <v>2156</v>
      </c>
      <c r="F876" s="22" t="s">
        <v>10</v>
      </c>
      <c r="G876" s="22" t="s">
        <v>11</v>
      </c>
      <c r="H876" s="22" t="s">
        <v>33</v>
      </c>
      <c r="I876" s="22" t="s">
        <v>2157</v>
      </c>
      <c r="J876" s="22" t="s">
        <v>2158</v>
      </c>
      <c r="K876" s="23" t="s">
        <v>2159</v>
      </c>
    </row>
    <row r="877" spans="1:14" hidden="1" x14ac:dyDescent="0.35">
      <c r="A877" s="21">
        <v>741349</v>
      </c>
      <c r="B877" s="22" t="str">
        <f>"1671074209010010"</f>
        <v>1671074209010010</v>
      </c>
      <c r="C877" s="22" t="str">
        <f t="shared" si="26"/>
        <v>'1671074209010010</v>
      </c>
      <c r="D877" s="22" t="str">
        <f t="shared" si="27"/>
        <v>tidak ganda</v>
      </c>
      <c r="E877" s="22" t="s">
        <v>2162</v>
      </c>
      <c r="F877" s="22" t="s">
        <v>10</v>
      </c>
      <c r="G877" s="22" t="s">
        <v>11</v>
      </c>
      <c r="H877" s="22" t="s">
        <v>33</v>
      </c>
      <c r="I877" s="22" t="s">
        <v>2157</v>
      </c>
      <c r="J877" s="22" t="s">
        <v>2163</v>
      </c>
      <c r="K877" s="23" t="s">
        <v>2164</v>
      </c>
    </row>
    <row r="878" spans="1:14" hidden="1" x14ac:dyDescent="0.35">
      <c r="A878" s="21">
        <v>226575</v>
      </c>
      <c r="B878" s="22" t="str">
        <f>"1801040606940021"</f>
        <v>1801040606940021</v>
      </c>
      <c r="C878" s="22" t="str">
        <f t="shared" si="26"/>
        <v>'1801040606940021</v>
      </c>
      <c r="D878" s="22" t="str">
        <f t="shared" si="27"/>
        <v>ganda</v>
      </c>
      <c r="E878" s="22" t="s">
        <v>2166</v>
      </c>
      <c r="F878" s="22" t="s">
        <v>10</v>
      </c>
      <c r="G878" s="22" t="s">
        <v>11</v>
      </c>
      <c r="H878" s="22" t="s">
        <v>44</v>
      </c>
      <c r="I878" s="22" t="s">
        <v>909</v>
      </c>
      <c r="J878" s="22" t="s">
        <v>2167</v>
      </c>
      <c r="K878" s="23" t="s">
        <v>2168</v>
      </c>
    </row>
    <row r="879" spans="1:14" hidden="1" x14ac:dyDescent="0.35">
      <c r="A879" s="21">
        <v>2540890</v>
      </c>
      <c r="B879" s="22" t="str">
        <f>"1801040606940021"</f>
        <v>1801040606940021</v>
      </c>
      <c r="C879" s="22" t="str">
        <f t="shared" si="26"/>
        <v>'1801040606940021</v>
      </c>
      <c r="D879" s="22" t="str">
        <f t="shared" si="27"/>
        <v>ganda</v>
      </c>
      <c r="E879" s="22" t="s">
        <v>2169</v>
      </c>
      <c r="F879" s="22" t="s">
        <v>10</v>
      </c>
      <c r="G879" s="22" t="s">
        <v>57</v>
      </c>
      <c r="H879" s="22" t="s">
        <v>18</v>
      </c>
      <c r="I879" s="22" t="s">
        <v>19</v>
      </c>
      <c r="J879" s="22" t="s">
        <v>1394</v>
      </c>
      <c r="K879" s="23" t="s">
        <v>1395</v>
      </c>
      <c r="L879" t="e">
        <f>VLOOKUP(B879,ubah!$B$2:$L$234,4,FALSE)</f>
        <v>#N/A</v>
      </c>
      <c r="M879" t="e">
        <f>VLOOKUP(B879,ubah!$B$2:$L$234,5,FALSE)</f>
        <v>#N/A</v>
      </c>
      <c r="N879" t="e">
        <f>VLOOKUP(B879,ubah!$B$2:$L$234,6,FALSE)</f>
        <v>#N/A</v>
      </c>
    </row>
    <row r="880" spans="1:14" hidden="1" x14ac:dyDescent="0.35">
      <c r="A880" s="21">
        <v>491466</v>
      </c>
      <c r="B880" s="22" t="str">
        <f>"1802225606020003"</f>
        <v>1802225606020003</v>
      </c>
      <c r="C880" s="22" t="str">
        <f t="shared" si="26"/>
        <v>'1802225606020003</v>
      </c>
      <c r="D880" s="22" t="str">
        <f t="shared" si="27"/>
        <v>tidak ganda</v>
      </c>
      <c r="E880" s="22" t="s">
        <v>2170</v>
      </c>
      <c r="F880" s="22" t="s">
        <v>10</v>
      </c>
      <c r="G880" s="22" t="s">
        <v>11</v>
      </c>
      <c r="H880" s="22" t="s">
        <v>44</v>
      </c>
      <c r="I880" s="22" t="s">
        <v>1040</v>
      </c>
      <c r="J880" s="22" t="s">
        <v>2171</v>
      </c>
      <c r="K880" s="23" t="s">
        <v>2171</v>
      </c>
    </row>
    <row r="881" spans="1:14" hidden="1" x14ac:dyDescent="0.35">
      <c r="A881" s="21">
        <v>344011</v>
      </c>
      <c r="B881" s="22" t="str">
        <f>"1808100511910004"</f>
        <v>1808100511910004</v>
      </c>
      <c r="C881" s="22" t="str">
        <f t="shared" si="26"/>
        <v>'1808100511910004</v>
      </c>
      <c r="D881" s="22" t="str">
        <f t="shared" si="27"/>
        <v>ganda</v>
      </c>
      <c r="E881" s="22" t="s">
        <v>2173</v>
      </c>
      <c r="F881" s="22" t="s">
        <v>10</v>
      </c>
      <c r="G881" s="22" t="s">
        <v>11</v>
      </c>
      <c r="H881" s="22" t="s">
        <v>44</v>
      </c>
      <c r="I881" s="22" t="s">
        <v>2174</v>
      </c>
      <c r="J881" s="22" t="s">
        <v>2175</v>
      </c>
      <c r="K881" s="23" t="s">
        <v>2176</v>
      </c>
    </row>
    <row r="882" spans="1:14" hidden="1" x14ac:dyDescent="0.35">
      <c r="A882" s="21">
        <v>2540900</v>
      </c>
      <c r="B882" s="22" t="str">
        <f>"1808100511910004"</f>
        <v>1808100511910004</v>
      </c>
      <c r="C882" s="22" t="str">
        <f t="shared" si="26"/>
        <v>'1808100511910004</v>
      </c>
      <c r="D882" s="22" t="str">
        <f t="shared" si="27"/>
        <v>ganda</v>
      </c>
      <c r="E882" s="22" t="s">
        <v>2177</v>
      </c>
      <c r="F882" s="22" t="s">
        <v>10</v>
      </c>
      <c r="G882" s="22" t="s">
        <v>57</v>
      </c>
      <c r="H882" s="22" t="s">
        <v>18</v>
      </c>
      <c r="I882" s="22" t="s">
        <v>19</v>
      </c>
      <c r="J882" s="22" t="s">
        <v>1394</v>
      </c>
      <c r="K882" s="23" t="s">
        <v>1395</v>
      </c>
      <c r="L882" t="e">
        <f>VLOOKUP(B882,ubah!$B$2:$L$234,4,FALSE)</f>
        <v>#N/A</v>
      </c>
      <c r="M882" t="e">
        <f>VLOOKUP(B882,ubah!$B$2:$L$234,5,FALSE)</f>
        <v>#N/A</v>
      </c>
      <c r="N882" t="e">
        <f>VLOOKUP(B882,ubah!$B$2:$L$234,6,FALSE)</f>
        <v>#N/A</v>
      </c>
    </row>
    <row r="883" spans="1:14" hidden="1" x14ac:dyDescent="0.35">
      <c r="A883" s="21">
        <v>225298</v>
      </c>
      <c r="B883" s="22" t="str">
        <f>"3171041205951001"</f>
        <v>3171041205951001</v>
      </c>
      <c r="C883" s="22" t="str">
        <f t="shared" si="26"/>
        <v>'3171041205951001</v>
      </c>
      <c r="D883" s="22" t="str">
        <f t="shared" si="27"/>
        <v>ganda</v>
      </c>
      <c r="E883" s="22" t="s">
        <v>2178</v>
      </c>
      <c r="F883" s="22" t="s">
        <v>10</v>
      </c>
      <c r="G883" s="22" t="s">
        <v>11</v>
      </c>
      <c r="H883" s="22" t="s">
        <v>50</v>
      </c>
      <c r="I883" s="22" t="s">
        <v>280</v>
      </c>
      <c r="J883" s="22" t="s">
        <v>2179</v>
      </c>
      <c r="K883" s="23" t="s">
        <v>266</v>
      </c>
    </row>
    <row r="884" spans="1:14" hidden="1" x14ac:dyDescent="0.35">
      <c r="A884" s="21">
        <v>2540710</v>
      </c>
      <c r="B884" s="22" t="str">
        <f>"3171041205951001"</f>
        <v>3171041205951001</v>
      </c>
      <c r="C884" s="22" t="str">
        <f t="shared" si="26"/>
        <v>'3171041205951001</v>
      </c>
      <c r="D884" s="22" t="str">
        <f t="shared" si="27"/>
        <v>ganda</v>
      </c>
      <c r="E884" s="22" t="s">
        <v>2180</v>
      </c>
      <c r="F884" s="22" t="s">
        <v>10</v>
      </c>
      <c r="G884" s="22" t="s">
        <v>57</v>
      </c>
      <c r="H884" s="22" t="s">
        <v>18</v>
      </c>
      <c r="I884" s="22" t="s">
        <v>19</v>
      </c>
      <c r="J884" s="22" t="s">
        <v>1394</v>
      </c>
      <c r="K884" s="23" t="s">
        <v>1395</v>
      </c>
      <c r="L884" t="e">
        <f>VLOOKUP(B884,ubah!$B$2:$L$234,4,FALSE)</f>
        <v>#N/A</v>
      </c>
      <c r="M884" t="e">
        <f>VLOOKUP(B884,ubah!$B$2:$L$234,5,FALSE)</f>
        <v>#N/A</v>
      </c>
      <c r="N884" t="e">
        <f>VLOOKUP(B884,ubah!$B$2:$L$234,6,FALSE)</f>
        <v>#N/A</v>
      </c>
    </row>
    <row r="885" spans="1:14" hidden="1" x14ac:dyDescent="0.35">
      <c r="A885" s="21">
        <v>185148</v>
      </c>
      <c r="B885" s="22" t="str">
        <f>"3171050402870001"</f>
        <v>3171050402870001</v>
      </c>
      <c r="C885" s="22" t="str">
        <f t="shared" si="26"/>
        <v>'3171050402870001</v>
      </c>
      <c r="D885" s="22" t="str">
        <f t="shared" si="27"/>
        <v>ganda</v>
      </c>
      <c r="E885" s="22" t="s">
        <v>2181</v>
      </c>
      <c r="F885" s="22" t="s">
        <v>10</v>
      </c>
      <c r="G885" s="22" t="s">
        <v>11</v>
      </c>
      <c r="H885" s="22" t="s">
        <v>50</v>
      </c>
      <c r="I885" s="22" t="s">
        <v>280</v>
      </c>
      <c r="J885" s="22" t="s">
        <v>776</v>
      </c>
      <c r="K885" s="23" t="s">
        <v>2182</v>
      </c>
    </row>
    <row r="886" spans="1:14" hidden="1" x14ac:dyDescent="0.35">
      <c r="A886" s="21">
        <v>2540727</v>
      </c>
      <c r="B886" s="22" t="str">
        <f>"3171050402870001"</f>
        <v>3171050402870001</v>
      </c>
      <c r="C886" s="22" t="str">
        <f t="shared" si="26"/>
        <v>'3171050402870001</v>
      </c>
      <c r="D886" s="22" t="str">
        <f t="shared" si="27"/>
        <v>ganda</v>
      </c>
      <c r="E886" s="22" t="s">
        <v>2183</v>
      </c>
      <c r="F886" s="22" t="s">
        <v>10</v>
      </c>
      <c r="G886" s="22" t="s">
        <v>57</v>
      </c>
      <c r="H886" s="22" t="s">
        <v>18</v>
      </c>
      <c r="I886" s="22" t="s">
        <v>19</v>
      </c>
      <c r="J886" s="22" t="s">
        <v>1394</v>
      </c>
      <c r="K886" s="23" t="s">
        <v>1395</v>
      </c>
      <c r="L886" t="e">
        <f>VLOOKUP(B886,ubah!$B$2:$L$234,4,FALSE)</f>
        <v>#N/A</v>
      </c>
      <c r="M886" t="e">
        <f>VLOOKUP(B886,ubah!$B$2:$L$234,5,FALSE)</f>
        <v>#N/A</v>
      </c>
      <c r="N886" t="e">
        <f>VLOOKUP(B886,ubah!$B$2:$L$234,6,FALSE)</f>
        <v>#N/A</v>
      </c>
    </row>
    <row r="887" spans="1:14" hidden="1" x14ac:dyDescent="0.35">
      <c r="A887" s="21">
        <v>366570</v>
      </c>
      <c r="B887" s="22" t="str">
        <f>"3171070807690007"</f>
        <v>3171070807690007</v>
      </c>
      <c r="C887" s="22" t="str">
        <f t="shared" si="26"/>
        <v>'3171070807690007</v>
      </c>
      <c r="D887" s="22" t="str">
        <f t="shared" si="27"/>
        <v>tidak ganda</v>
      </c>
      <c r="E887" s="22" t="s">
        <v>2184</v>
      </c>
      <c r="F887" s="22" t="s">
        <v>10</v>
      </c>
      <c r="G887" s="22" t="s">
        <v>11</v>
      </c>
      <c r="H887" s="22" t="s">
        <v>50</v>
      </c>
      <c r="I887" s="22" t="s">
        <v>72</v>
      </c>
      <c r="J887" s="22" t="s">
        <v>246</v>
      </c>
      <c r="K887" s="23" t="s">
        <v>2185</v>
      </c>
    </row>
    <row r="888" spans="1:14" hidden="1" x14ac:dyDescent="0.35">
      <c r="A888" s="21">
        <v>420583</v>
      </c>
      <c r="B888" s="22" t="str">
        <f>"3171074307500006"</f>
        <v>3171074307500006</v>
      </c>
      <c r="C888" s="22" t="str">
        <f t="shared" si="26"/>
        <v>'3171074307500006</v>
      </c>
      <c r="D888" s="22" t="str">
        <f t="shared" si="27"/>
        <v>tidak ganda</v>
      </c>
      <c r="E888" s="22" t="s">
        <v>2188</v>
      </c>
      <c r="F888" s="22" t="s">
        <v>10</v>
      </c>
      <c r="G888" s="22" t="s">
        <v>11</v>
      </c>
      <c r="H888" s="22" t="s">
        <v>50</v>
      </c>
      <c r="I888" s="22" t="s">
        <v>280</v>
      </c>
      <c r="J888" s="22" t="s">
        <v>281</v>
      </c>
      <c r="K888" s="23" t="s">
        <v>1256</v>
      </c>
    </row>
    <row r="889" spans="1:14" hidden="1" x14ac:dyDescent="0.35">
      <c r="A889" s="21">
        <v>1114604</v>
      </c>
      <c r="B889" s="22" t="str">
        <f>"3172012309770005"</f>
        <v>3172012309770005</v>
      </c>
      <c r="C889" s="22" t="str">
        <f t="shared" si="26"/>
        <v>'3172012309770005</v>
      </c>
      <c r="D889" s="22" t="str">
        <f t="shared" si="27"/>
        <v>tidak ganda</v>
      </c>
      <c r="E889" s="22" t="s">
        <v>2190</v>
      </c>
      <c r="F889" s="22" t="s">
        <v>10</v>
      </c>
      <c r="G889" s="22" t="s">
        <v>11</v>
      </c>
      <c r="H889" s="22" t="s">
        <v>50</v>
      </c>
      <c r="I889" s="22" t="s">
        <v>51</v>
      </c>
      <c r="J889" s="22" t="s">
        <v>52</v>
      </c>
      <c r="K889" s="23" t="s">
        <v>52</v>
      </c>
    </row>
    <row r="890" spans="1:14" hidden="1" x14ac:dyDescent="0.35">
      <c r="A890" s="21">
        <v>485424</v>
      </c>
      <c r="B890" s="22" t="str">
        <f>"3172021010590014"</f>
        <v>3172021010590014</v>
      </c>
      <c r="C890" s="22" t="str">
        <f t="shared" si="26"/>
        <v>'3172021010590014</v>
      </c>
      <c r="D890" s="22" t="str">
        <f t="shared" si="27"/>
        <v>tidak ganda</v>
      </c>
      <c r="E890" s="22" t="s">
        <v>2192</v>
      </c>
      <c r="F890" s="22" t="s">
        <v>10</v>
      </c>
      <c r="G890" s="22" t="s">
        <v>11</v>
      </c>
      <c r="H890" s="22" t="s">
        <v>50</v>
      </c>
      <c r="I890" s="22" t="s">
        <v>51</v>
      </c>
      <c r="J890" s="22" t="s">
        <v>62</v>
      </c>
      <c r="K890" s="23" t="s">
        <v>2193</v>
      </c>
    </row>
    <row r="891" spans="1:14" hidden="1" x14ac:dyDescent="0.35">
      <c r="A891" s="21">
        <v>1273975</v>
      </c>
      <c r="B891" s="22" t="str">
        <f>"3172034909770003"</f>
        <v>3172034909770003</v>
      </c>
      <c r="C891" s="22" t="str">
        <f t="shared" si="26"/>
        <v>'3172034909770003</v>
      </c>
      <c r="D891" s="22" t="str">
        <f t="shared" si="27"/>
        <v>tidak ganda</v>
      </c>
      <c r="E891" s="22" t="s">
        <v>2195</v>
      </c>
      <c r="F891" s="22" t="s">
        <v>10</v>
      </c>
      <c r="G891" s="22" t="s">
        <v>11</v>
      </c>
      <c r="H891" s="22" t="s">
        <v>50</v>
      </c>
      <c r="I891" s="22" t="s">
        <v>51</v>
      </c>
      <c r="J891" s="22" t="s">
        <v>284</v>
      </c>
      <c r="K891" s="23" t="s">
        <v>2196</v>
      </c>
    </row>
    <row r="892" spans="1:14" hidden="1" x14ac:dyDescent="0.35">
      <c r="A892" s="21">
        <v>982203</v>
      </c>
      <c r="B892" s="22" t="str">
        <f>"3172040203820024"</f>
        <v>3172040203820024</v>
      </c>
      <c r="C892" s="22" t="str">
        <f t="shared" si="26"/>
        <v>'3172040203820024</v>
      </c>
      <c r="D892" s="22" t="str">
        <f t="shared" si="27"/>
        <v>ganda</v>
      </c>
      <c r="E892" s="22" t="s">
        <v>2197</v>
      </c>
      <c r="F892" s="22" t="s">
        <v>10</v>
      </c>
      <c r="G892" s="22" t="s">
        <v>11</v>
      </c>
      <c r="H892" s="22" t="s">
        <v>50</v>
      </c>
      <c r="I892" s="22" t="s">
        <v>51</v>
      </c>
      <c r="J892" s="22" t="s">
        <v>78</v>
      </c>
      <c r="K892" s="23" t="s">
        <v>81</v>
      </c>
    </row>
    <row r="893" spans="1:14" hidden="1" x14ac:dyDescent="0.35">
      <c r="A893" s="21">
        <v>2540671</v>
      </c>
      <c r="B893" s="22" t="str">
        <f>"3172040203820024"</f>
        <v>3172040203820024</v>
      </c>
      <c r="C893" s="22" t="str">
        <f t="shared" si="26"/>
        <v>'3172040203820024</v>
      </c>
      <c r="D893" s="22" t="str">
        <f t="shared" si="27"/>
        <v>ganda</v>
      </c>
      <c r="E893" s="22" t="s">
        <v>2198</v>
      </c>
      <c r="F893" s="22" t="s">
        <v>10</v>
      </c>
      <c r="G893" s="22" t="s">
        <v>57</v>
      </c>
      <c r="H893" s="22" t="s">
        <v>18</v>
      </c>
      <c r="I893" s="22" t="s">
        <v>19</v>
      </c>
      <c r="J893" s="22" t="s">
        <v>1394</v>
      </c>
      <c r="K893" s="23" t="s">
        <v>1395</v>
      </c>
      <c r="L893" t="e">
        <f>VLOOKUP(B893,ubah!$B$2:$L$234,4,FALSE)</f>
        <v>#N/A</v>
      </c>
      <c r="M893" t="e">
        <f>VLOOKUP(B893,ubah!$B$2:$L$234,5,FALSE)</f>
        <v>#N/A</v>
      </c>
      <c r="N893" t="e">
        <f>VLOOKUP(B893,ubah!$B$2:$L$234,6,FALSE)</f>
        <v>#N/A</v>
      </c>
    </row>
    <row r="894" spans="1:14" hidden="1" x14ac:dyDescent="0.35">
      <c r="A894" s="21">
        <v>1803751</v>
      </c>
      <c r="B894" s="22" t="str">
        <f>"3172061802950005"</f>
        <v>3172061802950005</v>
      </c>
      <c r="C894" s="22" t="str">
        <f t="shared" si="26"/>
        <v>'3172061802950005</v>
      </c>
      <c r="D894" s="22" t="str">
        <f t="shared" si="27"/>
        <v>ganda</v>
      </c>
      <c r="E894" s="22" t="s">
        <v>2199</v>
      </c>
      <c r="F894" s="22" t="s">
        <v>10</v>
      </c>
      <c r="G894" s="22" t="s">
        <v>11</v>
      </c>
      <c r="H894" s="22" t="s">
        <v>91</v>
      </c>
      <c r="I894" s="22" t="s">
        <v>159</v>
      </c>
      <c r="J894" s="22" t="s">
        <v>1332</v>
      </c>
      <c r="K894" s="23" t="s">
        <v>2200</v>
      </c>
    </row>
    <row r="895" spans="1:14" hidden="1" x14ac:dyDescent="0.35">
      <c r="A895" s="21">
        <v>2540720</v>
      </c>
      <c r="B895" s="22" t="str">
        <f>"3172061802950005"</f>
        <v>3172061802950005</v>
      </c>
      <c r="C895" s="22" t="str">
        <f t="shared" si="26"/>
        <v>'3172061802950005</v>
      </c>
      <c r="D895" s="22" t="str">
        <f t="shared" si="27"/>
        <v>ganda</v>
      </c>
      <c r="E895" s="22" t="s">
        <v>2201</v>
      </c>
      <c r="F895" s="22" t="s">
        <v>10</v>
      </c>
      <c r="G895" s="22" t="s">
        <v>57</v>
      </c>
      <c r="H895" s="22" t="s">
        <v>18</v>
      </c>
      <c r="I895" s="22" t="s">
        <v>19</v>
      </c>
      <c r="J895" s="22" t="s">
        <v>1394</v>
      </c>
      <c r="K895" s="23" t="s">
        <v>1395</v>
      </c>
      <c r="L895" t="e">
        <f>VLOOKUP(B895,ubah!$B$2:$L$234,4,FALSE)</f>
        <v>#N/A</v>
      </c>
      <c r="M895" t="e">
        <f>VLOOKUP(B895,ubah!$B$2:$L$234,5,FALSE)</f>
        <v>#N/A</v>
      </c>
      <c r="N895" t="e">
        <f>VLOOKUP(B895,ubah!$B$2:$L$234,6,FALSE)</f>
        <v>#N/A</v>
      </c>
    </row>
    <row r="896" spans="1:14" hidden="1" x14ac:dyDescent="0.35">
      <c r="A896" s="21">
        <v>1313382</v>
      </c>
      <c r="B896" s="22" t="str">
        <f>"3173011408940006"</f>
        <v>3173011408940006</v>
      </c>
      <c r="C896" s="22" t="str">
        <f t="shared" si="26"/>
        <v>'3173011408940006</v>
      </c>
      <c r="D896" s="22" t="str">
        <f t="shared" si="27"/>
        <v>ganda</v>
      </c>
      <c r="E896" s="22" t="s">
        <v>2202</v>
      </c>
      <c r="F896" s="22" t="s">
        <v>10</v>
      </c>
      <c r="G896" s="22" t="s">
        <v>11</v>
      </c>
      <c r="H896" s="22" t="s">
        <v>50</v>
      </c>
      <c r="I896" s="22" t="s">
        <v>86</v>
      </c>
      <c r="J896" s="22" t="s">
        <v>1268</v>
      </c>
      <c r="K896" s="23" t="s">
        <v>2203</v>
      </c>
    </row>
    <row r="897" spans="1:14" hidden="1" x14ac:dyDescent="0.35">
      <c r="A897" s="21">
        <v>2540659</v>
      </c>
      <c r="B897" s="22" t="str">
        <f>"3173011408940006"</f>
        <v>3173011408940006</v>
      </c>
      <c r="C897" s="22" t="str">
        <f t="shared" si="26"/>
        <v>'3173011408940006</v>
      </c>
      <c r="D897" s="22" t="str">
        <f t="shared" si="27"/>
        <v>ganda</v>
      </c>
      <c r="E897" s="22" t="s">
        <v>2204</v>
      </c>
      <c r="F897" s="22" t="s">
        <v>10</v>
      </c>
      <c r="G897" s="22" t="s">
        <v>57</v>
      </c>
      <c r="H897" s="22" t="s">
        <v>18</v>
      </c>
      <c r="I897" s="22" t="s">
        <v>19</v>
      </c>
      <c r="J897" s="22" t="s">
        <v>1394</v>
      </c>
      <c r="K897" s="23" t="s">
        <v>1395</v>
      </c>
      <c r="L897" t="e">
        <f>VLOOKUP(B897,ubah!$B$2:$L$234,4,FALSE)</f>
        <v>#N/A</v>
      </c>
      <c r="M897" t="e">
        <f>VLOOKUP(B897,ubah!$B$2:$L$234,5,FALSE)</f>
        <v>#N/A</v>
      </c>
      <c r="N897" t="e">
        <f>VLOOKUP(B897,ubah!$B$2:$L$234,6,FALSE)</f>
        <v>#N/A</v>
      </c>
    </row>
    <row r="898" spans="1:14" hidden="1" x14ac:dyDescent="0.35">
      <c r="A898" s="21">
        <v>1563996</v>
      </c>
      <c r="B898" s="22" t="str">
        <f>"3173012306830010"</f>
        <v>3173012306830010</v>
      </c>
      <c r="C898" s="22" t="str">
        <f t="shared" si="26"/>
        <v>'3173012306830010</v>
      </c>
      <c r="D898" s="22" t="str">
        <f t="shared" si="27"/>
        <v>ganda</v>
      </c>
      <c r="E898" s="22" t="s">
        <v>2205</v>
      </c>
      <c r="F898" s="22" t="s">
        <v>10</v>
      </c>
      <c r="G898" s="22" t="s">
        <v>11</v>
      </c>
      <c r="H898" s="22" t="s">
        <v>50</v>
      </c>
      <c r="I898" s="22" t="s">
        <v>86</v>
      </c>
      <c r="J898" s="22" t="s">
        <v>1268</v>
      </c>
      <c r="K898" s="23" t="s">
        <v>1978</v>
      </c>
    </row>
    <row r="899" spans="1:14" hidden="1" x14ac:dyDescent="0.35">
      <c r="A899" s="21">
        <v>2540751</v>
      </c>
      <c r="B899" s="22" t="str">
        <f>"3173012306830010"</f>
        <v>3173012306830010</v>
      </c>
      <c r="C899" s="22" t="str">
        <f t="shared" ref="C899:C962" si="28">"'"&amp;B899</f>
        <v>'3173012306830010</v>
      </c>
      <c r="D899" s="22" t="str">
        <f t="shared" ref="D899:D962" si="29">IF(COUNTIF($C:$C,C899)&gt;1,"ganda","tidak ganda")</f>
        <v>ganda</v>
      </c>
      <c r="E899" s="22" t="s">
        <v>2206</v>
      </c>
      <c r="F899" s="22" t="s">
        <v>10</v>
      </c>
      <c r="G899" s="22" t="s">
        <v>57</v>
      </c>
      <c r="H899" s="22" t="s">
        <v>18</v>
      </c>
      <c r="I899" s="22" t="s">
        <v>19</v>
      </c>
      <c r="J899" s="22" t="s">
        <v>1394</v>
      </c>
      <c r="K899" s="23" t="s">
        <v>1395</v>
      </c>
      <c r="L899" t="e">
        <f>VLOOKUP(B899,ubah!$B$2:$L$234,4,FALSE)</f>
        <v>#N/A</v>
      </c>
      <c r="M899" t="e">
        <f>VLOOKUP(B899,ubah!$B$2:$L$234,5,FALSE)</f>
        <v>#N/A</v>
      </c>
      <c r="N899" t="e">
        <f>VLOOKUP(B899,ubah!$B$2:$L$234,6,FALSE)</f>
        <v>#N/A</v>
      </c>
    </row>
    <row r="900" spans="1:14" hidden="1" x14ac:dyDescent="0.35">
      <c r="A900" s="21">
        <v>141415</v>
      </c>
      <c r="B900" s="22" t="str">
        <f>"3173026701850002"</f>
        <v>3173026701850002</v>
      </c>
      <c r="C900" s="22" t="str">
        <f t="shared" si="28"/>
        <v>'3173026701850002</v>
      </c>
      <c r="D900" s="22" t="str">
        <f t="shared" si="29"/>
        <v>tidak ganda</v>
      </c>
      <c r="E900" s="22" t="s">
        <v>2207</v>
      </c>
      <c r="F900" s="22" t="s">
        <v>10</v>
      </c>
      <c r="G900" s="22" t="s">
        <v>11</v>
      </c>
      <c r="H900" s="22" t="s">
        <v>50</v>
      </c>
      <c r="I900" s="22" t="s">
        <v>86</v>
      </c>
      <c r="J900" s="22" t="s">
        <v>205</v>
      </c>
      <c r="K900" s="23" t="s">
        <v>1952</v>
      </c>
    </row>
    <row r="901" spans="1:14" hidden="1" x14ac:dyDescent="0.35">
      <c r="A901" s="21">
        <v>577327</v>
      </c>
      <c r="B901" s="22" t="str">
        <f>"3173031906550002"</f>
        <v>3173031906550002</v>
      </c>
      <c r="C901" s="22" t="str">
        <f t="shared" si="28"/>
        <v>'3173031906550002</v>
      </c>
      <c r="D901" s="22" t="str">
        <f t="shared" si="29"/>
        <v>tidak ganda</v>
      </c>
      <c r="E901" s="22" t="s">
        <v>2209</v>
      </c>
      <c r="F901" s="22" t="s">
        <v>10</v>
      </c>
      <c r="G901" s="22" t="s">
        <v>11</v>
      </c>
      <c r="H901" s="22" t="s">
        <v>50</v>
      </c>
      <c r="I901" s="22" t="s">
        <v>86</v>
      </c>
      <c r="J901" s="22" t="s">
        <v>1463</v>
      </c>
      <c r="K901" s="23" t="s">
        <v>2210</v>
      </c>
    </row>
    <row r="902" spans="1:14" hidden="1" x14ac:dyDescent="0.35">
      <c r="A902" s="21">
        <v>61660</v>
      </c>
      <c r="B902" s="22" t="str">
        <f>"3173045205880009"</f>
        <v>3173045205880009</v>
      </c>
      <c r="C902" s="22" t="str">
        <f t="shared" si="28"/>
        <v>'3173045205880009</v>
      </c>
      <c r="D902" s="22" t="str">
        <f t="shared" si="29"/>
        <v>tidak ganda</v>
      </c>
      <c r="E902" s="22" t="s">
        <v>2213</v>
      </c>
      <c r="F902" s="22" t="s">
        <v>10</v>
      </c>
      <c r="G902" s="22" t="s">
        <v>11</v>
      </c>
      <c r="H902" s="22" t="s">
        <v>667</v>
      </c>
      <c r="I902" s="22" t="s">
        <v>2214</v>
      </c>
      <c r="J902" s="22" t="s">
        <v>2215</v>
      </c>
      <c r="K902" s="23" t="s">
        <v>2216</v>
      </c>
    </row>
    <row r="903" spans="1:14" hidden="1" x14ac:dyDescent="0.35">
      <c r="A903" s="21">
        <v>1174115</v>
      </c>
      <c r="B903" s="22" t="str">
        <f>"3173050203780005"</f>
        <v>3173050203780005</v>
      </c>
      <c r="C903" s="22" t="str">
        <f t="shared" si="28"/>
        <v>'3173050203780005</v>
      </c>
      <c r="D903" s="22" t="str">
        <f t="shared" si="29"/>
        <v>ganda</v>
      </c>
      <c r="E903" s="22" t="s">
        <v>2218</v>
      </c>
      <c r="F903" s="22" t="s">
        <v>10</v>
      </c>
      <c r="G903" s="22" t="s">
        <v>11</v>
      </c>
      <c r="H903" s="22" t="s">
        <v>50</v>
      </c>
      <c r="I903" s="22" t="s">
        <v>86</v>
      </c>
      <c r="J903" s="22" t="s">
        <v>313</v>
      </c>
      <c r="K903" s="23" t="s">
        <v>2219</v>
      </c>
    </row>
    <row r="904" spans="1:14" hidden="1" x14ac:dyDescent="0.35">
      <c r="A904" s="21">
        <v>2540715</v>
      </c>
      <c r="B904" s="22" t="str">
        <f>"3173050203780005"</f>
        <v>3173050203780005</v>
      </c>
      <c r="C904" s="22" t="str">
        <f t="shared" si="28"/>
        <v>'3173050203780005</v>
      </c>
      <c r="D904" s="22" t="str">
        <f t="shared" si="29"/>
        <v>ganda</v>
      </c>
      <c r="E904" s="22" t="s">
        <v>2220</v>
      </c>
      <c r="F904" s="22" t="s">
        <v>10</v>
      </c>
      <c r="G904" s="22" t="s">
        <v>57</v>
      </c>
      <c r="H904" s="22" t="s">
        <v>18</v>
      </c>
      <c r="I904" s="22" t="s">
        <v>19</v>
      </c>
      <c r="J904" s="22" t="s">
        <v>1394</v>
      </c>
      <c r="K904" s="23" t="s">
        <v>1395</v>
      </c>
      <c r="L904" t="e">
        <f>VLOOKUP(B904,ubah!$B$2:$L$234,4,FALSE)</f>
        <v>#N/A</v>
      </c>
      <c r="M904" t="e">
        <f>VLOOKUP(B904,ubah!$B$2:$L$234,5,FALSE)</f>
        <v>#N/A</v>
      </c>
      <c r="N904" t="e">
        <f>VLOOKUP(B904,ubah!$B$2:$L$234,6,FALSE)</f>
        <v>#N/A</v>
      </c>
    </row>
    <row r="905" spans="1:14" hidden="1" x14ac:dyDescent="0.35">
      <c r="A905" s="21">
        <v>1050317</v>
      </c>
      <c r="B905" s="22" t="str">
        <f>"3174022206870002"</f>
        <v>3174022206870002</v>
      </c>
      <c r="C905" s="22" t="str">
        <f t="shared" si="28"/>
        <v>'3174022206870002</v>
      </c>
      <c r="D905" s="22" t="str">
        <f t="shared" si="29"/>
        <v>ganda</v>
      </c>
      <c r="E905" s="22" t="s">
        <v>2221</v>
      </c>
      <c r="F905" s="22" t="s">
        <v>10</v>
      </c>
      <c r="G905" s="22" t="s">
        <v>11</v>
      </c>
      <c r="H905" s="22" t="s">
        <v>50</v>
      </c>
      <c r="I905" s="22" t="s">
        <v>72</v>
      </c>
      <c r="J905" s="22" t="s">
        <v>703</v>
      </c>
      <c r="K905" s="23" t="s">
        <v>2222</v>
      </c>
    </row>
    <row r="906" spans="1:14" hidden="1" x14ac:dyDescent="0.35">
      <c r="A906" s="21">
        <v>2540666</v>
      </c>
      <c r="B906" s="22" t="str">
        <f>"3174022206870002"</f>
        <v>3174022206870002</v>
      </c>
      <c r="C906" s="22" t="str">
        <f t="shared" si="28"/>
        <v>'3174022206870002</v>
      </c>
      <c r="D906" s="22" t="str">
        <f t="shared" si="29"/>
        <v>ganda</v>
      </c>
      <c r="E906" s="22" t="s">
        <v>2223</v>
      </c>
      <c r="F906" s="22" t="s">
        <v>10</v>
      </c>
      <c r="G906" s="22" t="s">
        <v>57</v>
      </c>
      <c r="H906" s="22" t="s">
        <v>18</v>
      </c>
      <c r="I906" s="22" t="s">
        <v>19</v>
      </c>
      <c r="J906" s="22" t="s">
        <v>1394</v>
      </c>
      <c r="K906" s="23" t="s">
        <v>1395</v>
      </c>
      <c r="L906" t="e">
        <f>VLOOKUP(B906,ubah!$B$2:$L$234,4,FALSE)</f>
        <v>#N/A</v>
      </c>
      <c r="M906" t="e">
        <f>VLOOKUP(B906,ubah!$B$2:$L$234,5,FALSE)</f>
        <v>#N/A</v>
      </c>
      <c r="N906" t="e">
        <f>VLOOKUP(B906,ubah!$B$2:$L$234,6,FALSE)</f>
        <v>#N/A</v>
      </c>
    </row>
    <row r="907" spans="1:14" hidden="1" x14ac:dyDescent="0.35">
      <c r="A907" s="21">
        <v>370137</v>
      </c>
      <c r="B907" s="22" t="str">
        <f>"3174030105670003"</f>
        <v>3174030105670003</v>
      </c>
      <c r="C907" s="22" t="str">
        <f t="shared" si="28"/>
        <v>'3174030105670003</v>
      </c>
      <c r="D907" s="22" t="str">
        <f t="shared" si="29"/>
        <v>tidak ganda</v>
      </c>
      <c r="E907" s="22" t="s">
        <v>2224</v>
      </c>
      <c r="F907" s="22" t="s">
        <v>10</v>
      </c>
      <c r="G907" s="22" t="s">
        <v>11</v>
      </c>
      <c r="H907" s="22" t="s">
        <v>50</v>
      </c>
      <c r="I907" s="22" t="s">
        <v>72</v>
      </c>
      <c r="J907" s="22" t="s">
        <v>246</v>
      </c>
      <c r="K907" s="23" t="s">
        <v>2185</v>
      </c>
    </row>
    <row r="908" spans="1:14" hidden="1" x14ac:dyDescent="0.35">
      <c r="A908" s="21">
        <v>1656576</v>
      </c>
      <c r="B908" s="22" t="str">
        <f>"3174031102860007"</f>
        <v>3174031102860007</v>
      </c>
      <c r="C908" s="22" t="str">
        <f t="shared" si="28"/>
        <v>'3174031102860007</v>
      </c>
      <c r="D908" s="22" t="str">
        <f t="shared" si="29"/>
        <v>tidak ganda</v>
      </c>
      <c r="E908" s="22" t="s">
        <v>2225</v>
      </c>
      <c r="F908" s="22" t="s">
        <v>10</v>
      </c>
      <c r="G908" s="22" t="s">
        <v>11</v>
      </c>
      <c r="H908" s="22" t="s">
        <v>50</v>
      </c>
      <c r="I908" s="22" t="s">
        <v>72</v>
      </c>
      <c r="J908" s="22" t="s">
        <v>1172</v>
      </c>
      <c r="K908" s="23" t="s">
        <v>1173</v>
      </c>
    </row>
    <row r="909" spans="1:14" hidden="1" x14ac:dyDescent="0.35">
      <c r="A909" s="21">
        <v>1651336</v>
      </c>
      <c r="B909" s="22" t="str">
        <f>"3174031608011002"</f>
        <v>3174031608011002</v>
      </c>
      <c r="C909" s="22" t="str">
        <f t="shared" si="28"/>
        <v>'3174031608011002</v>
      </c>
      <c r="D909" s="22" t="str">
        <f t="shared" si="29"/>
        <v>tidak ganda</v>
      </c>
      <c r="E909" s="22" t="s">
        <v>2226</v>
      </c>
      <c r="F909" s="22" t="s">
        <v>10</v>
      </c>
      <c r="G909" s="22" t="s">
        <v>11</v>
      </c>
      <c r="H909" s="22" t="s">
        <v>50</v>
      </c>
      <c r="I909" s="22" t="s">
        <v>72</v>
      </c>
      <c r="J909" s="22" t="s">
        <v>1172</v>
      </c>
      <c r="K909" s="23" t="s">
        <v>1173</v>
      </c>
    </row>
    <row r="910" spans="1:14" hidden="1" x14ac:dyDescent="0.35">
      <c r="A910" s="21">
        <v>1785768</v>
      </c>
      <c r="B910" s="22" t="str">
        <f>"3174031908720007"</f>
        <v>3174031908720007</v>
      </c>
      <c r="C910" s="22" t="str">
        <f t="shared" si="28"/>
        <v>'3174031908720007</v>
      </c>
      <c r="D910" s="22" t="str">
        <f t="shared" si="29"/>
        <v>tidak ganda</v>
      </c>
      <c r="E910" s="22" t="s">
        <v>2227</v>
      </c>
      <c r="F910" s="22" t="s">
        <v>10</v>
      </c>
      <c r="G910" s="22" t="s">
        <v>11</v>
      </c>
      <c r="H910" s="22" t="s">
        <v>50</v>
      </c>
      <c r="I910" s="22" t="s">
        <v>72</v>
      </c>
      <c r="J910" s="22" t="s">
        <v>1172</v>
      </c>
      <c r="K910" s="23" t="s">
        <v>2228</v>
      </c>
    </row>
    <row r="911" spans="1:14" hidden="1" x14ac:dyDescent="0.35">
      <c r="A911" s="21">
        <v>1663139</v>
      </c>
      <c r="B911" s="22" t="str">
        <f>"3174032010051003"</f>
        <v>3174032010051003</v>
      </c>
      <c r="C911" s="22" t="str">
        <f t="shared" si="28"/>
        <v>'3174032010051003</v>
      </c>
      <c r="D911" s="22" t="str">
        <f t="shared" si="29"/>
        <v>tidak ganda</v>
      </c>
      <c r="E911" s="22" t="s">
        <v>2229</v>
      </c>
      <c r="F911" s="22" t="s">
        <v>10</v>
      </c>
      <c r="G911" s="22" t="s">
        <v>11</v>
      </c>
      <c r="H911" s="22" t="s">
        <v>50</v>
      </c>
      <c r="I911" s="22" t="s">
        <v>72</v>
      </c>
      <c r="J911" s="22" t="s">
        <v>1172</v>
      </c>
      <c r="K911" s="23" t="s">
        <v>2230</v>
      </c>
    </row>
    <row r="912" spans="1:14" hidden="1" x14ac:dyDescent="0.35">
      <c r="A912" s="21">
        <v>370139</v>
      </c>
      <c r="B912" s="22" t="str">
        <f>"3174032202920004"</f>
        <v>3174032202920004</v>
      </c>
      <c r="C912" s="22" t="str">
        <f t="shared" si="28"/>
        <v>'3174032202920004</v>
      </c>
      <c r="D912" s="22" t="str">
        <f t="shared" si="29"/>
        <v>tidak ganda</v>
      </c>
      <c r="E912" s="22" t="s">
        <v>2232</v>
      </c>
      <c r="F912" s="22" t="s">
        <v>10</v>
      </c>
      <c r="G912" s="22" t="s">
        <v>11</v>
      </c>
      <c r="H912" s="22" t="s">
        <v>50</v>
      </c>
      <c r="I912" s="22" t="s">
        <v>72</v>
      </c>
      <c r="J912" s="22" t="s">
        <v>246</v>
      </c>
      <c r="K912" s="23" t="s">
        <v>2185</v>
      </c>
    </row>
    <row r="913" spans="1:14" hidden="1" x14ac:dyDescent="0.35">
      <c r="A913" s="21">
        <v>1821300</v>
      </c>
      <c r="B913" s="22" t="str">
        <f>"3174032706991002"</f>
        <v>3174032706991002</v>
      </c>
      <c r="C913" s="22" t="str">
        <f t="shared" si="28"/>
        <v>'3174032706991002</v>
      </c>
      <c r="D913" s="22" t="str">
        <f t="shared" si="29"/>
        <v>tidak ganda</v>
      </c>
      <c r="E913" s="22" t="s">
        <v>2233</v>
      </c>
      <c r="F913" s="22" t="s">
        <v>10</v>
      </c>
      <c r="G913" s="22" t="s">
        <v>11</v>
      </c>
      <c r="H913" s="22" t="s">
        <v>18</v>
      </c>
      <c r="I913" s="22" t="s">
        <v>19</v>
      </c>
      <c r="J913" s="22" t="s">
        <v>1394</v>
      </c>
      <c r="K913" s="23" t="s">
        <v>2212</v>
      </c>
      <c r="L913" t="e">
        <f>VLOOKUP(B913,ubah!$B$2:$L$234,4,FALSE)</f>
        <v>#N/A</v>
      </c>
      <c r="M913" t="e">
        <f>VLOOKUP(B913,ubah!$B$2:$L$234,5,FALSE)</f>
        <v>#N/A</v>
      </c>
      <c r="N913" t="e">
        <f>VLOOKUP(B913,ubah!$B$2:$L$234,6,FALSE)</f>
        <v>#N/A</v>
      </c>
    </row>
    <row r="914" spans="1:14" hidden="1" x14ac:dyDescent="0.35">
      <c r="A914" s="21">
        <v>1641527</v>
      </c>
      <c r="B914" s="22" t="str">
        <f>"3174032909860008"</f>
        <v>3174032909860008</v>
      </c>
      <c r="C914" s="22" t="str">
        <f t="shared" si="28"/>
        <v>'3174032909860008</v>
      </c>
      <c r="D914" s="22" t="str">
        <f t="shared" si="29"/>
        <v>tidak ganda</v>
      </c>
      <c r="E914" s="22" t="s">
        <v>2234</v>
      </c>
      <c r="F914" s="22" t="s">
        <v>10</v>
      </c>
      <c r="G914" s="22" t="s">
        <v>11</v>
      </c>
      <c r="H914" s="22" t="s">
        <v>50</v>
      </c>
      <c r="I914" s="22" t="s">
        <v>72</v>
      </c>
      <c r="J914" s="22" t="s">
        <v>1172</v>
      </c>
      <c r="K914" s="23" t="s">
        <v>1173</v>
      </c>
    </row>
    <row r="915" spans="1:14" hidden="1" x14ac:dyDescent="0.35">
      <c r="A915" s="21">
        <v>1651338</v>
      </c>
      <c r="B915" s="22" t="str">
        <f>"3174033012710005"</f>
        <v>3174033012710005</v>
      </c>
      <c r="C915" s="22" t="str">
        <f t="shared" si="28"/>
        <v>'3174033012710005</v>
      </c>
      <c r="D915" s="22" t="str">
        <f t="shared" si="29"/>
        <v>tidak ganda</v>
      </c>
      <c r="E915" s="22" t="s">
        <v>2236</v>
      </c>
      <c r="F915" s="22" t="s">
        <v>10</v>
      </c>
      <c r="G915" s="22" t="s">
        <v>11</v>
      </c>
      <c r="H915" s="22" t="s">
        <v>50</v>
      </c>
      <c r="I915" s="22" t="s">
        <v>72</v>
      </c>
      <c r="J915" s="22" t="s">
        <v>1172</v>
      </c>
      <c r="K915" s="23" t="s">
        <v>1173</v>
      </c>
    </row>
    <row r="916" spans="1:14" hidden="1" x14ac:dyDescent="0.35">
      <c r="A916" s="21">
        <v>1666050</v>
      </c>
      <c r="B916" s="22" t="str">
        <f>"3174035206550004"</f>
        <v>3174035206550004</v>
      </c>
      <c r="C916" s="22" t="str">
        <f t="shared" si="28"/>
        <v>'3174035206550004</v>
      </c>
      <c r="D916" s="22" t="str">
        <f t="shared" si="29"/>
        <v>tidak ganda</v>
      </c>
      <c r="E916" s="22" t="s">
        <v>2237</v>
      </c>
      <c r="F916" s="22" t="s">
        <v>10</v>
      </c>
      <c r="G916" s="22" t="s">
        <v>11</v>
      </c>
      <c r="H916" s="22" t="s">
        <v>50</v>
      </c>
      <c r="I916" s="22" t="s">
        <v>72</v>
      </c>
      <c r="J916" s="22" t="s">
        <v>1172</v>
      </c>
      <c r="K916" s="23" t="s">
        <v>2230</v>
      </c>
    </row>
    <row r="917" spans="1:14" hidden="1" x14ac:dyDescent="0.35">
      <c r="A917" s="21">
        <v>1651337</v>
      </c>
      <c r="B917" s="22" t="str">
        <f>"3174035404031006"</f>
        <v>3174035404031006</v>
      </c>
      <c r="C917" s="22" t="str">
        <f t="shared" si="28"/>
        <v>'3174035404031006</v>
      </c>
      <c r="D917" s="22" t="str">
        <f t="shared" si="29"/>
        <v>tidak ganda</v>
      </c>
      <c r="E917" s="22" t="s">
        <v>2239</v>
      </c>
      <c r="F917" s="22" t="s">
        <v>10</v>
      </c>
      <c r="G917" s="22" t="s">
        <v>11</v>
      </c>
      <c r="H917" s="22" t="s">
        <v>50</v>
      </c>
      <c r="I917" s="22" t="s">
        <v>72</v>
      </c>
      <c r="J917" s="22" t="s">
        <v>1172</v>
      </c>
      <c r="K917" s="23" t="s">
        <v>1173</v>
      </c>
    </row>
    <row r="918" spans="1:14" hidden="1" x14ac:dyDescent="0.35">
      <c r="A918" s="21">
        <v>370398</v>
      </c>
      <c r="B918" s="22" t="str">
        <f>"3174036104990003"</f>
        <v>3174036104990003</v>
      </c>
      <c r="C918" s="22" t="str">
        <f t="shared" si="28"/>
        <v>'3174036104990003</v>
      </c>
      <c r="D918" s="22" t="str">
        <f t="shared" si="29"/>
        <v>tidak ganda</v>
      </c>
      <c r="E918" s="22" t="s">
        <v>2240</v>
      </c>
      <c r="F918" s="22" t="s">
        <v>10</v>
      </c>
      <c r="G918" s="22" t="s">
        <v>11</v>
      </c>
      <c r="H918" s="22" t="s">
        <v>50</v>
      </c>
      <c r="I918" s="22" t="s">
        <v>72</v>
      </c>
      <c r="J918" s="22" t="s">
        <v>246</v>
      </c>
      <c r="K918" s="23" t="s">
        <v>2185</v>
      </c>
    </row>
    <row r="919" spans="1:14" hidden="1" x14ac:dyDescent="0.35">
      <c r="A919" s="21">
        <v>449114</v>
      </c>
      <c r="B919" s="22" t="str">
        <f>"3174046707751001"</f>
        <v>3174046707751001</v>
      </c>
      <c r="C919" s="22" t="str">
        <f t="shared" si="28"/>
        <v>'3174046707751001</v>
      </c>
      <c r="D919" s="22" t="str">
        <f t="shared" si="29"/>
        <v>tidak ganda</v>
      </c>
      <c r="E919" s="22" t="s">
        <v>2241</v>
      </c>
      <c r="F919" s="22" t="s">
        <v>10</v>
      </c>
      <c r="G919" s="22" t="s">
        <v>11</v>
      </c>
      <c r="H919" s="22" t="s">
        <v>50</v>
      </c>
      <c r="I919" s="22" t="s">
        <v>72</v>
      </c>
      <c r="J919" s="22" t="s">
        <v>73</v>
      </c>
      <c r="K919" s="23" t="s">
        <v>2242</v>
      </c>
    </row>
    <row r="920" spans="1:14" hidden="1" x14ac:dyDescent="0.35">
      <c r="A920" s="21">
        <v>734245</v>
      </c>
      <c r="B920" s="22" t="str">
        <f>"3174050505740011"</f>
        <v>3174050505740011</v>
      </c>
      <c r="C920" s="22" t="str">
        <f t="shared" si="28"/>
        <v>'3174050505740011</v>
      </c>
      <c r="D920" s="22" t="str">
        <f t="shared" si="29"/>
        <v>tidak ganda</v>
      </c>
      <c r="E920" s="22" t="s">
        <v>2243</v>
      </c>
      <c r="F920" s="22" t="s">
        <v>10</v>
      </c>
      <c r="G920" s="22" t="s">
        <v>11</v>
      </c>
      <c r="H920" s="22" t="s">
        <v>50</v>
      </c>
      <c r="I920" s="22" t="s">
        <v>72</v>
      </c>
      <c r="J920" s="22" t="s">
        <v>803</v>
      </c>
      <c r="K920" s="23" t="s">
        <v>2244</v>
      </c>
    </row>
    <row r="921" spans="1:14" hidden="1" x14ac:dyDescent="0.35">
      <c r="A921" s="21">
        <v>779500</v>
      </c>
      <c r="B921" s="22" t="str">
        <f>"3174050903910001"</f>
        <v>3174050903910001</v>
      </c>
      <c r="C921" s="22" t="str">
        <f t="shared" si="28"/>
        <v>'3174050903910001</v>
      </c>
      <c r="D921" s="22" t="str">
        <f t="shared" si="29"/>
        <v>tidak ganda</v>
      </c>
      <c r="E921" s="22" t="s">
        <v>1292</v>
      </c>
      <c r="F921" s="22" t="s">
        <v>10</v>
      </c>
      <c r="G921" s="22" t="s">
        <v>11</v>
      </c>
      <c r="H921" s="22" t="s">
        <v>50</v>
      </c>
      <c r="I921" s="22" t="s">
        <v>72</v>
      </c>
      <c r="J921" s="22" t="s">
        <v>803</v>
      </c>
      <c r="K921" s="23" t="s">
        <v>2244</v>
      </c>
    </row>
    <row r="922" spans="1:14" hidden="1" x14ac:dyDescent="0.35">
      <c r="A922" s="21">
        <v>1154320</v>
      </c>
      <c r="B922" s="22" t="str">
        <f>"3174055507500005"</f>
        <v>3174055507500005</v>
      </c>
      <c r="C922" s="22" t="str">
        <f t="shared" si="28"/>
        <v>'3174055507500005</v>
      </c>
      <c r="D922" s="22" t="str">
        <f t="shared" si="29"/>
        <v>tidak ganda</v>
      </c>
      <c r="E922" s="22" t="s">
        <v>2245</v>
      </c>
      <c r="F922" s="22" t="s">
        <v>10</v>
      </c>
      <c r="G922" s="22" t="s">
        <v>11</v>
      </c>
      <c r="H922" s="22" t="s">
        <v>50</v>
      </c>
      <c r="I922" s="22" t="s">
        <v>72</v>
      </c>
      <c r="J922" s="22" t="s">
        <v>803</v>
      </c>
      <c r="K922" s="23" t="s">
        <v>2246</v>
      </c>
    </row>
    <row r="923" spans="1:14" hidden="1" x14ac:dyDescent="0.35">
      <c r="A923" s="21">
        <v>806240</v>
      </c>
      <c r="B923" s="22" t="str">
        <f>"3174070211730003"</f>
        <v>3174070211730003</v>
      </c>
      <c r="C923" s="22" t="str">
        <f t="shared" si="28"/>
        <v>'3174070211730003</v>
      </c>
      <c r="D923" s="22" t="str">
        <f t="shared" si="29"/>
        <v>ganda</v>
      </c>
      <c r="E923" s="22" t="s">
        <v>2247</v>
      </c>
      <c r="F923" s="22" t="s">
        <v>10</v>
      </c>
      <c r="G923" s="22" t="s">
        <v>11</v>
      </c>
      <c r="H923" s="22" t="s">
        <v>50</v>
      </c>
      <c r="I923" s="22" t="s">
        <v>72</v>
      </c>
      <c r="J923" s="22" t="s">
        <v>628</v>
      </c>
      <c r="K923" s="23" t="s">
        <v>2248</v>
      </c>
    </row>
    <row r="924" spans="1:14" hidden="1" x14ac:dyDescent="0.35">
      <c r="A924" s="21">
        <v>2540880</v>
      </c>
      <c r="B924" s="22" t="str">
        <f>"3174070211730003"</f>
        <v>3174070211730003</v>
      </c>
      <c r="C924" s="22" t="str">
        <f t="shared" si="28"/>
        <v>'3174070211730003</v>
      </c>
      <c r="D924" s="22" t="str">
        <f t="shared" si="29"/>
        <v>ganda</v>
      </c>
      <c r="E924" s="22" t="s">
        <v>2249</v>
      </c>
      <c r="F924" s="22" t="s">
        <v>10</v>
      </c>
      <c r="G924" s="22" t="s">
        <v>57</v>
      </c>
      <c r="H924" s="22" t="s">
        <v>18</v>
      </c>
      <c r="I924" s="22" t="s">
        <v>19</v>
      </c>
      <c r="J924" s="22" t="s">
        <v>1394</v>
      </c>
      <c r="K924" s="23" t="s">
        <v>1395</v>
      </c>
      <c r="L924" t="e">
        <f>VLOOKUP(B924,ubah!$B$2:$L$234,4,FALSE)</f>
        <v>#N/A</v>
      </c>
      <c r="M924" t="e">
        <f>VLOOKUP(B924,ubah!$B$2:$L$234,5,FALSE)</f>
        <v>#N/A</v>
      </c>
      <c r="N924" t="e">
        <f>VLOOKUP(B924,ubah!$B$2:$L$234,6,FALSE)</f>
        <v>#N/A</v>
      </c>
    </row>
    <row r="925" spans="1:14" hidden="1" x14ac:dyDescent="0.35">
      <c r="A925" s="21">
        <v>1063282</v>
      </c>
      <c r="B925" s="22" t="str">
        <f>"3174071102700001"</f>
        <v>3174071102700001</v>
      </c>
      <c r="C925" s="22" t="str">
        <f t="shared" si="28"/>
        <v>'3174071102700001</v>
      </c>
      <c r="D925" s="22" t="str">
        <f t="shared" si="29"/>
        <v>tidak ganda</v>
      </c>
      <c r="E925" s="22" t="s">
        <v>2250</v>
      </c>
      <c r="F925" s="22" t="s">
        <v>10</v>
      </c>
      <c r="G925" s="22" t="s">
        <v>11</v>
      </c>
      <c r="H925" s="22" t="s">
        <v>50</v>
      </c>
      <c r="I925" s="22" t="s">
        <v>72</v>
      </c>
      <c r="J925" s="22" t="s">
        <v>628</v>
      </c>
      <c r="K925" s="23" t="s">
        <v>2248</v>
      </c>
    </row>
    <row r="926" spans="1:14" hidden="1" x14ac:dyDescent="0.35">
      <c r="A926" s="21">
        <v>1366896</v>
      </c>
      <c r="B926" s="22" t="str">
        <f>"3174071501850007"</f>
        <v>3174071501850007</v>
      </c>
      <c r="C926" s="22" t="str">
        <f t="shared" si="28"/>
        <v>'3174071501850007</v>
      </c>
      <c r="D926" s="22" t="str">
        <f t="shared" si="29"/>
        <v>tidak ganda</v>
      </c>
      <c r="E926" s="22" t="s">
        <v>2251</v>
      </c>
      <c r="F926" s="22" t="s">
        <v>10</v>
      </c>
      <c r="G926" s="22" t="s">
        <v>11</v>
      </c>
      <c r="H926" s="22" t="s">
        <v>50</v>
      </c>
      <c r="I926" s="22" t="s">
        <v>72</v>
      </c>
      <c r="J926" s="22" t="s">
        <v>628</v>
      </c>
      <c r="K926" s="23" t="s">
        <v>2252</v>
      </c>
    </row>
    <row r="927" spans="1:14" hidden="1" x14ac:dyDescent="0.35">
      <c r="A927" s="21">
        <v>1651339</v>
      </c>
      <c r="B927" s="22" t="str">
        <f>"3174077112730019"</f>
        <v>3174077112730019</v>
      </c>
      <c r="C927" s="22" t="str">
        <f t="shared" si="28"/>
        <v>'3174077112730019</v>
      </c>
      <c r="D927" s="22" t="str">
        <f t="shared" si="29"/>
        <v>tidak ganda</v>
      </c>
      <c r="E927" s="22" t="s">
        <v>2253</v>
      </c>
      <c r="F927" s="22" t="s">
        <v>10</v>
      </c>
      <c r="G927" s="22" t="s">
        <v>11</v>
      </c>
      <c r="H927" s="22" t="s">
        <v>50</v>
      </c>
      <c r="I927" s="22" t="s">
        <v>72</v>
      </c>
      <c r="J927" s="22" t="s">
        <v>1172</v>
      </c>
      <c r="K927" s="23" t="s">
        <v>1173</v>
      </c>
    </row>
    <row r="928" spans="1:14" hidden="1" x14ac:dyDescent="0.35">
      <c r="A928" s="21">
        <v>366565</v>
      </c>
      <c r="B928" s="22" t="str">
        <f>"3174083009011002"</f>
        <v>3174083009011002</v>
      </c>
      <c r="C928" s="22" t="str">
        <f t="shared" si="28"/>
        <v>'3174083009011002</v>
      </c>
      <c r="D928" s="22" t="str">
        <f t="shared" si="29"/>
        <v>tidak ganda</v>
      </c>
      <c r="E928" s="22" t="s">
        <v>2254</v>
      </c>
      <c r="F928" s="22" t="s">
        <v>10</v>
      </c>
      <c r="G928" s="22" t="s">
        <v>11</v>
      </c>
      <c r="H928" s="22" t="s">
        <v>50</v>
      </c>
      <c r="I928" s="22" t="s">
        <v>72</v>
      </c>
      <c r="J928" s="22" t="s">
        <v>246</v>
      </c>
      <c r="K928" s="23" t="s">
        <v>2185</v>
      </c>
    </row>
    <row r="929" spans="1:14" hidden="1" x14ac:dyDescent="0.35">
      <c r="A929" s="21">
        <v>2366710</v>
      </c>
      <c r="B929" s="22" t="str">
        <f>"3175021306750008"</f>
        <v>3175021306750008</v>
      </c>
      <c r="C929" s="22" t="str">
        <f t="shared" si="28"/>
        <v>'3175021306750008</v>
      </c>
      <c r="D929" s="22" t="str">
        <f t="shared" si="29"/>
        <v>tidak ganda</v>
      </c>
      <c r="E929" s="22" t="s">
        <v>2256</v>
      </c>
      <c r="F929" s="22" t="s">
        <v>10</v>
      </c>
      <c r="G929" s="22" t="s">
        <v>11</v>
      </c>
      <c r="H929" s="22" t="s">
        <v>50</v>
      </c>
      <c r="I929" s="22" t="s">
        <v>58</v>
      </c>
      <c r="J929" s="22" t="s">
        <v>417</v>
      </c>
      <c r="K929" s="23" t="s">
        <v>59</v>
      </c>
    </row>
    <row r="930" spans="1:14" hidden="1" x14ac:dyDescent="0.35">
      <c r="A930" s="21">
        <v>2366711</v>
      </c>
      <c r="B930" s="22" t="str">
        <f>"3175025812720011"</f>
        <v>3175025812720011</v>
      </c>
      <c r="C930" s="22" t="str">
        <f t="shared" si="28"/>
        <v>'3175025812720011</v>
      </c>
      <c r="D930" s="22" t="str">
        <f t="shared" si="29"/>
        <v>tidak ganda</v>
      </c>
      <c r="E930" s="22" t="s">
        <v>2258</v>
      </c>
      <c r="F930" s="22" t="s">
        <v>10</v>
      </c>
      <c r="G930" s="22" t="s">
        <v>11</v>
      </c>
      <c r="H930" s="22" t="s">
        <v>50</v>
      </c>
      <c r="I930" s="22" t="s">
        <v>58</v>
      </c>
      <c r="J930" s="22" t="s">
        <v>417</v>
      </c>
      <c r="K930" s="23" t="s">
        <v>59</v>
      </c>
    </row>
    <row r="931" spans="1:14" hidden="1" x14ac:dyDescent="0.35">
      <c r="A931" s="21">
        <v>84183</v>
      </c>
      <c r="B931" s="22" t="str">
        <f>"3175030601730004"</f>
        <v>3175030601730004</v>
      </c>
      <c r="C931" s="22" t="str">
        <f t="shared" si="28"/>
        <v>'3175030601730004</v>
      </c>
      <c r="D931" s="22" t="str">
        <f t="shared" si="29"/>
        <v>tidak ganda</v>
      </c>
      <c r="E931" s="22" t="s">
        <v>2260</v>
      </c>
      <c r="F931" s="22" t="s">
        <v>10</v>
      </c>
      <c r="G931" s="22" t="s">
        <v>11</v>
      </c>
      <c r="H931" s="22" t="s">
        <v>50</v>
      </c>
      <c r="I931" s="22" t="s">
        <v>58</v>
      </c>
      <c r="J931" s="22" t="s">
        <v>59</v>
      </c>
      <c r="K931" s="23" t="s">
        <v>1069</v>
      </c>
    </row>
    <row r="932" spans="1:14" hidden="1" x14ac:dyDescent="0.35">
      <c r="A932" s="21">
        <v>914838</v>
      </c>
      <c r="B932" s="22" t="str">
        <f>"3175031111940002"</f>
        <v>3175031111940002</v>
      </c>
      <c r="C932" s="22" t="str">
        <f t="shared" si="28"/>
        <v>'3175031111940002</v>
      </c>
      <c r="D932" s="22" t="str">
        <f t="shared" si="29"/>
        <v>tidak ganda</v>
      </c>
      <c r="E932" s="22" t="s">
        <v>2262</v>
      </c>
      <c r="F932" s="22" t="s">
        <v>10</v>
      </c>
      <c r="G932" s="22" t="s">
        <v>11</v>
      </c>
      <c r="H932" s="22" t="s">
        <v>50</v>
      </c>
      <c r="I932" s="22" t="s">
        <v>58</v>
      </c>
      <c r="J932" s="22" t="s">
        <v>59</v>
      </c>
      <c r="K932" s="23" t="s">
        <v>824</v>
      </c>
    </row>
    <row r="933" spans="1:14" hidden="1" x14ac:dyDescent="0.35">
      <c r="A933" s="21">
        <v>627457</v>
      </c>
      <c r="B933" s="22" t="str">
        <f>"3175031607690005"</f>
        <v>3175031607690005</v>
      </c>
      <c r="C933" s="22" t="str">
        <f t="shared" si="28"/>
        <v>'3175031607690005</v>
      </c>
      <c r="D933" s="22" t="str">
        <f t="shared" si="29"/>
        <v>tidak ganda</v>
      </c>
      <c r="E933" s="22" t="s">
        <v>2263</v>
      </c>
      <c r="F933" s="22" t="s">
        <v>10</v>
      </c>
      <c r="G933" s="22" t="s">
        <v>11</v>
      </c>
      <c r="H933" s="22" t="s">
        <v>50</v>
      </c>
      <c r="I933" s="22" t="s">
        <v>58</v>
      </c>
      <c r="J933" s="22" t="s">
        <v>59</v>
      </c>
      <c r="K933" s="23" t="s">
        <v>2264</v>
      </c>
    </row>
    <row r="934" spans="1:14" hidden="1" x14ac:dyDescent="0.35">
      <c r="A934" s="21">
        <v>627459</v>
      </c>
      <c r="B934" s="22" t="str">
        <f>"3175035807760008"</f>
        <v>3175035807760008</v>
      </c>
      <c r="C934" s="22" t="str">
        <f t="shared" si="28"/>
        <v>'3175035807760008</v>
      </c>
      <c r="D934" s="22" t="str">
        <f t="shared" si="29"/>
        <v>tidak ganda</v>
      </c>
      <c r="E934" s="22" t="s">
        <v>2265</v>
      </c>
      <c r="F934" s="22" t="s">
        <v>10</v>
      </c>
      <c r="G934" s="22" t="s">
        <v>11</v>
      </c>
      <c r="H934" s="22" t="s">
        <v>50</v>
      </c>
      <c r="I934" s="22" t="s">
        <v>58</v>
      </c>
      <c r="J934" s="22" t="s">
        <v>59</v>
      </c>
      <c r="K934" s="23" t="s">
        <v>2264</v>
      </c>
    </row>
    <row r="935" spans="1:14" hidden="1" x14ac:dyDescent="0.35">
      <c r="A935" s="21">
        <v>1734867</v>
      </c>
      <c r="B935" s="22" t="str">
        <f>"3175052208740003"</f>
        <v>3175052208740003</v>
      </c>
      <c r="C935" s="22" t="str">
        <f t="shared" si="28"/>
        <v>'3175052208740003</v>
      </c>
      <c r="D935" s="22" t="str">
        <f t="shared" si="29"/>
        <v>ganda</v>
      </c>
      <c r="E935" s="22" t="s">
        <v>2266</v>
      </c>
      <c r="F935" s="22" t="s">
        <v>10</v>
      </c>
      <c r="G935" s="22" t="s">
        <v>11</v>
      </c>
      <c r="H935" s="22" t="s">
        <v>50</v>
      </c>
      <c r="I935" s="22" t="s">
        <v>58</v>
      </c>
      <c r="J935" s="22" t="s">
        <v>260</v>
      </c>
      <c r="K935" s="23" t="s">
        <v>626</v>
      </c>
    </row>
    <row r="936" spans="1:14" hidden="1" x14ac:dyDescent="0.35">
      <c r="A936" s="21">
        <v>2540676</v>
      </c>
      <c r="B936" s="22" t="str">
        <f>"3175052208740003"</f>
        <v>3175052208740003</v>
      </c>
      <c r="C936" s="22" t="str">
        <f t="shared" si="28"/>
        <v>'3175052208740003</v>
      </c>
      <c r="D936" s="22" t="str">
        <f t="shared" si="29"/>
        <v>ganda</v>
      </c>
      <c r="E936" s="22" t="s">
        <v>2267</v>
      </c>
      <c r="F936" s="22" t="s">
        <v>10</v>
      </c>
      <c r="G936" s="22" t="s">
        <v>57</v>
      </c>
      <c r="H936" s="22" t="s">
        <v>18</v>
      </c>
      <c r="I936" s="22" t="s">
        <v>19</v>
      </c>
      <c r="J936" s="22" t="s">
        <v>1394</v>
      </c>
      <c r="K936" s="23" t="s">
        <v>1395</v>
      </c>
      <c r="L936" t="e">
        <f>VLOOKUP(B936,ubah!$B$2:$L$234,4,FALSE)</f>
        <v>#N/A</v>
      </c>
      <c r="M936" t="e">
        <f>VLOOKUP(B936,ubah!$B$2:$L$234,5,FALSE)</f>
        <v>#N/A</v>
      </c>
      <c r="N936" t="e">
        <f>VLOOKUP(B936,ubah!$B$2:$L$234,6,FALSE)</f>
        <v>#N/A</v>
      </c>
    </row>
    <row r="937" spans="1:14" hidden="1" x14ac:dyDescent="0.35">
      <c r="A937" s="21">
        <v>1508085</v>
      </c>
      <c r="B937" s="22" t="str">
        <f>"3175064411970013"</f>
        <v>3175064411970013</v>
      </c>
      <c r="C937" s="22" t="str">
        <f t="shared" si="28"/>
        <v>'3175064411970013</v>
      </c>
      <c r="D937" s="22" t="str">
        <f t="shared" si="29"/>
        <v>tidak ganda</v>
      </c>
      <c r="E937" s="22" t="s">
        <v>2268</v>
      </c>
      <c r="F937" s="22" t="s">
        <v>10</v>
      </c>
      <c r="G937" s="22" t="s">
        <v>11</v>
      </c>
      <c r="H937" s="22" t="s">
        <v>50</v>
      </c>
      <c r="I937" s="22" t="s">
        <v>58</v>
      </c>
      <c r="J937" s="22" t="s">
        <v>417</v>
      </c>
      <c r="K937" s="23" t="s">
        <v>1936</v>
      </c>
    </row>
    <row r="938" spans="1:14" hidden="1" x14ac:dyDescent="0.35">
      <c r="A938" s="21">
        <v>1764753</v>
      </c>
      <c r="B938" s="22" t="str">
        <f>"3175067012740017"</f>
        <v>3175067012740017</v>
      </c>
      <c r="C938" s="22" t="str">
        <f t="shared" si="28"/>
        <v>'3175067012740017</v>
      </c>
      <c r="D938" s="22" t="str">
        <f t="shared" si="29"/>
        <v>tidak ganda</v>
      </c>
      <c r="E938" s="22" t="s">
        <v>2270</v>
      </c>
      <c r="F938" s="22" t="s">
        <v>10</v>
      </c>
      <c r="G938" s="22" t="s">
        <v>11</v>
      </c>
      <c r="H938" s="22" t="s">
        <v>50</v>
      </c>
      <c r="I938" s="22" t="s">
        <v>58</v>
      </c>
      <c r="J938" s="22" t="s">
        <v>417</v>
      </c>
      <c r="K938" s="23" t="s">
        <v>2271</v>
      </c>
    </row>
    <row r="939" spans="1:14" hidden="1" x14ac:dyDescent="0.35">
      <c r="A939" s="21">
        <v>1397503</v>
      </c>
      <c r="B939" s="22" t="str">
        <f>"3175074301740002"</f>
        <v>3175074301740002</v>
      </c>
      <c r="C939" s="22" t="str">
        <f t="shared" si="28"/>
        <v>'3175074301740002</v>
      </c>
      <c r="D939" s="22" t="str">
        <f t="shared" si="29"/>
        <v>tidak ganda</v>
      </c>
      <c r="E939" s="22" t="s">
        <v>2272</v>
      </c>
      <c r="F939" s="22" t="s">
        <v>10</v>
      </c>
      <c r="G939" s="22" t="s">
        <v>11</v>
      </c>
      <c r="H939" s="22" t="s">
        <v>50</v>
      </c>
      <c r="I939" s="22" t="s">
        <v>58</v>
      </c>
      <c r="J939" s="22" t="s">
        <v>1283</v>
      </c>
      <c r="K939" s="23" t="s">
        <v>2273</v>
      </c>
    </row>
    <row r="940" spans="1:14" hidden="1" x14ac:dyDescent="0.35">
      <c r="A940" s="21">
        <v>1397505</v>
      </c>
      <c r="B940" s="22" t="str">
        <f>"3175075409060012"</f>
        <v>3175075409060012</v>
      </c>
      <c r="C940" s="22" t="str">
        <f t="shared" si="28"/>
        <v>'3175075409060012</v>
      </c>
      <c r="D940" s="22" t="str">
        <f t="shared" si="29"/>
        <v>tidak ganda</v>
      </c>
      <c r="E940" s="22" t="s">
        <v>2274</v>
      </c>
      <c r="F940" s="22" t="s">
        <v>10</v>
      </c>
      <c r="G940" s="22" t="s">
        <v>11</v>
      </c>
      <c r="H940" s="22" t="s">
        <v>50</v>
      </c>
      <c r="I940" s="22" t="s">
        <v>58</v>
      </c>
      <c r="J940" s="22" t="s">
        <v>1283</v>
      </c>
      <c r="K940" s="23" t="s">
        <v>2273</v>
      </c>
    </row>
    <row r="941" spans="1:14" hidden="1" x14ac:dyDescent="0.35">
      <c r="A941" s="21">
        <v>1679574</v>
      </c>
      <c r="B941" s="22" t="str">
        <f>"3201170605810004"</f>
        <v>3201170605810004</v>
      </c>
      <c r="C941" s="22" t="str">
        <f t="shared" si="28"/>
        <v>'3201170605810004</v>
      </c>
      <c r="D941" s="22" t="str">
        <f t="shared" si="29"/>
        <v>tidak ganda</v>
      </c>
      <c r="E941" s="22" t="s">
        <v>2276</v>
      </c>
      <c r="F941" s="22" t="s">
        <v>10</v>
      </c>
      <c r="G941" s="22" t="s">
        <v>11</v>
      </c>
      <c r="H941" s="22" t="s">
        <v>91</v>
      </c>
      <c r="I941" s="22" t="s">
        <v>650</v>
      </c>
      <c r="J941" s="22" t="s">
        <v>2277</v>
      </c>
      <c r="K941" s="23" t="s">
        <v>2278</v>
      </c>
    </row>
    <row r="942" spans="1:14" hidden="1" x14ac:dyDescent="0.35">
      <c r="A942" s="21">
        <v>2893381</v>
      </c>
      <c r="B942" s="22" t="str">
        <f>"3201172404770007"</f>
        <v>3201172404770007</v>
      </c>
      <c r="C942" s="22" t="str">
        <f t="shared" si="28"/>
        <v>'3201172404770007</v>
      </c>
      <c r="D942" s="22" t="str">
        <f t="shared" si="29"/>
        <v>tidak ganda</v>
      </c>
      <c r="E942" s="22" t="s">
        <v>2281</v>
      </c>
      <c r="F942" s="22" t="s">
        <v>10</v>
      </c>
      <c r="G942" s="22" t="s">
        <v>11</v>
      </c>
      <c r="H942" s="22" t="s">
        <v>91</v>
      </c>
      <c r="I942" s="22" t="s">
        <v>650</v>
      </c>
      <c r="J942" s="22" t="s">
        <v>2282</v>
      </c>
      <c r="K942" s="23" t="s">
        <v>2283</v>
      </c>
    </row>
    <row r="943" spans="1:14" hidden="1" x14ac:dyDescent="0.35">
      <c r="A943" s="21">
        <v>2893373</v>
      </c>
      <c r="B943" s="22" t="str">
        <f>"3201174606760017"</f>
        <v>3201174606760017</v>
      </c>
      <c r="C943" s="22" t="str">
        <f t="shared" si="28"/>
        <v>'3201174606760017</v>
      </c>
      <c r="D943" s="22" t="str">
        <f t="shared" si="29"/>
        <v>tidak ganda</v>
      </c>
      <c r="E943" s="22" t="s">
        <v>2284</v>
      </c>
      <c r="F943" s="22" t="s">
        <v>10</v>
      </c>
      <c r="G943" s="22" t="s">
        <v>11</v>
      </c>
      <c r="H943" s="22" t="s">
        <v>91</v>
      </c>
      <c r="I943" s="22" t="s">
        <v>650</v>
      </c>
      <c r="J943" s="22" t="s">
        <v>2282</v>
      </c>
      <c r="K943" s="23" t="s">
        <v>2283</v>
      </c>
    </row>
    <row r="944" spans="1:14" hidden="1" x14ac:dyDescent="0.35">
      <c r="A944" s="21">
        <v>798032</v>
      </c>
      <c r="B944" s="22" t="str">
        <f>"3201226604000006"</f>
        <v>3201226604000006</v>
      </c>
      <c r="C944" s="22" t="str">
        <f t="shared" si="28"/>
        <v>'3201226604000006</v>
      </c>
      <c r="D944" s="22" t="str">
        <f t="shared" si="29"/>
        <v>tidak ganda</v>
      </c>
      <c r="E944" s="22" t="s">
        <v>2285</v>
      </c>
      <c r="F944" s="22" t="s">
        <v>10</v>
      </c>
      <c r="G944" s="22" t="s">
        <v>11</v>
      </c>
      <c r="H944" s="22" t="s">
        <v>91</v>
      </c>
      <c r="I944" s="22" t="s">
        <v>650</v>
      </c>
      <c r="J944" s="22" t="s">
        <v>2286</v>
      </c>
      <c r="K944" s="23" t="s">
        <v>2287</v>
      </c>
    </row>
    <row r="945" spans="1:14" hidden="1" x14ac:dyDescent="0.35">
      <c r="A945" s="21">
        <v>1133179</v>
      </c>
      <c r="B945" s="22" t="str">
        <f>"3201241808850012"</f>
        <v>3201241808850012</v>
      </c>
      <c r="C945" s="22" t="str">
        <f t="shared" si="28"/>
        <v>'3201241808850012</v>
      </c>
      <c r="D945" s="22" t="str">
        <f t="shared" si="29"/>
        <v>ganda</v>
      </c>
      <c r="E945" s="22" t="s">
        <v>2288</v>
      </c>
      <c r="F945" s="22" t="s">
        <v>10</v>
      </c>
      <c r="G945" s="22" t="s">
        <v>11</v>
      </c>
      <c r="H945" s="22" t="s">
        <v>50</v>
      </c>
      <c r="I945" s="22" t="s">
        <v>86</v>
      </c>
      <c r="J945" s="22" t="s">
        <v>87</v>
      </c>
      <c r="K945" s="23" t="s">
        <v>87</v>
      </c>
    </row>
    <row r="946" spans="1:14" hidden="1" x14ac:dyDescent="0.35">
      <c r="A946" s="21">
        <v>2540823</v>
      </c>
      <c r="B946" s="22" t="str">
        <f>"3201241808850012"</f>
        <v>3201241808850012</v>
      </c>
      <c r="C946" s="22" t="str">
        <f t="shared" si="28"/>
        <v>'3201241808850012</v>
      </c>
      <c r="D946" s="22" t="str">
        <f t="shared" si="29"/>
        <v>ganda</v>
      </c>
      <c r="E946" s="22" t="s">
        <v>2289</v>
      </c>
      <c r="F946" s="22" t="s">
        <v>10</v>
      </c>
      <c r="G946" s="22" t="s">
        <v>57</v>
      </c>
      <c r="H946" s="22" t="s">
        <v>18</v>
      </c>
      <c r="I946" s="22" t="s">
        <v>19</v>
      </c>
      <c r="J946" s="22" t="s">
        <v>1394</v>
      </c>
      <c r="K946" s="23" t="s">
        <v>1395</v>
      </c>
      <c r="L946" t="e">
        <f>VLOOKUP(B946,ubah!$B$2:$L$234,4,FALSE)</f>
        <v>#N/A</v>
      </c>
      <c r="M946" t="e">
        <f>VLOOKUP(B946,ubah!$B$2:$L$234,5,FALSE)</f>
        <v>#N/A</v>
      </c>
      <c r="N946" t="e">
        <f>VLOOKUP(B946,ubah!$B$2:$L$234,6,FALSE)</f>
        <v>#N/A</v>
      </c>
    </row>
    <row r="947" spans="1:14" hidden="1" x14ac:dyDescent="0.35">
      <c r="A947" s="21">
        <v>1074714</v>
      </c>
      <c r="B947" s="22" t="str">
        <f>"3201390306790007"</f>
        <v>3201390306790007</v>
      </c>
      <c r="C947" s="22" t="str">
        <f t="shared" si="28"/>
        <v>'3201390306790007</v>
      </c>
      <c r="D947" s="22" t="str">
        <f t="shared" si="29"/>
        <v>ganda</v>
      </c>
      <c r="E947" s="22" t="s">
        <v>2290</v>
      </c>
      <c r="F947" s="22" t="s">
        <v>10</v>
      </c>
      <c r="G947" s="22" t="s">
        <v>11</v>
      </c>
      <c r="H947" s="22" t="s">
        <v>50</v>
      </c>
      <c r="I947" s="22" t="s">
        <v>58</v>
      </c>
      <c r="J947" s="22" t="s">
        <v>1747</v>
      </c>
      <c r="K947" s="23" t="s">
        <v>2291</v>
      </c>
    </row>
    <row r="948" spans="1:14" hidden="1" x14ac:dyDescent="0.35">
      <c r="A948" s="21">
        <v>2540802</v>
      </c>
      <c r="B948" s="22" t="str">
        <f>"3201390306790007"</f>
        <v>3201390306790007</v>
      </c>
      <c r="C948" s="22" t="str">
        <f t="shared" si="28"/>
        <v>'3201390306790007</v>
      </c>
      <c r="D948" s="22" t="str">
        <f t="shared" si="29"/>
        <v>ganda</v>
      </c>
      <c r="E948" s="22" t="s">
        <v>2292</v>
      </c>
      <c r="F948" s="22" t="s">
        <v>10</v>
      </c>
      <c r="G948" s="22" t="s">
        <v>57</v>
      </c>
      <c r="H948" s="22" t="s">
        <v>18</v>
      </c>
      <c r="I948" s="22" t="s">
        <v>19</v>
      </c>
      <c r="J948" s="22" t="s">
        <v>1394</v>
      </c>
      <c r="K948" s="23" t="s">
        <v>1395</v>
      </c>
      <c r="L948" t="e">
        <f>VLOOKUP(B948,ubah!$B$2:$L$234,4,FALSE)</f>
        <v>#N/A</v>
      </c>
      <c r="M948" t="e">
        <f>VLOOKUP(B948,ubah!$B$2:$L$234,5,FALSE)</f>
        <v>#N/A</v>
      </c>
      <c r="N948" t="e">
        <f>VLOOKUP(B948,ubah!$B$2:$L$234,6,FALSE)</f>
        <v>#N/A</v>
      </c>
    </row>
    <row r="949" spans="1:14" hidden="1" x14ac:dyDescent="0.35">
      <c r="A949" s="21">
        <v>318484</v>
      </c>
      <c r="B949" s="22" t="str">
        <f>"3202120412950003"</f>
        <v>3202120412950003</v>
      </c>
      <c r="C949" s="22" t="str">
        <f t="shared" si="28"/>
        <v>'3202120412950003</v>
      </c>
      <c r="D949" s="22" t="str">
        <f t="shared" si="29"/>
        <v>tidak ganda</v>
      </c>
      <c r="E949" s="22" t="s">
        <v>2293</v>
      </c>
      <c r="F949" s="22" t="s">
        <v>10</v>
      </c>
      <c r="G949" s="22" t="s">
        <v>11</v>
      </c>
      <c r="H949" s="22" t="s">
        <v>91</v>
      </c>
      <c r="I949" s="22" t="s">
        <v>101</v>
      </c>
      <c r="J949" s="22" t="s">
        <v>2294</v>
      </c>
      <c r="K949" s="23" t="s">
        <v>2295</v>
      </c>
    </row>
    <row r="950" spans="1:14" hidden="1" x14ac:dyDescent="0.35">
      <c r="A950" s="21">
        <v>1050511</v>
      </c>
      <c r="B950" s="22" t="str">
        <f>"3202165911960007"</f>
        <v>3202165911960007</v>
      </c>
      <c r="C950" s="22" t="str">
        <f t="shared" si="28"/>
        <v>'3202165911960007</v>
      </c>
      <c r="D950" s="22" t="str">
        <f t="shared" si="29"/>
        <v>tidak ganda</v>
      </c>
      <c r="E950" s="22" t="s">
        <v>2296</v>
      </c>
      <c r="F950" s="22" t="s">
        <v>10</v>
      </c>
      <c r="G950" s="22" t="s">
        <v>11</v>
      </c>
      <c r="H950" s="22" t="s">
        <v>91</v>
      </c>
      <c r="I950" s="22" t="s">
        <v>101</v>
      </c>
      <c r="J950" s="22" t="s">
        <v>2297</v>
      </c>
      <c r="K950" s="23" t="s">
        <v>2298</v>
      </c>
    </row>
    <row r="951" spans="1:14" hidden="1" x14ac:dyDescent="0.35">
      <c r="A951" s="21">
        <v>461031</v>
      </c>
      <c r="B951" s="22" t="str">
        <f>"3203102212950003"</f>
        <v>3203102212950003</v>
      </c>
      <c r="C951" s="22" t="str">
        <f t="shared" si="28"/>
        <v>'3203102212950003</v>
      </c>
      <c r="D951" s="22" t="str">
        <f t="shared" si="29"/>
        <v>tidak ganda</v>
      </c>
      <c r="E951" s="22" t="s">
        <v>2300</v>
      </c>
      <c r="F951" s="22" t="s">
        <v>10</v>
      </c>
      <c r="G951" s="22" t="s">
        <v>11</v>
      </c>
      <c r="H951" s="22" t="s">
        <v>50</v>
      </c>
      <c r="I951" s="22" t="s">
        <v>51</v>
      </c>
      <c r="J951" s="22" t="s">
        <v>425</v>
      </c>
      <c r="K951" s="23" t="s">
        <v>426</v>
      </c>
    </row>
    <row r="952" spans="1:14" hidden="1" x14ac:dyDescent="0.35">
      <c r="A952" s="21">
        <v>1152109</v>
      </c>
      <c r="B952" s="22" t="str">
        <f>"3204150811900003"</f>
        <v>3204150811900003</v>
      </c>
      <c r="C952" s="22" t="str">
        <f t="shared" si="28"/>
        <v>'3204150811900003</v>
      </c>
      <c r="D952" s="22" t="str">
        <f t="shared" si="29"/>
        <v>ganda</v>
      </c>
      <c r="E952" s="22" t="s">
        <v>2302</v>
      </c>
      <c r="F952" s="22" t="s">
        <v>10</v>
      </c>
      <c r="G952" s="22" t="s">
        <v>11</v>
      </c>
      <c r="H952" s="22" t="s">
        <v>91</v>
      </c>
      <c r="I952" s="22" t="s">
        <v>1398</v>
      </c>
      <c r="J952" s="22" t="s">
        <v>2303</v>
      </c>
      <c r="K952" s="23" t="s">
        <v>2304</v>
      </c>
    </row>
    <row r="953" spans="1:14" hidden="1" x14ac:dyDescent="0.35">
      <c r="A953" s="21">
        <v>2540714</v>
      </c>
      <c r="B953" s="22" t="str">
        <f>"3204150811900003"</f>
        <v>3204150811900003</v>
      </c>
      <c r="C953" s="22" t="str">
        <f t="shared" si="28"/>
        <v>'3204150811900003</v>
      </c>
      <c r="D953" s="22" t="str">
        <f t="shared" si="29"/>
        <v>ganda</v>
      </c>
      <c r="E953" s="22" t="s">
        <v>2305</v>
      </c>
      <c r="F953" s="22" t="s">
        <v>10</v>
      </c>
      <c r="G953" s="22" t="s">
        <v>57</v>
      </c>
      <c r="H953" s="22" t="s">
        <v>18</v>
      </c>
      <c r="I953" s="22" t="s">
        <v>19</v>
      </c>
      <c r="J953" s="22" t="s">
        <v>1394</v>
      </c>
      <c r="K953" s="23" t="s">
        <v>1395</v>
      </c>
      <c r="L953" t="e">
        <f>VLOOKUP(B953,ubah!$B$2:$L$234,4,FALSE)</f>
        <v>#N/A</v>
      </c>
      <c r="M953" t="e">
        <f>VLOOKUP(B953,ubah!$B$2:$L$234,5,FALSE)</f>
        <v>#N/A</v>
      </c>
      <c r="N953" t="e">
        <f>VLOOKUP(B953,ubah!$B$2:$L$234,6,FALSE)</f>
        <v>#N/A</v>
      </c>
    </row>
    <row r="954" spans="1:14" hidden="1" x14ac:dyDescent="0.35">
      <c r="A954" s="21">
        <v>1031208</v>
      </c>
      <c r="B954" s="22" t="str">
        <f>"3206320507060002"</f>
        <v>3206320507060002</v>
      </c>
      <c r="C954" s="22" t="str">
        <f t="shared" si="28"/>
        <v>'3206320507060002</v>
      </c>
      <c r="D954" s="22" t="str">
        <f t="shared" si="29"/>
        <v>tidak ganda</v>
      </c>
      <c r="E954" s="22" t="s">
        <v>2306</v>
      </c>
      <c r="F954" s="22" t="s">
        <v>10</v>
      </c>
      <c r="G954" s="22" t="s">
        <v>11</v>
      </c>
      <c r="H954" s="22" t="s">
        <v>91</v>
      </c>
      <c r="I954" s="22" t="s">
        <v>1300</v>
      </c>
      <c r="J954" s="22" t="s">
        <v>2307</v>
      </c>
      <c r="K954" s="23" t="s">
        <v>2308</v>
      </c>
    </row>
    <row r="955" spans="1:14" hidden="1" x14ac:dyDescent="0.35">
      <c r="A955" s="21">
        <v>1031210</v>
      </c>
      <c r="B955" s="22" t="str">
        <f>"3206324107790131"</f>
        <v>3206324107790131</v>
      </c>
      <c r="C955" s="22" t="str">
        <f t="shared" si="28"/>
        <v>'3206324107790131</v>
      </c>
      <c r="D955" s="22" t="str">
        <f t="shared" si="29"/>
        <v>tidak ganda</v>
      </c>
      <c r="E955" s="22" t="s">
        <v>2310</v>
      </c>
      <c r="F955" s="22" t="s">
        <v>10</v>
      </c>
      <c r="G955" s="22" t="s">
        <v>11</v>
      </c>
      <c r="H955" s="22" t="s">
        <v>91</v>
      </c>
      <c r="I955" s="22" t="s">
        <v>1300</v>
      </c>
      <c r="J955" s="22" t="s">
        <v>2307</v>
      </c>
      <c r="K955" s="23" t="s">
        <v>2308</v>
      </c>
    </row>
    <row r="956" spans="1:14" hidden="1" x14ac:dyDescent="0.35">
      <c r="A956" s="21">
        <v>1031209</v>
      </c>
      <c r="B956" s="22" t="str">
        <f>"3206325605990002"</f>
        <v>3206325605990002</v>
      </c>
      <c r="C956" s="22" t="str">
        <f t="shared" si="28"/>
        <v>'3206325605990002</v>
      </c>
      <c r="D956" s="22" t="str">
        <f t="shared" si="29"/>
        <v>tidak ganda</v>
      </c>
      <c r="E956" s="22" t="s">
        <v>2312</v>
      </c>
      <c r="F956" s="22" t="s">
        <v>10</v>
      </c>
      <c r="G956" s="22" t="s">
        <v>11</v>
      </c>
      <c r="H956" s="22" t="s">
        <v>91</v>
      </c>
      <c r="I956" s="22" t="s">
        <v>1300</v>
      </c>
      <c r="J956" s="22" t="s">
        <v>2307</v>
      </c>
      <c r="K956" s="23" t="s">
        <v>2308</v>
      </c>
    </row>
    <row r="957" spans="1:14" hidden="1" x14ac:dyDescent="0.35">
      <c r="A957" s="21">
        <v>444678</v>
      </c>
      <c r="B957" s="22" t="str">
        <f>"3209031407890008"</f>
        <v>3209031407890008</v>
      </c>
      <c r="C957" s="22" t="str">
        <f t="shared" si="28"/>
        <v>'3209031407890008</v>
      </c>
      <c r="D957" s="22" t="str">
        <f t="shared" si="29"/>
        <v>tidak ganda</v>
      </c>
      <c r="E957" s="22" t="s">
        <v>2314</v>
      </c>
      <c r="F957" s="22" t="s">
        <v>10</v>
      </c>
      <c r="G957" s="22" t="s">
        <v>11</v>
      </c>
      <c r="H957" s="22" t="s">
        <v>91</v>
      </c>
      <c r="I957" s="22" t="s">
        <v>985</v>
      </c>
      <c r="J957" s="22" t="s">
        <v>877</v>
      </c>
      <c r="K957" s="23" t="s">
        <v>2315</v>
      </c>
    </row>
    <row r="958" spans="1:14" hidden="1" x14ac:dyDescent="0.35">
      <c r="A958" s="21">
        <v>905479</v>
      </c>
      <c r="B958" s="22" t="str">
        <f>"3209050106840019"</f>
        <v>3209050106840019</v>
      </c>
      <c r="C958" s="22" t="str">
        <f t="shared" si="28"/>
        <v>'3209050106840019</v>
      </c>
      <c r="D958" s="22" t="str">
        <f t="shared" si="29"/>
        <v>tidak ganda</v>
      </c>
      <c r="E958" s="22" t="s">
        <v>2317</v>
      </c>
      <c r="F958" s="22" t="s">
        <v>10</v>
      </c>
      <c r="G958" s="22" t="s">
        <v>11</v>
      </c>
      <c r="H958" s="22" t="s">
        <v>91</v>
      </c>
      <c r="I958" s="22" t="s">
        <v>985</v>
      </c>
      <c r="J958" s="22" t="s">
        <v>1573</v>
      </c>
      <c r="K958" s="23" t="s">
        <v>2318</v>
      </c>
    </row>
    <row r="959" spans="1:14" hidden="1" x14ac:dyDescent="0.35">
      <c r="A959" s="21">
        <v>490650</v>
      </c>
      <c r="B959" s="22" t="str">
        <f>"3209100404820014"</f>
        <v>3209100404820014</v>
      </c>
      <c r="C959" s="22" t="str">
        <f t="shared" si="28"/>
        <v>'3209100404820014</v>
      </c>
      <c r="D959" s="22" t="str">
        <f t="shared" si="29"/>
        <v>ganda</v>
      </c>
      <c r="E959" s="22" t="s">
        <v>2319</v>
      </c>
      <c r="F959" s="22" t="s">
        <v>10</v>
      </c>
      <c r="G959" s="22" t="s">
        <v>11</v>
      </c>
      <c r="H959" s="22" t="s">
        <v>91</v>
      </c>
      <c r="I959" s="22" t="s">
        <v>985</v>
      </c>
      <c r="J959" s="22" t="s">
        <v>2320</v>
      </c>
      <c r="K959" s="23" t="s">
        <v>2321</v>
      </c>
    </row>
    <row r="960" spans="1:14" hidden="1" x14ac:dyDescent="0.35">
      <c r="A960" s="21">
        <v>2540654</v>
      </c>
      <c r="B960" s="22" t="str">
        <f>"3209100404820014"</f>
        <v>3209100404820014</v>
      </c>
      <c r="C960" s="22" t="str">
        <f t="shared" si="28"/>
        <v>'3209100404820014</v>
      </c>
      <c r="D960" s="22" t="str">
        <f t="shared" si="29"/>
        <v>ganda</v>
      </c>
      <c r="E960" s="22" t="s">
        <v>2322</v>
      </c>
      <c r="F960" s="22" t="s">
        <v>10</v>
      </c>
      <c r="G960" s="22" t="s">
        <v>57</v>
      </c>
      <c r="H960" s="22" t="s">
        <v>18</v>
      </c>
      <c r="I960" s="22" t="s">
        <v>19</v>
      </c>
      <c r="J960" s="22" t="s">
        <v>1394</v>
      </c>
      <c r="K960" s="23" t="s">
        <v>1395</v>
      </c>
      <c r="L960" t="e">
        <f>VLOOKUP(B960,ubah!$B$2:$L$234,4,FALSE)</f>
        <v>#N/A</v>
      </c>
      <c r="M960" t="e">
        <f>VLOOKUP(B960,ubah!$B$2:$L$234,5,FALSE)</f>
        <v>#N/A</v>
      </c>
      <c r="N960" t="e">
        <f>VLOOKUP(B960,ubah!$B$2:$L$234,6,FALSE)</f>
        <v>#N/A</v>
      </c>
    </row>
    <row r="961" spans="1:14" hidden="1" x14ac:dyDescent="0.35">
      <c r="A961" s="21">
        <v>489376</v>
      </c>
      <c r="B961" s="22" t="str">
        <f>"3209101012840006"</f>
        <v>3209101012840006</v>
      </c>
      <c r="C961" s="22" t="str">
        <f t="shared" si="28"/>
        <v>'3209101012840006</v>
      </c>
      <c r="D961" s="22" t="str">
        <f t="shared" si="29"/>
        <v>ganda</v>
      </c>
      <c r="E961" s="22" t="s">
        <v>2323</v>
      </c>
      <c r="F961" s="22" t="s">
        <v>10</v>
      </c>
      <c r="G961" s="22" t="s">
        <v>11</v>
      </c>
      <c r="H961" s="22" t="s">
        <v>91</v>
      </c>
      <c r="I961" s="22" t="s">
        <v>985</v>
      </c>
      <c r="J961" s="22" t="s">
        <v>2320</v>
      </c>
      <c r="K961" s="23" t="s">
        <v>2321</v>
      </c>
    </row>
    <row r="962" spans="1:14" hidden="1" x14ac:dyDescent="0.35">
      <c r="A962" s="21">
        <v>2540756</v>
      </c>
      <c r="B962" s="22" t="str">
        <f>"3209101012840006"</f>
        <v>3209101012840006</v>
      </c>
      <c r="C962" s="22" t="str">
        <f t="shared" si="28"/>
        <v>'3209101012840006</v>
      </c>
      <c r="D962" s="22" t="str">
        <f t="shared" si="29"/>
        <v>ganda</v>
      </c>
      <c r="E962" s="22" t="s">
        <v>2324</v>
      </c>
      <c r="F962" s="22" t="s">
        <v>10</v>
      </c>
      <c r="G962" s="22" t="s">
        <v>57</v>
      </c>
      <c r="H962" s="22" t="s">
        <v>18</v>
      </c>
      <c r="I962" s="22" t="s">
        <v>19</v>
      </c>
      <c r="J962" s="22" t="s">
        <v>1394</v>
      </c>
      <c r="K962" s="23" t="s">
        <v>1395</v>
      </c>
      <c r="L962" t="e">
        <f>VLOOKUP(B962,ubah!$B$2:$L$234,4,FALSE)</f>
        <v>#N/A</v>
      </c>
      <c r="M962" t="e">
        <f>VLOOKUP(B962,ubah!$B$2:$L$234,5,FALSE)</f>
        <v>#N/A</v>
      </c>
      <c r="N962" t="e">
        <f>VLOOKUP(B962,ubah!$B$2:$L$234,6,FALSE)</f>
        <v>#N/A</v>
      </c>
    </row>
    <row r="963" spans="1:14" hidden="1" x14ac:dyDescent="0.35">
      <c r="A963" s="21">
        <v>488117</v>
      </c>
      <c r="B963" s="22" t="str">
        <f>"3209102103810007"</f>
        <v>3209102103810007</v>
      </c>
      <c r="C963" s="22" t="str">
        <f t="shared" ref="C963:C1026" si="30">"'"&amp;B963</f>
        <v>'3209102103810007</v>
      </c>
      <c r="D963" s="22" t="str">
        <f t="shared" ref="D963:D1026" si="31">IF(COUNTIF($C:$C,C963)&gt;1,"ganda","tidak ganda")</f>
        <v>ganda</v>
      </c>
      <c r="E963" s="22" t="s">
        <v>2325</v>
      </c>
      <c r="F963" s="22" t="s">
        <v>10</v>
      </c>
      <c r="G963" s="22" t="s">
        <v>11</v>
      </c>
      <c r="H963" s="22" t="s">
        <v>91</v>
      </c>
      <c r="I963" s="22" t="s">
        <v>985</v>
      </c>
      <c r="J963" s="22" t="s">
        <v>2320</v>
      </c>
      <c r="K963" s="23" t="s">
        <v>2321</v>
      </c>
    </row>
    <row r="964" spans="1:14" hidden="1" x14ac:dyDescent="0.35">
      <c r="A964" s="21">
        <v>2540796</v>
      </c>
      <c r="B964" s="22" t="str">
        <f>"3209102103810007"</f>
        <v>3209102103810007</v>
      </c>
      <c r="C964" s="22" t="str">
        <f t="shared" si="30"/>
        <v>'3209102103810007</v>
      </c>
      <c r="D964" s="22" t="str">
        <f t="shared" si="31"/>
        <v>ganda</v>
      </c>
      <c r="E964" s="22" t="s">
        <v>2326</v>
      </c>
      <c r="F964" s="22" t="s">
        <v>10</v>
      </c>
      <c r="G964" s="22" t="s">
        <v>57</v>
      </c>
      <c r="H964" s="22" t="s">
        <v>18</v>
      </c>
      <c r="I964" s="22" t="s">
        <v>19</v>
      </c>
      <c r="J964" s="22" t="s">
        <v>1394</v>
      </c>
      <c r="K964" s="23" t="s">
        <v>1395</v>
      </c>
      <c r="L964" t="e">
        <f>VLOOKUP(B964,ubah!$B$2:$L$234,4,FALSE)</f>
        <v>#N/A</v>
      </c>
      <c r="M964" t="e">
        <f>VLOOKUP(B964,ubah!$B$2:$L$234,5,FALSE)</f>
        <v>#N/A</v>
      </c>
      <c r="N964" t="e">
        <f>VLOOKUP(B964,ubah!$B$2:$L$234,6,FALSE)</f>
        <v>#N/A</v>
      </c>
    </row>
    <row r="965" spans="1:14" hidden="1" x14ac:dyDescent="0.35">
      <c r="A965" s="21">
        <v>487825</v>
      </c>
      <c r="B965" s="22" t="str">
        <f>"3209102707850013"</f>
        <v>3209102707850013</v>
      </c>
      <c r="C965" s="22" t="str">
        <f t="shared" si="30"/>
        <v>'3209102707850013</v>
      </c>
      <c r="D965" s="22" t="str">
        <f t="shared" si="31"/>
        <v>ganda</v>
      </c>
      <c r="E965" s="22" t="s">
        <v>2327</v>
      </c>
      <c r="F965" s="22" t="s">
        <v>10</v>
      </c>
      <c r="G965" s="22" t="s">
        <v>11</v>
      </c>
      <c r="H965" s="22" t="s">
        <v>91</v>
      </c>
      <c r="I965" s="22" t="s">
        <v>985</v>
      </c>
      <c r="J965" s="22" t="s">
        <v>2320</v>
      </c>
      <c r="K965" s="23" t="s">
        <v>2321</v>
      </c>
    </row>
    <row r="966" spans="1:14" hidden="1" x14ac:dyDescent="0.35">
      <c r="A966" s="21">
        <v>2540859</v>
      </c>
      <c r="B966" s="22" t="str">
        <f>"3209102707850013"</f>
        <v>3209102707850013</v>
      </c>
      <c r="C966" s="22" t="str">
        <f t="shared" si="30"/>
        <v>'3209102707850013</v>
      </c>
      <c r="D966" s="22" t="str">
        <f t="shared" si="31"/>
        <v>ganda</v>
      </c>
      <c r="E966" s="22" t="s">
        <v>2328</v>
      </c>
      <c r="F966" s="22" t="s">
        <v>10</v>
      </c>
      <c r="G966" s="22" t="s">
        <v>57</v>
      </c>
      <c r="H966" s="22" t="s">
        <v>18</v>
      </c>
      <c r="I966" s="22" t="s">
        <v>19</v>
      </c>
      <c r="J966" s="22" t="s">
        <v>1394</v>
      </c>
      <c r="K966" s="23" t="s">
        <v>1395</v>
      </c>
      <c r="L966" t="e">
        <f>VLOOKUP(B966,ubah!$B$2:$L$234,4,FALSE)</f>
        <v>#N/A</v>
      </c>
      <c r="M966" t="e">
        <f>VLOOKUP(B966,ubah!$B$2:$L$234,5,FALSE)</f>
        <v>#N/A</v>
      </c>
      <c r="N966" t="e">
        <f>VLOOKUP(B966,ubah!$B$2:$L$234,6,FALSE)</f>
        <v>#N/A</v>
      </c>
    </row>
    <row r="967" spans="1:14" hidden="1" x14ac:dyDescent="0.35">
      <c r="A967" s="21">
        <v>1205268</v>
      </c>
      <c r="B967" s="22" t="str">
        <f>"3209301309820002"</f>
        <v>3209301309820002</v>
      </c>
      <c r="C967" s="22" t="str">
        <f t="shared" si="30"/>
        <v>'3209301309820002</v>
      </c>
      <c r="D967" s="22" t="str">
        <f t="shared" si="31"/>
        <v>ganda</v>
      </c>
      <c r="E967" s="22" t="s">
        <v>2329</v>
      </c>
      <c r="F967" s="22" t="s">
        <v>10</v>
      </c>
      <c r="G967" s="22" t="s">
        <v>11</v>
      </c>
      <c r="H967" s="22" t="s">
        <v>91</v>
      </c>
      <c r="I967" s="22" t="s">
        <v>985</v>
      </c>
      <c r="J967" s="22" t="s">
        <v>2330</v>
      </c>
      <c r="K967" s="23" t="s">
        <v>2331</v>
      </c>
    </row>
    <row r="968" spans="1:14" hidden="1" x14ac:dyDescent="0.35">
      <c r="A968" s="21">
        <v>2540833</v>
      </c>
      <c r="B968" s="22" t="str">
        <f>"3209301309820002"</f>
        <v>3209301309820002</v>
      </c>
      <c r="C968" s="22" t="str">
        <f t="shared" si="30"/>
        <v>'3209301309820002</v>
      </c>
      <c r="D968" s="22" t="str">
        <f t="shared" si="31"/>
        <v>ganda</v>
      </c>
      <c r="E968" s="22" t="s">
        <v>2332</v>
      </c>
      <c r="F968" s="22" t="s">
        <v>10</v>
      </c>
      <c r="G968" s="22" t="s">
        <v>57</v>
      </c>
      <c r="H968" s="22" t="s">
        <v>18</v>
      </c>
      <c r="I968" s="22" t="s">
        <v>19</v>
      </c>
      <c r="J968" s="22" t="s">
        <v>1394</v>
      </c>
      <c r="K968" s="23" t="s">
        <v>1395</v>
      </c>
      <c r="L968" t="e">
        <f>VLOOKUP(B968,ubah!$B$2:$L$234,4,FALSE)</f>
        <v>#N/A</v>
      </c>
      <c r="M968" t="e">
        <f>VLOOKUP(B968,ubah!$B$2:$L$234,5,FALSE)</f>
        <v>#N/A</v>
      </c>
      <c r="N968" t="e">
        <f>VLOOKUP(B968,ubah!$B$2:$L$234,6,FALSE)</f>
        <v>#N/A</v>
      </c>
    </row>
    <row r="969" spans="1:14" hidden="1" x14ac:dyDescent="0.35">
      <c r="A969" s="21">
        <v>1233329</v>
      </c>
      <c r="B969" s="22" t="str">
        <f>"3209302305970005"</f>
        <v>3209302305970005</v>
      </c>
      <c r="C969" s="22" t="str">
        <f t="shared" si="30"/>
        <v>'3209302305970005</v>
      </c>
      <c r="D969" s="22" t="str">
        <f t="shared" si="31"/>
        <v>ganda</v>
      </c>
      <c r="E969" s="22" t="s">
        <v>2333</v>
      </c>
      <c r="F969" s="22" t="s">
        <v>10</v>
      </c>
      <c r="G969" s="22" t="s">
        <v>11</v>
      </c>
      <c r="H969" s="22" t="s">
        <v>91</v>
      </c>
      <c r="I969" s="22" t="s">
        <v>985</v>
      </c>
      <c r="J969" s="22" t="s">
        <v>2330</v>
      </c>
      <c r="K969" s="23" t="s">
        <v>2334</v>
      </c>
    </row>
    <row r="970" spans="1:14" hidden="1" x14ac:dyDescent="0.35">
      <c r="A970" s="21">
        <v>2540897</v>
      </c>
      <c r="B970" s="22" t="str">
        <f>"3209302305970005"</f>
        <v>3209302305970005</v>
      </c>
      <c r="C970" s="22" t="str">
        <f t="shared" si="30"/>
        <v>'3209302305970005</v>
      </c>
      <c r="D970" s="22" t="str">
        <f t="shared" si="31"/>
        <v>ganda</v>
      </c>
      <c r="E970" s="22" t="s">
        <v>2335</v>
      </c>
      <c r="F970" s="22" t="s">
        <v>10</v>
      </c>
      <c r="G970" s="22" t="s">
        <v>57</v>
      </c>
      <c r="H970" s="22" t="s">
        <v>18</v>
      </c>
      <c r="I970" s="22" t="s">
        <v>19</v>
      </c>
      <c r="J970" s="22" t="s">
        <v>1394</v>
      </c>
      <c r="K970" s="23" t="s">
        <v>1395</v>
      </c>
      <c r="L970" t="e">
        <f>VLOOKUP(B970,ubah!$B$2:$L$234,4,FALSE)</f>
        <v>#N/A</v>
      </c>
      <c r="M970" t="e">
        <f>VLOOKUP(B970,ubah!$B$2:$L$234,5,FALSE)</f>
        <v>#N/A</v>
      </c>
      <c r="N970" t="e">
        <f>VLOOKUP(B970,ubah!$B$2:$L$234,6,FALSE)</f>
        <v>#N/A</v>
      </c>
    </row>
    <row r="971" spans="1:14" hidden="1" x14ac:dyDescent="0.35">
      <c r="A971" s="21">
        <v>980194</v>
      </c>
      <c r="B971" s="22" t="str">
        <f>"3212091110010001"</f>
        <v>3212091110010001</v>
      </c>
      <c r="C971" s="22" t="str">
        <f t="shared" si="30"/>
        <v>'3212091110010001</v>
      </c>
      <c r="D971" s="22" t="str">
        <f t="shared" si="31"/>
        <v>ganda</v>
      </c>
      <c r="E971" s="22" t="s">
        <v>2336</v>
      </c>
      <c r="F971" s="22" t="s">
        <v>10</v>
      </c>
      <c r="G971" s="22" t="s">
        <v>11</v>
      </c>
      <c r="H971" s="22" t="s">
        <v>91</v>
      </c>
      <c r="I971" s="22" t="s">
        <v>114</v>
      </c>
      <c r="J971" s="22" t="s">
        <v>2337</v>
      </c>
      <c r="K971" s="23" t="s">
        <v>789</v>
      </c>
    </row>
    <row r="972" spans="1:14" hidden="1" x14ac:dyDescent="0.35">
      <c r="A972" s="21">
        <v>2540656</v>
      </c>
      <c r="B972" s="22" t="str">
        <f>"3212091110010001"</f>
        <v>3212091110010001</v>
      </c>
      <c r="C972" s="22" t="str">
        <f t="shared" si="30"/>
        <v>'3212091110010001</v>
      </c>
      <c r="D972" s="22" t="str">
        <f t="shared" si="31"/>
        <v>ganda</v>
      </c>
      <c r="E972" s="22" t="s">
        <v>2338</v>
      </c>
      <c r="F972" s="22" t="s">
        <v>10</v>
      </c>
      <c r="G972" s="22" t="s">
        <v>57</v>
      </c>
      <c r="H972" s="22" t="s">
        <v>18</v>
      </c>
      <c r="I972" s="22" t="s">
        <v>19</v>
      </c>
      <c r="J972" s="22" t="s">
        <v>1394</v>
      </c>
      <c r="K972" s="23" t="s">
        <v>1395</v>
      </c>
      <c r="L972" t="e">
        <f>VLOOKUP(B972,ubah!$B$2:$L$234,4,FALSE)</f>
        <v>#N/A</v>
      </c>
      <c r="M972" t="e">
        <f>VLOOKUP(B972,ubah!$B$2:$L$234,5,FALSE)</f>
        <v>#N/A</v>
      </c>
      <c r="N972" t="e">
        <f>VLOOKUP(B972,ubah!$B$2:$L$234,6,FALSE)</f>
        <v>#N/A</v>
      </c>
    </row>
    <row r="973" spans="1:14" hidden="1" x14ac:dyDescent="0.35">
      <c r="A973" s="21">
        <v>963797</v>
      </c>
      <c r="B973" s="22" t="str">
        <f>"3212091303980004"</f>
        <v>3212091303980004</v>
      </c>
      <c r="C973" s="22" t="str">
        <f t="shared" si="30"/>
        <v>'3212091303980004</v>
      </c>
      <c r="D973" s="22" t="str">
        <f t="shared" si="31"/>
        <v>ganda</v>
      </c>
      <c r="E973" s="22" t="s">
        <v>2339</v>
      </c>
      <c r="F973" s="22" t="s">
        <v>10</v>
      </c>
      <c r="G973" s="22" t="s">
        <v>11</v>
      </c>
      <c r="H973" s="22" t="s">
        <v>91</v>
      </c>
      <c r="I973" s="22" t="s">
        <v>114</v>
      </c>
      <c r="J973" s="22" t="s">
        <v>2337</v>
      </c>
      <c r="K973" s="23" t="s">
        <v>2340</v>
      </c>
    </row>
    <row r="974" spans="1:14" hidden="1" x14ac:dyDescent="0.35">
      <c r="A974" s="21">
        <v>2540682</v>
      </c>
      <c r="B974" s="22" t="str">
        <f>"3212091303980004"</f>
        <v>3212091303980004</v>
      </c>
      <c r="C974" s="22" t="str">
        <f t="shared" si="30"/>
        <v>'3212091303980004</v>
      </c>
      <c r="D974" s="22" t="str">
        <f t="shared" si="31"/>
        <v>ganda</v>
      </c>
      <c r="E974" s="22" t="s">
        <v>2341</v>
      </c>
      <c r="F974" s="22" t="s">
        <v>10</v>
      </c>
      <c r="G974" s="22" t="s">
        <v>57</v>
      </c>
      <c r="H974" s="22" t="s">
        <v>18</v>
      </c>
      <c r="I974" s="22" t="s">
        <v>19</v>
      </c>
      <c r="J974" s="22" t="s">
        <v>1394</v>
      </c>
      <c r="K974" s="23" t="s">
        <v>1395</v>
      </c>
      <c r="L974" t="e">
        <f>VLOOKUP(B974,ubah!$B$2:$L$234,4,FALSE)</f>
        <v>#N/A</v>
      </c>
      <c r="M974" t="e">
        <f>VLOOKUP(B974,ubah!$B$2:$L$234,5,FALSE)</f>
        <v>#N/A</v>
      </c>
      <c r="N974" t="e">
        <f>VLOOKUP(B974,ubah!$B$2:$L$234,6,FALSE)</f>
        <v>#N/A</v>
      </c>
    </row>
    <row r="975" spans="1:14" hidden="1" x14ac:dyDescent="0.35">
      <c r="A975" s="21">
        <v>401379</v>
      </c>
      <c r="B975" s="22" t="str">
        <f>"3212275708900010"</f>
        <v>3212275708900010</v>
      </c>
      <c r="C975" s="22" t="str">
        <f t="shared" si="30"/>
        <v>'3212275708900010</v>
      </c>
      <c r="D975" s="22" t="str">
        <f t="shared" si="31"/>
        <v>tidak ganda</v>
      </c>
      <c r="E975" s="22" t="s">
        <v>2342</v>
      </c>
      <c r="F975" s="22" t="s">
        <v>10</v>
      </c>
      <c r="G975" s="22" t="s">
        <v>11</v>
      </c>
      <c r="H975" s="22" t="s">
        <v>91</v>
      </c>
      <c r="I975" s="22" t="s">
        <v>114</v>
      </c>
      <c r="J975" s="22" t="s">
        <v>2343</v>
      </c>
      <c r="K975" s="23" t="s">
        <v>2344</v>
      </c>
    </row>
    <row r="976" spans="1:14" hidden="1" x14ac:dyDescent="0.35">
      <c r="A976" s="21">
        <v>222286</v>
      </c>
      <c r="B976" s="22" t="str">
        <f>"3215212912810001"</f>
        <v>3215212912810001</v>
      </c>
      <c r="C976" s="22" t="str">
        <f t="shared" si="30"/>
        <v>'3215212912810001</v>
      </c>
      <c r="D976" s="22" t="str">
        <f t="shared" si="31"/>
        <v>ganda</v>
      </c>
      <c r="E976" s="22" t="s">
        <v>2345</v>
      </c>
      <c r="F976" s="22" t="s">
        <v>10</v>
      </c>
      <c r="G976" s="22" t="s">
        <v>11</v>
      </c>
      <c r="H976" s="22" t="s">
        <v>18</v>
      </c>
      <c r="I976" s="22" t="s">
        <v>268</v>
      </c>
      <c r="J976" s="22" t="s">
        <v>371</v>
      </c>
      <c r="K976" s="23" t="s">
        <v>2346</v>
      </c>
    </row>
    <row r="977" spans="1:14" hidden="1" x14ac:dyDescent="0.35">
      <c r="A977" s="21">
        <v>2540730</v>
      </c>
      <c r="B977" s="22" t="str">
        <f>"3215212912810001"</f>
        <v>3215212912810001</v>
      </c>
      <c r="C977" s="22" t="str">
        <f t="shared" si="30"/>
        <v>'3215212912810001</v>
      </c>
      <c r="D977" s="22" t="str">
        <f t="shared" si="31"/>
        <v>ganda</v>
      </c>
      <c r="E977" s="22" t="s">
        <v>2347</v>
      </c>
      <c r="F977" s="22" t="s">
        <v>10</v>
      </c>
      <c r="G977" s="22" t="s">
        <v>57</v>
      </c>
      <c r="H977" s="22" t="s">
        <v>18</v>
      </c>
      <c r="I977" s="22" t="s">
        <v>19</v>
      </c>
      <c r="J977" s="22" t="s">
        <v>1394</v>
      </c>
      <c r="K977" s="23" t="s">
        <v>1395</v>
      </c>
      <c r="L977" t="e">
        <f>VLOOKUP(B977,ubah!$B$2:$L$234,4,FALSE)</f>
        <v>#N/A</v>
      </c>
      <c r="M977" t="e">
        <f>VLOOKUP(B977,ubah!$B$2:$L$234,5,FALSE)</f>
        <v>#N/A</v>
      </c>
      <c r="N977" t="e">
        <f>VLOOKUP(B977,ubah!$B$2:$L$234,6,FALSE)</f>
        <v>#N/A</v>
      </c>
    </row>
    <row r="978" spans="1:14" hidden="1" x14ac:dyDescent="0.35">
      <c r="A978" s="21">
        <v>1969427</v>
      </c>
      <c r="B978" s="22" t="str">
        <f>"3216025407900007"</f>
        <v>3216025407900007</v>
      </c>
      <c r="C978" s="22" t="str">
        <f t="shared" si="30"/>
        <v>'3216025407900007</v>
      </c>
      <c r="D978" s="22" t="str">
        <f t="shared" si="31"/>
        <v>tidak ganda</v>
      </c>
      <c r="E978" s="22" t="s">
        <v>2348</v>
      </c>
      <c r="F978" s="22" t="s">
        <v>10</v>
      </c>
      <c r="G978" s="22" t="s">
        <v>11</v>
      </c>
      <c r="H978" s="22" t="s">
        <v>50</v>
      </c>
      <c r="I978" s="22" t="s">
        <v>58</v>
      </c>
      <c r="J978" s="22" t="s">
        <v>417</v>
      </c>
      <c r="K978" s="23" t="s">
        <v>2271</v>
      </c>
    </row>
    <row r="979" spans="1:14" hidden="1" x14ac:dyDescent="0.35">
      <c r="A979" s="21">
        <v>1582579</v>
      </c>
      <c r="B979" s="22" t="str">
        <f>"3216091007750019"</f>
        <v>3216091007750019</v>
      </c>
      <c r="C979" s="22" t="str">
        <f t="shared" si="30"/>
        <v>'3216091007750019</v>
      </c>
      <c r="D979" s="22" t="str">
        <f t="shared" si="31"/>
        <v>tidak ganda</v>
      </c>
      <c r="E979" s="22" t="s">
        <v>2349</v>
      </c>
      <c r="F979" s="22" t="s">
        <v>10</v>
      </c>
      <c r="G979" s="22" t="s">
        <v>11</v>
      </c>
      <c r="H979" s="22" t="s">
        <v>91</v>
      </c>
      <c r="I979" s="22" t="s">
        <v>92</v>
      </c>
      <c r="J979" s="22" t="s">
        <v>128</v>
      </c>
      <c r="K979" s="23" t="s">
        <v>2350</v>
      </c>
    </row>
    <row r="980" spans="1:14" hidden="1" x14ac:dyDescent="0.35">
      <c r="A980" s="21">
        <v>1582580</v>
      </c>
      <c r="B980" s="22" t="str">
        <f>"3216094809780011"</f>
        <v>3216094809780011</v>
      </c>
      <c r="C980" s="22" t="str">
        <f t="shared" si="30"/>
        <v>'3216094809780011</v>
      </c>
      <c r="D980" s="22" t="str">
        <f t="shared" si="31"/>
        <v>tidak ganda</v>
      </c>
      <c r="E980" s="22" t="s">
        <v>2351</v>
      </c>
      <c r="F980" s="22" t="s">
        <v>10</v>
      </c>
      <c r="G980" s="22" t="s">
        <v>11</v>
      </c>
      <c r="H980" s="22" t="s">
        <v>91</v>
      </c>
      <c r="I980" s="22" t="s">
        <v>92</v>
      </c>
      <c r="J980" s="22" t="s">
        <v>128</v>
      </c>
      <c r="K980" s="23" t="s">
        <v>2350</v>
      </c>
    </row>
    <row r="981" spans="1:14" hidden="1" x14ac:dyDescent="0.35">
      <c r="A981" s="21">
        <v>46261</v>
      </c>
      <c r="B981" s="22" t="str">
        <f>"3274012012910009"</f>
        <v>3274012012910009</v>
      </c>
      <c r="C981" s="22" t="str">
        <f t="shared" si="30"/>
        <v>'3274012012910009</v>
      </c>
      <c r="D981" s="22" t="str">
        <f t="shared" si="31"/>
        <v>tidak ganda</v>
      </c>
      <c r="E981" s="22" t="s">
        <v>2352</v>
      </c>
      <c r="F981" s="22" t="s">
        <v>10</v>
      </c>
      <c r="G981" s="22" t="s">
        <v>11</v>
      </c>
      <c r="H981" s="22" t="s">
        <v>91</v>
      </c>
      <c r="I981" s="22" t="s">
        <v>155</v>
      </c>
      <c r="J981" s="22" t="s">
        <v>156</v>
      </c>
      <c r="K981" s="23" t="s">
        <v>2353</v>
      </c>
    </row>
    <row r="982" spans="1:14" hidden="1" x14ac:dyDescent="0.35">
      <c r="A982" s="21">
        <v>143003</v>
      </c>
      <c r="B982" s="22" t="str">
        <f>"3275011905760028"</f>
        <v>3275011905760028</v>
      </c>
      <c r="C982" s="22" t="str">
        <f t="shared" si="30"/>
        <v>'3275011905760028</v>
      </c>
      <c r="D982" s="22" t="str">
        <f t="shared" si="31"/>
        <v>ganda</v>
      </c>
      <c r="E982" s="22" t="s">
        <v>2355</v>
      </c>
      <c r="F982" s="22" t="s">
        <v>10</v>
      </c>
      <c r="G982" s="22" t="s">
        <v>11</v>
      </c>
      <c r="H982" s="22" t="s">
        <v>91</v>
      </c>
      <c r="I982" s="22" t="s">
        <v>159</v>
      </c>
      <c r="J982" s="22" t="s">
        <v>685</v>
      </c>
      <c r="K982" s="23" t="s">
        <v>686</v>
      </c>
    </row>
    <row r="983" spans="1:14" hidden="1" x14ac:dyDescent="0.35">
      <c r="A983" s="21">
        <v>2540748</v>
      </c>
      <c r="B983" s="22" t="str">
        <f>"3275011905760028"</f>
        <v>3275011905760028</v>
      </c>
      <c r="C983" s="22" t="str">
        <f t="shared" si="30"/>
        <v>'3275011905760028</v>
      </c>
      <c r="D983" s="22" t="str">
        <f t="shared" si="31"/>
        <v>ganda</v>
      </c>
      <c r="E983" s="22" t="s">
        <v>2356</v>
      </c>
      <c r="F983" s="22" t="s">
        <v>10</v>
      </c>
      <c r="G983" s="22" t="s">
        <v>57</v>
      </c>
      <c r="H983" s="22" t="s">
        <v>18</v>
      </c>
      <c r="I983" s="22" t="s">
        <v>19</v>
      </c>
      <c r="J983" s="22" t="s">
        <v>1394</v>
      </c>
      <c r="K983" s="23" t="s">
        <v>1395</v>
      </c>
      <c r="L983" t="e">
        <f>VLOOKUP(B983,ubah!$B$2:$L$234,4,FALSE)</f>
        <v>#N/A</v>
      </c>
      <c r="M983" t="e">
        <f>VLOOKUP(B983,ubah!$B$2:$L$234,5,FALSE)</f>
        <v>#N/A</v>
      </c>
      <c r="N983" t="e">
        <f>VLOOKUP(B983,ubah!$B$2:$L$234,6,FALSE)</f>
        <v>#N/A</v>
      </c>
    </row>
    <row r="984" spans="1:14" hidden="1" x14ac:dyDescent="0.35">
      <c r="A984" s="21">
        <v>1844673</v>
      </c>
      <c r="B984" s="22" t="str">
        <f>"3275041210810031"</f>
        <v>3275041210810031</v>
      </c>
      <c r="C984" s="22" t="str">
        <f t="shared" si="30"/>
        <v>'3275041210810031</v>
      </c>
      <c r="D984" s="22" t="str">
        <f t="shared" si="31"/>
        <v>tidak ganda</v>
      </c>
      <c r="E984" s="22" t="s">
        <v>2357</v>
      </c>
      <c r="F984" s="22" t="s">
        <v>10</v>
      </c>
      <c r="G984" s="22" t="s">
        <v>11</v>
      </c>
      <c r="H984" s="22" t="s">
        <v>91</v>
      </c>
      <c r="I984" s="22" t="s">
        <v>159</v>
      </c>
      <c r="J984" s="22" t="s">
        <v>1332</v>
      </c>
      <c r="K984" s="23" t="s">
        <v>2358</v>
      </c>
    </row>
    <row r="985" spans="1:14" hidden="1" x14ac:dyDescent="0.35">
      <c r="A985" s="21">
        <v>1844674</v>
      </c>
      <c r="B985" s="22" t="str">
        <f>"3275045703880021"</f>
        <v>3275045703880021</v>
      </c>
      <c r="C985" s="22" t="str">
        <f t="shared" si="30"/>
        <v>'3275045703880021</v>
      </c>
      <c r="D985" s="22" t="str">
        <f t="shared" si="31"/>
        <v>tidak ganda</v>
      </c>
      <c r="E985" s="22" t="s">
        <v>2359</v>
      </c>
      <c r="F985" s="22" t="s">
        <v>10</v>
      </c>
      <c r="G985" s="22" t="s">
        <v>11</v>
      </c>
      <c r="H985" s="22" t="s">
        <v>91</v>
      </c>
      <c r="I985" s="22" t="s">
        <v>159</v>
      </c>
      <c r="J985" s="22" t="s">
        <v>1332</v>
      </c>
      <c r="K985" s="23" t="s">
        <v>2358</v>
      </c>
    </row>
    <row r="986" spans="1:14" hidden="1" x14ac:dyDescent="0.35">
      <c r="A986" s="21">
        <v>611654</v>
      </c>
      <c r="B986" s="22" t="str">
        <f>"3275090309760014"</f>
        <v>3275090309760014</v>
      </c>
      <c r="C986" s="22" t="str">
        <f t="shared" si="30"/>
        <v>'3275090309760014</v>
      </c>
      <c r="D986" s="22" t="str">
        <f t="shared" si="31"/>
        <v>ganda</v>
      </c>
      <c r="E986" s="22" t="s">
        <v>2360</v>
      </c>
      <c r="F986" s="22" t="s">
        <v>10</v>
      </c>
      <c r="G986" s="22" t="s">
        <v>11</v>
      </c>
      <c r="H986" s="22" t="s">
        <v>91</v>
      </c>
      <c r="I986" s="22" t="s">
        <v>159</v>
      </c>
      <c r="J986" s="22" t="s">
        <v>1170</v>
      </c>
      <c r="K986" s="23" t="s">
        <v>2361</v>
      </c>
    </row>
    <row r="987" spans="1:14" hidden="1" x14ac:dyDescent="0.35">
      <c r="A987" s="21">
        <v>2540830</v>
      </c>
      <c r="B987" s="22" t="str">
        <f>"3275090309760014"</f>
        <v>3275090309760014</v>
      </c>
      <c r="C987" s="22" t="str">
        <f t="shared" si="30"/>
        <v>'3275090309760014</v>
      </c>
      <c r="D987" s="22" t="str">
        <f t="shared" si="31"/>
        <v>ganda</v>
      </c>
      <c r="E987" s="22" t="s">
        <v>2362</v>
      </c>
      <c r="F987" s="22" t="s">
        <v>10</v>
      </c>
      <c r="G987" s="22" t="s">
        <v>57</v>
      </c>
      <c r="H987" s="22" t="s">
        <v>18</v>
      </c>
      <c r="I987" s="22" t="s">
        <v>19</v>
      </c>
      <c r="J987" s="22" t="s">
        <v>1394</v>
      </c>
      <c r="K987" s="23" t="s">
        <v>1395</v>
      </c>
      <c r="L987" t="e">
        <f>VLOOKUP(B987,ubah!$B$2:$L$234,4,FALSE)</f>
        <v>#N/A</v>
      </c>
      <c r="M987" t="e">
        <f>VLOOKUP(B987,ubah!$B$2:$L$234,5,FALSE)</f>
        <v>#N/A</v>
      </c>
      <c r="N987" t="e">
        <f>VLOOKUP(B987,ubah!$B$2:$L$234,6,FALSE)</f>
        <v>#N/A</v>
      </c>
    </row>
    <row r="988" spans="1:14" hidden="1" x14ac:dyDescent="0.35">
      <c r="A988" s="21">
        <v>336404</v>
      </c>
      <c r="B988" s="22" t="str">
        <f>"3276020702780012"</f>
        <v>3276020702780012</v>
      </c>
      <c r="C988" s="22" t="str">
        <f t="shared" si="30"/>
        <v>'3276020702780012</v>
      </c>
      <c r="D988" s="22" t="str">
        <f t="shared" si="31"/>
        <v>ganda</v>
      </c>
      <c r="E988" s="22" t="s">
        <v>2363</v>
      </c>
      <c r="F988" s="22" t="s">
        <v>10</v>
      </c>
      <c r="G988" s="22" t="s">
        <v>11</v>
      </c>
      <c r="H988" s="22" t="s">
        <v>91</v>
      </c>
      <c r="I988" s="22" t="s">
        <v>2364</v>
      </c>
      <c r="J988" s="22" t="s">
        <v>2365</v>
      </c>
      <c r="K988" s="23" t="s">
        <v>177</v>
      </c>
    </row>
    <row r="989" spans="1:14" hidden="1" x14ac:dyDescent="0.35">
      <c r="A989" s="21">
        <v>2540832</v>
      </c>
      <c r="B989" s="22" t="str">
        <f>"3276020702780012"</f>
        <v>3276020702780012</v>
      </c>
      <c r="C989" s="22" t="str">
        <f t="shared" si="30"/>
        <v>'3276020702780012</v>
      </c>
      <c r="D989" s="22" t="str">
        <f t="shared" si="31"/>
        <v>ganda</v>
      </c>
      <c r="E989" s="22" t="s">
        <v>2366</v>
      </c>
      <c r="F989" s="22" t="s">
        <v>10</v>
      </c>
      <c r="G989" s="22" t="s">
        <v>57</v>
      </c>
      <c r="H989" s="22" t="s">
        <v>18</v>
      </c>
      <c r="I989" s="22" t="s">
        <v>19</v>
      </c>
      <c r="J989" s="22" t="s">
        <v>1394</v>
      </c>
      <c r="K989" s="23" t="s">
        <v>1395</v>
      </c>
      <c r="L989" t="e">
        <f>VLOOKUP(B989,ubah!$B$2:$L$234,4,FALSE)</f>
        <v>#N/A</v>
      </c>
      <c r="M989" t="e">
        <f>VLOOKUP(B989,ubah!$B$2:$L$234,5,FALSE)</f>
        <v>#N/A</v>
      </c>
      <c r="N989" t="e">
        <f>VLOOKUP(B989,ubah!$B$2:$L$234,6,FALSE)</f>
        <v>#N/A</v>
      </c>
    </row>
    <row r="990" spans="1:14" hidden="1" x14ac:dyDescent="0.35">
      <c r="A990" s="21">
        <v>562357</v>
      </c>
      <c r="B990" s="22" t="str">
        <f>"3276041911830002"</f>
        <v>3276041911830002</v>
      </c>
      <c r="C990" s="22" t="str">
        <f t="shared" si="30"/>
        <v>'3276041911830002</v>
      </c>
      <c r="D990" s="22" t="str">
        <f t="shared" si="31"/>
        <v>ganda</v>
      </c>
      <c r="E990" s="22" t="s">
        <v>2367</v>
      </c>
      <c r="F990" s="22" t="s">
        <v>10</v>
      </c>
      <c r="G990" s="22" t="s">
        <v>11</v>
      </c>
      <c r="H990" s="22" t="s">
        <v>91</v>
      </c>
      <c r="I990" s="22" t="s">
        <v>903</v>
      </c>
      <c r="J990" s="22" t="s">
        <v>2368</v>
      </c>
      <c r="K990" s="23" t="s">
        <v>2210</v>
      </c>
    </row>
    <row r="991" spans="1:14" hidden="1" x14ac:dyDescent="0.35">
      <c r="A991" s="21">
        <v>2540754</v>
      </c>
      <c r="B991" s="22" t="str">
        <f>"3276041911830002"</f>
        <v>3276041911830002</v>
      </c>
      <c r="C991" s="22" t="str">
        <f t="shared" si="30"/>
        <v>'3276041911830002</v>
      </c>
      <c r="D991" s="22" t="str">
        <f t="shared" si="31"/>
        <v>ganda</v>
      </c>
      <c r="E991" s="22" t="s">
        <v>2369</v>
      </c>
      <c r="F991" s="22" t="s">
        <v>10</v>
      </c>
      <c r="G991" s="22" t="s">
        <v>57</v>
      </c>
      <c r="H991" s="22" t="s">
        <v>18</v>
      </c>
      <c r="I991" s="22" t="s">
        <v>19</v>
      </c>
      <c r="J991" s="22" t="s">
        <v>1394</v>
      </c>
      <c r="K991" s="23" t="s">
        <v>1395</v>
      </c>
      <c r="L991" t="e">
        <f>VLOOKUP(B991,ubah!$B$2:$L$234,4,FALSE)</f>
        <v>#N/A</v>
      </c>
      <c r="M991" t="e">
        <f>VLOOKUP(B991,ubah!$B$2:$L$234,5,FALSE)</f>
        <v>#N/A</v>
      </c>
      <c r="N991" t="e">
        <f>VLOOKUP(B991,ubah!$B$2:$L$234,6,FALSE)</f>
        <v>#N/A</v>
      </c>
    </row>
    <row r="992" spans="1:14" hidden="1" x14ac:dyDescent="0.35">
      <c r="A992" s="21">
        <v>752901</v>
      </c>
      <c r="B992" s="22" t="str">
        <f>"3276052512920003"</f>
        <v>3276052512920003</v>
      </c>
      <c r="C992" s="22" t="str">
        <f t="shared" si="30"/>
        <v>'3276052512920003</v>
      </c>
      <c r="D992" s="22" t="str">
        <f t="shared" si="31"/>
        <v>tidak ganda</v>
      </c>
      <c r="E992" s="22" t="s">
        <v>2370</v>
      </c>
      <c r="F992" s="22" t="s">
        <v>10</v>
      </c>
      <c r="G992" s="22" t="s">
        <v>11</v>
      </c>
      <c r="H992" s="22" t="s">
        <v>91</v>
      </c>
      <c r="I992" s="22" t="s">
        <v>903</v>
      </c>
      <c r="J992" s="22" t="s">
        <v>2371</v>
      </c>
      <c r="K992" s="23" t="s">
        <v>2372</v>
      </c>
    </row>
    <row r="993" spans="1:14" hidden="1" x14ac:dyDescent="0.35">
      <c r="A993" s="21">
        <v>337466</v>
      </c>
      <c r="B993" s="22" t="str">
        <f>"3276092505920002"</f>
        <v>3276092505920002</v>
      </c>
      <c r="C993" s="22" t="str">
        <f t="shared" si="30"/>
        <v>'3276092505920002</v>
      </c>
      <c r="D993" s="22" t="str">
        <f t="shared" si="31"/>
        <v>ganda</v>
      </c>
      <c r="E993" s="22" t="s">
        <v>2373</v>
      </c>
      <c r="F993" s="22" t="s">
        <v>10</v>
      </c>
      <c r="G993" s="22" t="s">
        <v>11</v>
      </c>
      <c r="H993" s="22" t="s">
        <v>91</v>
      </c>
      <c r="I993" s="22" t="s">
        <v>903</v>
      </c>
      <c r="J993" s="22" t="s">
        <v>2374</v>
      </c>
      <c r="K993" s="23" t="s">
        <v>2375</v>
      </c>
    </row>
    <row r="994" spans="1:14" hidden="1" x14ac:dyDescent="0.35">
      <c r="A994" s="21">
        <v>2540792</v>
      </c>
      <c r="B994" s="22" t="str">
        <f>"3276092505920002"</f>
        <v>3276092505920002</v>
      </c>
      <c r="C994" s="22" t="str">
        <f t="shared" si="30"/>
        <v>'3276092505920002</v>
      </c>
      <c r="D994" s="22" t="str">
        <f t="shared" si="31"/>
        <v>ganda</v>
      </c>
      <c r="E994" s="22" t="s">
        <v>2373</v>
      </c>
      <c r="F994" s="22" t="s">
        <v>10</v>
      </c>
      <c r="G994" s="22" t="s">
        <v>57</v>
      </c>
      <c r="H994" s="22" t="s">
        <v>18</v>
      </c>
      <c r="I994" s="22" t="s">
        <v>19</v>
      </c>
      <c r="J994" s="22" t="s">
        <v>1394</v>
      </c>
      <c r="K994" s="23" t="s">
        <v>1395</v>
      </c>
      <c r="L994" t="e">
        <f>VLOOKUP(B994,ubah!$B$2:$L$234,4,FALSE)</f>
        <v>#N/A</v>
      </c>
      <c r="M994" t="e">
        <f>VLOOKUP(B994,ubah!$B$2:$L$234,5,FALSE)</f>
        <v>#N/A</v>
      </c>
      <c r="N994" t="e">
        <f>VLOOKUP(B994,ubah!$B$2:$L$234,6,FALSE)</f>
        <v>#N/A</v>
      </c>
    </row>
    <row r="995" spans="1:14" hidden="1" x14ac:dyDescent="0.35">
      <c r="A995" s="21">
        <v>741350</v>
      </c>
      <c r="B995" s="22" t="str">
        <f>"3277026812630009"</f>
        <v>3277026812630009</v>
      </c>
      <c r="C995" s="22" t="str">
        <f t="shared" si="30"/>
        <v>'3277026812630009</v>
      </c>
      <c r="D995" s="22" t="str">
        <f t="shared" si="31"/>
        <v>tidak ganda</v>
      </c>
      <c r="E995" s="22" t="s">
        <v>2376</v>
      </c>
      <c r="F995" s="22" t="s">
        <v>10</v>
      </c>
      <c r="G995" s="22" t="s">
        <v>11</v>
      </c>
      <c r="H995" s="22" t="s">
        <v>33</v>
      </c>
      <c r="I995" s="22" t="s">
        <v>2157</v>
      </c>
      <c r="J995" s="22" t="s">
        <v>2163</v>
      </c>
      <c r="K995" s="23" t="s">
        <v>2164</v>
      </c>
    </row>
    <row r="996" spans="1:14" hidden="1" x14ac:dyDescent="0.35">
      <c r="A996" s="21">
        <v>521972</v>
      </c>
      <c r="B996" s="22" t="str">
        <f>"3278080506920001"</f>
        <v>3278080506920001</v>
      </c>
      <c r="C996" s="22" t="str">
        <f t="shared" si="30"/>
        <v>'3278080506920001</v>
      </c>
      <c r="D996" s="22" t="str">
        <f t="shared" si="31"/>
        <v>ganda</v>
      </c>
      <c r="E996" s="22" t="s">
        <v>2377</v>
      </c>
      <c r="F996" s="22" t="s">
        <v>10</v>
      </c>
      <c r="G996" s="22" t="s">
        <v>11</v>
      </c>
      <c r="H996" s="22" t="s">
        <v>91</v>
      </c>
      <c r="I996" s="22" t="s">
        <v>221</v>
      </c>
      <c r="J996" s="22" t="s">
        <v>2378</v>
      </c>
      <c r="K996" s="23" t="s">
        <v>2379</v>
      </c>
    </row>
    <row r="997" spans="1:14" hidden="1" x14ac:dyDescent="0.35">
      <c r="A997" s="21">
        <v>2540705</v>
      </c>
      <c r="B997" s="22" t="str">
        <f>"3278080506920001"</f>
        <v>3278080506920001</v>
      </c>
      <c r="C997" s="22" t="str">
        <f t="shared" si="30"/>
        <v>'3278080506920001</v>
      </c>
      <c r="D997" s="22" t="str">
        <f t="shared" si="31"/>
        <v>ganda</v>
      </c>
      <c r="E997" s="22" t="s">
        <v>2380</v>
      </c>
      <c r="F997" s="22" t="s">
        <v>10</v>
      </c>
      <c r="G997" s="22" t="s">
        <v>57</v>
      </c>
      <c r="H997" s="22" t="s">
        <v>18</v>
      </c>
      <c r="I997" s="22" t="s">
        <v>19</v>
      </c>
      <c r="J997" s="22" t="s">
        <v>1394</v>
      </c>
      <c r="K997" s="23" t="s">
        <v>1395</v>
      </c>
      <c r="L997" t="e">
        <f>VLOOKUP(B997,ubah!$B$2:$L$234,4,FALSE)</f>
        <v>#N/A</v>
      </c>
      <c r="M997" t="e">
        <f>VLOOKUP(B997,ubah!$B$2:$L$234,5,FALSE)</f>
        <v>#N/A</v>
      </c>
      <c r="N997" t="e">
        <f>VLOOKUP(B997,ubah!$B$2:$L$234,6,FALSE)</f>
        <v>#N/A</v>
      </c>
    </row>
    <row r="998" spans="1:14" hidden="1" x14ac:dyDescent="0.35">
      <c r="A998" s="21">
        <v>1255703</v>
      </c>
      <c r="B998" s="22" t="str">
        <f>"3301010901810001"</f>
        <v>3301010901810001</v>
      </c>
      <c r="C998" s="22" t="str">
        <f t="shared" si="30"/>
        <v>'3301010901810001</v>
      </c>
      <c r="D998" s="22" t="str">
        <f t="shared" si="31"/>
        <v>ganda</v>
      </c>
      <c r="E998" s="22" t="s">
        <v>2381</v>
      </c>
      <c r="F998" s="22" t="s">
        <v>10</v>
      </c>
      <c r="G998" s="22" t="s">
        <v>11</v>
      </c>
      <c r="H998" s="22" t="s">
        <v>18</v>
      </c>
      <c r="I998" s="22" t="s">
        <v>264</v>
      </c>
      <c r="J998" s="22" t="s">
        <v>265</v>
      </c>
      <c r="K998" s="23" t="s">
        <v>266</v>
      </c>
    </row>
    <row r="999" spans="1:14" hidden="1" x14ac:dyDescent="0.35">
      <c r="A999" s="21">
        <v>2540847</v>
      </c>
      <c r="B999" s="22" t="str">
        <f>"3301010901810001"</f>
        <v>3301010901810001</v>
      </c>
      <c r="C999" s="22" t="str">
        <f t="shared" si="30"/>
        <v>'3301010901810001</v>
      </c>
      <c r="D999" s="22" t="str">
        <f t="shared" si="31"/>
        <v>ganda</v>
      </c>
      <c r="E999" s="22" t="s">
        <v>2382</v>
      </c>
      <c r="F999" s="22" t="s">
        <v>10</v>
      </c>
      <c r="G999" s="22" t="s">
        <v>57</v>
      </c>
      <c r="H999" s="22" t="s">
        <v>18</v>
      </c>
      <c r="I999" s="22" t="s">
        <v>19</v>
      </c>
      <c r="J999" s="22" t="s">
        <v>1394</v>
      </c>
      <c r="K999" s="23" t="s">
        <v>1395</v>
      </c>
      <c r="L999" t="e">
        <f>VLOOKUP(B999,ubah!$B$2:$L$234,4,FALSE)</f>
        <v>#N/A</v>
      </c>
      <c r="M999" t="e">
        <f>VLOOKUP(B999,ubah!$B$2:$L$234,5,FALSE)</f>
        <v>#N/A</v>
      </c>
      <c r="N999" t="e">
        <f>VLOOKUP(B999,ubah!$B$2:$L$234,6,FALSE)</f>
        <v>#N/A</v>
      </c>
    </row>
    <row r="1000" spans="1:14" hidden="1" x14ac:dyDescent="0.35">
      <c r="A1000" s="21">
        <v>2540739</v>
      </c>
      <c r="B1000" s="22" t="str">
        <f>"3301022006990003"</f>
        <v>3301022006990003</v>
      </c>
      <c r="C1000" s="22" t="str">
        <f t="shared" si="30"/>
        <v>'3301022006990003</v>
      </c>
      <c r="D1000" s="22" t="str">
        <f t="shared" si="31"/>
        <v>tidak ganda</v>
      </c>
      <c r="E1000" s="22" t="s">
        <v>2385</v>
      </c>
      <c r="F1000" s="22" t="s">
        <v>10</v>
      </c>
      <c r="G1000" s="22" t="s">
        <v>57</v>
      </c>
      <c r="H1000" s="22" t="s">
        <v>18</v>
      </c>
      <c r="I1000" s="22" t="s">
        <v>19</v>
      </c>
      <c r="J1000" s="22" t="s">
        <v>1394</v>
      </c>
      <c r="K1000" s="23" t="s">
        <v>1395</v>
      </c>
      <c r="L1000" t="e">
        <f>VLOOKUP(B1000,ubah!$B$2:$L$234,4,FALSE)</f>
        <v>#N/A</v>
      </c>
      <c r="M1000" t="e">
        <f>VLOOKUP(B1000,ubah!$B$2:$L$234,5,FALSE)</f>
        <v>#N/A</v>
      </c>
      <c r="N1000" t="e">
        <f>VLOOKUP(B1000,ubah!$B$2:$L$234,6,FALSE)</f>
        <v>#N/A</v>
      </c>
    </row>
    <row r="1001" spans="1:14" hidden="1" x14ac:dyDescent="0.35">
      <c r="A1001" s="21">
        <v>2244531</v>
      </c>
      <c r="B1001" s="22" t="str">
        <f>"3301141806970005"</f>
        <v>3301141806970005</v>
      </c>
      <c r="C1001" s="22" t="str">
        <f t="shared" si="30"/>
        <v>'3301141806970005</v>
      </c>
      <c r="D1001" s="22" t="str">
        <f t="shared" si="31"/>
        <v>ganda</v>
      </c>
      <c r="E1001" s="22" t="s">
        <v>2386</v>
      </c>
      <c r="F1001" s="22" t="s">
        <v>10</v>
      </c>
      <c r="G1001" s="22" t="s">
        <v>11</v>
      </c>
      <c r="H1001" s="22" t="s">
        <v>18</v>
      </c>
      <c r="I1001" s="22" t="s">
        <v>163</v>
      </c>
      <c r="J1001" s="22" t="s">
        <v>176</v>
      </c>
      <c r="K1001" s="23" t="s">
        <v>2315</v>
      </c>
    </row>
    <row r="1002" spans="1:14" hidden="1" x14ac:dyDescent="0.35">
      <c r="A1002" s="21">
        <v>2540838</v>
      </c>
      <c r="B1002" s="22" t="str">
        <f>"3301141806970005"</f>
        <v>3301141806970005</v>
      </c>
      <c r="C1002" s="22" t="str">
        <f t="shared" si="30"/>
        <v>'3301141806970005</v>
      </c>
      <c r="D1002" s="22" t="str">
        <f t="shared" si="31"/>
        <v>ganda</v>
      </c>
      <c r="E1002" s="22" t="s">
        <v>2387</v>
      </c>
      <c r="F1002" s="22" t="s">
        <v>10</v>
      </c>
      <c r="G1002" s="22" t="s">
        <v>57</v>
      </c>
      <c r="H1002" s="22" t="s">
        <v>18</v>
      </c>
      <c r="I1002" s="22" t="s">
        <v>19</v>
      </c>
      <c r="J1002" s="22" t="s">
        <v>1394</v>
      </c>
      <c r="K1002" s="23" t="s">
        <v>1395</v>
      </c>
      <c r="L1002" t="e">
        <f>VLOOKUP(B1002,ubah!$B$2:$L$234,4,FALSE)</f>
        <v>#N/A</v>
      </c>
      <c r="M1002" t="e">
        <f>VLOOKUP(B1002,ubah!$B$2:$L$234,5,FALSE)</f>
        <v>#N/A</v>
      </c>
      <c r="N1002" t="e">
        <f>VLOOKUP(B1002,ubah!$B$2:$L$234,6,FALSE)</f>
        <v>#N/A</v>
      </c>
    </row>
    <row r="1003" spans="1:14" hidden="1" x14ac:dyDescent="0.35">
      <c r="A1003" s="21">
        <v>270132</v>
      </c>
      <c r="B1003" s="22" t="str">
        <f>"3301252402900001"</f>
        <v>3301252402900001</v>
      </c>
      <c r="C1003" s="22" t="str">
        <f t="shared" si="30"/>
        <v>'3301252402900001</v>
      </c>
      <c r="D1003" s="22" t="str">
        <f t="shared" si="31"/>
        <v>ganda</v>
      </c>
      <c r="E1003" s="22" t="s">
        <v>2388</v>
      </c>
      <c r="F1003" s="22" t="s">
        <v>10</v>
      </c>
      <c r="G1003" s="22" t="s">
        <v>11</v>
      </c>
      <c r="H1003" s="22" t="s">
        <v>18</v>
      </c>
      <c r="I1003" s="22" t="s">
        <v>2389</v>
      </c>
      <c r="J1003" s="22" t="s">
        <v>2390</v>
      </c>
      <c r="K1003" s="23" t="s">
        <v>2391</v>
      </c>
    </row>
    <row r="1004" spans="1:14" hidden="1" x14ac:dyDescent="0.35">
      <c r="A1004" s="21">
        <v>2540734</v>
      </c>
      <c r="B1004" s="22" t="str">
        <f>"3301252402900001"</f>
        <v>3301252402900001</v>
      </c>
      <c r="C1004" s="22" t="str">
        <f t="shared" si="30"/>
        <v>'3301252402900001</v>
      </c>
      <c r="D1004" s="22" t="str">
        <f t="shared" si="31"/>
        <v>ganda</v>
      </c>
      <c r="E1004" s="22" t="s">
        <v>2392</v>
      </c>
      <c r="F1004" s="22" t="s">
        <v>10</v>
      </c>
      <c r="G1004" s="22" t="s">
        <v>57</v>
      </c>
      <c r="H1004" s="22" t="s">
        <v>18</v>
      </c>
      <c r="I1004" s="22" t="s">
        <v>19</v>
      </c>
      <c r="J1004" s="22" t="s">
        <v>1394</v>
      </c>
      <c r="K1004" s="23" t="s">
        <v>1395</v>
      </c>
      <c r="L1004" t="e">
        <f>VLOOKUP(B1004,ubah!$B$2:$L$234,4,FALSE)</f>
        <v>#N/A</v>
      </c>
      <c r="M1004" t="e">
        <f>VLOOKUP(B1004,ubah!$B$2:$L$234,5,FALSE)</f>
        <v>#N/A</v>
      </c>
      <c r="N1004" t="e">
        <f>VLOOKUP(B1004,ubah!$B$2:$L$234,6,FALSE)</f>
        <v>#N/A</v>
      </c>
    </row>
    <row r="1005" spans="1:14" hidden="1" x14ac:dyDescent="0.35">
      <c r="A1005" s="21">
        <v>24421</v>
      </c>
      <c r="B1005" s="22" t="str">
        <f>"3302142803800002"</f>
        <v>3302142803800002</v>
      </c>
      <c r="C1005" s="22" t="str">
        <f t="shared" si="30"/>
        <v>'3302142803800002</v>
      </c>
      <c r="D1005" s="22" t="str">
        <f t="shared" si="31"/>
        <v>ganda</v>
      </c>
      <c r="E1005" s="22" t="s">
        <v>2393</v>
      </c>
      <c r="F1005" s="22" t="s">
        <v>10</v>
      </c>
      <c r="G1005" s="22" t="s">
        <v>11</v>
      </c>
      <c r="H1005" s="22" t="s">
        <v>18</v>
      </c>
      <c r="I1005" s="22" t="s">
        <v>167</v>
      </c>
      <c r="J1005" s="22" t="s">
        <v>2394</v>
      </c>
      <c r="K1005" s="23" t="s">
        <v>2395</v>
      </c>
    </row>
    <row r="1006" spans="1:14" hidden="1" x14ac:dyDescent="0.35">
      <c r="A1006" s="21">
        <v>2540728</v>
      </c>
      <c r="B1006" s="22" t="str">
        <f>"3302142803800002"</f>
        <v>3302142803800002</v>
      </c>
      <c r="C1006" s="22" t="str">
        <f t="shared" si="30"/>
        <v>'3302142803800002</v>
      </c>
      <c r="D1006" s="22" t="str">
        <f t="shared" si="31"/>
        <v>ganda</v>
      </c>
      <c r="E1006" s="22" t="s">
        <v>2396</v>
      </c>
      <c r="F1006" s="22" t="s">
        <v>10</v>
      </c>
      <c r="G1006" s="22" t="s">
        <v>57</v>
      </c>
      <c r="H1006" s="22" t="s">
        <v>18</v>
      </c>
      <c r="I1006" s="22" t="s">
        <v>19</v>
      </c>
      <c r="J1006" s="22" t="s">
        <v>1394</v>
      </c>
      <c r="K1006" s="23" t="s">
        <v>1395</v>
      </c>
      <c r="L1006" t="e">
        <f>VLOOKUP(B1006,ubah!$B$2:$L$234,4,FALSE)</f>
        <v>#N/A</v>
      </c>
      <c r="M1006" t="e">
        <f>VLOOKUP(B1006,ubah!$B$2:$L$234,5,FALSE)</f>
        <v>#N/A</v>
      </c>
      <c r="N1006" t="e">
        <f>VLOOKUP(B1006,ubah!$B$2:$L$234,6,FALSE)</f>
        <v>#N/A</v>
      </c>
    </row>
    <row r="1007" spans="1:14" hidden="1" x14ac:dyDescent="0.35">
      <c r="A1007" s="21">
        <v>1106434</v>
      </c>
      <c r="B1007" s="22" t="str">
        <f>"3302200303920005"</f>
        <v>3302200303920005</v>
      </c>
      <c r="C1007" s="22" t="str">
        <f t="shared" si="30"/>
        <v>'3302200303920005</v>
      </c>
      <c r="D1007" s="22" t="str">
        <f t="shared" si="31"/>
        <v>ganda</v>
      </c>
      <c r="E1007" s="22" t="s">
        <v>2397</v>
      </c>
      <c r="F1007" s="22" t="s">
        <v>10</v>
      </c>
      <c r="G1007" s="22" t="s">
        <v>11</v>
      </c>
      <c r="H1007" s="22" t="s">
        <v>18</v>
      </c>
      <c r="I1007" s="22" t="s">
        <v>167</v>
      </c>
      <c r="J1007" s="22" t="s">
        <v>2398</v>
      </c>
      <c r="K1007" s="23" t="s">
        <v>2399</v>
      </c>
    </row>
    <row r="1008" spans="1:14" hidden="1" x14ac:dyDescent="0.35">
      <c r="A1008" s="21">
        <v>2540661</v>
      </c>
      <c r="B1008" s="22" t="str">
        <f>"3302200303920005"</f>
        <v>3302200303920005</v>
      </c>
      <c r="C1008" s="22" t="str">
        <f t="shared" si="30"/>
        <v>'3302200303920005</v>
      </c>
      <c r="D1008" s="22" t="str">
        <f t="shared" si="31"/>
        <v>ganda</v>
      </c>
      <c r="E1008" s="22" t="s">
        <v>2400</v>
      </c>
      <c r="F1008" s="22" t="s">
        <v>10</v>
      </c>
      <c r="G1008" s="22" t="s">
        <v>57</v>
      </c>
      <c r="H1008" s="22" t="s">
        <v>18</v>
      </c>
      <c r="I1008" s="22" t="s">
        <v>19</v>
      </c>
      <c r="J1008" s="22" t="s">
        <v>1394</v>
      </c>
      <c r="K1008" s="23" t="s">
        <v>1395</v>
      </c>
      <c r="L1008" t="e">
        <f>VLOOKUP(B1008,ubah!$B$2:$L$234,4,FALSE)</f>
        <v>#N/A</v>
      </c>
      <c r="M1008" t="e">
        <f>VLOOKUP(B1008,ubah!$B$2:$L$234,5,FALSE)</f>
        <v>#N/A</v>
      </c>
      <c r="N1008" t="e">
        <f>VLOOKUP(B1008,ubah!$B$2:$L$234,6,FALSE)</f>
        <v>#N/A</v>
      </c>
    </row>
    <row r="1009" spans="1:14" hidden="1" x14ac:dyDescent="0.35">
      <c r="A1009" s="21">
        <v>1367965</v>
      </c>
      <c r="B1009" s="22" t="str">
        <f>"3303050112790001"</f>
        <v>3303050112790001</v>
      </c>
      <c r="C1009" s="22" t="str">
        <f t="shared" si="30"/>
        <v>'3303050112790001</v>
      </c>
      <c r="D1009" s="22" t="str">
        <f t="shared" si="31"/>
        <v>ganda</v>
      </c>
      <c r="E1009" s="22" t="s">
        <v>2401</v>
      </c>
      <c r="F1009" s="22" t="s">
        <v>10</v>
      </c>
      <c r="G1009" s="22" t="s">
        <v>11</v>
      </c>
      <c r="H1009" s="22" t="s">
        <v>18</v>
      </c>
      <c r="I1009" s="22" t="s">
        <v>167</v>
      </c>
      <c r="J1009" s="22" t="s">
        <v>2402</v>
      </c>
      <c r="K1009" s="23" t="s">
        <v>2403</v>
      </c>
    </row>
    <row r="1010" spans="1:14" hidden="1" x14ac:dyDescent="0.35">
      <c r="A1010" s="21">
        <v>2540785</v>
      </c>
      <c r="B1010" s="22" t="str">
        <f>"3303050112790001"</f>
        <v>3303050112790001</v>
      </c>
      <c r="C1010" s="22" t="str">
        <f t="shared" si="30"/>
        <v>'3303050112790001</v>
      </c>
      <c r="D1010" s="22" t="str">
        <f t="shared" si="31"/>
        <v>ganda</v>
      </c>
      <c r="E1010" s="22" t="s">
        <v>2401</v>
      </c>
      <c r="F1010" s="22" t="s">
        <v>10</v>
      </c>
      <c r="G1010" s="22" t="s">
        <v>57</v>
      </c>
      <c r="H1010" s="22" t="s">
        <v>18</v>
      </c>
      <c r="I1010" s="22" t="s">
        <v>19</v>
      </c>
      <c r="J1010" s="22" t="s">
        <v>1394</v>
      </c>
      <c r="K1010" s="23" t="s">
        <v>1395</v>
      </c>
      <c r="L1010" t="e">
        <f>VLOOKUP(B1010,ubah!$B$2:$L$234,4,FALSE)</f>
        <v>#N/A</v>
      </c>
      <c r="M1010" t="e">
        <f>VLOOKUP(B1010,ubah!$B$2:$L$234,5,FALSE)</f>
        <v>#N/A</v>
      </c>
      <c r="N1010" t="e">
        <f>VLOOKUP(B1010,ubah!$B$2:$L$234,6,FALSE)</f>
        <v>#N/A</v>
      </c>
    </row>
    <row r="1011" spans="1:14" hidden="1" x14ac:dyDescent="0.35">
      <c r="A1011" s="21">
        <v>1805011</v>
      </c>
      <c r="B1011" s="22" t="str">
        <f>"3305122706960007"</f>
        <v>3305122706960007</v>
      </c>
      <c r="C1011" s="22" t="str">
        <f t="shared" si="30"/>
        <v>'3305122706960007</v>
      </c>
      <c r="D1011" s="22" t="str">
        <f t="shared" si="31"/>
        <v>tidak ganda</v>
      </c>
      <c r="E1011" s="22" t="s">
        <v>2404</v>
      </c>
      <c r="F1011" s="22" t="s">
        <v>10</v>
      </c>
      <c r="G1011" s="22" t="s">
        <v>11</v>
      </c>
      <c r="H1011" s="22" t="s">
        <v>18</v>
      </c>
      <c r="I1011" s="22" t="s">
        <v>19</v>
      </c>
      <c r="J1011" s="22" t="s">
        <v>1394</v>
      </c>
      <c r="K1011" s="23" t="s">
        <v>2212</v>
      </c>
      <c r="L1011" t="e">
        <f>VLOOKUP(B1011,ubah!$B$2:$L$234,4,FALSE)</f>
        <v>#N/A</v>
      </c>
      <c r="M1011" t="e">
        <f>VLOOKUP(B1011,ubah!$B$2:$L$234,5,FALSE)</f>
        <v>#N/A</v>
      </c>
      <c r="N1011" t="e">
        <f>VLOOKUP(B1011,ubah!$B$2:$L$234,6,FALSE)</f>
        <v>#N/A</v>
      </c>
    </row>
    <row r="1012" spans="1:14" hidden="1" x14ac:dyDescent="0.35">
      <c r="A1012" s="21">
        <v>920714</v>
      </c>
      <c r="B1012" s="22" t="str">
        <f>"3306042912900001"</f>
        <v>3306042912900001</v>
      </c>
      <c r="C1012" s="22" t="str">
        <f t="shared" si="30"/>
        <v>'3306042912900001</v>
      </c>
      <c r="D1012" s="22" t="str">
        <f t="shared" si="31"/>
        <v>ganda</v>
      </c>
      <c r="E1012" s="22" t="s">
        <v>2406</v>
      </c>
      <c r="F1012" s="22" t="s">
        <v>10</v>
      </c>
      <c r="G1012" s="22" t="s">
        <v>11</v>
      </c>
      <c r="H1012" s="22" t="s">
        <v>18</v>
      </c>
      <c r="I1012" s="22" t="s">
        <v>1920</v>
      </c>
      <c r="J1012" s="22" t="s">
        <v>2407</v>
      </c>
      <c r="K1012" s="23" t="s">
        <v>2408</v>
      </c>
    </row>
    <row r="1013" spans="1:14" hidden="1" x14ac:dyDescent="0.35">
      <c r="A1013" s="21">
        <v>2540919</v>
      </c>
      <c r="B1013" s="22" t="str">
        <f>"3306042912900001"</f>
        <v>3306042912900001</v>
      </c>
      <c r="C1013" s="22" t="str">
        <f t="shared" si="30"/>
        <v>'3306042912900001</v>
      </c>
      <c r="D1013" s="22" t="str">
        <f t="shared" si="31"/>
        <v>ganda</v>
      </c>
      <c r="E1013" s="22" t="s">
        <v>2406</v>
      </c>
      <c r="F1013" s="22" t="s">
        <v>10</v>
      </c>
      <c r="G1013" s="22" t="s">
        <v>57</v>
      </c>
      <c r="H1013" s="22" t="s">
        <v>18</v>
      </c>
      <c r="I1013" s="22" t="s">
        <v>19</v>
      </c>
      <c r="J1013" s="22" t="s">
        <v>1394</v>
      </c>
      <c r="K1013" s="23" t="s">
        <v>1395</v>
      </c>
      <c r="L1013" t="e">
        <f>VLOOKUP(B1013,ubah!$B$2:$L$234,4,FALSE)</f>
        <v>#N/A</v>
      </c>
      <c r="M1013" t="e">
        <f>VLOOKUP(B1013,ubah!$B$2:$L$234,5,FALSE)</f>
        <v>#N/A</v>
      </c>
      <c r="N1013" t="e">
        <f>VLOOKUP(B1013,ubah!$B$2:$L$234,6,FALSE)</f>
        <v>#N/A</v>
      </c>
    </row>
    <row r="1014" spans="1:14" hidden="1" x14ac:dyDescent="0.35">
      <c r="A1014" s="21">
        <v>902555</v>
      </c>
      <c r="B1014" s="22" t="str">
        <f>"3306102804850001"</f>
        <v>3306102804850001</v>
      </c>
      <c r="C1014" s="22" t="str">
        <f t="shared" si="30"/>
        <v>'3306102804850001</v>
      </c>
      <c r="D1014" s="22" t="str">
        <f t="shared" si="31"/>
        <v>ganda</v>
      </c>
      <c r="E1014" s="22" t="s">
        <v>1367</v>
      </c>
      <c r="F1014" s="22" t="s">
        <v>10</v>
      </c>
      <c r="G1014" s="22" t="s">
        <v>11</v>
      </c>
      <c r="H1014" s="22" t="s">
        <v>18</v>
      </c>
      <c r="I1014" s="22" t="s">
        <v>1920</v>
      </c>
      <c r="J1014" s="22" t="s">
        <v>1388</v>
      </c>
      <c r="K1014" s="23" t="s">
        <v>1388</v>
      </c>
    </row>
    <row r="1015" spans="1:14" hidden="1" x14ac:dyDescent="0.35">
      <c r="A1015" s="21">
        <v>2540749</v>
      </c>
      <c r="B1015" s="22" t="str">
        <f>"3306102804850001"</f>
        <v>3306102804850001</v>
      </c>
      <c r="C1015" s="22" t="str">
        <f t="shared" si="30"/>
        <v>'3306102804850001</v>
      </c>
      <c r="D1015" s="22" t="str">
        <f t="shared" si="31"/>
        <v>ganda</v>
      </c>
      <c r="E1015" s="22" t="s">
        <v>2409</v>
      </c>
      <c r="F1015" s="22" t="s">
        <v>10</v>
      </c>
      <c r="G1015" s="22" t="s">
        <v>57</v>
      </c>
      <c r="H1015" s="22" t="s">
        <v>18</v>
      </c>
      <c r="I1015" s="22" t="s">
        <v>19</v>
      </c>
      <c r="J1015" s="22" t="s">
        <v>1394</v>
      </c>
      <c r="K1015" s="23" t="s">
        <v>1395</v>
      </c>
      <c r="L1015" t="e">
        <f>VLOOKUP(B1015,ubah!$B$2:$L$234,4,FALSE)</f>
        <v>#N/A</v>
      </c>
      <c r="M1015" t="e">
        <f>VLOOKUP(B1015,ubah!$B$2:$L$234,5,FALSE)</f>
        <v>#N/A</v>
      </c>
      <c r="N1015" t="e">
        <f>VLOOKUP(B1015,ubah!$B$2:$L$234,6,FALSE)</f>
        <v>#N/A</v>
      </c>
    </row>
    <row r="1016" spans="1:14" hidden="1" x14ac:dyDescent="0.35">
      <c r="A1016" s="21">
        <v>1203808</v>
      </c>
      <c r="B1016" s="22" t="str">
        <f>"3306111207990001"</f>
        <v>3306111207990001</v>
      </c>
      <c r="C1016" s="22" t="str">
        <f t="shared" si="30"/>
        <v>'3306111207990001</v>
      </c>
      <c r="D1016" s="22" t="str">
        <f t="shared" si="31"/>
        <v>ganda</v>
      </c>
      <c r="E1016" s="22" t="s">
        <v>2410</v>
      </c>
      <c r="F1016" s="22" t="s">
        <v>10</v>
      </c>
      <c r="G1016" s="22" t="s">
        <v>11</v>
      </c>
      <c r="H1016" s="22" t="s">
        <v>18</v>
      </c>
      <c r="I1016" s="22" t="s">
        <v>1920</v>
      </c>
      <c r="J1016" s="22" t="s">
        <v>1921</v>
      </c>
      <c r="K1016" s="23" t="s">
        <v>1921</v>
      </c>
    </row>
    <row r="1017" spans="1:14" hidden="1" x14ac:dyDescent="0.35">
      <c r="A1017" s="21">
        <v>2540922</v>
      </c>
      <c r="B1017" s="22" t="str">
        <f>"3306111207990001"</f>
        <v>3306111207990001</v>
      </c>
      <c r="C1017" s="22" t="str">
        <f t="shared" si="30"/>
        <v>'3306111207990001</v>
      </c>
      <c r="D1017" s="22" t="str">
        <f t="shared" si="31"/>
        <v>ganda</v>
      </c>
      <c r="E1017" s="22" t="s">
        <v>2410</v>
      </c>
      <c r="F1017" s="22" t="s">
        <v>10</v>
      </c>
      <c r="G1017" s="22" t="s">
        <v>57</v>
      </c>
      <c r="H1017" s="22" t="s">
        <v>18</v>
      </c>
      <c r="I1017" s="22" t="s">
        <v>19</v>
      </c>
      <c r="J1017" s="22" t="s">
        <v>1394</v>
      </c>
      <c r="K1017" s="23" t="s">
        <v>1395</v>
      </c>
      <c r="L1017" t="e">
        <f>VLOOKUP(B1017,ubah!$B$2:$L$234,4,FALSE)</f>
        <v>#N/A</v>
      </c>
      <c r="M1017" t="e">
        <f>VLOOKUP(B1017,ubah!$B$2:$L$234,5,FALSE)</f>
        <v>#N/A</v>
      </c>
      <c r="N1017" t="e">
        <f>VLOOKUP(B1017,ubah!$B$2:$L$234,6,FALSE)</f>
        <v>#N/A</v>
      </c>
    </row>
    <row r="1018" spans="1:14" hidden="1" x14ac:dyDescent="0.35">
      <c r="A1018" s="21">
        <v>2540783</v>
      </c>
      <c r="B1018" s="22" t="str">
        <f>"3309071608969002"</f>
        <v>3309071608969002</v>
      </c>
      <c r="C1018" s="22" t="str">
        <f t="shared" si="30"/>
        <v>'3309071608969002</v>
      </c>
      <c r="D1018" s="22" t="str">
        <f t="shared" si="31"/>
        <v>ganda</v>
      </c>
      <c r="E1018" s="22" t="s">
        <v>2411</v>
      </c>
      <c r="F1018" s="22" t="s">
        <v>10</v>
      </c>
      <c r="G1018" s="22" t="s">
        <v>57</v>
      </c>
      <c r="H1018" s="22" t="s">
        <v>18</v>
      </c>
      <c r="I1018" s="22" t="s">
        <v>19</v>
      </c>
      <c r="J1018" s="22" t="s">
        <v>1394</v>
      </c>
      <c r="K1018" s="23" t="s">
        <v>1395</v>
      </c>
      <c r="L1018" t="e">
        <f>VLOOKUP(B1018,ubah!$B$2:$L$234,4,FALSE)</f>
        <v>#N/A</v>
      </c>
      <c r="M1018" t="e">
        <f>VLOOKUP(B1018,ubah!$B$2:$L$234,5,FALSE)</f>
        <v>#N/A</v>
      </c>
      <c r="N1018" t="e">
        <f>VLOOKUP(B1018,ubah!$B$2:$L$234,6,FALSE)</f>
        <v>#N/A</v>
      </c>
    </row>
    <row r="1019" spans="1:14" hidden="1" x14ac:dyDescent="0.35">
      <c r="A1019" s="21">
        <v>687378</v>
      </c>
      <c r="B1019" s="22" t="str">
        <f>"3309071608969002"</f>
        <v>3309071608969002</v>
      </c>
      <c r="C1019" s="22" t="str">
        <f t="shared" si="30"/>
        <v>'3309071608969002</v>
      </c>
      <c r="D1019" s="22" t="str">
        <f t="shared" si="31"/>
        <v>ganda</v>
      </c>
      <c r="E1019" s="22" t="s">
        <v>2412</v>
      </c>
      <c r="F1019" s="22" t="s">
        <v>10</v>
      </c>
      <c r="G1019" s="22" t="s">
        <v>57</v>
      </c>
      <c r="H1019" s="22" t="s">
        <v>18</v>
      </c>
      <c r="I1019" s="22" t="s">
        <v>190</v>
      </c>
      <c r="J1019" s="22" t="s">
        <v>190</v>
      </c>
      <c r="K1019" s="23" t="s">
        <v>2413</v>
      </c>
    </row>
    <row r="1020" spans="1:14" hidden="1" x14ac:dyDescent="0.35">
      <c r="A1020" s="21">
        <v>2540914</v>
      </c>
      <c r="B1020" s="22" t="str">
        <f>"3311102210800004"</f>
        <v>3311102210800004</v>
      </c>
      <c r="C1020" s="22" t="str">
        <f t="shared" si="30"/>
        <v>'3311102210800004</v>
      </c>
      <c r="D1020" s="22" t="str">
        <f t="shared" si="31"/>
        <v>ganda</v>
      </c>
      <c r="E1020" s="22" t="s">
        <v>2414</v>
      </c>
      <c r="F1020" s="22" t="s">
        <v>10</v>
      </c>
      <c r="G1020" s="22" t="s">
        <v>57</v>
      </c>
      <c r="H1020" s="22" t="s">
        <v>18</v>
      </c>
      <c r="I1020" s="22" t="s">
        <v>19</v>
      </c>
      <c r="J1020" s="22" t="s">
        <v>1394</v>
      </c>
      <c r="K1020" s="23" t="s">
        <v>1395</v>
      </c>
      <c r="L1020" t="e">
        <f>VLOOKUP(B1020,ubah!$B$2:$L$234,4,FALSE)</f>
        <v>#N/A</v>
      </c>
      <c r="M1020" t="e">
        <f>VLOOKUP(B1020,ubah!$B$2:$L$234,5,FALSE)</f>
        <v>#N/A</v>
      </c>
      <c r="N1020" t="e">
        <f>VLOOKUP(B1020,ubah!$B$2:$L$234,6,FALSE)</f>
        <v>#N/A</v>
      </c>
    </row>
    <row r="1021" spans="1:14" hidden="1" x14ac:dyDescent="0.35">
      <c r="A1021" s="21">
        <v>687450</v>
      </c>
      <c r="B1021" s="22" t="str">
        <f>"3311102210800004"</f>
        <v>3311102210800004</v>
      </c>
      <c r="C1021" s="22" t="str">
        <f t="shared" si="30"/>
        <v>'3311102210800004</v>
      </c>
      <c r="D1021" s="22" t="str">
        <f t="shared" si="31"/>
        <v>ganda</v>
      </c>
      <c r="E1021" s="22" t="s">
        <v>2414</v>
      </c>
      <c r="F1021" s="22" t="s">
        <v>10</v>
      </c>
      <c r="G1021" s="22" t="s">
        <v>57</v>
      </c>
      <c r="H1021" s="22" t="s">
        <v>18</v>
      </c>
      <c r="I1021" s="22" t="s">
        <v>190</v>
      </c>
      <c r="J1021" s="22" t="s">
        <v>190</v>
      </c>
      <c r="K1021" s="23" t="s">
        <v>2413</v>
      </c>
    </row>
    <row r="1022" spans="1:14" hidden="1" x14ac:dyDescent="0.35">
      <c r="A1022" s="21">
        <v>1812124</v>
      </c>
      <c r="B1022" s="22" t="str">
        <f>"3316125112620001"</f>
        <v>3316125112620001</v>
      </c>
      <c r="C1022" s="22" t="str">
        <f t="shared" si="30"/>
        <v>'3316125112620001</v>
      </c>
      <c r="D1022" s="22" t="str">
        <f t="shared" si="31"/>
        <v>tidak ganda</v>
      </c>
      <c r="E1022" s="22" t="s">
        <v>2415</v>
      </c>
      <c r="F1022" s="22" t="s">
        <v>10</v>
      </c>
      <c r="G1022" s="22" t="s">
        <v>11</v>
      </c>
      <c r="H1022" s="22" t="s">
        <v>18</v>
      </c>
      <c r="I1022" s="22" t="s">
        <v>19</v>
      </c>
      <c r="J1022" s="22" t="s">
        <v>1394</v>
      </c>
      <c r="K1022" s="23" t="s">
        <v>2212</v>
      </c>
      <c r="L1022" t="e">
        <f>VLOOKUP(B1022,ubah!$B$2:$L$234,4,FALSE)</f>
        <v>#N/A</v>
      </c>
      <c r="M1022" t="e">
        <f>VLOOKUP(B1022,ubah!$B$2:$L$234,5,FALSE)</f>
        <v>#N/A</v>
      </c>
      <c r="N1022" t="e">
        <f>VLOOKUP(B1022,ubah!$B$2:$L$234,6,FALSE)</f>
        <v>#N/A</v>
      </c>
    </row>
    <row r="1023" spans="1:14" hidden="1" x14ac:dyDescent="0.35">
      <c r="A1023" s="21">
        <v>702023</v>
      </c>
      <c r="B1023" s="22" t="str">
        <f>"3316162306710001"</f>
        <v>3316162306710001</v>
      </c>
      <c r="C1023" s="22" t="str">
        <f t="shared" si="30"/>
        <v>'3316162306710001</v>
      </c>
      <c r="D1023" s="22" t="str">
        <f t="shared" si="31"/>
        <v>ganda</v>
      </c>
      <c r="E1023" s="22" t="s">
        <v>245</v>
      </c>
      <c r="F1023" s="22" t="s">
        <v>10</v>
      </c>
      <c r="G1023" s="22" t="s">
        <v>11</v>
      </c>
      <c r="H1023" s="22" t="s">
        <v>18</v>
      </c>
      <c r="I1023" s="22" t="s">
        <v>2416</v>
      </c>
      <c r="J1023" s="22" t="s">
        <v>2419</v>
      </c>
      <c r="K1023" s="23" t="s">
        <v>2420</v>
      </c>
    </row>
    <row r="1024" spans="1:14" hidden="1" x14ac:dyDescent="0.35">
      <c r="A1024" s="21">
        <v>2540809</v>
      </c>
      <c r="B1024" s="22" t="str">
        <f>"3316162306710001"</f>
        <v>3316162306710001</v>
      </c>
      <c r="C1024" s="22" t="str">
        <f t="shared" si="30"/>
        <v>'3316162306710001</v>
      </c>
      <c r="D1024" s="22" t="str">
        <f t="shared" si="31"/>
        <v>ganda</v>
      </c>
      <c r="E1024" s="22" t="s">
        <v>2421</v>
      </c>
      <c r="F1024" s="22" t="s">
        <v>10</v>
      </c>
      <c r="G1024" s="22" t="s">
        <v>57</v>
      </c>
      <c r="H1024" s="22" t="s">
        <v>18</v>
      </c>
      <c r="I1024" s="22" t="s">
        <v>19</v>
      </c>
      <c r="J1024" s="22" t="s">
        <v>1394</v>
      </c>
      <c r="K1024" s="23" t="s">
        <v>1395</v>
      </c>
      <c r="L1024" t="e">
        <f>VLOOKUP(B1024,ubah!$B$2:$L$234,4,FALSE)</f>
        <v>#N/A</v>
      </c>
      <c r="M1024" t="e">
        <f>VLOOKUP(B1024,ubah!$B$2:$L$234,5,FALSE)</f>
        <v>#N/A</v>
      </c>
      <c r="N1024" t="e">
        <f>VLOOKUP(B1024,ubah!$B$2:$L$234,6,FALSE)</f>
        <v>#N/A</v>
      </c>
    </row>
    <row r="1025" spans="1:14" hidden="1" x14ac:dyDescent="0.35">
      <c r="A1025" s="21">
        <v>1840013</v>
      </c>
      <c r="B1025" s="22" t="str">
        <f>"3318046411970003"</f>
        <v>3318046411970003</v>
      </c>
      <c r="C1025" s="22" t="str">
        <f t="shared" si="30"/>
        <v>'3318046411970003</v>
      </c>
      <c r="D1025" s="22" t="str">
        <f t="shared" si="31"/>
        <v>tidak ganda</v>
      </c>
      <c r="E1025" s="22" t="s">
        <v>2422</v>
      </c>
      <c r="F1025" s="22" t="s">
        <v>10</v>
      </c>
      <c r="G1025" s="22" t="s">
        <v>11</v>
      </c>
      <c r="H1025" s="22" t="s">
        <v>18</v>
      </c>
      <c r="I1025" s="22" t="s">
        <v>19</v>
      </c>
      <c r="J1025" s="22" t="s">
        <v>1394</v>
      </c>
      <c r="K1025" s="23" t="s">
        <v>674</v>
      </c>
      <c r="L1025" t="e">
        <f>VLOOKUP(B1025,ubah!$B$2:$L$234,4,FALSE)</f>
        <v>#N/A</v>
      </c>
      <c r="M1025" t="e">
        <f>VLOOKUP(B1025,ubah!$B$2:$L$234,5,FALSE)</f>
        <v>#N/A</v>
      </c>
      <c r="N1025" t="e">
        <f>VLOOKUP(B1025,ubah!$B$2:$L$234,6,FALSE)</f>
        <v>#N/A</v>
      </c>
    </row>
    <row r="1026" spans="1:14" hidden="1" x14ac:dyDescent="0.35">
      <c r="A1026" s="21">
        <v>2540828</v>
      </c>
      <c r="B1026" s="22" t="str">
        <f>"3318090102970003"</f>
        <v>3318090102970003</v>
      </c>
      <c r="C1026" s="22" t="str">
        <f t="shared" si="30"/>
        <v>'3318090102970003</v>
      </c>
      <c r="D1026" s="22" t="str">
        <f t="shared" si="31"/>
        <v>tidak ganda</v>
      </c>
      <c r="E1026" s="22" t="s">
        <v>2429</v>
      </c>
      <c r="F1026" s="22" t="s">
        <v>10</v>
      </c>
      <c r="G1026" s="22" t="s">
        <v>57</v>
      </c>
      <c r="H1026" s="22" t="s">
        <v>18</v>
      </c>
      <c r="I1026" s="22" t="s">
        <v>19</v>
      </c>
      <c r="J1026" s="22" t="s">
        <v>1394</v>
      </c>
      <c r="K1026" s="23" t="s">
        <v>1395</v>
      </c>
      <c r="L1026" t="e">
        <f>VLOOKUP(B1026,ubah!$B$2:$L$234,4,FALSE)</f>
        <v>#N/A</v>
      </c>
      <c r="M1026" t="e">
        <f>VLOOKUP(B1026,ubah!$B$2:$L$234,5,FALSE)</f>
        <v>#N/A</v>
      </c>
      <c r="N1026" t="e">
        <f>VLOOKUP(B1026,ubah!$B$2:$L$234,6,FALSE)</f>
        <v>#N/A</v>
      </c>
    </row>
    <row r="1027" spans="1:14" hidden="1" x14ac:dyDescent="0.35">
      <c r="A1027" s="21">
        <v>375001</v>
      </c>
      <c r="B1027" s="22" t="str">
        <f>"3318211107780001"</f>
        <v>3318211107780001</v>
      </c>
      <c r="C1027" s="22" t="str">
        <f t="shared" ref="C1027:C1090" si="32">"'"&amp;B1027</f>
        <v>'3318211107780001</v>
      </c>
      <c r="D1027" s="22" t="str">
        <f t="shared" ref="D1027:D1090" si="33">IF(COUNTIF($C:$C,C1027)&gt;1,"ganda","tidak ganda")</f>
        <v>ganda</v>
      </c>
      <c r="E1027" s="22" t="s">
        <v>2430</v>
      </c>
      <c r="F1027" s="22" t="s">
        <v>10</v>
      </c>
      <c r="G1027" s="22" t="s">
        <v>11</v>
      </c>
      <c r="H1027" s="22" t="s">
        <v>18</v>
      </c>
      <c r="I1027" s="22" t="s">
        <v>1787</v>
      </c>
      <c r="J1027" s="22" t="s">
        <v>2431</v>
      </c>
      <c r="K1027" s="23" t="s">
        <v>2431</v>
      </c>
    </row>
    <row r="1028" spans="1:14" hidden="1" x14ac:dyDescent="0.35">
      <c r="A1028" s="21">
        <v>2540674</v>
      </c>
      <c r="B1028" s="22" t="str">
        <f>"3318211107780001"</f>
        <v>3318211107780001</v>
      </c>
      <c r="C1028" s="22" t="str">
        <f t="shared" si="32"/>
        <v>'3318211107780001</v>
      </c>
      <c r="D1028" s="22" t="str">
        <f t="shared" si="33"/>
        <v>ganda</v>
      </c>
      <c r="E1028" s="22" t="s">
        <v>2432</v>
      </c>
      <c r="F1028" s="22" t="s">
        <v>10</v>
      </c>
      <c r="G1028" s="22" t="s">
        <v>57</v>
      </c>
      <c r="H1028" s="22" t="s">
        <v>18</v>
      </c>
      <c r="I1028" s="22" t="s">
        <v>19</v>
      </c>
      <c r="J1028" s="22" t="s">
        <v>1394</v>
      </c>
      <c r="K1028" s="23" t="s">
        <v>1395</v>
      </c>
      <c r="L1028" t="e">
        <f>VLOOKUP(B1028,ubah!$B$2:$L$234,4,FALSE)</f>
        <v>#N/A</v>
      </c>
      <c r="M1028" t="e">
        <f>VLOOKUP(B1028,ubah!$B$2:$L$234,5,FALSE)</f>
        <v>#N/A</v>
      </c>
      <c r="N1028" t="e">
        <f>VLOOKUP(B1028,ubah!$B$2:$L$234,6,FALSE)</f>
        <v>#N/A</v>
      </c>
    </row>
    <row r="1029" spans="1:14" hidden="1" x14ac:dyDescent="0.35">
      <c r="A1029" s="21">
        <v>1285129</v>
      </c>
      <c r="B1029" s="22" t="str">
        <f>"3319021912910004"</f>
        <v>3319021912910004</v>
      </c>
      <c r="C1029" s="22" t="str">
        <f t="shared" si="32"/>
        <v>'3319021912910004</v>
      </c>
      <c r="D1029" s="22" t="str">
        <f t="shared" si="33"/>
        <v>ganda</v>
      </c>
      <c r="E1029" s="22" t="s">
        <v>2433</v>
      </c>
      <c r="F1029" s="22" t="s">
        <v>10</v>
      </c>
      <c r="G1029" s="22" t="s">
        <v>11</v>
      </c>
      <c r="H1029" s="22" t="s">
        <v>18</v>
      </c>
      <c r="I1029" s="22" t="s">
        <v>2434</v>
      </c>
      <c r="J1029" s="22" t="s">
        <v>2435</v>
      </c>
      <c r="K1029" s="23" t="s">
        <v>2436</v>
      </c>
    </row>
    <row r="1030" spans="1:14" hidden="1" x14ac:dyDescent="0.35">
      <c r="A1030" s="21">
        <v>2540746</v>
      </c>
      <c r="B1030" s="22" t="str">
        <f>"3319021912910004"</f>
        <v>3319021912910004</v>
      </c>
      <c r="C1030" s="22" t="str">
        <f t="shared" si="32"/>
        <v>'3319021912910004</v>
      </c>
      <c r="D1030" s="22" t="str">
        <f t="shared" si="33"/>
        <v>ganda</v>
      </c>
      <c r="E1030" s="22" t="s">
        <v>2437</v>
      </c>
      <c r="F1030" s="22" t="s">
        <v>10</v>
      </c>
      <c r="G1030" s="22" t="s">
        <v>57</v>
      </c>
      <c r="H1030" s="22" t="s">
        <v>18</v>
      </c>
      <c r="I1030" s="22" t="s">
        <v>19</v>
      </c>
      <c r="J1030" s="22" t="s">
        <v>1394</v>
      </c>
      <c r="K1030" s="23" t="s">
        <v>1395</v>
      </c>
      <c r="L1030" t="e">
        <f>VLOOKUP(B1030,ubah!$B$2:$L$234,4,FALSE)</f>
        <v>#N/A</v>
      </c>
      <c r="M1030" t="e">
        <f>VLOOKUP(B1030,ubah!$B$2:$L$234,5,FALSE)</f>
        <v>#N/A</v>
      </c>
      <c r="N1030" t="e">
        <f>VLOOKUP(B1030,ubah!$B$2:$L$234,6,FALSE)</f>
        <v>#N/A</v>
      </c>
    </row>
    <row r="1031" spans="1:14" hidden="1" x14ac:dyDescent="0.35">
      <c r="A1031" s="21">
        <v>782516</v>
      </c>
      <c r="B1031" s="22" t="str">
        <f>"3319070810670001"</f>
        <v>3319070810670001</v>
      </c>
      <c r="C1031" s="22" t="str">
        <f t="shared" si="32"/>
        <v>'3319070810670001</v>
      </c>
      <c r="D1031" s="22" t="str">
        <f t="shared" si="33"/>
        <v>ganda</v>
      </c>
      <c r="E1031" s="22" t="s">
        <v>2438</v>
      </c>
      <c r="F1031" s="22" t="s">
        <v>10</v>
      </c>
      <c r="G1031" s="22" t="s">
        <v>11</v>
      </c>
      <c r="H1031" s="22" t="s">
        <v>18</v>
      </c>
      <c r="I1031" s="22" t="s">
        <v>2434</v>
      </c>
      <c r="J1031" s="22" t="s">
        <v>2439</v>
      </c>
      <c r="K1031" s="23" t="s">
        <v>2440</v>
      </c>
    </row>
    <row r="1032" spans="1:14" hidden="1" x14ac:dyDescent="0.35">
      <c r="A1032" s="21">
        <v>2540694</v>
      </c>
      <c r="B1032" s="22" t="str">
        <f>"3319070810670001"</f>
        <v>3319070810670001</v>
      </c>
      <c r="C1032" s="22" t="str">
        <f t="shared" si="32"/>
        <v>'3319070810670001</v>
      </c>
      <c r="D1032" s="22" t="str">
        <f t="shared" si="33"/>
        <v>ganda</v>
      </c>
      <c r="E1032" s="22" t="s">
        <v>2441</v>
      </c>
      <c r="F1032" s="22" t="s">
        <v>10</v>
      </c>
      <c r="G1032" s="22" t="s">
        <v>57</v>
      </c>
      <c r="H1032" s="22" t="s">
        <v>18</v>
      </c>
      <c r="I1032" s="22" t="s">
        <v>19</v>
      </c>
      <c r="J1032" s="22" t="s">
        <v>1394</v>
      </c>
      <c r="K1032" s="23" t="s">
        <v>1395</v>
      </c>
      <c r="L1032" t="e">
        <f>VLOOKUP(B1032,ubah!$B$2:$L$234,4,FALSE)</f>
        <v>#N/A</v>
      </c>
      <c r="M1032" t="e">
        <f>VLOOKUP(B1032,ubah!$B$2:$L$234,5,FALSE)</f>
        <v>#N/A</v>
      </c>
      <c r="N1032" t="e">
        <f>VLOOKUP(B1032,ubah!$B$2:$L$234,6,FALSE)</f>
        <v>#N/A</v>
      </c>
    </row>
    <row r="1033" spans="1:14" hidden="1" x14ac:dyDescent="0.35">
      <c r="A1033" s="21">
        <v>1017091</v>
      </c>
      <c r="B1033" s="22" t="str">
        <f>"3321042502850002"</f>
        <v>3321042502850002</v>
      </c>
      <c r="C1033" s="22" t="str">
        <f t="shared" si="32"/>
        <v>'3321042502850002</v>
      </c>
      <c r="D1033" s="22" t="str">
        <f t="shared" si="33"/>
        <v>ganda</v>
      </c>
      <c r="E1033" s="22" t="s">
        <v>2442</v>
      </c>
      <c r="F1033" s="22" t="s">
        <v>10</v>
      </c>
      <c r="G1033" s="22" t="s">
        <v>11</v>
      </c>
      <c r="H1033" s="22" t="s">
        <v>18</v>
      </c>
      <c r="I1033" s="22" t="s">
        <v>184</v>
      </c>
      <c r="J1033" s="22" t="s">
        <v>185</v>
      </c>
      <c r="K1033" s="23" t="s">
        <v>2443</v>
      </c>
    </row>
    <row r="1034" spans="1:14" hidden="1" x14ac:dyDescent="0.35">
      <c r="A1034" s="21">
        <v>2540812</v>
      </c>
      <c r="B1034" s="22" t="str">
        <f>"3321042502850002"</f>
        <v>3321042502850002</v>
      </c>
      <c r="C1034" s="22" t="str">
        <f t="shared" si="32"/>
        <v>'3321042502850002</v>
      </c>
      <c r="D1034" s="22" t="str">
        <f t="shared" si="33"/>
        <v>ganda</v>
      </c>
      <c r="E1034" s="22" t="s">
        <v>2444</v>
      </c>
      <c r="F1034" s="22" t="s">
        <v>10</v>
      </c>
      <c r="G1034" s="22" t="s">
        <v>57</v>
      </c>
      <c r="H1034" s="22" t="s">
        <v>18</v>
      </c>
      <c r="I1034" s="22" t="s">
        <v>19</v>
      </c>
      <c r="J1034" s="22" t="s">
        <v>1394</v>
      </c>
      <c r="K1034" s="23" t="s">
        <v>1395</v>
      </c>
      <c r="L1034" t="e">
        <f>VLOOKUP(B1034,ubah!$B$2:$L$234,4,FALSE)</f>
        <v>#N/A</v>
      </c>
      <c r="M1034" t="e">
        <f>VLOOKUP(B1034,ubah!$B$2:$L$234,5,FALSE)</f>
        <v>#N/A</v>
      </c>
      <c r="N1034" t="e">
        <f>VLOOKUP(B1034,ubah!$B$2:$L$234,6,FALSE)</f>
        <v>#N/A</v>
      </c>
    </row>
    <row r="1035" spans="1:14" x14ac:dyDescent="0.35">
      <c r="A1035" s="13">
        <v>2540686</v>
      </c>
      <c r="B1035" s="14" t="str">
        <f>"3325111701940001"</f>
        <v>3325111701940001</v>
      </c>
      <c r="C1035" s="14" t="str">
        <f t="shared" si="32"/>
        <v>'3325111701940001</v>
      </c>
      <c r="D1035" s="14" t="str">
        <f t="shared" si="33"/>
        <v>tidak ganda</v>
      </c>
      <c r="E1035" s="14" t="s">
        <v>2445</v>
      </c>
      <c r="F1035" s="14" t="s">
        <v>10</v>
      </c>
      <c r="G1035" s="14" t="s">
        <v>57</v>
      </c>
      <c r="H1035" s="14" t="s">
        <v>18</v>
      </c>
      <c r="I1035" s="14" t="s">
        <v>19</v>
      </c>
      <c r="J1035" s="14" t="s">
        <v>1394</v>
      </c>
      <c r="K1035" s="15" t="s">
        <v>1395</v>
      </c>
      <c r="L1035" s="16" t="str">
        <f>VLOOKUP(B1035,ubah!$B$2:$L$234,4,FALSE)</f>
        <v>Reguler</v>
      </c>
      <c r="M1035" s="16" t="str">
        <f>VLOOKUP(B1035,ubah!$B$2:$L$234,5,FALSE)</f>
        <v>JAWA TENGAH</v>
      </c>
      <c r="N1035" s="16" t="str">
        <f>VLOOKUP(B1035,ubah!$B$2:$L$234,6,FALSE)</f>
        <v>BATANG</v>
      </c>
    </row>
    <row r="1036" spans="1:14" x14ac:dyDescent="0.35">
      <c r="A1036" s="13">
        <v>2540872</v>
      </c>
      <c r="B1036" s="14" t="str">
        <f>"3325112104910003"</f>
        <v>3325112104910003</v>
      </c>
      <c r="C1036" s="14" t="str">
        <f t="shared" si="32"/>
        <v>'3325112104910003</v>
      </c>
      <c r="D1036" s="14" t="str">
        <f t="shared" si="33"/>
        <v>tidak ganda</v>
      </c>
      <c r="E1036" s="14" t="s">
        <v>2447</v>
      </c>
      <c r="F1036" s="14" t="s">
        <v>10</v>
      </c>
      <c r="G1036" s="14" t="s">
        <v>57</v>
      </c>
      <c r="H1036" s="14" t="s">
        <v>18</v>
      </c>
      <c r="I1036" s="14" t="s">
        <v>19</v>
      </c>
      <c r="J1036" s="14" t="s">
        <v>1394</v>
      </c>
      <c r="K1036" s="15" t="s">
        <v>1395</v>
      </c>
      <c r="L1036" s="16" t="str">
        <f>VLOOKUP(B1036,ubah!$B$2:$L$234,4,FALSE)</f>
        <v>Reguler</v>
      </c>
      <c r="M1036" s="16" t="str">
        <f>VLOOKUP(B1036,ubah!$B$2:$L$234,5,FALSE)</f>
        <v>JAWA TENGAH</v>
      </c>
      <c r="N1036" s="16" t="str">
        <f>VLOOKUP(B1036,ubah!$B$2:$L$234,6,FALSE)</f>
        <v>BATANG</v>
      </c>
    </row>
    <row r="1037" spans="1:14" x14ac:dyDescent="0.35">
      <c r="A1037" s="13">
        <v>2540744</v>
      </c>
      <c r="B1037" s="14" t="str">
        <f>"3325112108970021"</f>
        <v>3325112108970021</v>
      </c>
      <c r="C1037" s="14" t="str">
        <f t="shared" si="32"/>
        <v>'3325112108970021</v>
      </c>
      <c r="D1037" s="14" t="str">
        <f t="shared" si="33"/>
        <v>tidak ganda</v>
      </c>
      <c r="E1037" s="14" t="s">
        <v>2449</v>
      </c>
      <c r="F1037" s="14" t="s">
        <v>10</v>
      </c>
      <c r="G1037" s="14" t="s">
        <v>57</v>
      </c>
      <c r="H1037" s="14" t="s">
        <v>18</v>
      </c>
      <c r="I1037" s="14" t="s">
        <v>19</v>
      </c>
      <c r="J1037" s="14" t="s">
        <v>1394</v>
      </c>
      <c r="K1037" s="15" t="s">
        <v>1395</v>
      </c>
      <c r="L1037" s="16" t="str">
        <f>VLOOKUP(B1037,ubah!$B$2:$L$234,4,FALSE)</f>
        <v>Reguler</v>
      </c>
      <c r="M1037" s="16" t="str">
        <f>VLOOKUP(B1037,ubah!$B$2:$L$234,5,FALSE)</f>
        <v>JAWA TENGAH</v>
      </c>
      <c r="N1037" s="16" t="str">
        <f>VLOOKUP(B1037,ubah!$B$2:$L$234,6,FALSE)</f>
        <v>BATANG</v>
      </c>
    </row>
    <row r="1038" spans="1:14" x14ac:dyDescent="0.35">
      <c r="A1038" s="13">
        <v>2540740</v>
      </c>
      <c r="B1038" s="14" t="str">
        <f>"3325112509950005"</f>
        <v>3325112509950005</v>
      </c>
      <c r="C1038" s="14" t="str">
        <f t="shared" si="32"/>
        <v>'3325112509950005</v>
      </c>
      <c r="D1038" s="14" t="str">
        <f t="shared" si="33"/>
        <v>tidak ganda</v>
      </c>
      <c r="E1038" s="14" t="s">
        <v>2452</v>
      </c>
      <c r="F1038" s="14" t="s">
        <v>10</v>
      </c>
      <c r="G1038" s="14" t="s">
        <v>57</v>
      </c>
      <c r="H1038" s="14" t="s">
        <v>18</v>
      </c>
      <c r="I1038" s="14" t="s">
        <v>19</v>
      </c>
      <c r="J1038" s="14" t="s">
        <v>1394</v>
      </c>
      <c r="K1038" s="15" t="s">
        <v>1395</v>
      </c>
      <c r="L1038" s="16" t="str">
        <f>VLOOKUP(B1038,ubah!$B$2:$L$234,4,FALSE)</f>
        <v>Reguler</v>
      </c>
      <c r="M1038" s="16" t="str">
        <f>VLOOKUP(B1038,ubah!$B$2:$L$234,5,FALSE)</f>
        <v>JAWA TENGAH</v>
      </c>
      <c r="N1038" s="16" t="str">
        <f>VLOOKUP(B1038,ubah!$B$2:$L$234,6,FALSE)</f>
        <v>BATANG</v>
      </c>
    </row>
    <row r="1039" spans="1:14" x14ac:dyDescent="0.35">
      <c r="A1039" s="13">
        <v>2540664</v>
      </c>
      <c r="B1039" s="14" t="str">
        <f>"3325112912790005"</f>
        <v>3325112912790005</v>
      </c>
      <c r="C1039" s="14" t="str">
        <f t="shared" si="32"/>
        <v>'3325112912790005</v>
      </c>
      <c r="D1039" s="14" t="str">
        <f t="shared" si="33"/>
        <v>tidak ganda</v>
      </c>
      <c r="E1039" s="14" t="s">
        <v>2455</v>
      </c>
      <c r="F1039" s="14" t="s">
        <v>10</v>
      </c>
      <c r="G1039" s="14" t="s">
        <v>57</v>
      </c>
      <c r="H1039" s="14" t="s">
        <v>18</v>
      </c>
      <c r="I1039" s="14" t="s">
        <v>19</v>
      </c>
      <c r="J1039" s="14" t="s">
        <v>1394</v>
      </c>
      <c r="K1039" s="15" t="s">
        <v>1395</v>
      </c>
      <c r="L1039" s="16" t="str">
        <f>VLOOKUP(B1039,ubah!$B$2:$L$234,4,FALSE)</f>
        <v>Reguler</v>
      </c>
      <c r="M1039" s="16" t="str">
        <f>VLOOKUP(B1039,ubah!$B$2:$L$234,5,FALSE)</f>
        <v>JAWA TENGAH</v>
      </c>
      <c r="N1039" s="16" t="str">
        <f>VLOOKUP(B1039,ubah!$B$2:$L$234,6,FALSE)</f>
        <v>BATANG</v>
      </c>
    </row>
    <row r="1040" spans="1:14" x14ac:dyDescent="0.35">
      <c r="A1040" s="13">
        <v>2540738</v>
      </c>
      <c r="B1040" s="14" t="str">
        <f>"3325113004970008"</f>
        <v>3325113004970008</v>
      </c>
      <c r="C1040" s="14" t="str">
        <f t="shared" si="32"/>
        <v>'3325113004970008</v>
      </c>
      <c r="D1040" s="14" t="str">
        <f t="shared" si="33"/>
        <v>tidak ganda</v>
      </c>
      <c r="E1040" s="14" t="s">
        <v>2458</v>
      </c>
      <c r="F1040" s="14" t="s">
        <v>10</v>
      </c>
      <c r="G1040" s="14" t="s">
        <v>57</v>
      </c>
      <c r="H1040" s="14" t="s">
        <v>18</v>
      </c>
      <c r="I1040" s="14" t="s">
        <v>19</v>
      </c>
      <c r="J1040" s="14" t="s">
        <v>1394</v>
      </c>
      <c r="K1040" s="15" t="s">
        <v>1395</v>
      </c>
      <c r="L1040" s="16" t="str">
        <f>VLOOKUP(B1040,ubah!$B$2:$L$234,4,FALSE)</f>
        <v>Reguler</v>
      </c>
      <c r="M1040" s="16" t="str">
        <f>VLOOKUP(B1040,ubah!$B$2:$L$234,5,FALSE)</f>
        <v>JAWA TENGAH</v>
      </c>
      <c r="N1040" s="16" t="str">
        <f>VLOOKUP(B1040,ubah!$B$2:$L$234,6,FALSE)</f>
        <v>BATANG</v>
      </c>
    </row>
    <row r="1041" spans="1:14" hidden="1" x14ac:dyDescent="0.35">
      <c r="A1041" s="21">
        <v>1174983</v>
      </c>
      <c r="B1041" s="22" t="str">
        <f>"3326012404900001"</f>
        <v>3326012404900001</v>
      </c>
      <c r="C1041" s="22" t="str">
        <f t="shared" si="32"/>
        <v>'3326012404900001</v>
      </c>
      <c r="D1041" s="22" t="str">
        <f t="shared" si="33"/>
        <v>ganda</v>
      </c>
      <c r="E1041" s="22" t="s">
        <v>2461</v>
      </c>
      <c r="F1041" s="22" t="s">
        <v>10</v>
      </c>
      <c r="G1041" s="22" t="s">
        <v>11</v>
      </c>
      <c r="H1041" s="22" t="s">
        <v>18</v>
      </c>
      <c r="I1041" s="22" t="s">
        <v>195</v>
      </c>
      <c r="J1041" s="22" t="s">
        <v>2462</v>
      </c>
      <c r="K1041" s="23" t="s">
        <v>2463</v>
      </c>
    </row>
    <row r="1042" spans="1:14" hidden="1" x14ac:dyDescent="0.35">
      <c r="A1042" s="21">
        <v>2540735</v>
      </c>
      <c r="B1042" s="22" t="str">
        <f>"3326012404900001"</f>
        <v>3326012404900001</v>
      </c>
      <c r="C1042" s="22" t="str">
        <f t="shared" si="32"/>
        <v>'3326012404900001</v>
      </c>
      <c r="D1042" s="22" t="str">
        <f t="shared" si="33"/>
        <v>ganda</v>
      </c>
      <c r="E1042" s="22" t="s">
        <v>2464</v>
      </c>
      <c r="F1042" s="22" t="s">
        <v>10</v>
      </c>
      <c r="G1042" s="22" t="s">
        <v>57</v>
      </c>
      <c r="H1042" s="22" t="s">
        <v>18</v>
      </c>
      <c r="I1042" s="22" t="s">
        <v>19</v>
      </c>
      <c r="J1042" s="22" t="s">
        <v>1394</v>
      </c>
      <c r="K1042" s="23" t="s">
        <v>1395</v>
      </c>
      <c r="L1042" t="e">
        <f>VLOOKUP(B1042,ubah!$B$2:$L$234,4,FALSE)</f>
        <v>#N/A</v>
      </c>
      <c r="M1042" t="e">
        <f>VLOOKUP(B1042,ubah!$B$2:$L$234,5,FALSE)</f>
        <v>#N/A</v>
      </c>
      <c r="N1042" t="e">
        <f>VLOOKUP(B1042,ubah!$B$2:$L$234,6,FALSE)</f>
        <v>#N/A</v>
      </c>
    </row>
    <row r="1043" spans="1:14" hidden="1" x14ac:dyDescent="0.35">
      <c r="A1043" s="21">
        <v>1110846</v>
      </c>
      <c r="B1043" s="22" t="str">
        <f>"3326110110600001"</f>
        <v>3326110110600001</v>
      </c>
      <c r="C1043" s="22" t="str">
        <f t="shared" si="32"/>
        <v>'3326110110600001</v>
      </c>
      <c r="D1043" s="22" t="str">
        <f t="shared" si="33"/>
        <v>ganda</v>
      </c>
      <c r="E1043" s="22" t="s">
        <v>2467</v>
      </c>
      <c r="F1043" s="22" t="s">
        <v>10</v>
      </c>
      <c r="G1043" s="22" t="s">
        <v>11</v>
      </c>
      <c r="H1043" s="22" t="s">
        <v>18</v>
      </c>
      <c r="I1043" s="22" t="s">
        <v>195</v>
      </c>
      <c r="J1043" s="22" t="s">
        <v>906</v>
      </c>
      <c r="K1043" s="23" t="s">
        <v>2468</v>
      </c>
    </row>
    <row r="1044" spans="1:14" hidden="1" x14ac:dyDescent="0.35">
      <c r="A1044" s="21">
        <v>2540764</v>
      </c>
      <c r="B1044" s="22" t="str">
        <f>"3326110110600001"</f>
        <v>3326110110600001</v>
      </c>
      <c r="C1044" s="22" t="str">
        <f t="shared" si="32"/>
        <v>'3326110110600001</v>
      </c>
      <c r="D1044" s="22" t="str">
        <f t="shared" si="33"/>
        <v>ganda</v>
      </c>
      <c r="E1044" s="22" t="s">
        <v>2469</v>
      </c>
      <c r="F1044" s="22" t="s">
        <v>10</v>
      </c>
      <c r="G1044" s="22" t="s">
        <v>57</v>
      </c>
      <c r="H1044" s="22" t="s">
        <v>18</v>
      </c>
      <c r="I1044" s="22" t="s">
        <v>19</v>
      </c>
      <c r="J1044" s="22" t="s">
        <v>1394</v>
      </c>
      <c r="K1044" s="23" t="s">
        <v>1395</v>
      </c>
      <c r="L1044" t="e">
        <f>VLOOKUP(B1044,ubah!$B$2:$L$234,4,FALSE)</f>
        <v>#N/A</v>
      </c>
      <c r="M1044" t="e">
        <f>VLOOKUP(B1044,ubah!$B$2:$L$234,5,FALSE)</f>
        <v>#N/A</v>
      </c>
      <c r="N1044" t="e">
        <f>VLOOKUP(B1044,ubah!$B$2:$L$234,6,FALSE)</f>
        <v>#N/A</v>
      </c>
    </row>
    <row r="1045" spans="1:14" hidden="1" x14ac:dyDescent="0.35">
      <c r="A1045" s="21">
        <v>1184884</v>
      </c>
      <c r="B1045" s="22" t="str">
        <f>"3326112112700001"</f>
        <v>3326112112700001</v>
      </c>
      <c r="C1045" s="22" t="str">
        <f t="shared" si="32"/>
        <v>'3326112112700001</v>
      </c>
      <c r="D1045" s="22" t="str">
        <f t="shared" si="33"/>
        <v>ganda</v>
      </c>
      <c r="E1045" s="22" t="s">
        <v>2470</v>
      </c>
      <c r="F1045" s="22" t="s">
        <v>10</v>
      </c>
      <c r="G1045" s="22" t="s">
        <v>11</v>
      </c>
      <c r="H1045" s="22" t="s">
        <v>18</v>
      </c>
      <c r="I1045" s="22" t="s">
        <v>195</v>
      </c>
      <c r="J1045" s="22" t="s">
        <v>906</v>
      </c>
      <c r="K1045" s="23" t="s">
        <v>2471</v>
      </c>
    </row>
    <row r="1046" spans="1:14" hidden="1" x14ac:dyDescent="0.35">
      <c r="A1046" s="21">
        <v>2540811</v>
      </c>
      <c r="B1046" s="22" t="str">
        <f>"3326112112700001"</f>
        <v>3326112112700001</v>
      </c>
      <c r="C1046" s="22" t="str">
        <f t="shared" si="32"/>
        <v>'3326112112700001</v>
      </c>
      <c r="D1046" s="22" t="str">
        <f t="shared" si="33"/>
        <v>ganda</v>
      </c>
      <c r="E1046" s="22" t="s">
        <v>2472</v>
      </c>
      <c r="F1046" s="22" t="s">
        <v>10</v>
      </c>
      <c r="G1046" s="22" t="s">
        <v>57</v>
      </c>
      <c r="H1046" s="22" t="s">
        <v>18</v>
      </c>
      <c r="I1046" s="22" t="s">
        <v>19</v>
      </c>
      <c r="J1046" s="22" t="s">
        <v>1394</v>
      </c>
      <c r="K1046" s="23" t="s">
        <v>1395</v>
      </c>
      <c r="L1046" t="e">
        <f>VLOOKUP(B1046,ubah!$B$2:$L$234,4,FALSE)</f>
        <v>#N/A</v>
      </c>
      <c r="M1046" t="e">
        <f>VLOOKUP(B1046,ubah!$B$2:$L$234,5,FALSE)</f>
        <v>#N/A</v>
      </c>
      <c r="N1046" t="e">
        <f>VLOOKUP(B1046,ubah!$B$2:$L$234,6,FALSE)</f>
        <v>#N/A</v>
      </c>
    </row>
    <row r="1047" spans="1:14" hidden="1" x14ac:dyDescent="0.35">
      <c r="A1047" s="21">
        <v>975205</v>
      </c>
      <c r="B1047" s="22" t="str">
        <f>"3326131509660021"</f>
        <v>3326131509660021</v>
      </c>
      <c r="C1047" s="22" t="str">
        <f t="shared" si="32"/>
        <v>'3326131509660021</v>
      </c>
      <c r="D1047" s="22" t="str">
        <f t="shared" si="33"/>
        <v>ganda</v>
      </c>
      <c r="E1047" s="22" t="s">
        <v>2473</v>
      </c>
      <c r="F1047" s="22" t="s">
        <v>10</v>
      </c>
      <c r="G1047" s="22" t="s">
        <v>11</v>
      </c>
      <c r="H1047" s="22" t="s">
        <v>18</v>
      </c>
      <c r="I1047" s="22" t="s">
        <v>195</v>
      </c>
      <c r="J1047" s="22" t="s">
        <v>1434</v>
      </c>
      <c r="K1047" s="23" t="s">
        <v>2474</v>
      </c>
    </row>
    <row r="1048" spans="1:14" hidden="1" x14ac:dyDescent="0.35">
      <c r="A1048" s="21">
        <v>2540696</v>
      </c>
      <c r="B1048" s="22" t="str">
        <f>"3326131509660021"</f>
        <v>3326131509660021</v>
      </c>
      <c r="C1048" s="22" t="str">
        <f t="shared" si="32"/>
        <v>'3326131509660021</v>
      </c>
      <c r="D1048" s="22" t="str">
        <f t="shared" si="33"/>
        <v>ganda</v>
      </c>
      <c r="E1048" s="22" t="s">
        <v>2475</v>
      </c>
      <c r="F1048" s="22" t="s">
        <v>10</v>
      </c>
      <c r="G1048" s="22" t="s">
        <v>57</v>
      </c>
      <c r="H1048" s="22" t="s">
        <v>18</v>
      </c>
      <c r="I1048" s="22" t="s">
        <v>19</v>
      </c>
      <c r="J1048" s="22" t="s">
        <v>1394</v>
      </c>
      <c r="K1048" s="23" t="s">
        <v>1395</v>
      </c>
      <c r="L1048" t="e">
        <f>VLOOKUP(B1048,ubah!$B$2:$L$234,4,FALSE)</f>
        <v>#N/A</v>
      </c>
      <c r="M1048" t="e">
        <f>VLOOKUP(B1048,ubah!$B$2:$L$234,5,FALSE)</f>
        <v>#N/A</v>
      </c>
      <c r="N1048" t="e">
        <f>VLOOKUP(B1048,ubah!$B$2:$L$234,6,FALSE)</f>
        <v>#N/A</v>
      </c>
    </row>
    <row r="1049" spans="1:14" hidden="1" x14ac:dyDescent="0.35">
      <c r="A1049" s="21">
        <v>985782</v>
      </c>
      <c r="B1049" s="22" t="str">
        <f>"3326131903860063"</f>
        <v>3326131903860063</v>
      </c>
      <c r="C1049" s="22" t="str">
        <f t="shared" si="32"/>
        <v>'3326131903860063</v>
      </c>
      <c r="D1049" s="22" t="str">
        <f t="shared" si="33"/>
        <v>ganda</v>
      </c>
      <c r="E1049" s="22" t="s">
        <v>2476</v>
      </c>
      <c r="F1049" s="22" t="s">
        <v>10</v>
      </c>
      <c r="G1049" s="22" t="s">
        <v>11</v>
      </c>
      <c r="H1049" s="22" t="s">
        <v>18</v>
      </c>
      <c r="I1049" s="22" t="s">
        <v>195</v>
      </c>
      <c r="J1049" s="22" t="s">
        <v>1434</v>
      </c>
      <c r="K1049" s="23" t="s">
        <v>2477</v>
      </c>
    </row>
    <row r="1050" spans="1:14" hidden="1" x14ac:dyDescent="0.35">
      <c r="A1050" s="21">
        <v>2540881</v>
      </c>
      <c r="B1050" s="22" t="str">
        <f>"3326131903860063"</f>
        <v>3326131903860063</v>
      </c>
      <c r="C1050" s="22" t="str">
        <f t="shared" si="32"/>
        <v>'3326131903860063</v>
      </c>
      <c r="D1050" s="22" t="str">
        <f t="shared" si="33"/>
        <v>ganda</v>
      </c>
      <c r="E1050" s="22" t="s">
        <v>2478</v>
      </c>
      <c r="F1050" s="22" t="s">
        <v>10</v>
      </c>
      <c r="G1050" s="22" t="s">
        <v>57</v>
      </c>
      <c r="H1050" s="22" t="s">
        <v>18</v>
      </c>
      <c r="I1050" s="22" t="s">
        <v>19</v>
      </c>
      <c r="J1050" s="22" t="s">
        <v>1394</v>
      </c>
      <c r="K1050" s="23" t="s">
        <v>1395</v>
      </c>
      <c r="L1050" t="e">
        <f>VLOOKUP(B1050,ubah!$B$2:$L$234,4,FALSE)</f>
        <v>#N/A</v>
      </c>
      <c r="M1050" t="e">
        <f>VLOOKUP(B1050,ubah!$B$2:$L$234,5,FALSE)</f>
        <v>#N/A</v>
      </c>
      <c r="N1050" t="e">
        <f>VLOOKUP(B1050,ubah!$B$2:$L$234,6,FALSE)</f>
        <v>#N/A</v>
      </c>
    </row>
    <row r="1051" spans="1:14" hidden="1" x14ac:dyDescent="0.35">
      <c r="A1051" s="21">
        <v>2540680</v>
      </c>
      <c r="B1051" s="22" t="str">
        <f>"3326132210910003"</f>
        <v>3326132210910003</v>
      </c>
      <c r="C1051" s="22" t="str">
        <f t="shared" si="32"/>
        <v>'3326132210910003</v>
      </c>
      <c r="D1051" s="22" t="str">
        <f t="shared" si="33"/>
        <v>tidak ganda</v>
      </c>
      <c r="E1051" s="22" t="s">
        <v>2479</v>
      </c>
      <c r="F1051" s="22" t="s">
        <v>10</v>
      </c>
      <c r="G1051" s="22" t="s">
        <v>57</v>
      </c>
      <c r="H1051" s="22" t="s">
        <v>18</v>
      </c>
      <c r="I1051" s="22" t="s">
        <v>19</v>
      </c>
      <c r="J1051" s="22" t="s">
        <v>1394</v>
      </c>
      <c r="K1051" s="23" t="s">
        <v>1395</v>
      </c>
      <c r="L1051" t="e">
        <f>VLOOKUP(B1051,ubah!$B$2:$L$234,4,FALSE)</f>
        <v>#N/A</v>
      </c>
      <c r="M1051" t="e">
        <f>VLOOKUP(B1051,ubah!$B$2:$L$234,5,FALSE)</f>
        <v>#N/A</v>
      </c>
      <c r="N1051" t="e">
        <f>VLOOKUP(B1051,ubah!$B$2:$L$234,6,FALSE)</f>
        <v>#N/A</v>
      </c>
    </row>
    <row r="1052" spans="1:14" hidden="1" x14ac:dyDescent="0.35">
      <c r="A1052" s="21">
        <v>1003513</v>
      </c>
      <c r="B1052" s="22" t="str">
        <f>"3326141212930001"</f>
        <v>3326141212930001</v>
      </c>
      <c r="C1052" s="22" t="str">
        <f t="shared" si="32"/>
        <v>'3326141212930001</v>
      </c>
      <c r="D1052" s="22" t="str">
        <f t="shared" si="33"/>
        <v>ganda</v>
      </c>
      <c r="E1052" s="22" t="s">
        <v>2481</v>
      </c>
      <c r="F1052" s="22" t="s">
        <v>10</v>
      </c>
      <c r="G1052" s="22" t="s">
        <v>11</v>
      </c>
      <c r="H1052" s="22" t="s">
        <v>18</v>
      </c>
      <c r="I1052" s="22" t="s">
        <v>195</v>
      </c>
      <c r="J1052" s="22" t="s">
        <v>470</v>
      </c>
      <c r="K1052" s="23" t="s">
        <v>2482</v>
      </c>
    </row>
    <row r="1053" spans="1:14" hidden="1" x14ac:dyDescent="0.35">
      <c r="A1053" s="21">
        <v>2540799</v>
      </c>
      <c r="B1053" s="22" t="str">
        <f>"3326141212930001"</f>
        <v>3326141212930001</v>
      </c>
      <c r="C1053" s="22" t="str">
        <f t="shared" si="32"/>
        <v>'3326141212930001</v>
      </c>
      <c r="D1053" s="22" t="str">
        <f t="shared" si="33"/>
        <v>ganda</v>
      </c>
      <c r="E1053" s="22" t="s">
        <v>2483</v>
      </c>
      <c r="F1053" s="22" t="s">
        <v>10</v>
      </c>
      <c r="G1053" s="22" t="s">
        <v>57</v>
      </c>
      <c r="H1053" s="22" t="s">
        <v>18</v>
      </c>
      <c r="I1053" s="22" t="s">
        <v>19</v>
      </c>
      <c r="J1053" s="22" t="s">
        <v>1394</v>
      </c>
      <c r="K1053" s="23" t="s">
        <v>1395</v>
      </c>
      <c r="L1053" t="e">
        <f>VLOOKUP(B1053,ubah!$B$2:$L$234,4,FALSE)</f>
        <v>#N/A</v>
      </c>
      <c r="M1053" t="e">
        <f>VLOOKUP(B1053,ubah!$B$2:$L$234,5,FALSE)</f>
        <v>#N/A</v>
      </c>
      <c r="N1053" t="e">
        <f>VLOOKUP(B1053,ubah!$B$2:$L$234,6,FALSE)</f>
        <v>#N/A</v>
      </c>
    </row>
    <row r="1054" spans="1:14" hidden="1" x14ac:dyDescent="0.35">
      <c r="A1054" s="21">
        <v>1040491</v>
      </c>
      <c r="B1054" s="22" t="str">
        <f>"3326141605980002"</f>
        <v>3326141605980002</v>
      </c>
      <c r="C1054" s="22" t="str">
        <f t="shared" si="32"/>
        <v>'3326141605980002</v>
      </c>
      <c r="D1054" s="22" t="str">
        <f t="shared" si="33"/>
        <v>ganda</v>
      </c>
      <c r="E1054" s="22" t="s">
        <v>2484</v>
      </c>
      <c r="F1054" s="22" t="s">
        <v>10</v>
      </c>
      <c r="G1054" s="22" t="s">
        <v>11</v>
      </c>
      <c r="H1054" s="22" t="s">
        <v>18</v>
      </c>
      <c r="I1054" s="22" t="s">
        <v>195</v>
      </c>
      <c r="J1054" s="22" t="s">
        <v>470</v>
      </c>
      <c r="K1054" s="23" t="s">
        <v>2485</v>
      </c>
    </row>
    <row r="1055" spans="1:14" hidden="1" x14ac:dyDescent="0.35">
      <c r="A1055" s="21">
        <v>2540668</v>
      </c>
      <c r="B1055" s="22" t="str">
        <f>"3326141605980002"</f>
        <v>3326141605980002</v>
      </c>
      <c r="C1055" s="22" t="str">
        <f t="shared" si="32"/>
        <v>'3326141605980002</v>
      </c>
      <c r="D1055" s="22" t="str">
        <f t="shared" si="33"/>
        <v>ganda</v>
      </c>
      <c r="E1055" s="22" t="s">
        <v>2486</v>
      </c>
      <c r="F1055" s="22" t="s">
        <v>10</v>
      </c>
      <c r="G1055" s="22" t="s">
        <v>57</v>
      </c>
      <c r="H1055" s="22" t="s">
        <v>18</v>
      </c>
      <c r="I1055" s="22" t="s">
        <v>19</v>
      </c>
      <c r="J1055" s="22" t="s">
        <v>1394</v>
      </c>
      <c r="K1055" s="23" t="s">
        <v>1395</v>
      </c>
      <c r="L1055" t="e">
        <f>VLOOKUP(B1055,ubah!$B$2:$L$234,4,FALSE)</f>
        <v>#N/A</v>
      </c>
      <c r="M1055" t="e">
        <f>VLOOKUP(B1055,ubah!$B$2:$L$234,5,FALSE)</f>
        <v>#N/A</v>
      </c>
      <c r="N1055" t="e">
        <f>VLOOKUP(B1055,ubah!$B$2:$L$234,6,FALSE)</f>
        <v>#N/A</v>
      </c>
    </row>
    <row r="1056" spans="1:14" hidden="1" x14ac:dyDescent="0.35">
      <c r="A1056" s="21">
        <v>1001814</v>
      </c>
      <c r="B1056" s="22" t="str">
        <f>"3326142111820001"</f>
        <v>3326142111820001</v>
      </c>
      <c r="C1056" s="22" t="str">
        <f t="shared" si="32"/>
        <v>'3326142111820001</v>
      </c>
      <c r="D1056" s="22" t="str">
        <f t="shared" si="33"/>
        <v>ganda</v>
      </c>
      <c r="E1056" s="22" t="s">
        <v>2487</v>
      </c>
      <c r="F1056" s="22" t="s">
        <v>10</v>
      </c>
      <c r="G1056" s="22" t="s">
        <v>11</v>
      </c>
      <c r="H1056" s="22" t="s">
        <v>18</v>
      </c>
      <c r="I1056" s="22" t="s">
        <v>195</v>
      </c>
      <c r="J1056" s="22" t="s">
        <v>470</v>
      </c>
      <c r="K1056" s="23" t="s">
        <v>2482</v>
      </c>
    </row>
    <row r="1057" spans="1:14" hidden="1" x14ac:dyDescent="0.35">
      <c r="A1057" s="21">
        <v>2540657</v>
      </c>
      <c r="B1057" s="22" t="str">
        <f>"3326142111820001"</f>
        <v>3326142111820001</v>
      </c>
      <c r="C1057" s="22" t="str">
        <f t="shared" si="32"/>
        <v>'3326142111820001</v>
      </c>
      <c r="D1057" s="22" t="str">
        <f t="shared" si="33"/>
        <v>ganda</v>
      </c>
      <c r="E1057" s="22" t="s">
        <v>2488</v>
      </c>
      <c r="F1057" s="22" t="s">
        <v>10</v>
      </c>
      <c r="G1057" s="22" t="s">
        <v>57</v>
      </c>
      <c r="H1057" s="22" t="s">
        <v>18</v>
      </c>
      <c r="I1057" s="22" t="s">
        <v>19</v>
      </c>
      <c r="J1057" s="22" t="s">
        <v>1394</v>
      </c>
      <c r="K1057" s="23" t="s">
        <v>1395</v>
      </c>
      <c r="L1057" t="e">
        <f>VLOOKUP(B1057,ubah!$B$2:$L$234,4,FALSE)</f>
        <v>#N/A</v>
      </c>
      <c r="M1057" t="e">
        <f>VLOOKUP(B1057,ubah!$B$2:$L$234,5,FALSE)</f>
        <v>#N/A</v>
      </c>
      <c r="N1057" t="e">
        <f>VLOOKUP(B1057,ubah!$B$2:$L$234,6,FALSE)</f>
        <v>#N/A</v>
      </c>
    </row>
    <row r="1058" spans="1:14" hidden="1" x14ac:dyDescent="0.35">
      <c r="A1058" s="21">
        <v>1028807</v>
      </c>
      <c r="B1058" s="22" t="str">
        <f>"3326160810970021"</f>
        <v>3326160810970021</v>
      </c>
      <c r="C1058" s="22" t="str">
        <f t="shared" si="32"/>
        <v>'3326160810970021</v>
      </c>
      <c r="D1058" s="22" t="str">
        <f t="shared" si="33"/>
        <v>ganda</v>
      </c>
      <c r="E1058" s="22" t="s">
        <v>2489</v>
      </c>
      <c r="F1058" s="22" t="s">
        <v>10</v>
      </c>
      <c r="G1058" s="22" t="s">
        <v>11</v>
      </c>
      <c r="H1058" s="22" t="s">
        <v>18</v>
      </c>
      <c r="I1058" s="22" t="s">
        <v>962</v>
      </c>
      <c r="J1058" s="22" t="s">
        <v>2490</v>
      </c>
      <c r="K1058" s="23" t="s">
        <v>2491</v>
      </c>
    </row>
    <row r="1059" spans="1:14" hidden="1" x14ac:dyDescent="0.35">
      <c r="A1059" s="21">
        <v>2540731</v>
      </c>
      <c r="B1059" s="22" t="str">
        <f>"3326160810970021"</f>
        <v>3326160810970021</v>
      </c>
      <c r="C1059" s="22" t="str">
        <f t="shared" si="32"/>
        <v>'3326160810970021</v>
      </c>
      <c r="D1059" s="22" t="str">
        <f t="shared" si="33"/>
        <v>ganda</v>
      </c>
      <c r="E1059" s="22" t="s">
        <v>2492</v>
      </c>
      <c r="F1059" s="22" t="s">
        <v>10</v>
      </c>
      <c r="G1059" s="22" t="s">
        <v>57</v>
      </c>
      <c r="H1059" s="22" t="s">
        <v>18</v>
      </c>
      <c r="I1059" s="22" t="s">
        <v>19</v>
      </c>
      <c r="J1059" s="22" t="s">
        <v>1394</v>
      </c>
      <c r="K1059" s="23" t="s">
        <v>1395</v>
      </c>
      <c r="L1059" t="e">
        <f>VLOOKUP(B1059,ubah!$B$2:$L$234,4,FALSE)</f>
        <v>#N/A</v>
      </c>
      <c r="M1059" t="e">
        <f>VLOOKUP(B1059,ubah!$B$2:$L$234,5,FALSE)</f>
        <v>#N/A</v>
      </c>
      <c r="N1059" t="e">
        <f>VLOOKUP(B1059,ubah!$B$2:$L$234,6,FALSE)</f>
        <v>#N/A</v>
      </c>
    </row>
    <row r="1060" spans="1:14" hidden="1" x14ac:dyDescent="0.35">
      <c r="A1060" s="21">
        <v>1370218</v>
      </c>
      <c r="B1060" s="22" t="str">
        <f>"3326170202020001"</f>
        <v>3326170202020001</v>
      </c>
      <c r="C1060" s="22" t="str">
        <f t="shared" si="32"/>
        <v>'3326170202020001</v>
      </c>
      <c r="D1060" s="22" t="str">
        <f t="shared" si="33"/>
        <v>ganda</v>
      </c>
      <c r="E1060" s="22" t="s">
        <v>2493</v>
      </c>
      <c r="F1060" s="22" t="s">
        <v>10</v>
      </c>
      <c r="G1060" s="22" t="s">
        <v>11</v>
      </c>
      <c r="H1060" s="22" t="s">
        <v>18</v>
      </c>
      <c r="I1060" s="22" t="s">
        <v>195</v>
      </c>
      <c r="J1060" s="22" t="s">
        <v>2494</v>
      </c>
      <c r="K1060" s="23" t="s">
        <v>2495</v>
      </c>
    </row>
    <row r="1061" spans="1:14" hidden="1" x14ac:dyDescent="0.35">
      <c r="A1061" s="21">
        <v>2540806</v>
      </c>
      <c r="B1061" s="22" t="str">
        <f>"3326170202020001"</f>
        <v>3326170202020001</v>
      </c>
      <c r="C1061" s="22" t="str">
        <f t="shared" si="32"/>
        <v>'3326170202020001</v>
      </c>
      <c r="D1061" s="22" t="str">
        <f t="shared" si="33"/>
        <v>ganda</v>
      </c>
      <c r="E1061" s="22" t="s">
        <v>2496</v>
      </c>
      <c r="F1061" s="22" t="s">
        <v>10</v>
      </c>
      <c r="G1061" s="22" t="s">
        <v>57</v>
      </c>
      <c r="H1061" s="22" t="s">
        <v>18</v>
      </c>
      <c r="I1061" s="22" t="s">
        <v>19</v>
      </c>
      <c r="J1061" s="22" t="s">
        <v>1394</v>
      </c>
      <c r="K1061" s="23" t="s">
        <v>1395</v>
      </c>
      <c r="L1061" t="e">
        <f>VLOOKUP(B1061,ubah!$B$2:$L$234,4,FALSE)</f>
        <v>#N/A</v>
      </c>
      <c r="M1061" t="e">
        <f>VLOOKUP(B1061,ubah!$B$2:$L$234,5,FALSE)</f>
        <v>#N/A</v>
      </c>
      <c r="N1061" t="e">
        <f>VLOOKUP(B1061,ubah!$B$2:$L$234,6,FALSE)</f>
        <v>#N/A</v>
      </c>
    </row>
    <row r="1062" spans="1:14" hidden="1" x14ac:dyDescent="0.35">
      <c r="A1062" s="21">
        <v>1808502</v>
      </c>
      <c r="B1062" s="22" t="str">
        <f>"3327034107470130"</f>
        <v>3327034107470130</v>
      </c>
      <c r="C1062" s="22" t="str">
        <f t="shared" si="32"/>
        <v>'3327034107470130</v>
      </c>
      <c r="D1062" s="22" t="str">
        <f t="shared" si="33"/>
        <v>tidak ganda</v>
      </c>
      <c r="E1062" s="22" t="s">
        <v>2497</v>
      </c>
      <c r="F1062" s="22" t="s">
        <v>10</v>
      </c>
      <c r="G1062" s="22" t="s">
        <v>11</v>
      </c>
      <c r="H1062" s="22" t="s">
        <v>18</v>
      </c>
      <c r="I1062" s="22" t="s">
        <v>199</v>
      </c>
      <c r="J1062" s="22" t="s">
        <v>599</v>
      </c>
      <c r="K1062" s="23" t="s">
        <v>599</v>
      </c>
    </row>
    <row r="1063" spans="1:14" hidden="1" x14ac:dyDescent="0.35">
      <c r="A1063" s="21">
        <v>1496614</v>
      </c>
      <c r="B1063" s="22" t="str">
        <f>"3327060106680003"</f>
        <v>3327060106680003</v>
      </c>
      <c r="C1063" s="22" t="str">
        <f t="shared" si="32"/>
        <v>'3327060106680003</v>
      </c>
      <c r="D1063" s="22" t="str">
        <f t="shared" si="33"/>
        <v>ganda</v>
      </c>
      <c r="E1063" s="22" t="s">
        <v>2499</v>
      </c>
      <c r="F1063" s="22" t="s">
        <v>10</v>
      </c>
      <c r="G1063" s="22" t="s">
        <v>11</v>
      </c>
      <c r="H1063" s="22" t="s">
        <v>18</v>
      </c>
      <c r="I1063" s="22" t="s">
        <v>199</v>
      </c>
      <c r="J1063" s="22" t="s">
        <v>974</v>
      </c>
      <c r="K1063" s="23" t="s">
        <v>2500</v>
      </c>
    </row>
    <row r="1064" spans="1:14" hidden="1" x14ac:dyDescent="0.35">
      <c r="A1064" s="21">
        <v>2540871</v>
      </c>
      <c r="B1064" s="22" t="str">
        <f>"3327060106680003"</f>
        <v>3327060106680003</v>
      </c>
      <c r="C1064" s="22" t="str">
        <f t="shared" si="32"/>
        <v>'3327060106680003</v>
      </c>
      <c r="D1064" s="22" t="str">
        <f t="shared" si="33"/>
        <v>ganda</v>
      </c>
      <c r="E1064" s="22" t="s">
        <v>2501</v>
      </c>
      <c r="F1064" s="22" t="s">
        <v>10</v>
      </c>
      <c r="G1064" s="22" t="s">
        <v>57</v>
      </c>
      <c r="H1064" s="22" t="s">
        <v>18</v>
      </c>
      <c r="I1064" s="22" t="s">
        <v>19</v>
      </c>
      <c r="J1064" s="22" t="s">
        <v>1394</v>
      </c>
      <c r="K1064" s="23" t="s">
        <v>1395</v>
      </c>
      <c r="L1064" t="e">
        <f>VLOOKUP(B1064,ubah!$B$2:$L$234,4,FALSE)</f>
        <v>#N/A</v>
      </c>
      <c r="M1064" t="e">
        <f>VLOOKUP(B1064,ubah!$B$2:$L$234,5,FALSE)</f>
        <v>#N/A</v>
      </c>
      <c r="N1064" t="e">
        <f>VLOOKUP(B1064,ubah!$B$2:$L$234,6,FALSE)</f>
        <v>#N/A</v>
      </c>
    </row>
    <row r="1065" spans="1:14" hidden="1" x14ac:dyDescent="0.35">
      <c r="A1065" s="21">
        <v>1262524</v>
      </c>
      <c r="B1065" s="22" t="str">
        <f>"3327125207950002"</f>
        <v>3327125207950002</v>
      </c>
      <c r="C1065" s="22" t="str">
        <f t="shared" si="32"/>
        <v>'3327125207950002</v>
      </c>
      <c r="D1065" s="22" t="str">
        <f t="shared" si="33"/>
        <v>tidak ganda</v>
      </c>
      <c r="E1065" s="22" t="s">
        <v>2502</v>
      </c>
      <c r="F1065" s="22" t="s">
        <v>10</v>
      </c>
      <c r="G1065" s="22" t="s">
        <v>11</v>
      </c>
      <c r="H1065" s="22" t="s">
        <v>50</v>
      </c>
      <c r="I1065" s="22" t="s">
        <v>86</v>
      </c>
      <c r="J1065" s="22" t="s">
        <v>1268</v>
      </c>
      <c r="K1065" s="23" t="s">
        <v>2503</v>
      </c>
    </row>
    <row r="1066" spans="1:14" hidden="1" x14ac:dyDescent="0.35">
      <c r="A1066" s="21">
        <v>1278645</v>
      </c>
      <c r="B1066" s="22" t="str">
        <f>"3328011802950008"</f>
        <v>3328011802950008</v>
      </c>
      <c r="C1066" s="22" t="str">
        <f t="shared" si="32"/>
        <v>'3328011802950008</v>
      </c>
      <c r="D1066" s="22" t="str">
        <f t="shared" si="33"/>
        <v>ganda</v>
      </c>
      <c r="E1066" s="22" t="s">
        <v>2504</v>
      </c>
      <c r="F1066" s="22" t="s">
        <v>10</v>
      </c>
      <c r="G1066" s="22" t="s">
        <v>11</v>
      </c>
      <c r="H1066" s="22" t="s">
        <v>50</v>
      </c>
      <c r="I1066" s="22" t="s">
        <v>86</v>
      </c>
      <c r="J1066" s="22" t="s">
        <v>1268</v>
      </c>
      <c r="K1066" s="23" t="s">
        <v>2503</v>
      </c>
    </row>
    <row r="1067" spans="1:14" hidden="1" x14ac:dyDescent="0.35">
      <c r="A1067" s="21">
        <v>2540868</v>
      </c>
      <c r="B1067" s="22" t="str">
        <f>"3328011802950008"</f>
        <v>3328011802950008</v>
      </c>
      <c r="C1067" s="22" t="str">
        <f t="shared" si="32"/>
        <v>'3328011802950008</v>
      </c>
      <c r="D1067" s="22" t="str">
        <f t="shared" si="33"/>
        <v>ganda</v>
      </c>
      <c r="E1067" s="22" t="s">
        <v>2505</v>
      </c>
      <c r="F1067" s="22" t="s">
        <v>10</v>
      </c>
      <c r="G1067" s="22" t="s">
        <v>57</v>
      </c>
      <c r="H1067" s="22" t="s">
        <v>18</v>
      </c>
      <c r="I1067" s="22" t="s">
        <v>19</v>
      </c>
      <c r="J1067" s="22" t="s">
        <v>1394</v>
      </c>
      <c r="K1067" s="23" t="s">
        <v>1395</v>
      </c>
      <c r="L1067" t="e">
        <f>VLOOKUP(B1067,ubah!$B$2:$L$234,4,FALSE)</f>
        <v>#N/A</v>
      </c>
      <c r="M1067" t="e">
        <f>VLOOKUP(B1067,ubah!$B$2:$L$234,5,FALSE)</f>
        <v>#N/A</v>
      </c>
      <c r="N1067" t="e">
        <f>VLOOKUP(B1067,ubah!$B$2:$L$234,6,FALSE)</f>
        <v>#N/A</v>
      </c>
    </row>
    <row r="1068" spans="1:14" hidden="1" x14ac:dyDescent="0.35">
      <c r="A1068" s="21">
        <v>572268</v>
      </c>
      <c r="B1068" s="22" t="str">
        <f>"3328042901990003"</f>
        <v>3328042901990003</v>
      </c>
      <c r="C1068" s="22" t="str">
        <f t="shared" si="32"/>
        <v>'3328042901990003</v>
      </c>
      <c r="D1068" s="22" t="str">
        <f t="shared" si="33"/>
        <v>ganda</v>
      </c>
      <c r="E1068" s="22" t="s">
        <v>2506</v>
      </c>
      <c r="F1068" s="22" t="s">
        <v>10</v>
      </c>
      <c r="G1068" s="22" t="s">
        <v>11</v>
      </c>
      <c r="H1068" s="22" t="s">
        <v>50</v>
      </c>
      <c r="I1068" s="22" t="s">
        <v>280</v>
      </c>
      <c r="J1068" s="22" t="s">
        <v>2507</v>
      </c>
      <c r="K1068" s="23" t="s">
        <v>2507</v>
      </c>
    </row>
    <row r="1069" spans="1:14" hidden="1" x14ac:dyDescent="0.35">
      <c r="A1069" s="21">
        <v>2540804</v>
      </c>
      <c r="B1069" s="22" t="str">
        <f>"3328042901990003"</f>
        <v>3328042901990003</v>
      </c>
      <c r="C1069" s="22" t="str">
        <f t="shared" si="32"/>
        <v>'3328042901990003</v>
      </c>
      <c r="D1069" s="22" t="str">
        <f t="shared" si="33"/>
        <v>ganda</v>
      </c>
      <c r="E1069" s="22" t="s">
        <v>2508</v>
      </c>
      <c r="F1069" s="22" t="s">
        <v>10</v>
      </c>
      <c r="G1069" s="22" t="s">
        <v>57</v>
      </c>
      <c r="H1069" s="22" t="s">
        <v>18</v>
      </c>
      <c r="I1069" s="22" t="s">
        <v>19</v>
      </c>
      <c r="J1069" s="22" t="s">
        <v>1394</v>
      </c>
      <c r="K1069" s="23" t="s">
        <v>1395</v>
      </c>
      <c r="L1069" t="e">
        <f>VLOOKUP(B1069,ubah!$B$2:$L$234,4,FALSE)</f>
        <v>#N/A</v>
      </c>
      <c r="M1069" t="e">
        <f>VLOOKUP(B1069,ubah!$B$2:$L$234,5,FALSE)</f>
        <v>#N/A</v>
      </c>
      <c r="N1069" t="e">
        <f>VLOOKUP(B1069,ubah!$B$2:$L$234,6,FALSE)</f>
        <v>#N/A</v>
      </c>
    </row>
    <row r="1070" spans="1:14" hidden="1" x14ac:dyDescent="0.35">
      <c r="A1070" s="21">
        <v>2036606</v>
      </c>
      <c r="B1070" s="22" t="str">
        <f>"3328055311890002"</f>
        <v>3328055311890002</v>
      </c>
      <c r="C1070" s="22" t="str">
        <f t="shared" si="32"/>
        <v>'3328055311890002</v>
      </c>
      <c r="D1070" s="22" t="str">
        <f t="shared" si="33"/>
        <v>tidak ganda</v>
      </c>
      <c r="E1070" s="22" t="s">
        <v>2509</v>
      </c>
      <c r="F1070" s="22" t="s">
        <v>10</v>
      </c>
      <c r="G1070" s="22" t="s">
        <v>11</v>
      </c>
      <c r="H1070" s="22" t="s">
        <v>50</v>
      </c>
      <c r="I1070" s="22" t="s">
        <v>58</v>
      </c>
      <c r="J1070" s="22" t="s">
        <v>260</v>
      </c>
      <c r="K1070" s="23" t="s">
        <v>2510</v>
      </c>
    </row>
    <row r="1071" spans="1:14" hidden="1" x14ac:dyDescent="0.35">
      <c r="A1071" s="21">
        <v>247749</v>
      </c>
      <c r="B1071" s="22" t="str">
        <f>"3328060206870004"</f>
        <v>3328060206870004</v>
      </c>
      <c r="C1071" s="22" t="str">
        <f t="shared" si="32"/>
        <v>'3328060206870004</v>
      </c>
      <c r="D1071" s="22" t="str">
        <f t="shared" si="33"/>
        <v>tidak ganda</v>
      </c>
      <c r="E1071" s="22" t="s">
        <v>2511</v>
      </c>
      <c r="F1071" s="22" t="s">
        <v>10</v>
      </c>
      <c r="G1071" s="22" t="s">
        <v>11</v>
      </c>
      <c r="H1071" s="22" t="s">
        <v>18</v>
      </c>
      <c r="I1071" s="22" t="s">
        <v>264</v>
      </c>
      <c r="J1071" s="22" t="s">
        <v>468</v>
      </c>
      <c r="K1071" s="23" t="s">
        <v>861</v>
      </c>
    </row>
    <row r="1072" spans="1:14" hidden="1" x14ac:dyDescent="0.35">
      <c r="A1072" s="21">
        <v>769720</v>
      </c>
      <c r="B1072" s="22" t="str">
        <f>"3328060301910001"</f>
        <v>3328060301910001</v>
      </c>
      <c r="C1072" s="22" t="str">
        <f t="shared" si="32"/>
        <v>'3328060301910001</v>
      </c>
      <c r="D1072" s="22" t="str">
        <f t="shared" si="33"/>
        <v>tidak ganda</v>
      </c>
      <c r="E1072" s="22" t="s">
        <v>2512</v>
      </c>
      <c r="F1072" s="22" t="s">
        <v>10</v>
      </c>
      <c r="G1072" s="22" t="s">
        <v>11</v>
      </c>
      <c r="H1072" s="22" t="s">
        <v>18</v>
      </c>
      <c r="I1072" s="22" t="s">
        <v>264</v>
      </c>
      <c r="J1072" s="22" t="s">
        <v>248</v>
      </c>
      <c r="K1072" s="23" t="s">
        <v>2513</v>
      </c>
    </row>
    <row r="1073" spans="1:14" hidden="1" x14ac:dyDescent="0.35">
      <c r="A1073" s="21">
        <v>1856246</v>
      </c>
      <c r="B1073" s="22" t="str">
        <f>"3328060303950012"</f>
        <v>3328060303950012</v>
      </c>
      <c r="C1073" s="22" t="str">
        <f t="shared" si="32"/>
        <v>'3328060303950012</v>
      </c>
      <c r="D1073" s="22" t="str">
        <f t="shared" si="33"/>
        <v>tidak ganda</v>
      </c>
      <c r="E1073" s="22" t="s">
        <v>2514</v>
      </c>
      <c r="F1073" s="22" t="s">
        <v>10</v>
      </c>
      <c r="G1073" s="22" t="s">
        <v>11</v>
      </c>
      <c r="H1073" s="22" t="s">
        <v>18</v>
      </c>
      <c r="I1073" s="22" t="s">
        <v>19</v>
      </c>
      <c r="J1073" s="22" t="s">
        <v>1394</v>
      </c>
      <c r="K1073" s="23" t="s">
        <v>2194</v>
      </c>
      <c r="L1073" t="e">
        <f>VLOOKUP(B1073,ubah!$B$2:$L$234,4,FALSE)</f>
        <v>#N/A</v>
      </c>
      <c r="M1073" t="e">
        <f>VLOOKUP(B1073,ubah!$B$2:$L$234,5,FALSE)</f>
        <v>#N/A</v>
      </c>
      <c r="N1073" t="e">
        <f>VLOOKUP(B1073,ubah!$B$2:$L$234,6,FALSE)</f>
        <v>#N/A</v>
      </c>
    </row>
    <row r="1074" spans="1:14" hidden="1" x14ac:dyDescent="0.35">
      <c r="A1074" s="21">
        <v>1779394</v>
      </c>
      <c r="B1074" s="22" t="str">
        <f>"3328060603860001"</f>
        <v>3328060603860001</v>
      </c>
      <c r="C1074" s="22" t="str">
        <f t="shared" si="32"/>
        <v>'3328060603860001</v>
      </c>
      <c r="D1074" s="22" t="str">
        <f t="shared" si="33"/>
        <v>tidak ganda</v>
      </c>
      <c r="E1074" s="22" t="s">
        <v>2521</v>
      </c>
      <c r="F1074" s="22" t="s">
        <v>10</v>
      </c>
      <c r="G1074" s="22" t="s">
        <v>11</v>
      </c>
      <c r="H1074" s="22" t="s">
        <v>18</v>
      </c>
      <c r="I1074" s="22" t="s">
        <v>19</v>
      </c>
      <c r="J1074" s="22" t="s">
        <v>1394</v>
      </c>
      <c r="K1074" s="23" t="s">
        <v>2238</v>
      </c>
      <c r="L1074" t="e">
        <f>VLOOKUP(B1074,ubah!$B$2:$L$234,4,FALSE)</f>
        <v>#N/A</v>
      </c>
      <c r="M1074" t="e">
        <f>VLOOKUP(B1074,ubah!$B$2:$L$234,5,FALSE)</f>
        <v>#N/A</v>
      </c>
      <c r="N1074" t="e">
        <f>VLOOKUP(B1074,ubah!$B$2:$L$234,6,FALSE)</f>
        <v>#N/A</v>
      </c>
    </row>
    <row r="1075" spans="1:14" hidden="1" x14ac:dyDescent="0.35">
      <c r="A1075" s="21">
        <v>315339</v>
      </c>
      <c r="B1075" s="22" t="str">
        <f>"3328060706760005"</f>
        <v>3328060706760005</v>
      </c>
      <c r="C1075" s="22" t="str">
        <f t="shared" si="32"/>
        <v>'3328060706760005</v>
      </c>
      <c r="D1075" s="22" t="str">
        <f t="shared" si="33"/>
        <v>tidak ganda</v>
      </c>
      <c r="E1075" s="22" t="s">
        <v>2526</v>
      </c>
      <c r="F1075" s="22" t="s">
        <v>10</v>
      </c>
      <c r="G1075" s="22" t="s">
        <v>11</v>
      </c>
      <c r="H1075" s="22" t="s">
        <v>50</v>
      </c>
      <c r="I1075" s="22" t="s">
        <v>58</v>
      </c>
      <c r="J1075" s="22" t="s">
        <v>2527</v>
      </c>
      <c r="K1075" s="23" t="s">
        <v>2528</v>
      </c>
    </row>
    <row r="1076" spans="1:14" hidden="1" x14ac:dyDescent="0.35">
      <c r="A1076" s="21">
        <v>1490633</v>
      </c>
      <c r="B1076" s="22" t="str">
        <f>"3328060912710005"</f>
        <v>3328060912710005</v>
      </c>
      <c r="C1076" s="22" t="str">
        <f t="shared" si="32"/>
        <v>'3328060912710005</v>
      </c>
      <c r="D1076" s="22" t="str">
        <f t="shared" si="33"/>
        <v>tidak ganda</v>
      </c>
      <c r="E1076" s="22" t="s">
        <v>2529</v>
      </c>
      <c r="F1076" s="22" t="s">
        <v>10</v>
      </c>
      <c r="G1076" s="22" t="s">
        <v>11</v>
      </c>
      <c r="H1076" s="22" t="s">
        <v>91</v>
      </c>
      <c r="I1076" s="22" t="s">
        <v>92</v>
      </c>
      <c r="J1076" s="22" t="s">
        <v>571</v>
      </c>
      <c r="K1076" s="23" t="s">
        <v>572</v>
      </c>
    </row>
    <row r="1077" spans="1:14" hidden="1" x14ac:dyDescent="0.35">
      <c r="A1077" s="21">
        <v>1634753</v>
      </c>
      <c r="B1077" s="22" t="str">
        <f>"3328061112020001"</f>
        <v>3328061112020001</v>
      </c>
      <c r="C1077" s="22" t="str">
        <f t="shared" si="32"/>
        <v>'3328061112020001</v>
      </c>
      <c r="D1077" s="22" t="str">
        <f t="shared" si="33"/>
        <v>tidak ganda</v>
      </c>
      <c r="E1077" s="22" t="s">
        <v>2535</v>
      </c>
      <c r="F1077" s="22" t="s">
        <v>10</v>
      </c>
      <c r="G1077" s="22" t="s">
        <v>11</v>
      </c>
      <c r="H1077" s="22" t="s">
        <v>91</v>
      </c>
      <c r="I1077" s="22" t="s">
        <v>101</v>
      </c>
      <c r="J1077" s="22" t="s">
        <v>1106</v>
      </c>
      <c r="K1077" s="23" t="s">
        <v>1106</v>
      </c>
    </row>
    <row r="1078" spans="1:14" hidden="1" x14ac:dyDescent="0.35">
      <c r="A1078" s="21">
        <v>1418973</v>
      </c>
      <c r="B1078" s="22" t="str">
        <f>"3328061202830010"</f>
        <v>3328061202830010</v>
      </c>
      <c r="C1078" s="22" t="str">
        <f t="shared" si="32"/>
        <v>'3328061202830010</v>
      </c>
      <c r="D1078" s="22" t="str">
        <f t="shared" si="33"/>
        <v>tidak ganda</v>
      </c>
      <c r="E1078" s="22" t="s">
        <v>2536</v>
      </c>
      <c r="F1078" s="22" t="s">
        <v>10</v>
      </c>
      <c r="G1078" s="22" t="s">
        <v>11</v>
      </c>
      <c r="H1078" s="22" t="s">
        <v>91</v>
      </c>
      <c r="I1078" s="22" t="s">
        <v>320</v>
      </c>
      <c r="J1078" s="22" t="s">
        <v>1289</v>
      </c>
      <c r="K1078" s="23" t="s">
        <v>1766</v>
      </c>
    </row>
    <row r="1079" spans="1:14" hidden="1" x14ac:dyDescent="0.35">
      <c r="A1079" s="21">
        <v>880612</v>
      </c>
      <c r="B1079" s="22" t="str">
        <f>"3328061205750007"</f>
        <v>3328061205750007</v>
      </c>
      <c r="C1079" s="22" t="str">
        <f t="shared" si="32"/>
        <v>'3328061205750007</v>
      </c>
      <c r="D1079" s="22" t="str">
        <f t="shared" si="33"/>
        <v>tidak ganda</v>
      </c>
      <c r="E1079" s="22" t="s">
        <v>2537</v>
      </c>
      <c r="F1079" s="22" t="s">
        <v>10</v>
      </c>
      <c r="G1079" s="22" t="s">
        <v>11</v>
      </c>
      <c r="H1079" s="22" t="s">
        <v>18</v>
      </c>
      <c r="I1079" s="22" t="s">
        <v>385</v>
      </c>
      <c r="J1079" s="22" t="s">
        <v>2538</v>
      </c>
      <c r="K1079" s="23" t="s">
        <v>2539</v>
      </c>
    </row>
    <row r="1080" spans="1:14" hidden="1" x14ac:dyDescent="0.35">
      <c r="A1080" s="21">
        <v>258564</v>
      </c>
      <c r="B1080" s="22" t="str">
        <f>"3328061303910001"</f>
        <v>3328061303910001</v>
      </c>
      <c r="C1080" s="22" t="str">
        <f t="shared" si="32"/>
        <v>'3328061303910001</v>
      </c>
      <c r="D1080" s="22" t="str">
        <f t="shared" si="33"/>
        <v>tidak ganda</v>
      </c>
      <c r="E1080" s="22" t="s">
        <v>2540</v>
      </c>
      <c r="F1080" s="22" t="s">
        <v>10</v>
      </c>
      <c r="G1080" s="22" t="s">
        <v>11</v>
      </c>
      <c r="H1080" s="22" t="s">
        <v>50</v>
      </c>
      <c r="I1080" s="22" t="s">
        <v>280</v>
      </c>
      <c r="J1080" s="22" t="s">
        <v>2179</v>
      </c>
      <c r="K1080" s="23" t="s">
        <v>2541</v>
      </c>
    </row>
    <row r="1081" spans="1:14" hidden="1" x14ac:dyDescent="0.35">
      <c r="A1081" s="21">
        <v>2373237</v>
      </c>
      <c r="B1081" s="22" t="str">
        <f>"3328061412800003"</f>
        <v>3328061412800003</v>
      </c>
      <c r="C1081" s="22" t="str">
        <f t="shared" si="32"/>
        <v>'3328061412800003</v>
      </c>
      <c r="D1081" s="22" t="str">
        <f t="shared" si="33"/>
        <v>tidak ganda</v>
      </c>
      <c r="E1081" s="22" t="s">
        <v>1892</v>
      </c>
      <c r="F1081" s="22" t="s">
        <v>10</v>
      </c>
      <c r="G1081" s="22" t="s">
        <v>11</v>
      </c>
      <c r="H1081" s="22" t="s">
        <v>91</v>
      </c>
      <c r="I1081" s="22" t="s">
        <v>555</v>
      </c>
      <c r="J1081" s="22" t="s">
        <v>1927</v>
      </c>
      <c r="K1081" s="23" t="s">
        <v>2542</v>
      </c>
    </row>
    <row r="1082" spans="1:14" hidden="1" x14ac:dyDescent="0.35">
      <c r="A1082" s="21">
        <v>28511</v>
      </c>
      <c r="B1082" s="22" t="str">
        <f>"3328061505650012"</f>
        <v>3328061505650012</v>
      </c>
      <c r="C1082" s="22" t="str">
        <f t="shared" si="32"/>
        <v>'3328061505650012</v>
      </c>
      <c r="D1082" s="22" t="str">
        <f t="shared" si="33"/>
        <v>tidak ganda</v>
      </c>
      <c r="E1082" s="22" t="s">
        <v>2544</v>
      </c>
      <c r="F1082" s="22" t="s">
        <v>10</v>
      </c>
      <c r="G1082" s="22" t="s">
        <v>11</v>
      </c>
      <c r="H1082" s="22" t="s">
        <v>2545</v>
      </c>
      <c r="I1082" s="22" t="s">
        <v>2546</v>
      </c>
      <c r="J1082" s="22" t="s">
        <v>2547</v>
      </c>
      <c r="K1082" s="23" t="s">
        <v>2548</v>
      </c>
    </row>
    <row r="1083" spans="1:14" hidden="1" x14ac:dyDescent="0.35">
      <c r="A1083" s="21">
        <v>1262522</v>
      </c>
      <c r="B1083" s="22" t="str">
        <f>"3328061506940009"</f>
        <v>3328061506940009</v>
      </c>
      <c r="C1083" s="22" t="str">
        <f t="shared" si="32"/>
        <v>'3328061506940009</v>
      </c>
      <c r="D1083" s="22" t="str">
        <f t="shared" si="33"/>
        <v>tidak ganda</v>
      </c>
      <c r="E1083" s="22" t="s">
        <v>2549</v>
      </c>
      <c r="F1083" s="22" t="s">
        <v>10</v>
      </c>
      <c r="G1083" s="22" t="s">
        <v>11</v>
      </c>
      <c r="H1083" s="22" t="s">
        <v>50</v>
      </c>
      <c r="I1083" s="22" t="s">
        <v>86</v>
      </c>
      <c r="J1083" s="22" t="s">
        <v>1268</v>
      </c>
      <c r="K1083" s="23" t="s">
        <v>2503</v>
      </c>
    </row>
    <row r="1084" spans="1:14" hidden="1" x14ac:dyDescent="0.35">
      <c r="A1084" s="21">
        <v>118608</v>
      </c>
      <c r="B1084" s="22" t="str">
        <f>"3328061606860008"</f>
        <v>3328061606860008</v>
      </c>
      <c r="C1084" s="22" t="str">
        <f t="shared" si="32"/>
        <v>'3328061606860008</v>
      </c>
      <c r="D1084" s="22" t="str">
        <f t="shared" si="33"/>
        <v>tidak ganda</v>
      </c>
      <c r="E1084" s="22" t="s">
        <v>2550</v>
      </c>
      <c r="F1084" s="22" t="s">
        <v>10</v>
      </c>
      <c r="G1084" s="22" t="s">
        <v>11</v>
      </c>
      <c r="H1084" s="22" t="s">
        <v>1374</v>
      </c>
      <c r="I1084" s="22" t="s">
        <v>2551</v>
      </c>
      <c r="J1084" s="22" t="s">
        <v>2552</v>
      </c>
      <c r="K1084" s="23" t="s">
        <v>2553</v>
      </c>
    </row>
    <row r="1085" spans="1:14" hidden="1" x14ac:dyDescent="0.35">
      <c r="A1085" s="21">
        <v>1824417</v>
      </c>
      <c r="B1085" s="22" t="str">
        <f>"3328061708760011"</f>
        <v>3328061708760011</v>
      </c>
      <c r="C1085" s="22" t="str">
        <f t="shared" si="32"/>
        <v>'3328061708760011</v>
      </c>
      <c r="D1085" s="22" t="str">
        <f t="shared" si="33"/>
        <v>tidak ganda</v>
      </c>
      <c r="E1085" s="22" t="s">
        <v>2554</v>
      </c>
      <c r="F1085" s="22" t="s">
        <v>10</v>
      </c>
      <c r="G1085" s="22" t="s">
        <v>11</v>
      </c>
      <c r="H1085" s="22" t="s">
        <v>18</v>
      </c>
      <c r="I1085" s="22" t="s">
        <v>19</v>
      </c>
      <c r="J1085" s="22" t="s">
        <v>1394</v>
      </c>
      <c r="K1085" s="23" t="s">
        <v>2172</v>
      </c>
      <c r="L1085" t="e">
        <f>VLOOKUP(B1085,ubah!$B$2:$L$234,4,FALSE)</f>
        <v>#N/A</v>
      </c>
      <c r="M1085" t="e">
        <f>VLOOKUP(B1085,ubah!$B$2:$L$234,5,FALSE)</f>
        <v>#N/A</v>
      </c>
      <c r="N1085" t="e">
        <f>VLOOKUP(B1085,ubah!$B$2:$L$234,6,FALSE)</f>
        <v>#N/A</v>
      </c>
    </row>
    <row r="1086" spans="1:14" hidden="1" x14ac:dyDescent="0.35">
      <c r="A1086" s="21">
        <v>455369</v>
      </c>
      <c r="B1086" s="22" t="str">
        <f>"3328061711960005"</f>
        <v>3328061711960005</v>
      </c>
      <c r="C1086" s="22" t="str">
        <f t="shared" si="32"/>
        <v>'3328061711960005</v>
      </c>
      <c r="D1086" s="22" t="str">
        <f t="shared" si="33"/>
        <v>tidak ganda</v>
      </c>
      <c r="E1086" s="22" t="s">
        <v>2562</v>
      </c>
      <c r="F1086" s="22" t="s">
        <v>10</v>
      </c>
      <c r="G1086" s="22" t="s">
        <v>11</v>
      </c>
      <c r="H1086" s="22" t="s">
        <v>783</v>
      </c>
      <c r="I1086" s="22" t="s">
        <v>1112</v>
      </c>
      <c r="J1086" s="22" t="s">
        <v>2563</v>
      </c>
      <c r="K1086" s="23" t="s">
        <v>2564</v>
      </c>
    </row>
    <row r="1087" spans="1:14" hidden="1" x14ac:dyDescent="0.35">
      <c r="A1087" s="21">
        <v>1350389</v>
      </c>
      <c r="B1087" s="22" t="str">
        <f>"3328061806050001"</f>
        <v>3328061806050001</v>
      </c>
      <c r="C1087" s="22" t="str">
        <f t="shared" si="32"/>
        <v>'3328061806050001</v>
      </c>
      <c r="D1087" s="22" t="str">
        <f t="shared" si="33"/>
        <v>tidak ganda</v>
      </c>
      <c r="E1087" s="22" t="s">
        <v>2565</v>
      </c>
      <c r="F1087" s="22" t="s">
        <v>10</v>
      </c>
      <c r="G1087" s="22" t="s">
        <v>57</v>
      </c>
      <c r="H1087" s="22" t="s">
        <v>303</v>
      </c>
      <c r="I1087" s="22" t="s">
        <v>608</v>
      </c>
      <c r="J1087" s="22" t="s">
        <v>609</v>
      </c>
      <c r="K1087" s="23" t="s">
        <v>610</v>
      </c>
    </row>
    <row r="1088" spans="1:14" hidden="1" x14ac:dyDescent="0.35">
      <c r="A1088" s="21">
        <v>1861860</v>
      </c>
      <c r="B1088" s="22" t="str">
        <f>"3328061907890002"</f>
        <v>3328061907890002</v>
      </c>
      <c r="C1088" s="22" t="str">
        <f t="shared" si="32"/>
        <v>'3328061907890002</v>
      </c>
      <c r="D1088" s="22" t="str">
        <f t="shared" si="33"/>
        <v>tidak ganda</v>
      </c>
      <c r="E1088" s="22" t="s">
        <v>2100</v>
      </c>
      <c r="F1088" s="22" t="s">
        <v>10</v>
      </c>
      <c r="G1088" s="22" t="s">
        <v>11</v>
      </c>
      <c r="H1088" s="22" t="s">
        <v>18</v>
      </c>
      <c r="I1088" s="22" t="s">
        <v>19</v>
      </c>
      <c r="J1088" s="22" t="s">
        <v>1394</v>
      </c>
      <c r="K1088" s="23" t="s">
        <v>1395</v>
      </c>
      <c r="L1088" t="e">
        <f>VLOOKUP(B1088,ubah!$B$2:$L$234,4,FALSE)</f>
        <v>#N/A</v>
      </c>
      <c r="M1088" t="e">
        <f>VLOOKUP(B1088,ubah!$B$2:$L$234,5,FALSE)</f>
        <v>#N/A</v>
      </c>
      <c r="N1088" t="e">
        <f>VLOOKUP(B1088,ubah!$B$2:$L$234,6,FALSE)</f>
        <v>#N/A</v>
      </c>
    </row>
    <row r="1089" spans="1:14" hidden="1" x14ac:dyDescent="0.35">
      <c r="A1089" s="21">
        <v>238996</v>
      </c>
      <c r="B1089" s="22" t="str">
        <f>"3328062001010007"</f>
        <v>3328062001010007</v>
      </c>
      <c r="C1089" s="22" t="str">
        <f t="shared" si="32"/>
        <v>'3328062001010007</v>
      </c>
      <c r="D1089" s="22" t="str">
        <f t="shared" si="33"/>
        <v>tidak ganda</v>
      </c>
      <c r="E1089" s="22" t="s">
        <v>2572</v>
      </c>
      <c r="F1089" s="22" t="s">
        <v>10</v>
      </c>
      <c r="G1089" s="22" t="s">
        <v>11</v>
      </c>
      <c r="H1089" s="22" t="s">
        <v>18</v>
      </c>
      <c r="I1089" s="22" t="s">
        <v>268</v>
      </c>
      <c r="J1089" s="22" t="s">
        <v>371</v>
      </c>
      <c r="K1089" s="23" t="s">
        <v>372</v>
      </c>
    </row>
    <row r="1090" spans="1:14" hidden="1" x14ac:dyDescent="0.35">
      <c r="A1090" s="21">
        <v>1502641</v>
      </c>
      <c r="B1090" s="22" t="str">
        <f>"3328062312700003"</f>
        <v>3328062312700003</v>
      </c>
      <c r="C1090" s="22" t="str">
        <f t="shared" si="32"/>
        <v>'3328062312700003</v>
      </c>
      <c r="D1090" s="22" t="str">
        <f t="shared" si="33"/>
        <v>tidak ganda</v>
      </c>
      <c r="E1090" s="22" t="s">
        <v>2576</v>
      </c>
      <c r="F1090" s="22" t="s">
        <v>10</v>
      </c>
      <c r="G1090" s="22" t="s">
        <v>11</v>
      </c>
      <c r="H1090" s="22" t="s">
        <v>50</v>
      </c>
      <c r="I1090" s="22" t="s">
        <v>58</v>
      </c>
      <c r="J1090" s="22" t="s">
        <v>417</v>
      </c>
      <c r="K1090" s="23" t="s">
        <v>1936</v>
      </c>
    </row>
    <row r="1091" spans="1:14" hidden="1" x14ac:dyDescent="0.35">
      <c r="A1091" s="21">
        <v>1350391</v>
      </c>
      <c r="B1091" s="22" t="str">
        <f>"3328062401040004"</f>
        <v>3328062401040004</v>
      </c>
      <c r="C1091" s="22" t="str">
        <f t="shared" ref="C1091:C1154" si="34">"'"&amp;B1091</f>
        <v>'3328062401040004</v>
      </c>
      <c r="D1091" s="22" t="str">
        <f t="shared" ref="D1091:D1154" si="35">IF(COUNTIF($C:$C,C1091)&gt;1,"ganda","tidak ganda")</f>
        <v>tidak ganda</v>
      </c>
      <c r="E1091" s="22" t="s">
        <v>2578</v>
      </c>
      <c r="F1091" s="22" t="s">
        <v>10</v>
      </c>
      <c r="G1091" s="22" t="s">
        <v>57</v>
      </c>
      <c r="H1091" s="22" t="s">
        <v>303</v>
      </c>
      <c r="I1091" s="22" t="s">
        <v>608</v>
      </c>
      <c r="J1091" s="22" t="s">
        <v>609</v>
      </c>
      <c r="K1091" s="23" t="s">
        <v>610</v>
      </c>
    </row>
    <row r="1092" spans="1:14" hidden="1" x14ac:dyDescent="0.35">
      <c r="A1092" s="21">
        <v>683053</v>
      </c>
      <c r="B1092" s="22" t="str">
        <f>"3328062411820006"</f>
        <v>3328062411820006</v>
      </c>
      <c r="C1092" s="22" t="str">
        <f t="shared" si="34"/>
        <v>'3328062411820006</v>
      </c>
      <c r="D1092" s="22" t="str">
        <f t="shared" si="35"/>
        <v>tidak ganda</v>
      </c>
      <c r="E1092" s="22" t="s">
        <v>2579</v>
      </c>
      <c r="F1092" s="22" t="s">
        <v>10</v>
      </c>
      <c r="G1092" s="22" t="s">
        <v>11</v>
      </c>
      <c r="H1092" s="22" t="s">
        <v>91</v>
      </c>
      <c r="I1092" s="22" t="s">
        <v>114</v>
      </c>
      <c r="J1092" s="22" t="s">
        <v>2580</v>
      </c>
      <c r="K1092" s="23" t="s">
        <v>2581</v>
      </c>
    </row>
    <row r="1093" spans="1:14" hidden="1" x14ac:dyDescent="0.35">
      <c r="A1093" s="21">
        <v>732128</v>
      </c>
      <c r="B1093" s="22" t="str">
        <f>"3328062504910002"</f>
        <v>3328062504910002</v>
      </c>
      <c r="C1093" s="22" t="str">
        <f t="shared" si="34"/>
        <v>'3328062504910002</v>
      </c>
      <c r="D1093" s="22" t="str">
        <f t="shared" si="35"/>
        <v>tidak ganda</v>
      </c>
      <c r="E1093" s="22" t="s">
        <v>2582</v>
      </c>
      <c r="F1093" s="22" t="s">
        <v>10</v>
      </c>
      <c r="G1093" s="22" t="s">
        <v>11</v>
      </c>
      <c r="H1093" s="22" t="s">
        <v>50</v>
      </c>
      <c r="I1093" s="22" t="s">
        <v>72</v>
      </c>
      <c r="J1093" s="22" t="s">
        <v>628</v>
      </c>
      <c r="K1093" s="23" t="s">
        <v>1281</v>
      </c>
    </row>
    <row r="1094" spans="1:14" hidden="1" x14ac:dyDescent="0.35">
      <c r="A1094" s="21">
        <v>1400765</v>
      </c>
      <c r="B1094" s="22" t="str">
        <f>"3328062511860002"</f>
        <v>3328062511860002</v>
      </c>
      <c r="C1094" s="22" t="str">
        <f t="shared" si="34"/>
        <v>'3328062511860002</v>
      </c>
      <c r="D1094" s="22" t="str">
        <f t="shared" si="35"/>
        <v>tidak ganda</v>
      </c>
      <c r="E1094" s="22" t="s">
        <v>2584</v>
      </c>
      <c r="F1094" s="22" t="s">
        <v>10</v>
      </c>
      <c r="G1094" s="22" t="s">
        <v>11</v>
      </c>
      <c r="H1094" s="22" t="s">
        <v>91</v>
      </c>
      <c r="I1094" s="22" t="s">
        <v>92</v>
      </c>
      <c r="J1094" s="22" t="s">
        <v>678</v>
      </c>
      <c r="K1094" s="23" t="s">
        <v>2585</v>
      </c>
    </row>
    <row r="1095" spans="1:14" hidden="1" x14ac:dyDescent="0.35">
      <c r="A1095" s="21">
        <v>2036607</v>
      </c>
      <c r="B1095" s="22" t="str">
        <f>"3328062703910001"</f>
        <v>3328062703910001</v>
      </c>
      <c r="C1095" s="22" t="str">
        <f t="shared" si="34"/>
        <v>'3328062703910001</v>
      </c>
      <c r="D1095" s="22" t="str">
        <f t="shared" si="35"/>
        <v>tidak ganda</v>
      </c>
      <c r="E1095" s="22" t="s">
        <v>2586</v>
      </c>
      <c r="F1095" s="22" t="s">
        <v>10</v>
      </c>
      <c r="G1095" s="22" t="s">
        <v>11</v>
      </c>
      <c r="H1095" s="22" t="s">
        <v>50</v>
      </c>
      <c r="I1095" s="22" t="s">
        <v>58</v>
      </c>
      <c r="J1095" s="22" t="s">
        <v>260</v>
      </c>
      <c r="K1095" s="23" t="s">
        <v>2510</v>
      </c>
    </row>
    <row r="1096" spans="1:14" hidden="1" x14ac:dyDescent="0.35">
      <c r="A1096" s="21">
        <v>263680</v>
      </c>
      <c r="B1096" s="22" t="str">
        <f>"3328062704780007"</f>
        <v>3328062704780007</v>
      </c>
      <c r="C1096" s="22" t="str">
        <f t="shared" si="34"/>
        <v>'3328062704780007</v>
      </c>
      <c r="D1096" s="22" t="str">
        <f t="shared" si="35"/>
        <v>tidak ganda</v>
      </c>
      <c r="E1096" s="22" t="s">
        <v>2587</v>
      </c>
      <c r="F1096" s="22" t="s">
        <v>10</v>
      </c>
      <c r="G1096" s="22" t="s">
        <v>11</v>
      </c>
      <c r="H1096" s="22" t="s">
        <v>18</v>
      </c>
      <c r="I1096" s="22" t="s">
        <v>264</v>
      </c>
      <c r="J1096" s="22" t="s">
        <v>468</v>
      </c>
      <c r="K1096" s="23" t="s">
        <v>2588</v>
      </c>
    </row>
    <row r="1097" spans="1:14" hidden="1" x14ac:dyDescent="0.35">
      <c r="A1097" s="21">
        <v>1770096</v>
      </c>
      <c r="B1097" s="22" t="str">
        <f>"3328062707990007"</f>
        <v>3328062707990007</v>
      </c>
      <c r="C1097" s="22" t="str">
        <f t="shared" si="34"/>
        <v>'3328062707990007</v>
      </c>
      <c r="D1097" s="22" t="str">
        <f t="shared" si="35"/>
        <v>tidak ganda</v>
      </c>
      <c r="E1097" s="22" t="s">
        <v>2589</v>
      </c>
      <c r="F1097" s="22" t="s">
        <v>10</v>
      </c>
      <c r="G1097" s="22" t="s">
        <v>11</v>
      </c>
      <c r="H1097" s="22" t="s">
        <v>18</v>
      </c>
      <c r="I1097" s="22" t="s">
        <v>19</v>
      </c>
      <c r="J1097" s="22" t="s">
        <v>1394</v>
      </c>
      <c r="K1097" s="23" t="s">
        <v>2520</v>
      </c>
      <c r="L1097" t="e">
        <f>VLOOKUP(B1097,ubah!$B$2:$L$234,4,FALSE)</f>
        <v>#N/A</v>
      </c>
      <c r="M1097" t="e">
        <f>VLOOKUP(B1097,ubah!$B$2:$L$234,5,FALSE)</f>
        <v>#N/A</v>
      </c>
      <c r="N1097" t="e">
        <f>VLOOKUP(B1097,ubah!$B$2:$L$234,6,FALSE)</f>
        <v>#N/A</v>
      </c>
    </row>
    <row r="1098" spans="1:14" hidden="1" x14ac:dyDescent="0.35">
      <c r="A1098" s="21">
        <v>2023385</v>
      </c>
      <c r="B1098" s="22" t="str">
        <f>"3328062808990021"</f>
        <v>3328062808990021</v>
      </c>
      <c r="C1098" s="22" t="str">
        <f t="shared" si="34"/>
        <v>'3328062808990021</v>
      </c>
      <c r="D1098" s="22" t="str">
        <f t="shared" si="35"/>
        <v>tidak ganda</v>
      </c>
      <c r="E1098" s="22" t="s">
        <v>2593</v>
      </c>
      <c r="F1098" s="22" t="s">
        <v>10</v>
      </c>
      <c r="G1098" s="22" t="s">
        <v>11</v>
      </c>
      <c r="H1098" s="22" t="s">
        <v>91</v>
      </c>
      <c r="I1098" s="22" t="s">
        <v>92</v>
      </c>
      <c r="J1098" s="22" t="s">
        <v>673</v>
      </c>
      <c r="K1098" s="23" t="s">
        <v>2594</v>
      </c>
    </row>
    <row r="1099" spans="1:14" hidden="1" x14ac:dyDescent="0.35">
      <c r="A1099" s="21">
        <v>1969428</v>
      </c>
      <c r="B1099" s="22" t="str">
        <f>"3328062902840004"</f>
        <v>3328062902840004</v>
      </c>
      <c r="C1099" s="22" t="str">
        <f t="shared" si="34"/>
        <v>'3328062902840004</v>
      </c>
      <c r="D1099" s="22" t="str">
        <f t="shared" si="35"/>
        <v>tidak ganda</v>
      </c>
      <c r="E1099" s="22" t="s">
        <v>2595</v>
      </c>
      <c r="F1099" s="22" t="s">
        <v>10</v>
      </c>
      <c r="G1099" s="22" t="s">
        <v>11</v>
      </c>
      <c r="H1099" s="22" t="s">
        <v>50</v>
      </c>
      <c r="I1099" s="22" t="s">
        <v>58</v>
      </c>
      <c r="J1099" s="22" t="s">
        <v>417</v>
      </c>
      <c r="K1099" s="23" t="s">
        <v>2271</v>
      </c>
    </row>
    <row r="1100" spans="1:14" hidden="1" x14ac:dyDescent="0.35">
      <c r="A1100" s="21">
        <v>123201</v>
      </c>
      <c r="B1100" s="22" t="str">
        <f>"3328062908750001"</f>
        <v>3328062908750001</v>
      </c>
      <c r="C1100" s="22" t="str">
        <f t="shared" si="34"/>
        <v>'3328062908750001</v>
      </c>
      <c r="D1100" s="22" t="str">
        <f t="shared" si="35"/>
        <v>tidak ganda</v>
      </c>
      <c r="E1100" s="22" t="s">
        <v>2596</v>
      </c>
      <c r="F1100" s="22" t="s">
        <v>10</v>
      </c>
      <c r="G1100" s="22" t="s">
        <v>11</v>
      </c>
      <c r="H1100" s="22" t="s">
        <v>18</v>
      </c>
      <c r="I1100" s="22" t="s">
        <v>2389</v>
      </c>
      <c r="J1100" s="22" t="s">
        <v>2597</v>
      </c>
      <c r="K1100" s="23" t="s">
        <v>2598</v>
      </c>
    </row>
    <row r="1101" spans="1:14" hidden="1" x14ac:dyDescent="0.35">
      <c r="A1101" s="21">
        <v>144847</v>
      </c>
      <c r="B1101" s="22" t="str">
        <f>"3328063012700014"</f>
        <v>3328063012700014</v>
      </c>
      <c r="C1101" s="22" t="str">
        <f t="shared" si="34"/>
        <v>'3328063012700014</v>
      </c>
      <c r="D1101" s="22" t="str">
        <f t="shared" si="35"/>
        <v>tidak ganda</v>
      </c>
      <c r="E1101" s="22" t="s">
        <v>2599</v>
      </c>
      <c r="F1101" s="22" t="s">
        <v>10</v>
      </c>
      <c r="G1101" s="22" t="s">
        <v>11</v>
      </c>
      <c r="H1101" s="22" t="s">
        <v>232</v>
      </c>
      <c r="I1101" s="22" t="s">
        <v>642</v>
      </c>
      <c r="J1101" s="22" t="s">
        <v>2600</v>
      </c>
      <c r="K1101" s="23" t="s">
        <v>2601</v>
      </c>
    </row>
    <row r="1102" spans="1:14" hidden="1" x14ac:dyDescent="0.35">
      <c r="A1102" s="21">
        <v>1767443</v>
      </c>
      <c r="B1102" s="22" t="str">
        <f>"3328063105000014"</f>
        <v>3328063105000014</v>
      </c>
      <c r="C1102" s="22" t="str">
        <f t="shared" si="34"/>
        <v>'3328063105000014</v>
      </c>
      <c r="D1102" s="22" t="str">
        <f t="shared" si="35"/>
        <v>tidak ganda</v>
      </c>
      <c r="E1102" s="22" t="s">
        <v>2603</v>
      </c>
      <c r="F1102" s="22" t="s">
        <v>10</v>
      </c>
      <c r="G1102" s="22" t="s">
        <v>11</v>
      </c>
      <c r="H1102" s="22" t="s">
        <v>18</v>
      </c>
      <c r="I1102" s="22" t="s">
        <v>19</v>
      </c>
      <c r="J1102" s="22" t="s">
        <v>1394</v>
      </c>
      <c r="K1102" s="23" t="s">
        <v>2189</v>
      </c>
      <c r="L1102" t="e">
        <f>VLOOKUP(B1102,ubah!$B$2:$L$234,4,FALSE)</f>
        <v>#N/A</v>
      </c>
      <c r="M1102" t="e">
        <f>VLOOKUP(B1102,ubah!$B$2:$L$234,5,FALSE)</f>
        <v>#N/A</v>
      </c>
      <c r="N1102" t="e">
        <f>VLOOKUP(B1102,ubah!$B$2:$L$234,6,FALSE)</f>
        <v>#N/A</v>
      </c>
    </row>
    <row r="1103" spans="1:14" hidden="1" x14ac:dyDescent="0.35">
      <c r="A1103" s="21">
        <v>1856510</v>
      </c>
      <c r="B1103" s="22" t="str">
        <f>"3328064105800003"</f>
        <v>3328064105800003</v>
      </c>
      <c r="C1103" s="22" t="str">
        <f t="shared" si="34"/>
        <v>'3328064105800003</v>
      </c>
      <c r="D1103" s="22" t="str">
        <f t="shared" si="35"/>
        <v>tidak ganda</v>
      </c>
      <c r="E1103" s="22" t="s">
        <v>2606</v>
      </c>
      <c r="F1103" s="22" t="s">
        <v>10</v>
      </c>
      <c r="G1103" s="22" t="s">
        <v>11</v>
      </c>
      <c r="H1103" s="22" t="s">
        <v>18</v>
      </c>
      <c r="I1103" s="22" t="s">
        <v>19</v>
      </c>
      <c r="J1103" s="22" t="s">
        <v>1394</v>
      </c>
      <c r="K1103" s="23" t="s">
        <v>2194</v>
      </c>
      <c r="L1103" t="e">
        <f>VLOOKUP(B1103,ubah!$B$2:$L$234,4,FALSE)</f>
        <v>#N/A</v>
      </c>
      <c r="M1103" t="e">
        <f>VLOOKUP(B1103,ubah!$B$2:$L$234,5,FALSE)</f>
        <v>#N/A</v>
      </c>
      <c r="N1103" t="e">
        <f>VLOOKUP(B1103,ubah!$B$2:$L$234,6,FALSE)</f>
        <v>#N/A</v>
      </c>
    </row>
    <row r="1104" spans="1:14" hidden="1" x14ac:dyDescent="0.35">
      <c r="A1104" s="21">
        <v>1826833</v>
      </c>
      <c r="B1104" s="22" t="str">
        <f>"3328064107820008"</f>
        <v>3328064107820008</v>
      </c>
      <c r="C1104" s="22" t="str">
        <f t="shared" si="34"/>
        <v>'3328064107820008</v>
      </c>
      <c r="D1104" s="22" t="str">
        <f t="shared" si="35"/>
        <v>tidak ganda</v>
      </c>
      <c r="E1104" s="22" t="s">
        <v>2608</v>
      </c>
      <c r="F1104" s="22" t="s">
        <v>10</v>
      </c>
      <c r="G1104" s="22" t="s">
        <v>11</v>
      </c>
      <c r="H1104" s="22" t="s">
        <v>18</v>
      </c>
      <c r="I1104" s="22" t="s">
        <v>19</v>
      </c>
      <c r="J1104" s="22" t="s">
        <v>1394</v>
      </c>
      <c r="K1104" s="23" t="s">
        <v>2187</v>
      </c>
      <c r="L1104" t="e">
        <f>VLOOKUP(B1104,ubah!$B$2:$L$234,4,FALSE)</f>
        <v>#N/A</v>
      </c>
      <c r="M1104" t="e">
        <f>VLOOKUP(B1104,ubah!$B$2:$L$234,5,FALSE)</f>
        <v>#N/A</v>
      </c>
      <c r="N1104" t="e">
        <f>VLOOKUP(B1104,ubah!$B$2:$L$234,6,FALSE)</f>
        <v>#N/A</v>
      </c>
    </row>
    <row r="1105" spans="1:14" hidden="1" x14ac:dyDescent="0.35">
      <c r="A1105" s="21">
        <v>1653270</v>
      </c>
      <c r="B1105" s="22" t="str">
        <f>"3328064107890006"</f>
        <v>3328064107890006</v>
      </c>
      <c r="C1105" s="22" t="str">
        <f t="shared" si="34"/>
        <v>'3328064107890006</v>
      </c>
      <c r="D1105" s="22" t="str">
        <f t="shared" si="35"/>
        <v>tidak ganda</v>
      </c>
      <c r="E1105" s="22" t="s">
        <v>2245</v>
      </c>
      <c r="F1105" s="22" t="s">
        <v>10</v>
      </c>
      <c r="G1105" s="22" t="s">
        <v>11</v>
      </c>
      <c r="H1105" s="22" t="s">
        <v>50</v>
      </c>
      <c r="I1105" s="22" t="s">
        <v>72</v>
      </c>
      <c r="J1105" s="22" t="s">
        <v>1172</v>
      </c>
      <c r="K1105" s="23" t="s">
        <v>1173</v>
      </c>
    </row>
    <row r="1106" spans="1:14" hidden="1" x14ac:dyDescent="0.35">
      <c r="A1106" s="21">
        <v>1768471</v>
      </c>
      <c r="B1106" s="22" t="str">
        <f>"3328064108740003"</f>
        <v>3328064108740003</v>
      </c>
      <c r="C1106" s="22" t="str">
        <f t="shared" si="34"/>
        <v>'3328064108740003</v>
      </c>
      <c r="D1106" s="22" t="str">
        <f t="shared" si="35"/>
        <v>ganda</v>
      </c>
      <c r="E1106" s="22" t="s">
        <v>2611</v>
      </c>
      <c r="F1106" s="22" t="s">
        <v>10</v>
      </c>
      <c r="G1106" s="22" t="s">
        <v>11</v>
      </c>
      <c r="H1106" s="22" t="s">
        <v>18</v>
      </c>
      <c r="I1106" s="22" t="s">
        <v>19</v>
      </c>
      <c r="J1106" s="22" t="s">
        <v>1394</v>
      </c>
      <c r="K1106" s="23" t="s">
        <v>2189</v>
      </c>
      <c r="L1106" t="e">
        <f>VLOOKUP(B1106,ubah!$B$2:$L$234,4,FALSE)</f>
        <v>#N/A</v>
      </c>
      <c r="M1106" t="e">
        <f>VLOOKUP(B1106,ubah!$B$2:$L$234,5,FALSE)</f>
        <v>#N/A</v>
      </c>
      <c r="N1106" t="e">
        <f>VLOOKUP(B1106,ubah!$B$2:$L$234,6,FALSE)</f>
        <v>#N/A</v>
      </c>
    </row>
    <row r="1107" spans="1:14" hidden="1" x14ac:dyDescent="0.35">
      <c r="A1107" s="21">
        <v>1349038</v>
      </c>
      <c r="B1107" s="22" t="str">
        <f>"3328064108740003"</f>
        <v>3328064108740003</v>
      </c>
      <c r="C1107" s="22" t="str">
        <f t="shared" si="34"/>
        <v>'3328064108740003</v>
      </c>
      <c r="D1107" s="22" t="str">
        <f t="shared" si="35"/>
        <v>ganda</v>
      </c>
      <c r="E1107" s="22" t="s">
        <v>2612</v>
      </c>
      <c r="F1107" s="22" t="s">
        <v>10</v>
      </c>
      <c r="G1107" s="22" t="s">
        <v>57</v>
      </c>
      <c r="H1107" s="22" t="s">
        <v>303</v>
      </c>
      <c r="I1107" s="22" t="s">
        <v>608</v>
      </c>
      <c r="J1107" s="22" t="s">
        <v>609</v>
      </c>
      <c r="K1107" s="23" t="s">
        <v>610</v>
      </c>
    </row>
    <row r="1108" spans="1:14" hidden="1" x14ac:dyDescent="0.35">
      <c r="A1108" s="21">
        <v>356253</v>
      </c>
      <c r="B1108" s="22" t="str">
        <f>"3328064109830006"</f>
        <v>3328064109830006</v>
      </c>
      <c r="C1108" s="22" t="str">
        <f t="shared" si="34"/>
        <v>'3328064109830006</v>
      </c>
      <c r="D1108" s="22" t="str">
        <f t="shared" si="35"/>
        <v>tidak ganda</v>
      </c>
      <c r="E1108" s="22" t="s">
        <v>2613</v>
      </c>
      <c r="F1108" s="22" t="s">
        <v>10</v>
      </c>
      <c r="G1108" s="22" t="s">
        <v>11</v>
      </c>
      <c r="H1108" s="22" t="s">
        <v>91</v>
      </c>
      <c r="I1108" s="22" t="s">
        <v>159</v>
      </c>
      <c r="J1108" s="22" t="s">
        <v>2614</v>
      </c>
      <c r="K1108" s="23" t="s">
        <v>2615</v>
      </c>
    </row>
    <row r="1109" spans="1:14" hidden="1" x14ac:dyDescent="0.35">
      <c r="A1109" s="21">
        <v>318485</v>
      </c>
      <c r="B1109" s="22" t="str">
        <f>"3328064203990002"</f>
        <v>3328064203990002</v>
      </c>
      <c r="C1109" s="22" t="str">
        <f t="shared" si="34"/>
        <v>'3328064203990002</v>
      </c>
      <c r="D1109" s="22" t="str">
        <f t="shared" si="35"/>
        <v>tidak ganda</v>
      </c>
      <c r="E1109" s="22" t="s">
        <v>2619</v>
      </c>
      <c r="F1109" s="22" t="s">
        <v>10</v>
      </c>
      <c r="G1109" s="22" t="s">
        <v>11</v>
      </c>
      <c r="H1109" s="22" t="s">
        <v>91</v>
      </c>
      <c r="I1109" s="22" t="s">
        <v>101</v>
      </c>
      <c r="J1109" s="22" t="s">
        <v>2294</v>
      </c>
      <c r="K1109" s="23" t="s">
        <v>2295</v>
      </c>
    </row>
    <row r="1110" spans="1:14" hidden="1" x14ac:dyDescent="0.35">
      <c r="A1110" s="21">
        <v>118609</v>
      </c>
      <c r="B1110" s="22" t="str">
        <f>"3328064709870005"</f>
        <v>3328064709870005</v>
      </c>
      <c r="C1110" s="22" t="str">
        <f t="shared" si="34"/>
        <v>'3328064709870005</v>
      </c>
      <c r="D1110" s="22" t="str">
        <f t="shared" si="35"/>
        <v>tidak ganda</v>
      </c>
      <c r="E1110" s="22" t="s">
        <v>2620</v>
      </c>
      <c r="F1110" s="22" t="s">
        <v>10</v>
      </c>
      <c r="G1110" s="22" t="s">
        <v>11</v>
      </c>
      <c r="H1110" s="22" t="s">
        <v>1374</v>
      </c>
      <c r="I1110" s="22" t="s">
        <v>2551</v>
      </c>
      <c r="J1110" s="22" t="s">
        <v>2552</v>
      </c>
      <c r="K1110" s="23" t="s">
        <v>2553</v>
      </c>
    </row>
    <row r="1111" spans="1:14" hidden="1" x14ac:dyDescent="0.35">
      <c r="A1111" s="21">
        <v>779501</v>
      </c>
      <c r="B1111" s="22" t="str">
        <f>"3328064710950002"</f>
        <v>3328064710950002</v>
      </c>
      <c r="C1111" s="22" t="str">
        <f t="shared" si="34"/>
        <v>'3328064710950002</v>
      </c>
      <c r="D1111" s="22" t="str">
        <f t="shared" si="35"/>
        <v>tidak ganda</v>
      </c>
      <c r="E1111" s="22" t="s">
        <v>2621</v>
      </c>
      <c r="F1111" s="22" t="s">
        <v>10</v>
      </c>
      <c r="G1111" s="22" t="s">
        <v>11</v>
      </c>
      <c r="H1111" s="22" t="s">
        <v>50</v>
      </c>
      <c r="I1111" s="22" t="s">
        <v>72</v>
      </c>
      <c r="J1111" s="22" t="s">
        <v>803</v>
      </c>
      <c r="K1111" s="23" t="s">
        <v>2244</v>
      </c>
    </row>
    <row r="1112" spans="1:14" hidden="1" x14ac:dyDescent="0.35">
      <c r="A1112" s="21">
        <v>379246</v>
      </c>
      <c r="B1112" s="22" t="str">
        <f>"3328064807880006"</f>
        <v>3328064807880006</v>
      </c>
      <c r="C1112" s="22" t="str">
        <f t="shared" si="34"/>
        <v>'3328064807880006</v>
      </c>
      <c r="D1112" s="22" t="str">
        <f t="shared" si="35"/>
        <v>tidak ganda</v>
      </c>
      <c r="E1112" s="22" t="s">
        <v>2622</v>
      </c>
      <c r="F1112" s="22" t="s">
        <v>10</v>
      </c>
      <c r="G1112" s="22" t="s">
        <v>11</v>
      </c>
      <c r="H1112" s="22" t="s">
        <v>18</v>
      </c>
      <c r="I1112" s="22" t="s">
        <v>1522</v>
      </c>
      <c r="J1112" s="22" t="s">
        <v>2623</v>
      </c>
      <c r="K1112" s="23" t="s">
        <v>2624</v>
      </c>
    </row>
    <row r="1113" spans="1:14" hidden="1" x14ac:dyDescent="0.35">
      <c r="A1113" s="21">
        <v>1772167</v>
      </c>
      <c r="B1113" s="22" t="str">
        <f>"3328064909910012"</f>
        <v>3328064909910012</v>
      </c>
      <c r="C1113" s="22" t="str">
        <f t="shared" si="34"/>
        <v>'3328064909910012</v>
      </c>
      <c r="D1113" s="22" t="str">
        <f t="shared" si="35"/>
        <v>tidak ganda</v>
      </c>
      <c r="E1113" s="22" t="s">
        <v>2625</v>
      </c>
      <c r="F1113" s="22" t="s">
        <v>10</v>
      </c>
      <c r="G1113" s="22" t="s">
        <v>11</v>
      </c>
      <c r="H1113" s="22" t="s">
        <v>18</v>
      </c>
      <c r="I1113" s="22" t="s">
        <v>19</v>
      </c>
      <c r="J1113" s="22" t="s">
        <v>1394</v>
      </c>
      <c r="K1113" s="23" t="s">
        <v>2520</v>
      </c>
      <c r="L1113" t="e">
        <f>VLOOKUP(B1113,ubah!$B$2:$L$234,4,FALSE)</f>
        <v>#N/A</v>
      </c>
      <c r="M1113" t="e">
        <f>VLOOKUP(B1113,ubah!$B$2:$L$234,5,FALSE)</f>
        <v>#N/A</v>
      </c>
      <c r="N1113" t="e">
        <f>VLOOKUP(B1113,ubah!$B$2:$L$234,6,FALSE)</f>
        <v>#N/A</v>
      </c>
    </row>
    <row r="1114" spans="1:14" hidden="1" x14ac:dyDescent="0.35">
      <c r="A1114" s="21">
        <v>752902</v>
      </c>
      <c r="B1114" s="22" t="str">
        <f>"3328065103950016"</f>
        <v>3328065103950016</v>
      </c>
      <c r="C1114" s="22" t="str">
        <f t="shared" si="34"/>
        <v>'3328065103950016</v>
      </c>
      <c r="D1114" s="22" t="str">
        <f t="shared" si="35"/>
        <v>tidak ganda</v>
      </c>
      <c r="E1114" s="22" t="s">
        <v>2629</v>
      </c>
      <c r="F1114" s="22" t="s">
        <v>10</v>
      </c>
      <c r="G1114" s="22" t="s">
        <v>11</v>
      </c>
      <c r="H1114" s="22" t="s">
        <v>91</v>
      </c>
      <c r="I1114" s="22" t="s">
        <v>903</v>
      </c>
      <c r="J1114" s="22" t="s">
        <v>2371</v>
      </c>
      <c r="K1114" s="23" t="s">
        <v>2372</v>
      </c>
    </row>
    <row r="1115" spans="1:14" hidden="1" x14ac:dyDescent="0.35">
      <c r="A1115" s="21">
        <v>1851794</v>
      </c>
      <c r="B1115" s="22" t="str">
        <f>"3328065207980008"</f>
        <v>3328065207980008</v>
      </c>
      <c r="C1115" s="22" t="str">
        <f t="shared" si="34"/>
        <v>'3328065207980008</v>
      </c>
      <c r="D1115" s="22" t="str">
        <f t="shared" si="35"/>
        <v>ganda</v>
      </c>
      <c r="E1115" s="22" t="s">
        <v>2630</v>
      </c>
      <c r="F1115" s="22" t="s">
        <v>10</v>
      </c>
      <c r="G1115" s="22" t="s">
        <v>11</v>
      </c>
      <c r="H1115" s="22" t="s">
        <v>18</v>
      </c>
      <c r="I1115" s="22" t="s">
        <v>19</v>
      </c>
      <c r="J1115" s="22" t="s">
        <v>1394</v>
      </c>
      <c r="K1115" s="23" t="s">
        <v>2235</v>
      </c>
      <c r="L1115" t="e">
        <f>VLOOKUP(B1115,ubah!$B$2:$L$234,4,FALSE)</f>
        <v>#N/A</v>
      </c>
      <c r="M1115" t="e">
        <f>VLOOKUP(B1115,ubah!$B$2:$L$234,5,FALSE)</f>
        <v>#N/A</v>
      </c>
      <c r="N1115" t="e">
        <f>VLOOKUP(B1115,ubah!$B$2:$L$234,6,FALSE)</f>
        <v>#N/A</v>
      </c>
    </row>
    <row r="1116" spans="1:14" hidden="1" x14ac:dyDescent="0.35">
      <c r="A1116" s="21">
        <v>1862381</v>
      </c>
      <c r="B1116" s="22" t="str">
        <f>"3328065207980008"</f>
        <v>3328065207980008</v>
      </c>
      <c r="C1116" s="22" t="str">
        <f t="shared" si="34"/>
        <v>'3328065207980008</v>
      </c>
      <c r="D1116" s="22" t="str">
        <f t="shared" si="35"/>
        <v>ganda</v>
      </c>
      <c r="E1116" s="22" t="s">
        <v>2631</v>
      </c>
      <c r="F1116" s="22" t="s">
        <v>10</v>
      </c>
      <c r="G1116" s="22" t="s">
        <v>57</v>
      </c>
      <c r="H1116" s="22" t="s">
        <v>18</v>
      </c>
      <c r="I1116" s="22" t="s">
        <v>733</v>
      </c>
      <c r="J1116" s="22" t="s">
        <v>733</v>
      </c>
      <c r="K1116" s="23" t="s">
        <v>734</v>
      </c>
    </row>
    <row r="1117" spans="1:14" hidden="1" x14ac:dyDescent="0.35">
      <c r="A1117" s="21">
        <v>1770761</v>
      </c>
      <c r="B1117" s="22" t="str">
        <f>"3328065607700002"</f>
        <v>3328065607700002</v>
      </c>
      <c r="C1117" s="22" t="str">
        <f t="shared" si="34"/>
        <v>'3328065607700002</v>
      </c>
      <c r="D1117" s="22" t="str">
        <f t="shared" si="35"/>
        <v>tidak ganda</v>
      </c>
      <c r="E1117" s="22" t="s">
        <v>2632</v>
      </c>
      <c r="F1117" s="22" t="s">
        <v>10</v>
      </c>
      <c r="G1117" s="22" t="s">
        <v>11</v>
      </c>
      <c r="H1117" s="22" t="s">
        <v>18</v>
      </c>
      <c r="I1117" s="22" t="s">
        <v>19</v>
      </c>
      <c r="J1117" s="22" t="s">
        <v>1394</v>
      </c>
      <c r="K1117" s="23" t="s">
        <v>2520</v>
      </c>
      <c r="L1117" t="e">
        <f>VLOOKUP(B1117,ubah!$B$2:$L$234,4,FALSE)</f>
        <v>#N/A</v>
      </c>
      <c r="M1117" t="e">
        <f>VLOOKUP(B1117,ubah!$B$2:$L$234,5,FALSE)</f>
        <v>#N/A</v>
      </c>
      <c r="N1117" t="e">
        <f>VLOOKUP(B1117,ubah!$B$2:$L$234,6,FALSE)</f>
        <v>#N/A</v>
      </c>
    </row>
    <row r="1118" spans="1:14" hidden="1" x14ac:dyDescent="0.35">
      <c r="A1118" s="21">
        <v>1856519</v>
      </c>
      <c r="B1118" s="22" t="str">
        <f>"3328065804940005"</f>
        <v>3328065804940005</v>
      </c>
      <c r="C1118" s="22" t="str">
        <f t="shared" si="34"/>
        <v>'3328065804940005</v>
      </c>
      <c r="D1118" s="22" t="str">
        <f t="shared" si="35"/>
        <v>tidak ganda</v>
      </c>
      <c r="E1118" s="22" t="s">
        <v>2634</v>
      </c>
      <c r="F1118" s="22" t="s">
        <v>10</v>
      </c>
      <c r="G1118" s="22" t="s">
        <v>11</v>
      </c>
      <c r="H1118" s="22" t="s">
        <v>18</v>
      </c>
      <c r="I1118" s="22" t="s">
        <v>19</v>
      </c>
      <c r="J1118" s="22" t="s">
        <v>1394</v>
      </c>
      <c r="K1118" s="23" t="s">
        <v>2194</v>
      </c>
      <c r="L1118" t="e">
        <f>VLOOKUP(B1118,ubah!$B$2:$L$234,4,FALSE)</f>
        <v>#N/A</v>
      </c>
      <c r="M1118" t="e">
        <f>VLOOKUP(B1118,ubah!$B$2:$L$234,5,FALSE)</f>
        <v>#N/A</v>
      </c>
      <c r="N1118" t="e">
        <f>VLOOKUP(B1118,ubah!$B$2:$L$234,6,FALSE)</f>
        <v>#N/A</v>
      </c>
    </row>
    <row r="1119" spans="1:14" hidden="1" x14ac:dyDescent="0.35">
      <c r="A1119" s="21">
        <v>1776320</v>
      </c>
      <c r="B1119" s="22" t="str">
        <f>"3328065806790005"</f>
        <v>3328065806790005</v>
      </c>
      <c r="C1119" s="22" t="str">
        <f t="shared" si="34"/>
        <v>'3328065806790005</v>
      </c>
      <c r="D1119" s="22" t="str">
        <f t="shared" si="35"/>
        <v>tidak ganda</v>
      </c>
      <c r="E1119" s="22" t="s">
        <v>2636</v>
      </c>
      <c r="F1119" s="22" t="s">
        <v>10</v>
      </c>
      <c r="G1119" s="22" t="s">
        <v>11</v>
      </c>
      <c r="H1119" s="22" t="s">
        <v>18</v>
      </c>
      <c r="I1119" s="22" t="s">
        <v>19</v>
      </c>
      <c r="J1119" s="22" t="s">
        <v>1394</v>
      </c>
      <c r="K1119" s="23" t="s">
        <v>2238</v>
      </c>
      <c r="L1119" t="e">
        <f>VLOOKUP(B1119,ubah!$B$2:$L$234,4,FALSE)</f>
        <v>#N/A</v>
      </c>
      <c r="M1119" t="e">
        <f>VLOOKUP(B1119,ubah!$B$2:$L$234,5,FALSE)</f>
        <v>#N/A</v>
      </c>
      <c r="N1119" t="e">
        <f>VLOOKUP(B1119,ubah!$B$2:$L$234,6,FALSE)</f>
        <v>#N/A</v>
      </c>
    </row>
    <row r="1120" spans="1:14" hidden="1" x14ac:dyDescent="0.35">
      <c r="A1120" s="21">
        <v>1604140</v>
      </c>
      <c r="B1120" s="22" t="str">
        <f>"3328065912860003"</f>
        <v>3328065912860003</v>
      </c>
      <c r="C1120" s="22" t="str">
        <f t="shared" si="34"/>
        <v>'3328065912860003</v>
      </c>
      <c r="D1120" s="22" t="str">
        <f t="shared" si="35"/>
        <v>tidak ganda</v>
      </c>
      <c r="E1120" s="22" t="s">
        <v>2641</v>
      </c>
      <c r="F1120" s="22" t="s">
        <v>10</v>
      </c>
      <c r="G1120" s="22" t="s">
        <v>11</v>
      </c>
      <c r="H1120" s="22" t="s">
        <v>50</v>
      </c>
      <c r="I1120" s="22" t="s">
        <v>86</v>
      </c>
      <c r="J1120" s="22" t="s">
        <v>445</v>
      </c>
      <c r="K1120" s="23" t="s">
        <v>1739</v>
      </c>
    </row>
    <row r="1121" spans="1:14" hidden="1" x14ac:dyDescent="0.35">
      <c r="A1121" s="21">
        <v>109393</v>
      </c>
      <c r="B1121" s="22" t="str">
        <f>"3328066005930003"</f>
        <v>3328066005930003</v>
      </c>
      <c r="C1121" s="22" t="str">
        <f t="shared" si="34"/>
        <v>'3328066005930003</v>
      </c>
      <c r="D1121" s="22" t="str">
        <f t="shared" si="35"/>
        <v>tidak ganda</v>
      </c>
      <c r="E1121" s="22" t="s">
        <v>2642</v>
      </c>
      <c r="F1121" s="22" t="s">
        <v>10</v>
      </c>
      <c r="G1121" s="22" t="s">
        <v>11</v>
      </c>
      <c r="H1121" s="22" t="s">
        <v>91</v>
      </c>
      <c r="I1121" s="22" t="s">
        <v>159</v>
      </c>
      <c r="J1121" s="22" t="s">
        <v>685</v>
      </c>
      <c r="K1121" s="23" t="s">
        <v>686</v>
      </c>
    </row>
    <row r="1122" spans="1:14" hidden="1" x14ac:dyDescent="0.35">
      <c r="A1122" s="21">
        <v>1768619</v>
      </c>
      <c r="B1122" s="22" t="str">
        <f>"3328066006860005"</f>
        <v>3328066006860005</v>
      </c>
      <c r="C1122" s="22" t="str">
        <f t="shared" si="34"/>
        <v>'3328066006860005</v>
      </c>
      <c r="D1122" s="22" t="str">
        <f t="shared" si="35"/>
        <v>tidak ganda</v>
      </c>
      <c r="E1122" s="22" t="s">
        <v>2643</v>
      </c>
      <c r="F1122" s="22" t="s">
        <v>10</v>
      </c>
      <c r="G1122" s="22" t="s">
        <v>11</v>
      </c>
      <c r="H1122" s="22" t="s">
        <v>18</v>
      </c>
      <c r="I1122" s="22" t="s">
        <v>19</v>
      </c>
      <c r="J1122" s="22" t="s">
        <v>1394</v>
      </c>
      <c r="K1122" s="23" t="s">
        <v>2189</v>
      </c>
      <c r="L1122" t="e">
        <f>VLOOKUP(B1122,ubah!$B$2:$L$234,4,FALSE)</f>
        <v>#N/A</v>
      </c>
      <c r="M1122" t="e">
        <f>VLOOKUP(B1122,ubah!$B$2:$L$234,5,FALSE)</f>
        <v>#N/A</v>
      </c>
      <c r="N1122" t="e">
        <f>VLOOKUP(B1122,ubah!$B$2:$L$234,6,FALSE)</f>
        <v>#N/A</v>
      </c>
    </row>
    <row r="1123" spans="1:14" hidden="1" x14ac:dyDescent="0.35">
      <c r="A1123" s="21">
        <v>485425</v>
      </c>
      <c r="B1123" s="22" t="str">
        <f>"3328066603770005"</f>
        <v>3328066603770005</v>
      </c>
      <c r="C1123" s="22" t="str">
        <f t="shared" si="34"/>
        <v>'3328066603770005</v>
      </c>
      <c r="D1123" s="22" t="str">
        <f t="shared" si="35"/>
        <v>tidak ganda</v>
      </c>
      <c r="E1123" s="22" t="s">
        <v>2649</v>
      </c>
      <c r="F1123" s="22" t="s">
        <v>10</v>
      </c>
      <c r="G1123" s="22" t="s">
        <v>11</v>
      </c>
      <c r="H1123" s="22" t="s">
        <v>50</v>
      </c>
      <c r="I1123" s="22" t="s">
        <v>51</v>
      </c>
      <c r="J1123" s="22" t="s">
        <v>62</v>
      </c>
      <c r="K1123" s="23" t="s">
        <v>2193</v>
      </c>
    </row>
    <row r="1124" spans="1:14" hidden="1" x14ac:dyDescent="0.35">
      <c r="A1124" s="21">
        <v>1812167</v>
      </c>
      <c r="B1124" s="22" t="str">
        <f>"3328066701790005"</f>
        <v>3328066701790005</v>
      </c>
      <c r="C1124" s="22" t="str">
        <f t="shared" si="34"/>
        <v>'3328066701790005</v>
      </c>
      <c r="D1124" s="22" t="str">
        <f t="shared" si="35"/>
        <v>tidak ganda</v>
      </c>
      <c r="E1124" s="22" t="s">
        <v>2650</v>
      </c>
      <c r="F1124" s="22" t="s">
        <v>10</v>
      </c>
      <c r="G1124" s="22" t="s">
        <v>11</v>
      </c>
      <c r="H1124" s="22" t="s">
        <v>18</v>
      </c>
      <c r="I1124" s="22" t="s">
        <v>19</v>
      </c>
      <c r="J1124" s="22" t="s">
        <v>1394</v>
      </c>
      <c r="K1124" s="23" t="s">
        <v>2212</v>
      </c>
      <c r="L1124" t="e">
        <f>VLOOKUP(B1124,ubah!$B$2:$L$234,4,FALSE)</f>
        <v>#N/A</v>
      </c>
      <c r="M1124" t="e">
        <f>VLOOKUP(B1124,ubah!$B$2:$L$234,5,FALSE)</f>
        <v>#N/A</v>
      </c>
      <c r="N1124" t="e">
        <f>VLOOKUP(B1124,ubah!$B$2:$L$234,6,FALSE)</f>
        <v>#N/A</v>
      </c>
    </row>
    <row r="1125" spans="1:14" hidden="1" x14ac:dyDescent="0.35">
      <c r="A1125" s="21">
        <v>84062</v>
      </c>
      <c r="B1125" s="22" t="str">
        <f>"3328066702040004"</f>
        <v>3328066702040004</v>
      </c>
      <c r="C1125" s="22" t="str">
        <f t="shared" si="34"/>
        <v>'3328066702040004</v>
      </c>
      <c r="D1125" s="22" t="str">
        <f t="shared" si="35"/>
        <v>tidak ganda</v>
      </c>
      <c r="E1125" s="22" t="s">
        <v>2653</v>
      </c>
      <c r="F1125" s="22" t="s">
        <v>10</v>
      </c>
      <c r="G1125" s="22" t="s">
        <v>11</v>
      </c>
      <c r="H1125" s="22" t="s">
        <v>225</v>
      </c>
      <c r="I1125" s="22" t="s">
        <v>226</v>
      </c>
      <c r="J1125" s="22" t="s">
        <v>2654</v>
      </c>
      <c r="K1125" s="23" t="s">
        <v>2655</v>
      </c>
    </row>
    <row r="1126" spans="1:14" hidden="1" x14ac:dyDescent="0.35">
      <c r="A1126" s="21">
        <v>1819412</v>
      </c>
      <c r="B1126" s="22" t="str">
        <f>"3328066805010005"</f>
        <v>3328066805010005</v>
      </c>
      <c r="C1126" s="22" t="str">
        <f t="shared" si="34"/>
        <v>'3328066805010005</v>
      </c>
      <c r="D1126" s="22" t="str">
        <f t="shared" si="35"/>
        <v>tidak ganda</v>
      </c>
      <c r="E1126" s="22" t="s">
        <v>2656</v>
      </c>
      <c r="F1126" s="22" t="s">
        <v>10</v>
      </c>
      <c r="G1126" s="22" t="s">
        <v>11</v>
      </c>
      <c r="H1126" s="22" t="s">
        <v>18</v>
      </c>
      <c r="I1126" s="22" t="s">
        <v>19</v>
      </c>
      <c r="J1126" s="22" t="s">
        <v>1394</v>
      </c>
      <c r="K1126" s="23" t="s">
        <v>2212</v>
      </c>
      <c r="L1126" t="e">
        <f>VLOOKUP(B1126,ubah!$B$2:$L$234,4,FALSE)</f>
        <v>#N/A</v>
      </c>
      <c r="M1126" t="e">
        <f>VLOOKUP(B1126,ubah!$B$2:$L$234,5,FALSE)</f>
        <v>#N/A</v>
      </c>
      <c r="N1126" t="e">
        <f>VLOOKUP(B1126,ubah!$B$2:$L$234,6,FALSE)</f>
        <v>#N/A</v>
      </c>
    </row>
    <row r="1127" spans="1:14" hidden="1" x14ac:dyDescent="0.35">
      <c r="A1127" s="21">
        <v>444703</v>
      </c>
      <c r="B1127" s="22" t="str">
        <f>"3328066902040002"</f>
        <v>3328066902040002</v>
      </c>
      <c r="C1127" s="22" t="str">
        <f t="shared" si="34"/>
        <v>'3328066902040002</v>
      </c>
      <c r="D1127" s="22" t="str">
        <f t="shared" si="35"/>
        <v>tidak ganda</v>
      </c>
      <c r="E1127" s="22" t="s">
        <v>2657</v>
      </c>
      <c r="F1127" s="22" t="s">
        <v>10</v>
      </c>
      <c r="G1127" s="22" t="s">
        <v>11</v>
      </c>
      <c r="H1127" s="22" t="s">
        <v>379</v>
      </c>
      <c r="I1127" s="22" t="s">
        <v>1206</v>
      </c>
      <c r="J1127" s="22" t="s">
        <v>1207</v>
      </c>
      <c r="K1127" s="23" t="s">
        <v>1208</v>
      </c>
    </row>
    <row r="1128" spans="1:14" hidden="1" x14ac:dyDescent="0.35">
      <c r="A1128" s="21">
        <v>2540673</v>
      </c>
      <c r="B1128" s="22" t="str">
        <f>"3328100308760004"</f>
        <v>3328100308760004</v>
      </c>
      <c r="C1128" s="22" t="str">
        <f t="shared" si="34"/>
        <v>'3328100308760004</v>
      </c>
      <c r="D1128" s="22" t="str">
        <f t="shared" si="35"/>
        <v>ganda</v>
      </c>
      <c r="E1128" s="22" t="s">
        <v>2659</v>
      </c>
      <c r="F1128" s="22" t="s">
        <v>10</v>
      </c>
      <c r="G1128" s="22" t="s">
        <v>11</v>
      </c>
      <c r="H1128" s="22" t="s">
        <v>18</v>
      </c>
      <c r="I1128" s="22" t="s">
        <v>19</v>
      </c>
      <c r="J1128" s="22" t="s">
        <v>1394</v>
      </c>
      <c r="K1128" s="23" t="s">
        <v>1395</v>
      </c>
      <c r="L1128" t="e">
        <f>VLOOKUP(B1128,ubah!$B$2:$L$234,4,FALSE)</f>
        <v>#N/A</v>
      </c>
      <c r="M1128" t="e">
        <f>VLOOKUP(B1128,ubah!$B$2:$L$234,5,FALSE)</f>
        <v>#N/A</v>
      </c>
      <c r="N1128" t="e">
        <f>VLOOKUP(B1128,ubah!$B$2:$L$234,6,FALSE)</f>
        <v>#N/A</v>
      </c>
    </row>
    <row r="1129" spans="1:14" hidden="1" x14ac:dyDescent="0.35">
      <c r="A1129" s="21">
        <v>2567011</v>
      </c>
      <c r="B1129" s="22" t="str">
        <f>"3328100308760004"</f>
        <v>3328100308760004</v>
      </c>
      <c r="C1129" s="22" t="str">
        <f t="shared" si="34"/>
        <v>'3328100308760004</v>
      </c>
      <c r="D1129" s="22" t="str">
        <f t="shared" si="35"/>
        <v>ganda</v>
      </c>
      <c r="E1129" s="22" t="s">
        <v>2660</v>
      </c>
      <c r="F1129" s="22" t="s">
        <v>10</v>
      </c>
      <c r="G1129" s="22" t="s">
        <v>57</v>
      </c>
      <c r="H1129" s="22" t="s">
        <v>18</v>
      </c>
      <c r="I1129" s="22" t="s">
        <v>19</v>
      </c>
      <c r="J1129" s="22" t="s">
        <v>1394</v>
      </c>
      <c r="K1129" s="23" t="s">
        <v>1395</v>
      </c>
      <c r="L1129" t="e">
        <f>VLOOKUP(B1129,ubah!$B$2:$L$234,4,FALSE)</f>
        <v>#N/A</v>
      </c>
      <c r="M1129" t="e">
        <f>VLOOKUP(B1129,ubah!$B$2:$L$234,5,FALSE)</f>
        <v>#N/A</v>
      </c>
      <c r="N1129" t="e">
        <f>VLOOKUP(B1129,ubah!$B$2:$L$234,6,FALSE)</f>
        <v>#N/A</v>
      </c>
    </row>
    <row r="1130" spans="1:14" hidden="1" x14ac:dyDescent="0.35">
      <c r="A1130" s="21">
        <v>1779395</v>
      </c>
      <c r="B1130" s="22" t="str">
        <f>"3328104101900012"</f>
        <v>3328104101900012</v>
      </c>
      <c r="C1130" s="22" t="str">
        <f t="shared" si="34"/>
        <v>'3328104101900012</v>
      </c>
      <c r="D1130" s="22" t="str">
        <f t="shared" si="35"/>
        <v>tidak ganda</v>
      </c>
      <c r="E1130" s="22" t="s">
        <v>2661</v>
      </c>
      <c r="F1130" s="22" t="s">
        <v>10</v>
      </c>
      <c r="G1130" s="22" t="s">
        <v>11</v>
      </c>
      <c r="H1130" s="22" t="s">
        <v>18</v>
      </c>
      <c r="I1130" s="22" t="s">
        <v>19</v>
      </c>
      <c r="J1130" s="22" t="s">
        <v>1394</v>
      </c>
      <c r="K1130" s="23" t="s">
        <v>2238</v>
      </c>
      <c r="L1130" t="e">
        <f>VLOOKUP(B1130,ubah!$B$2:$L$234,4,FALSE)</f>
        <v>#N/A</v>
      </c>
      <c r="M1130" t="e">
        <f>VLOOKUP(B1130,ubah!$B$2:$L$234,5,FALSE)</f>
        <v>#N/A</v>
      </c>
      <c r="N1130" t="e">
        <f>VLOOKUP(B1130,ubah!$B$2:$L$234,6,FALSE)</f>
        <v>#N/A</v>
      </c>
    </row>
    <row r="1131" spans="1:14" hidden="1" x14ac:dyDescent="0.35">
      <c r="A1131" s="21">
        <v>348782</v>
      </c>
      <c r="B1131" s="22" t="str">
        <f>"3328131802950002"</f>
        <v>3328131802950002</v>
      </c>
      <c r="C1131" s="22" t="str">
        <f t="shared" si="34"/>
        <v>'3328131802950002</v>
      </c>
      <c r="D1131" s="22" t="str">
        <f t="shared" si="35"/>
        <v>ganda</v>
      </c>
      <c r="E1131" s="22" t="s">
        <v>2662</v>
      </c>
      <c r="F1131" s="22" t="s">
        <v>10</v>
      </c>
      <c r="G1131" s="22" t="s">
        <v>11</v>
      </c>
      <c r="H1131" s="22" t="s">
        <v>18</v>
      </c>
      <c r="I1131" s="22" t="s">
        <v>268</v>
      </c>
      <c r="J1131" s="22" t="s">
        <v>269</v>
      </c>
      <c r="K1131" s="23" t="s">
        <v>270</v>
      </c>
    </row>
    <row r="1132" spans="1:14" hidden="1" x14ac:dyDescent="0.35">
      <c r="A1132" s="21">
        <v>2540689</v>
      </c>
      <c r="B1132" s="22" t="str">
        <f>"3328131802950002"</f>
        <v>3328131802950002</v>
      </c>
      <c r="C1132" s="22" t="str">
        <f t="shared" si="34"/>
        <v>'3328131802950002</v>
      </c>
      <c r="D1132" s="22" t="str">
        <f t="shared" si="35"/>
        <v>ganda</v>
      </c>
      <c r="E1132" s="22" t="s">
        <v>2663</v>
      </c>
      <c r="F1132" s="22" t="s">
        <v>10</v>
      </c>
      <c r="G1132" s="22" t="s">
        <v>57</v>
      </c>
      <c r="H1132" s="22" t="s">
        <v>18</v>
      </c>
      <c r="I1132" s="22" t="s">
        <v>19</v>
      </c>
      <c r="J1132" s="22" t="s">
        <v>1394</v>
      </c>
      <c r="K1132" s="23" t="s">
        <v>1395</v>
      </c>
      <c r="L1132" t="e">
        <f>VLOOKUP(B1132,ubah!$B$2:$L$234,4,FALSE)</f>
        <v>#N/A</v>
      </c>
      <c r="M1132" t="e">
        <f>VLOOKUP(B1132,ubah!$B$2:$L$234,5,FALSE)</f>
        <v>#N/A</v>
      </c>
      <c r="N1132" t="e">
        <f>VLOOKUP(B1132,ubah!$B$2:$L$234,6,FALSE)</f>
        <v>#N/A</v>
      </c>
    </row>
    <row r="1133" spans="1:14" hidden="1" x14ac:dyDescent="0.35">
      <c r="A1133" s="21">
        <v>289200</v>
      </c>
      <c r="B1133" s="22" t="str">
        <f>"3328160204790004"</f>
        <v>3328160204790004</v>
      </c>
      <c r="C1133" s="22" t="str">
        <f t="shared" si="34"/>
        <v>'3328160204790004</v>
      </c>
      <c r="D1133" s="22" t="str">
        <f t="shared" si="35"/>
        <v>ganda</v>
      </c>
      <c r="E1133" s="22" t="s">
        <v>2664</v>
      </c>
      <c r="F1133" s="22" t="s">
        <v>10</v>
      </c>
      <c r="G1133" s="22" t="s">
        <v>11</v>
      </c>
      <c r="H1133" s="22" t="s">
        <v>18</v>
      </c>
      <c r="I1133" s="22" t="s">
        <v>268</v>
      </c>
      <c r="J1133" s="22" t="s">
        <v>277</v>
      </c>
      <c r="K1133" s="23" t="s">
        <v>2665</v>
      </c>
    </row>
    <row r="1134" spans="1:14" hidden="1" x14ac:dyDescent="0.35">
      <c r="A1134" s="21">
        <v>2540774</v>
      </c>
      <c r="B1134" s="22" t="str">
        <f>"3328160204790004"</f>
        <v>3328160204790004</v>
      </c>
      <c r="C1134" s="22" t="str">
        <f t="shared" si="34"/>
        <v>'3328160204790004</v>
      </c>
      <c r="D1134" s="22" t="str">
        <f t="shared" si="35"/>
        <v>ganda</v>
      </c>
      <c r="E1134" s="22" t="s">
        <v>2666</v>
      </c>
      <c r="F1134" s="22" t="s">
        <v>10</v>
      </c>
      <c r="G1134" s="22" t="s">
        <v>57</v>
      </c>
      <c r="H1134" s="22" t="s">
        <v>18</v>
      </c>
      <c r="I1134" s="22" t="s">
        <v>19</v>
      </c>
      <c r="J1134" s="22" t="s">
        <v>1394</v>
      </c>
      <c r="K1134" s="23" t="s">
        <v>1395</v>
      </c>
      <c r="L1134" t="e">
        <f>VLOOKUP(B1134,ubah!$B$2:$L$234,4,FALSE)</f>
        <v>#N/A</v>
      </c>
      <c r="M1134" t="e">
        <f>VLOOKUP(B1134,ubah!$B$2:$L$234,5,FALSE)</f>
        <v>#N/A</v>
      </c>
      <c r="N1134" t="e">
        <f>VLOOKUP(B1134,ubah!$B$2:$L$234,6,FALSE)</f>
        <v>#N/A</v>
      </c>
    </row>
    <row r="1135" spans="1:14" hidden="1" x14ac:dyDescent="0.35">
      <c r="A1135" s="21">
        <v>1454675</v>
      </c>
      <c r="B1135" s="22" t="str">
        <f>"3329051904980001"</f>
        <v>3329051904980001</v>
      </c>
      <c r="C1135" s="22" t="str">
        <f t="shared" si="34"/>
        <v>'3329051904980001</v>
      </c>
      <c r="D1135" s="22" t="str">
        <f t="shared" si="35"/>
        <v>ganda</v>
      </c>
      <c r="E1135" s="22" t="s">
        <v>2667</v>
      </c>
      <c r="F1135" s="22" t="s">
        <v>10</v>
      </c>
      <c r="G1135" s="22" t="s">
        <v>11</v>
      </c>
      <c r="H1135" s="22" t="s">
        <v>18</v>
      </c>
      <c r="I1135" s="22" t="s">
        <v>264</v>
      </c>
      <c r="J1135" s="22" t="s">
        <v>289</v>
      </c>
      <c r="K1135" s="23" t="s">
        <v>2668</v>
      </c>
    </row>
    <row r="1136" spans="1:14" hidden="1" x14ac:dyDescent="0.35">
      <c r="A1136" s="21">
        <v>2540911</v>
      </c>
      <c r="B1136" s="22" t="str">
        <f>"3329051904980001"</f>
        <v>3329051904980001</v>
      </c>
      <c r="C1136" s="22" t="str">
        <f t="shared" si="34"/>
        <v>'3329051904980001</v>
      </c>
      <c r="D1136" s="22" t="str">
        <f t="shared" si="35"/>
        <v>ganda</v>
      </c>
      <c r="E1136" s="22" t="s">
        <v>2669</v>
      </c>
      <c r="F1136" s="22" t="s">
        <v>10</v>
      </c>
      <c r="G1136" s="22" t="s">
        <v>11</v>
      </c>
      <c r="H1136" s="22" t="s">
        <v>18</v>
      </c>
      <c r="I1136" s="22" t="s">
        <v>19</v>
      </c>
      <c r="J1136" s="22" t="s">
        <v>1394</v>
      </c>
      <c r="K1136" s="23" t="s">
        <v>1395</v>
      </c>
      <c r="L1136" t="e">
        <f>VLOOKUP(B1136,ubah!$B$2:$L$234,4,FALSE)</f>
        <v>#N/A</v>
      </c>
      <c r="M1136" t="e">
        <f>VLOOKUP(B1136,ubah!$B$2:$L$234,5,FALSE)</f>
        <v>#N/A</v>
      </c>
      <c r="N1136" t="e">
        <f>VLOOKUP(B1136,ubah!$B$2:$L$234,6,FALSE)</f>
        <v>#N/A</v>
      </c>
    </row>
    <row r="1137" spans="1:14" hidden="1" x14ac:dyDescent="0.35">
      <c r="A1137" s="21">
        <v>1494756</v>
      </c>
      <c r="B1137" s="22" t="str">
        <f>"3329052406720006"</f>
        <v>3329052406720006</v>
      </c>
      <c r="C1137" s="22" t="str">
        <f t="shared" si="34"/>
        <v>'3329052406720006</v>
      </c>
      <c r="D1137" s="22" t="str">
        <f t="shared" si="35"/>
        <v>tidak ganda</v>
      </c>
      <c r="E1137" s="22" t="s">
        <v>1622</v>
      </c>
      <c r="F1137" s="22" t="s">
        <v>10</v>
      </c>
      <c r="G1137" s="22" t="s">
        <v>11</v>
      </c>
      <c r="H1137" s="22" t="s">
        <v>18</v>
      </c>
      <c r="I1137" s="22" t="s">
        <v>264</v>
      </c>
      <c r="J1137" s="22" t="s">
        <v>289</v>
      </c>
      <c r="K1137" s="23" t="s">
        <v>853</v>
      </c>
    </row>
    <row r="1138" spans="1:14" hidden="1" x14ac:dyDescent="0.35">
      <c r="A1138" s="21">
        <v>241026</v>
      </c>
      <c r="B1138" s="22" t="str">
        <f>"3329061002900002"</f>
        <v>3329061002900002</v>
      </c>
      <c r="C1138" s="22" t="str">
        <f t="shared" si="34"/>
        <v>'3329061002900002</v>
      </c>
      <c r="D1138" s="22" t="str">
        <f t="shared" si="35"/>
        <v>ganda</v>
      </c>
      <c r="E1138" s="22" t="s">
        <v>2670</v>
      </c>
      <c r="F1138" s="22" t="s">
        <v>10</v>
      </c>
      <c r="G1138" s="22" t="s">
        <v>11</v>
      </c>
      <c r="H1138" s="22" t="s">
        <v>18</v>
      </c>
      <c r="I1138" s="22" t="s">
        <v>264</v>
      </c>
      <c r="J1138" s="22" t="s">
        <v>468</v>
      </c>
      <c r="K1138" s="23" t="s">
        <v>2671</v>
      </c>
    </row>
    <row r="1139" spans="1:14" hidden="1" x14ac:dyDescent="0.35">
      <c r="A1139" s="21">
        <v>2540846</v>
      </c>
      <c r="B1139" s="22" t="str">
        <f>"3329061002900002"</f>
        <v>3329061002900002</v>
      </c>
      <c r="C1139" s="22" t="str">
        <f t="shared" si="34"/>
        <v>'3329061002900002</v>
      </c>
      <c r="D1139" s="22" t="str">
        <f t="shared" si="35"/>
        <v>ganda</v>
      </c>
      <c r="E1139" s="22" t="s">
        <v>2672</v>
      </c>
      <c r="F1139" s="22" t="s">
        <v>10</v>
      </c>
      <c r="G1139" s="22" t="s">
        <v>57</v>
      </c>
      <c r="H1139" s="22" t="s">
        <v>18</v>
      </c>
      <c r="I1139" s="22" t="s">
        <v>19</v>
      </c>
      <c r="J1139" s="22" t="s">
        <v>1394</v>
      </c>
      <c r="K1139" s="23" t="s">
        <v>1395</v>
      </c>
      <c r="L1139" t="e">
        <f>VLOOKUP(B1139,ubah!$B$2:$L$234,4,FALSE)</f>
        <v>#N/A</v>
      </c>
      <c r="M1139" t="e">
        <f>VLOOKUP(B1139,ubah!$B$2:$L$234,5,FALSE)</f>
        <v>#N/A</v>
      </c>
      <c r="N1139" t="e">
        <f>VLOOKUP(B1139,ubah!$B$2:$L$234,6,FALSE)</f>
        <v>#N/A</v>
      </c>
    </row>
    <row r="1140" spans="1:14" hidden="1" x14ac:dyDescent="0.35">
      <c r="A1140" s="21">
        <v>264360</v>
      </c>
      <c r="B1140" s="22" t="str">
        <f>"3329061802930003"</f>
        <v>3329061802930003</v>
      </c>
      <c r="C1140" s="22" t="str">
        <f t="shared" si="34"/>
        <v>'3329061802930003</v>
      </c>
      <c r="D1140" s="22" t="str">
        <f t="shared" si="35"/>
        <v>tidak ganda</v>
      </c>
      <c r="E1140" s="22" t="s">
        <v>2673</v>
      </c>
      <c r="F1140" s="22" t="s">
        <v>10</v>
      </c>
      <c r="G1140" s="22" t="s">
        <v>11</v>
      </c>
      <c r="H1140" s="22" t="s">
        <v>18</v>
      </c>
      <c r="I1140" s="22" t="s">
        <v>264</v>
      </c>
      <c r="J1140" s="22" t="s">
        <v>468</v>
      </c>
      <c r="K1140" s="23" t="s">
        <v>468</v>
      </c>
    </row>
    <row r="1141" spans="1:14" hidden="1" x14ac:dyDescent="0.35">
      <c r="A1141" s="21">
        <v>274937</v>
      </c>
      <c r="B1141" s="22" t="str">
        <f>"3329062210780003"</f>
        <v>3329062210780003</v>
      </c>
      <c r="C1141" s="22" t="str">
        <f t="shared" si="34"/>
        <v>'3329062210780003</v>
      </c>
      <c r="D1141" s="22" t="str">
        <f t="shared" si="35"/>
        <v>ganda</v>
      </c>
      <c r="E1141" s="22" t="s">
        <v>2674</v>
      </c>
      <c r="F1141" s="22" t="s">
        <v>10</v>
      </c>
      <c r="G1141" s="22" t="s">
        <v>11</v>
      </c>
      <c r="H1141" s="22" t="s">
        <v>18</v>
      </c>
      <c r="I1141" s="22" t="s">
        <v>264</v>
      </c>
      <c r="J1141" s="22" t="s">
        <v>468</v>
      </c>
      <c r="K1141" s="23" t="s">
        <v>2675</v>
      </c>
    </row>
    <row r="1142" spans="1:14" hidden="1" x14ac:dyDescent="0.35">
      <c r="A1142" s="21">
        <v>2540831</v>
      </c>
      <c r="B1142" s="22" t="str">
        <f>"3329062210780003"</f>
        <v>3329062210780003</v>
      </c>
      <c r="C1142" s="22" t="str">
        <f t="shared" si="34"/>
        <v>'3329062210780003</v>
      </c>
      <c r="D1142" s="22" t="str">
        <f t="shared" si="35"/>
        <v>ganda</v>
      </c>
      <c r="E1142" s="22" t="s">
        <v>2676</v>
      </c>
      <c r="F1142" s="22" t="s">
        <v>10</v>
      </c>
      <c r="G1142" s="22" t="s">
        <v>57</v>
      </c>
      <c r="H1142" s="22" t="s">
        <v>18</v>
      </c>
      <c r="I1142" s="22" t="s">
        <v>19</v>
      </c>
      <c r="J1142" s="22" t="s">
        <v>1394</v>
      </c>
      <c r="K1142" s="23" t="s">
        <v>1395</v>
      </c>
      <c r="L1142" t="e">
        <f>VLOOKUP(B1142,ubah!$B$2:$L$234,4,FALSE)</f>
        <v>#N/A</v>
      </c>
      <c r="M1142" t="e">
        <f>VLOOKUP(B1142,ubah!$B$2:$L$234,5,FALSE)</f>
        <v>#N/A</v>
      </c>
      <c r="N1142" t="e">
        <f>VLOOKUP(B1142,ubah!$B$2:$L$234,6,FALSE)</f>
        <v>#N/A</v>
      </c>
    </row>
    <row r="1143" spans="1:14" hidden="1" x14ac:dyDescent="0.35">
      <c r="A1143" s="21">
        <v>247748</v>
      </c>
      <c r="B1143" s="22" t="str">
        <f>"3329064909910003"</f>
        <v>3329064909910003</v>
      </c>
      <c r="C1143" s="22" t="str">
        <f t="shared" si="34"/>
        <v>'3329064909910003</v>
      </c>
      <c r="D1143" s="22" t="str">
        <f t="shared" si="35"/>
        <v>tidak ganda</v>
      </c>
      <c r="E1143" s="22" t="s">
        <v>2677</v>
      </c>
      <c r="F1143" s="22" t="s">
        <v>10</v>
      </c>
      <c r="G1143" s="22" t="s">
        <v>11</v>
      </c>
      <c r="H1143" s="22" t="s">
        <v>18</v>
      </c>
      <c r="I1143" s="22" t="s">
        <v>264</v>
      </c>
      <c r="J1143" s="22" t="s">
        <v>468</v>
      </c>
      <c r="K1143" s="23" t="s">
        <v>861</v>
      </c>
    </row>
    <row r="1144" spans="1:14" hidden="1" x14ac:dyDescent="0.35">
      <c r="A1144" s="21">
        <v>1254804</v>
      </c>
      <c r="B1144" s="22" t="str">
        <f>"3329070107020029"</f>
        <v>3329070107020029</v>
      </c>
      <c r="C1144" s="22" t="str">
        <f t="shared" si="34"/>
        <v>'3329070107020029</v>
      </c>
      <c r="D1144" s="22" t="str">
        <f t="shared" si="35"/>
        <v>ganda</v>
      </c>
      <c r="E1144" s="22" t="s">
        <v>2678</v>
      </c>
      <c r="F1144" s="22" t="s">
        <v>10</v>
      </c>
      <c r="G1144" s="22" t="s">
        <v>11</v>
      </c>
      <c r="H1144" s="22" t="s">
        <v>18</v>
      </c>
      <c r="I1144" s="22" t="s">
        <v>264</v>
      </c>
      <c r="J1144" s="22" t="s">
        <v>265</v>
      </c>
      <c r="K1144" s="23" t="s">
        <v>266</v>
      </c>
    </row>
    <row r="1145" spans="1:14" hidden="1" x14ac:dyDescent="0.35">
      <c r="A1145" s="21">
        <v>2540737</v>
      </c>
      <c r="B1145" s="22" t="str">
        <f>"3329070107020029"</f>
        <v>3329070107020029</v>
      </c>
      <c r="C1145" s="22" t="str">
        <f t="shared" si="34"/>
        <v>'3329070107020029</v>
      </c>
      <c r="D1145" s="22" t="str">
        <f t="shared" si="35"/>
        <v>ganda</v>
      </c>
      <c r="E1145" s="22" t="s">
        <v>2679</v>
      </c>
      <c r="F1145" s="22" t="s">
        <v>10</v>
      </c>
      <c r="G1145" s="22" t="s">
        <v>57</v>
      </c>
      <c r="H1145" s="22" t="s">
        <v>18</v>
      </c>
      <c r="I1145" s="22" t="s">
        <v>19</v>
      </c>
      <c r="J1145" s="22" t="s">
        <v>1394</v>
      </c>
      <c r="K1145" s="23" t="s">
        <v>1395</v>
      </c>
      <c r="L1145" t="e">
        <f>VLOOKUP(B1145,ubah!$B$2:$L$234,4,FALSE)</f>
        <v>#N/A</v>
      </c>
      <c r="M1145" t="e">
        <f>VLOOKUP(B1145,ubah!$B$2:$L$234,5,FALSE)</f>
        <v>#N/A</v>
      </c>
      <c r="N1145" t="e">
        <f>VLOOKUP(B1145,ubah!$B$2:$L$234,6,FALSE)</f>
        <v>#N/A</v>
      </c>
    </row>
    <row r="1146" spans="1:14" hidden="1" x14ac:dyDescent="0.35">
      <c r="A1146" s="21">
        <v>1868363</v>
      </c>
      <c r="B1146" s="22" t="str">
        <f>"3329070305780004"</f>
        <v>3329070305780004</v>
      </c>
      <c r="C1146" s="22" t="str">
        <f t="shared" si="34"/>
        <v>'3329070305780004</v>
      </c>
      <c r="D1146" s="22" t="str">
        <f t="shared" si="35"/>
        <v>tidak ganda</v>
      </c>
      <c r="E1146" s="22" t="s">
        <v>2680</v>
      </c>
      <c r="F1146" s="22" t="s">
        <v>10</v>
      </c>
      <c r="G1146" s="22" t="s">
        <v>11</v>
      </c>
      <c r="H1146" s="22" t="s">
        <v>18</v>
      </c>
      <c r="I1146" s="22" t="s">
        <v>19</v>
      </c>
      <c r="J1146" s="22" t="s">
        <v>1394</v>
      </c>
      <c r="K1146" s="23" t="s">
        <v>2280</v>
      </c>
      <c r="L1146" t="e">
        <f>VLOOKUP(B1146,ubah!$B$2:$L$234,4,FALSE)</f>
        <v>#N/A</v>
      </c>
      <c r="M1146" t="e">
        <f>VLOOKUP(B1146,ubah!$B$2:$L$234,5,FALSE)</f>
        <v>#N/A</v>
      </c>
      <c r="N1146" t="e">
        <f>VLOOKUP(B1146,ubah!$B$2:$L$234,6,FALSE)</f>
        <v>#N/A</v>
      </c>
    </row>
    <row r="1147" spans="1:14" hidden="1" x14ac:dyDescent="0.35">
      <c r="A1147" s="21">
        <v>1254781</v>
      </c>
      <c r="B1147" s="22" t="str">
        <f>"3329072302000002"</f>
        <v>3329072302000002</v>
      </c>
      <c r="C1147" s="22" t="str">
        <f t="shared" si="34"/>
        <v>'3329072302000002</v>
      </c>
      <c r="D1147" s="22" t="str">
        <f t="shared" si="35"/>
        <v>ganda</v>
      </c>
      <c r="E1147" s="22" t="s">
        <v>2681</v>
      </c>
      <c r="F1147" s="22" t="s">
        <v>10</v>
      </c>
      <c r="G1147" s="22" t="s">
        <v>11</v>
      </c>
      <c r="H1147" s="22" t="s">
        <v>18</v>
      </c>
      <c r="I1147" s="22" t="s">
        <v>264</v>
      </c>
      <c r="J1147" s="22" t="s">
        <v>265</v>
      </c>
      <c r="K1147" s="23" t="s">
        <v>266</v>
      </c>
    </row>
    <row r="1148" spans="1:14" hidden="1" x14ac:dyDescent="0.35">
      <c r="A1148" s="21">
        <v>2540675</v>
      </c>
      <c r="B1148" s="22" t="str">
        <f>"3329072302000002"</f>
        <v>3329072302000002</v>
      </c>
      <c r="C1148" s="22" t="str">
        <f t="shared" si="34"/>
        <v>'3329072302000002</v>
      </c>
      <c r="D1148" s="22" t="str">
        <f t="shared" si="35"/>
        <v>ganda</v>
      </c>
      <c r="E1148" s="22" t="s">
        <v>2682</v>
      </c>
      <c r="F1148" s="22" t="s">
        <v>10</v>
      </c>
      <c r="G1148" s="22" t="s">
        <v>57</v>
      </c>
      <c r="H1148" s="22" t="s">
        <v>18</v>
      </c>
      <c r="I1148" s="22" t="s">
        <v>19</v>
      </c>
      <c r="J1148" s="22" t="s">
        <v>1394</v>
      </c>
      <c r="K1148" s="23" t="s">
        <v>1395</v>
      </c>
      <c r="L1148" t="e">
        <f>VLOOKUP(B1148,ubah!$B$2:$L$234,4,FALSE)</f>
        <v>#N/A</v>
      </c>
      <c r="M1148" t="e">
        <f>VLOOKUP(B1148,ubah!$B$2:$L$234,5,FALSE)</f>
        <v>#N/A</v>
      </c>
      <c r="N1148" t="e">
        <f>VLOOKUP(B1148,ubah!$B$2:$L$234,6,FALSE)</f>
        <v>#N/A</v>
      </c>
    </row>
    <row r="1149" spans="1:14" hidden="1" x14ac:dyDescent="0.35">
      <c r="A1149" s="21">
        <v>1868362</v>
      </c>
      <c r="B1149" s="22" t="str">
        <f>"3329073107990002"</f>
        <v>3329073107990002</v>
      </c>
      <c r="C1149" s="22" t="str">
        <f t="shared" si="34"/>
        <v>'3329073107990002</v>
      </c>
      <c r="D1149" s="22" t="str">
        <f t="shared" si="35"/>
        <v>tidak ganda</v>
      </c>
      <c r="E1149" s="22" t="s">
        <v>1843</v>
      </c>
      <c r="F1149" s="22" t="s">
        <v>10</v>
      </c>
      <c r="G1149" s="22" t="s">
        <v>11</v>
      </c>
      <c r="H1149" s="22" t="s">
        <v>18</v>
      </c>
      <c r="I1149" s="22" t="s">
        <v>19</v>
      </c>
      <c r="J1149" s="22" t="s">
        <v>1394</v>
      </c>
      <c r="K1149" s="23" t="s">
        <v>2280</v>
      </c>
      <c r="L1149" t="e">
        <f>VLOOKUP(B1149,ubah!$B$2:$L$234,4,FALSE)</f>
        <v>#N/A</v>
      </c>
      <c r="M1149" t="e">
        <f>VLOOKUP(B1149,ubah!$B$2:$L$234,5,FALSE)</f>
        <v>#N/A</v>
      </c>
      <c r="N1149" t="e">
        <f>VLOOKUP(B1149,ubah!$B$2:$L$234,6,FALSE)</f>
        <v>#N/A</v>
      </c>
    </row>
    <row r="1150" spans="1:14" hidden="1" x14ac:dyDescent="0.35">
      <c r="A1150" s="21">
        <v>1868360</v>
      </c>
      <c r="B1150" s="22" t="str">
        <f>"3329074408060002"</f>
        <v>3329074408060002</v>
      </c>
      <c r="C1150" s="22" t="str">
        <f t="shared" si="34"/>
        <v>'3329074408060002</v>
      </c>
      <c r="D1150" s="22" t="str">
        <f t="shared" si="35"/>
        <v>tidak ganda</v>
      </c>
      <c r="E1150" s="22" t="s">
        <v>2683</v>
      </c>
      <c r="F1150" s="22" t="s">
        <v>10</v>
      </c>
      <c r="G1150" s="22" t="s">
        <v>11</v>
      </c>
      <c r="H1150" s="22" t="s">
        <v>18</v>
      </c>
      <c r="I1150" s="22" t="s">
        <v>19</v>
      </c>
      <c r="J1150" s="22" t="s">
        <v>1394</v>
      </c>
      <c r="K1150" s="23" t="s">
        <v>2280</v>
      </c>
      <c r="L1150" t="e">
        <f>VLOOKUP(B1150,ubah!$B$2:$L$234,4,FALSE)</f>
        <v>#N/A</v>
      </c>
      <c r="M1150" t="e">
        <f>VLOOKUP(B1150,ubah!$B$2:$L$234,5,FALSE)</f>
        <v>#N/A</v>
      </c>
      <c r="N1150" t="e">
        <f>VLOOKUP(B1150,ubah!$B$2:$L$234,6,FALSE)</f>
        <v>#N/A</v>
      </c>
    </row>
    <row r="1151" spans="1:14" hidden="1" x14ac:dyDescent="0.35">
      <c r="A1151" s="21">
        <v>779272</v>
      </c>
      <c r="B1151" s="22" t="str">
        <f>"3329080506810011"</f>
        <v>3329080506810011</v>
      </c>
      <c r="C1151" s="22" t="str">
        <f t="shared" si="34"/>
        <v>'3329080506810011</v>
      </c>
      <c r="D1151" s="22" t="str">
        <f t="shared" si="35"/>
        <v>ganda</v>
      </c>
      <c r="E1151" s="22" t="s">
        <v>2684</v>
      </c>
      <c r="F1151" s="22" t="s">
        <v>10</v>
      </c>
      <c r="G1151" s="22" t="s">
        <v>11</v>
      </c>
      <c r="H1151" s="22" t="s">
        <v>18</v>
      </c>
      <c r="I1151" s="22" t="s">
        <v>264</v>
      </c>
      <c r="J1151" s="22" t="s">
        <v>248</v>
      </c>
      <c r="K1151" s="23" t="s">
        <v>2513</v>
      </c>
    </row>
    <row r="1152" spans="1:14" hidden="1" x14ac:dyDescent="0.35">
      <c r="A1152" s="21">
        <v>2540836</v>
      </c>
      <c r="B1152" s="22" t="str">
        <f>"3329080506810011"</f>
        <v>3329080506810011</v>
      </c>
      <c r="C1152" s="22" t="str">
        <f t="shared" si="34"/>
        <v>'3329080506810011</v>
      </c>
      <c r="D1152" s="22" t="str">
        <f t="shared" si="35"/>
        <v>ganda</v>
      </c>
      <c r="E1152" s="22" t="s">
        <v>2685</v>
      </c>
      <c r="F1152" s="22" t="s">
        <v>10</v>
      </c>
      <c r="G1152" s="22" t="s">
        <v>57</v>
      </c>
      <c r="H1152" s="22" t="s">
        <v>18</v>
      </c>
      <c r="I1152" s="22" t="s">
        <v>19</v>
      </c>
      <c r="J1152" s="22" t="s">
        <v>1394</v>
      </c>
      <c r="K1152" s="23" t="s">
        <v>1395</v>
      </c>
      <c r="L1152" t="e">
        <f>VLOOKUP(B1152,ubah!$B$2:$L$234,4,FALSE)</f>
        <v>#N/A</v>
      </c>
      <c r="M1152" t="e">
        <f>VLOOKUP(B1152,ubah!$B$2:$L$234,5,FALSE)</f>
        <v>#N/A</v>
      </c>
      <c r="N1152" t="e">
        <f>VLOOKUP(B1152,ubah!$B$2:$L$234,6,FALSE)</f>
        <v>#N/A</v>
      </c>
    </row>
    <row r="1153" spans="1:14" hidden="1" x14ac:dyDescent="0.35">
      <c r="A1153" s="21">
        <v>52260</v>
      </c>
      <c r="B1153" s="22" t="str">
        <f>"3329081706000008"</f>
        <v>3329081706000008</v>
      </c>
      <c r="C1153" s="22" t="str">
        <f t="shared" si="34"/>
        <v>'3329081706000008</v>
      </c>
      <c r="D1153" s="22" t="str">
        <f t="shared" si="35"/>
        <v>ganda</v>
      </c>
      <c r="E1153" s="22" t="s">
        <v>2686</v>
      </c>
      <c r="F1153" s="22" t="s">
        <v>10</v>
      </c>
      <c r="G1153" s="22" t="s">
        <v>11</v>
      </c>
      <c r="H1153" s="22" t="s">
        <v>18</v>
      </c>
      <c r="I1153" s="22" t="s">
        <v>264</v>
      </c>
      <c r="J1153" s="22" t="s">
        <v>248</v>
      </c>
      <c r="K1153" s="23" t="s">
        <v>1142</v>
      </c>
    </row>
    <row r="1154" spans="1:14" hidden="1" x14ac:dyDescent="0.35">
      <c r="A1154" s="21">
        <v>2540725</v>
      </c>
      <c r="B1154" s="22" t="str">
        <f>"3329081706000008"</f>
        <v>3329081706000008</v>
      </c>
      <c r="C1154" s="22" t="str">
        <f t="shared" si="34"/>
        <v>'3329081706000008</v>
      </c>
      <c r="D1154" s="22" t="str">
        <f t="shared" si="35"/>
        <v>ganda</v>
      </c>
      <c r="E1154" s="22" t="s">
        <v>2687</v>
      </c>
      <c r="F1154" s="22" t="s">
        <v>10</v>
      </c>
      <c r="G1154" s="22" t="s">
        <v>57</v>
      </c>
      <c r="H1154" s="22" t="s">
        <v>18</v>
      </c>
      <c r="I1154" s="22" t="s">
        <v>19</v>
      </c>
      <c r="J1154" s="22" t="s">
        <v>1394</v>
      </c>
      <c r="K1154" s="23" t="s">
        <v>1395</v>
      </c>
      <c r="L1154" t="e">
        <f>VLOOKUP(B1154,ubah!$B$2:$L$234,4,FALSE)</f>
        <v>#N/A</v>
      </c>
      <c r="M1154" t="e">
        <f>VLOOKUP(B1154,ubah!$B$2:$L$234,5,FALSE)</f>
        <v>#N/A</v>
      </c>
      <c r="N1154" t="e">
        <f>VLOOKUP(B1154,ubah!$B$2:$L$234,6,FALSE)</f>
        <v>#N/A</v>
      </c>
    </row>
    <row r="1155" spans="1:14" hidden="1" x14ac:dyDescent="0.35">
      <c r="A1155" s="21">
        <v>1002266</v>
      </c>
      <c r="B1155" s="22" t="str">
        <f>"3329082205940006"</f>
        <v>3329082205940006</v>
      </c>
      <c r="C1155" s="22" t="str">
        <f t="shared" ref="C1155:C1218" si="36">"'"&amp;B1155</f>
        <v>'3329082205940006</v>
      </c>
      <c r="D1155" s="22" t="str">
        <f t="shared" ref="D1155:D1218" si="37">IF(COUNTIF($C:$C,C1155)&gt;1,"ganda","tidak ganda")</f>
        <v>ganda</v>
      </c>
      <c r="E1155" s="22" t="s">
        <v>2688</v>
      </c>
      <c r="F1155" s="22" t="s">
        <v>10</v>
      </c>
      <c r="G1155" s="22" t="s">
        <v>11</v>
      </c>
      <c r="H1155" s="22" t="s">
        <v>18</v>
      </c>
      <c r="I1155" s="22" t="s">
        <v>264</v>
      </c>
      <c r="J1155" s="22" t="s">
        <v>248</v>
      </c>
      <c r="K1155" s="23" t="s">
        <v>2689</v>
      </c>
    </row>
    <row r="1156" spans="1:14" hidden="1" x14ac:dyDescent="0.35">
      <c r="A1156" s="21">
        <v>2540713</v>
      </c>
      <c r="B1156" s="22" t="str">
        <f>"3329082205940006"</f>
        <v>3329082205940006</v>
      </c>
      <c r="C1156" s="22" t="str">
        <f t="shared" si="36"/>
        <v>'3329082205940006</v>
      </c>
      <c r="D1156" s="22" t="str">
        <f t="shared" si="37"/>
        <v>ganda</v>
      </c>
      <c r="E1156" s="22" t="s">
        <v>2690</v>
      </c>
      <c r="F1156" s="22" t="s">
        <v>10</v>
      </c>
      <c r="G1156" s="22" t="s">
        <v>57</v>
      </c>
      <c r="H1156" s="22" t="s">
        <v>18</v>
      </c>
      <c r="I1156" s="22" t="s">
        <v>19</v>
      </c>
      <c r="J1156" s="22" t="s">
        <v>1394</v>
      </c>
      <c r="K1156" s="23" t="s">
        <v>1395</v>
      </c>
      <c r="L1156" t="e">
        <f>VLOOKUP(B1156,ubah!$B$2:$L$234,4,FALSE)</f>
        <v>#N/A</v>
      </c>
      <c r="M1156" t="e">
        <f>VLOOKUP(B1156,ubah!$B$2:$L$234,5,FALSE)</f>
        <v>#N/A</v>
      </c>
      <c r="N1156" t="e">
        <f>VLOOKUP(B1156,ubah!$B$2:$L$234,6,FALSE)</f>
        <v>#N/A</v>
      </c>
    </row>
    <row r="1157" spans="1:14" hidden="1" x14ac:dyDescent="0.35">
      <c r="A1157" s="21">
        <v>769719</v>
      </c>
      <c r="B1157" s="22" t="str">
        <f>"3329084802970006"</f>
        <v>3329084802970006</v>
      </c>
      <c r="C1157" s="22" t="str">
        <f t="shared" si="36"/>
        <v>'3329084802970006</v>
      </c>
      <c r="D1157" s="22" t="str">
        <f t="shared" si="37"/>
        <v>tidak ganda</v>
      </c>
      <c r="E1157" s="22" t="s">
        <v>2691</v>
      </c>
      <c r="F1157" s="22" t="s">
        <v>10</v>
      </c>
      <c r="G1157" s="22" t="s">
        <v>11</v>
      </c>
      <c r="H1157" s="22" t="s">
        <v>18</v>
      </c>
      <c r="I1157" s="22" t="s">
        <v>264</v>
      </c>
      <c r="J1157" s="22" t="s">
        <v>248</v>
      </c>
      <c r="K1157" s="23" t="s">
        <v>2513</v>
      </c>
    </row>
    <row r="1158" spans="1:14" hidden="1" x14ac:dyDescent="0.35">
      <c r="A1158" s="21">
        <v>2540665</v>
      </c>
      <c r="B1158" s="22" t="str">
        <f>"3329090304890002"</f>
        <v>3329090304890002</v>
      </c>
      <c r="C1158" s="22" t="str">
        <f t="shared" si="36"/>
        <v>'3329090304890002</v>
      </c>
      <c r="D1158" s="22" t="str">
        <f t="shared" si="37"/>
        <v>tidak ganda</v>
      </c>
      <c r="E1158" s="22" t="s">
        <v>2693</v>
      </c>
      <c r="F1158" s="22" t="s">
        <v>10</v>
      </c>
      <c r="G1158" s="22" t="s">
        <v>57</v>
      </c>
      <c r="H1158" s="22" t="s">
        <v>18</v>
      </c>
      <c r="I1158" s="22" t="s">
        <v>19</v>
      </c>
      <c r="J1158" s="22" t="s">
        <v>1394</v>
      </c>
      <c r="K1158" s="23" t="s">
        <v>1395</v>
      </c>
      <c r="L1158" t="e">
        <f>VLOOKUP(B1158,ubah!$B$2:$L$234,4,FALSE)</f>
        <v>#N/A</v>
      </c>
      <c r="M1158" t="e">
        <f>VLOOKUP(B1158,ubah!$B$2:$L$234,5,FALSE)</f>
        <v>#N/A</v>
      </c>
      <c r="N1158" t="e">
        <f>VLOOKUP(B1158,ubah!$B$2:$L$234,6,FALSE)</f>
        <v>#N/A</v>
      </c>
    </row>
    <row r="1159" spans="1:14" hidden="1" x14ac:dyDescent="0.35">
      <c r="A1159" s="21">
        <v>1144890</v>
      </c>
      <c r="B1159" s="22" t="str">
        <f>"3329091010740023"</f>
        <v>3329091010740023</v>
      </c>
      <c r="C1159" s="22" t="str">
        <f t="shared" si="36"/>
        <v>'3329091010740023</v>
      </c>
      <c r="D1159" s="22" t="str">
        <f t="shared" si="37"/>
        <v>ganda</v>
      </c>
      <c r="E1159" s="22" t="s">
        <v>2694</v>
      </c>
      <c r="F1159" s="22" t="s">
        <v>10</v>
      </c>
      <c r="G1159" s="22" t="s">
        <v>11</v>
      </c>
      <c r="H1159" s="22" t="s">
        <v>18</v>
      </c>
      <c r="I1159" s="22" t="s">
        <v>264</v>
      </c>
      <c r="J1159" s="22" t="s">
        <v>264</v>
      </c>
      <c r="K1159" s="23" t="s">
        <v>2695</v>
      </c>
    </row>
    <row r="1160" spans="1:14" hidden="1" x14ac:dyDescent="0.35">
      <c r="A1160" s="21">
        <v>2540816</v>
      </c>
      <c r="B1160" s="22" t="str">
        <f>"3329091010740023"</f>
        <v>3329091010740023</v>
      </c>
      <c r="C1160" s="22" t="str">
        <f t="shared" si="36"/>
        <v>'3329091010740023</v>
      </c>
      <c r="D1160" s="22" t="str">
        <f t="shared" si="37"/>
        <v>ganda</v>
      </c>
      <c r="E1160" s="22" t="s">
        <v>2696</v>
      </c>
      <c r="F1160" s="22" t="s">
        <v>10</v>
      </c>
      <c r="G1160" s="22" t="s">
        <v>57</v>
      </c>
      <c r="H1160" s="22" t="s">
        <v>18</v>
      </c>
      <c r="I1160" s="22" t="s">
        <v>19</v>
      </c>
      <c r="J1160" s="22" t="s">
        <v>1394</v>
      </c>
      <c r="K1160" s="23" t="s">
        <v>1395</v>
      </c>
      <c r="L1160" t="e">
        <f>VLOOKUP(B1160,ubah!$B$2:$L$234,4,FALSE)</f>
        <v>#N/A</v>
      </c>
      <c r="M1160" t="e">
        <f>VLOOKUP(B1160,ubah!$B$2:$L$234,5,FALSE)</f>
        <v>#N/A</v>
      </c>
      <c r="N1160" t="e">
        <f>VLOOKUP(B1160,ubah!$B$2:$L$234,6,FALSE)</f>
        <v>#N/A</v>
      </c>
    </row>
    <row r="1161" spans="1:14" hidden="1" x14ac:dyDescent="0.35">
      <c r="A1161" s="21">
        <v>579409</v>
      </c>
      <c r="B1161" s="22" t="str">
        <f>"3329091602860010"</f>
        <v>3329091602860010</v>
      </c>
      <c r="C1161" s="22" t="str">
        <f t="shared" si="36"/>
        <v>'3329091602860010</v>
      </c>
      <c r="D1161" s="22" t="str">
        <f t="shared" si="37"/>
        <v>ganda</v>
      </c>
      <c r="E1161" s="22" t="s">
        <v>2697</v>
      </c>
      <c r="F1161" s="22" t="s">
        <v>10</v>
      </c>
      <c r="G1161" s="22" t="s">
        <v>11</v>
      </c>
      <c r="H1161" s="22" t="s">
        <v>18</v>
      </c>
      <c r="I1161" s="22" t="s">
        <v>264</v>
      </c>
      <c r="J1161" s="22" t="s">
        <v>264</v>
      </c>
      <c r="K1161" s="23" t="s">
        <v>2698</v>
      </c>
    </row>
    <row r="1162" spans="1:14" hidden="1" x14ac:dyDescent="0.35">
      <c r="A1162" s="21">
        <v>2540762</v>
      </c>
      <c r="B1162" s="22" t="str">
        <f>"3329091602860010"</f>
        <v>3329091602860010</v>
      </c>
      <c r="C1162" s="22" t="str">
        <f t="shared" si="36"/>
        <v>'3329091602860010</v>
      </c>
      <c r="D1162" s="22" t="str">
        <f t="shared" si="37"/>
        <v>ganda</v>
      </c>
      <c r="E1162" s="22" t="s">
        <v>2699</v>
      </c>
      <c r="F1162" s="22" t="s">
        <v>10</v>
      </c>
      <c r="G1162" s="22" t="s">
        <v>57</v>
      </c>
      <c r="H1162" s="22" t="s">
        <v>18</v>
      </c>
      <c r="I1162" s="22" t="s">
        <v>19</v>
      </c>
      <c r="J1162" s="22" t="s">
        <v>1394</v>
      </c>
      <c r="K1162" s="23" t="s">
        <v>1395</v>
      </c>
      <c r="L1162" t="e">
        <f>VLOOKUP(B1162,ubah!$B$2:$L$234,4,FALSE)</f>
        <v>#N/A</v>
      </c>
      <c r="M1162" t="e">
        <f>VLOOKUP(B1162,ubah!$B$2:$L$234,5,FALSE)</f>
        <v>#N/A</v>
      </c>
      <c r="N1162" t="e">
        <f>VLOOKUP(B1162,ubah!$B$2:$L$234,6,FALSE)</f>
        <v>#N/A</v>
      </c>
    </row>
    <row r="1163" spans="1:14" hidden="1" x14ac:dyDescent="0.35">
      <c r="A1163" s="21">
        <v>570591</v>
      </c>
      <c r="B1163" s="22" t="str">
        <f>"3329092008950007"</f>
        <v>3329092008950007</v>
      </c>
      <c r="C1163" s="22" t="str">
        <f t="shared" si="36"/>
        <v>'3329092008950007</v>
      </c>
      <c r="D1163" s="22" t="str">
        <f t="shared" si="37"/>
        <v>ganda</v>
      </c>
      <c r="E1163" s="22" t="s">
        <v>2700</v>
      </c>
      <c r="F1163" s="22" t="s">
        <v>10</v>
      </c>
      <c r="G1163" s="22" t="s">
        <v>11</v>
      </c>
      <c r="H1163" s="22" t="s">
        <v>18</v>
      </c>
      <c r="I1163" s="22" t="s">
        <v>264</v>
      </c>
      <c r="J1163" s="22" t="s">
        <v>264</v>
      </c>
      <c r="K1163" s="23" t="s">
        <v>1406</v>
      </c>
    </row>
    <row r="1164" spans="1:14" hidden="1" x14ac:dyDescent="0.35">
      <c r="A1164" s="21">
        <v>2540729</v>
      </c>
      <c r="B1164" s="22" t="str">
        <f>"3329092008950007"</f>
        <v>3329092008950007</v>
      </c>
      <c r="C1164" s="22" t="str">
        <f t="shared" si="36"/>
        <v>'3329092008950007</v>
      </c>
      <c r="D1164" s="22" t="str">
        <f t="shared" si="37"/>
        <v>ganda</v>
      </c>
      <c r="E1164" s="22" t="s">
        <v>2701</v>
      </c>
      <c r="F1164" s="22" t="s">
        <v>10</v>
      </c>
      <c r="G1164" s="22" t="s">
        <v>57</v>
      </c>
      <c r="H1164" s="22" t="s">
        <v>18</v>
      </c>
      <c r="I1164" s="22" t="s">
        <v>19</v>
      </c>
      <c r="J1164" s="22" t="s">
        <v>1394</v>
      </c>
      <c r="K1164" s="23" t="s">
        <v>1395</v>
      </c>
      <c r="L1164" t="e">
        <f>VLOOKUP(B1164,ubah!$B$2:$L$234,4,FALSE)</f>
        <v>#N/A</v>
      </c>
      <c r="M1164" t="e">
        <f>VLOOKUP(B1164,ubah!$B$2:$L$234,5,FALSE)</f>
        <v>#N/A</v>
      </c>
      <c r="N1164" t="e">
        <f>VLOOKUP(B1164,ubah!$B$2:$L$234,6,FALSE)</f>
        <v>#N/A</v>
      </c>
    </row>
    <row r="1165" spans="1:14" hidden="1" x14ac:dyDescent="0.35">
      <c r="A1165" s="21">
        <v>1146702</v>
      </c>
      <c r="B1165" s="22" t="str">
        <f>"3329092508000005"</f>
        <v>3329092508000005</v>
      </c>
      <c r="C1165" s="22" t="str">
        <f t="shared" si="36"/>
        <v>'3329092508000005</v>
      </c>
      <c r="D1165" s="22" t="str">
        <f t="shared" si="37"/>
        <v>ganda</v>
      </c>
      <c r="E1165" s="22" t="s">
        <v>2702</v>
      </c>
      <c r="F1165" s="22" t="s">
        <v>10</v>
      </c>
      <c r="G1165" s="22" t="s">
        <v>11</v>
      </c>
      <c r="H1165" s="22" t="s">
        <v>18</v>
      </c>
      <c r="I1165" s="22" t="s">
        <v>264</v>
      </c>
      <c r="J1165" s="22" t="s">
        <v>264</v>
      </c>
      <c r="K1165" s="23" t="s">
        <v>2695</v>
      </c>
    </row>
    <row r="1166" spans="1:14" hidden="1" x14ac:dyDescent="0.35">
      <c r="A1166" s="21">
        <v>2540829</v>
      </c>
      <c r="B1166" s="22" t="str">
        <f>"3329092508000005"</f>
        <v>3329092508000005</v>
      </c>
      <c r="C1166" s="22" t="str">
        <f t="shared" si="36"/>
        <v>'3329092508000005</v>
      </c>
      <c r="D1166" s="22" t="str">
        <f t="shared" si="37"/>
        <v>ganda</v>
      </c>
      <c r="E1166" s="22" t="s">
        <v>2703</v>
      </c>
      <c r="F1166" s="22" t="s">
        <v>10</v>
      </c>
      <c r="G1166" s="22" t="s">
        <v>57</v>
      </c>
      <c r="H1166" s="22" t="s">
        <v>18</v>
      </c>
      <c r="I1166" s="22" t="s">
        <v>19</v>
      </c>
      <c r="J1166" s="22" t="s">
        <v>1394</v>
      </c>
      <c r="K1166" s="23" t="s">
        <v>1395</v>
      </c>
      <c r="L1166" t="e">
        <f>VLOOKUP(B1166,ubah!$B$2:$L$234,4,FALSE)</f>
        <v>#N/A</v>
      </c>
      <c r="M1166" t="e">
        <f>VLOOKUP(B1166,ubah!$B$2:$L$234,5,FALSE)</f>
        <v>#N/A</v>
      </c>
      <c r="N1166" t="e">
        <f>VLOOKUP(B1166,ubah!$B$2:$L$234,6,FALSE)</f>
        <v>#N/A</v>
      </c>
    </row>
    <row r="1167" spans="1:14" hidden="1" x14ac:dyDescent="0.35">
      <c r="A1167" s="21">
        <v>2540912</v>
      </c>
      <c r="B1167" s="22" t="str">
        <f>"3329092709930001"</f>
        <v>3329092709930001</v>
      </c>
      <c r="C1167" s="22" t="str">
        <f t="shared" si="36"/>
        <v>'3329092709930001</v>
      </c>
      <c r="D1167" s="22" t="str">
        <f t="shared" si="37"/>
        <v>tidak ganda</v>
      </c>
      <c r="E1167" s="22" t="s">
        <v>2705</v>
      </c>
      <c r="F1167" s="22" t="s">
        <v>10</v>
      </c>
      <c r="G1167" s="22" t="s">
        <v>57</v>
      </c>
      <c r="H1167" s="22" t="s">
        <v>18</v>
      </c>
      <c r="I1167" s="22" t="s">
        <v>19</v>
      </c>
      <c r="J1167" s="22" t="s">
        <v>1394</v>
      </c>
      <c r="K1167" s="23" t="s">
        <v>1395</v>
      </c>
      <c r="L1167" t="e">
        <f>VLOOKUP(B1167,ubah!$B$2:$L$234,4,FALSE)</f>
        <v>#N/A</v>
      </c>
      <c r="M1167" t="e">
        <f>VLOOKUP(B1167,ubah!$B$2:$L$234,5,FALSE)</f>
        <v>#N/A</v>
      </c>
      <c r="N1167" t="e">
        <f>VLOOKUP(B1167,ubah!$B$2:$L$234,6,FALSE)</f>
        <v>#N/A</v>
      </c>
    </row>
    <row r="1168" spans="1:14" hidden="1" x14ac:dyDescent="0.35">
      <c r="A1168" s="21">
        <v>1467775</v>
      </c>
      <c r="B1168" s="22" t="str">
        <f>"3329101710880009"</f>
        <v>3329101710880009</v>
      </c>
      <c r="C1168" s="22" t="str">
        <f t="shared" si="36"/>
        <v>'3329101710880009</v>
      </c>
      <c r="D1168" s="22" t="str">
        <f t="shared" si="37"/>
        <v>ganda</v>
      </c>
      <c r="E1168" s="22" t="s">
        <v>2706</v>
      </c>
      <c r="F1168" s="22" t="s">
        <v>10</v>
      </c>
      <c r="G1168" s="22" t="s">
        <v>11</v>
      </c>
      <c r="H1168" s="22" t="s">
        <v>18</v>
      </c>
      <c r="I1168" s="22" t="s">
        <v>264</v>
      </c>
      <c r="J1168" s="22" t="s">
        <v>273</v>
      </c>
      <c r="K1168" s="23" t="s">
        <v>2080</v>
      </c>
    </row>
    <row r="1169" spans="1:14" hidden="1" x14ac:dyDescent="0.35">
      <c r="A1169" s="21">
        <v>2540772</v>
      </c>
      <c r="B1169" s="22" t="str">
        <f>"3329101710880009"</f>
        <v>3329101710880009</v>
      </c>
      <c r="C1169" s="22" t="str">
        <f t="shared" si="36"/>
        <v>'3329101710880009</v>
      </c>
      <c r="D1169" s="22" t="str">
        <f t="shared" si="37"/>
        <v>ganda</v>
      </c>
      <c r="E1169" s="22" t="s">
        <v>2707</v>
      </c>
      <c r="F1169" s="22" t="s">
        <v>10</v>
      </c>
      <c r="G1169" s="22" t="s">
        <v>57</v>
      </c>
      <c r="H1169" s="22" t="s">
        <v>18</v>
      </c>
      <c r="I1169" s="22" t="s">
        <v>19</v>
      </c>
      <c r="J1169" s="22" t="s">
        <v>1394</v>
      </c>
      <c r="K1169" s="23" t="s">
        <v>1395</v>
      </c>
      <c r="L1169" t="e">
        <f>VLOOKUP(B1169,ubah!$B$2:$L$234,4,FALSE)</f>
        <v>#N/A</v>
      </c>
      <c r="M1169" t="e">
        <f>VLOOKUP(B1169,ubah!$B$2:$L$234,5,FALSE)</f>
        <v>#N/A</v>
      </c>
      <c r="N1169" t="e">
        <f>VLOOKUP(B1169,ubah!$B$2:$L$234,6,FALSE)</f>
        <v>#N/A</v>
      </c>
    </row>
    <row r="1170" spans="1:14" hidden="1" x14ac:dyDescent="0.35">
      <c r="A1170" s="21">
        <v>1519797</v>
      </c>
      <c r="B1170" s="22" t="str">
        <f>"3329102812900003"</f>
        <v>3329102812900003</v>
      </c>
      <c r="C1170" s="22" t="str">
        <f t="shared" si="36"/>
        <v>'3329102812900003</v>
      </c>
      <c r="D1170" s="22" t="str">
        <f t="shared" si="37"/>
        <v>ganda</v>
      </c>
      <c r="E1170" s="22" t="s">
        <v>2708</v>
      </c>
      <c r="F1170" s="22" t="s">
        <v>10</v>
      </c>
      <c r="G1170" s="22" t="s">
        <v>11</v>
      </c>
      <c r="H1170" s="22" t="s">
        <v>18</v>
      </c>
      <c r="I1170" s="22" t="s">
        <v>264</v>
      </c>
      <c r="J1170" s="22" t="s">
        <v>273</v>
      </c>
      <c r="K1170" s="23" t="s">
        <v>2709</v>
      </c>
    </row>
    <row r="1171" spans="1:14" hidden="1" x14ac:dyDescent="0.35">
      <c r="A1171" s="21">
        <v>2540842</v>
      </c>
      <c r="B1171" s="22" t="str">
        <f>"3329102812900003"</f>
        <v>3329102812900003</v>
      </c>
      <c r="C1171" s="22" t="str">
        <f t="shared" si="36"/>
        <v>'3329102812900003</v>
      </c>
      <c r="D1171" s="22" t="str">
        <f t="shared" si="37"/>
        <v>ganda</v>
      </c>
      <c r="E1171" s="22" t="s">
        <v>2710</v>
      </c>
      <c r="F1171" s="22" t="s">
        <v>10</v>
      </c>
      <c r="G1171" s="22" t="s">
        <v>57</v>
      </c>
      <c r="H1171" s="22" t="s">
        <v>18</v>
      </c>
      <c r="I1171" s="22" t="s">
        <v>19</v>
      </c>
      <c r="J1171" s="22" t="s">
        <v>1394</v>
      </c>
      <c r="K1171" s="23" t="s">
        <v>1395</v>
      </c>
      <c r="L1171" t="e">
        <f>VLOOKUP(B1171,ubah!$B$2:$L$234,4,FALSE)</f>
        <v>#N/A</v>
      </c>
      <c r="M1171" t="e">
        <f>VLOOKUP(B1171,ubah!$B$2:$L$234,5,FALSE)</f>
        <v>#N/A</v>
      </c>
      <c r="N1171" t="e">
        <f>VLOOKUP(B1171,ubah!$B$2:$L$234,6,FALSE)</f>
        <v>#N/A</v>
      </c>
    </row>
    <row r="1172" spans="1:14" hidden="1" x14ac:dyDescent="0.35">
      <c r="A1172" s="21">
        <v>1461214</v>
      </c>
      <c r="B1172" s="22" t="str">
        <f>"3329104703890008"</f>
        <v>3329104703890008</v>
      </c>
      <c r="C1172" s="22" t="str">
        <f t="shared" si="36"/>
        <v>'3329104703890008</v>
      </c>
      <c r="D1172" s="22" t="str">
        <f t="shared" si="37"/>
        <v>tidak ganda</v>
      </c>
      <c r="E1172" s="22" t="s">
        <v>2711</v>
      </c>
      <c r="F1172" s="22" t="s">
        <v>10</v>
      </c>
      <c r="G1172" s="22" t="s">
        <v>11</v>
      </c>
      <c r="H1172" s="22" t="s">
        <v>18</v>
      </c>
      <c r="I1172" s="22" t="s">
        <v>264</v>
      </c>
      <c r="J1172" s="22" t="s">
        <v>273</v>
      </c>
      <c r="K1172" s="23" t="s">
        <v>2083</v>
      </c>
    </row>
    <row r="1173" spans="1:14" hidden="1" x14ac:dyDescent="0.35">
      <c r="A1173" s="21">
        <v>409597</v>
      </c>
      <c r="B1173" s="22" t="str">
        <f>"3329140107750392"</f>
        <v>3329140107750392</v>
      </c>
      <c r="C1173" s="22" t="str">
        <f t="shared" si="36"/>
        <v>'3329140107750392</v>
      </c>
      <c r="D1173" s="22" t="str">
        <f t="shared" si="37"/>
        <v>tidak ganda</v>
      </c>
      <c r="E1173" s="22" t="s">
        <v>2712</v>
      </c>
      <c r="F1173" s="22" t="s">
        <v>10</v>
      </c>
      <c r="G1173" s="22" t="s">
        <v>11</v>
      </c>
      <c r="H1173" s="22" t="s">
        <v>18</v>
      </c>
      <c r="I1173" s="22" t="s">
        <v>264</v>
      </c>
      <c r="J1173" s="22" t="s">
        <v>477</v>
      </c>
      <c r="K1173" s="23" t="s">
        <v>2091</v>
      </c>
    </row>
    <row r="1174" spans="1:14" hidden="1" x14ac:dyDescent="0.35">
      <c r="A1174" s="21">
        <v>389522</v>
      </c>
      <c r="B1174" s="22" t="str">
        <f>"3329141208970004"</f>
        <v>3329141208970004</v>
      </c>
      <c r="C1174" s="22" t="str">
        <f t="shared" si="36"/>
        <v>'3329141208970004</v>
      </c>
      <c r="D1174" s="22" t="str">
        <f t="shared" si="37"/>
        <v>tidak ganda</v>
      </c>
      <c r="E1174" s="22" t="s">
        <v>2713</v>
      </c>
      <c r="F1174" s="22" t="s">
        <v>10</v>
      </c>
      <c r="G1174" s="22" t="s">
        <v>11</v>
      </c>
      <c r="H1174" s="22" t="s">
        <v>18</v>
      </c>
      <c r="I1174" s="22" t="s">
        <v>264</v>
      </c>
      <c r="J1174" s="22" t="s">
        <v>477</v>
      </c>
      <c r="K1174" s="23" t="s">
        <v>2714</v>
      </c>
    </row>
    <row r="1175" spans="1:14" hidden="1" x14ac:dyDescent="0.35">
      <c r="A1175" s="21">
        <v>718970</v>
      </c>
      <c r="B1175" s="22" t="str">
        <f>"3329151007940021"</f>
        <v>3329151007940021</v>
      </c>
      <c r="C1175" s="22" t="str">
        <f t="shared" si="36"/>
        <v>'3329151007940021</v>
      </c>
      <c r="D1175" s="22" t="str">
        <f t="shared" si="37"/>
        <v>ganda</v>
      </c>
      <c r="E1175" s="22" t="s">
        <v>2715</v>
      </c>
      <c r="F1175" s="22" t="s">
        <v>10</v>
      </c>
      <c r="G1175" s="22" t="s">
        <v>11</v>
      </c>
      <c r="H1175" s="22" t="s">
        <v>18</v>
      </c>
      <c r="I1175" s="22" t="s">
        <v>264</v>
      </c>
      <c r="J1175" s="22" t="s">
        <v>330</v>
      </c>
      <c r="K1175" s="23" t="s">
        <v>2093</v>
      </c>
    </row>
    <row r="1176" spans="1:14" hidden="1" x14ac:dyDescent="0.35">
      <c r="A1176" s="21">
        <v>2540891</v>
      </c>
      <c r="B1176" s="22" t="str">
        <f>"3329151007940021"</f>
        <v>3329151007940021</v>
      </c>
      <c r="C1176" s="22" t="str">
        <f t="shared" si="36"/>
        <v>'3329151007940021</v>
      </c>
      <c r="D1176" s="22" t="str">
        <f t="shared" si="37"/>
        <v>ganda</v>
      </c>
      <c r="E1176" s="22" t="s">
        <v>2716</v>
      </c>
      <c r="F1176" s="22" t="s">
        <v>10</v>
      </c>
      <c r="G1176" s="22" t="s">
        <v>57</v>
      </c>
      <c r="H1176" s="22" t="s">
        <v>18</v>
      </c>
      <c r="I1176" s="22" t="s">
        <v>19</v>
      </c>
      <c r="J1176" s="22" t="s">
        <v>1394</v>
      </c>
      <c r="K1176" s="23" t="s">
        <v>1395</v>
      </c>
      <c r="L1176" t="e">
        <f>VLOOKUP(B1176,ubah!$B$2:$L$234,4,FALSE)</f>
        <v>#N/A</v>
      </c>
      <c r="M1176" t="e">
        <f>VLOOKUP(B1176,ubah!$B$2:$L$234,5,FALSE)</f>
        <v>#N/A</v>
      </c>
      <c r="N1176" t="e">
        <f>VLOOKUP(B1176,ubah!$B$2:$L$234,6,FALSE)</f>
        <v>#N/A</v>
      </c>
    </row>
    <row r="1177" spans="1:14" hidden="1" x14ac:dyDescent="0.35">
      <c r="A1177" s="21">
        <v>719011</v>
      </c>
      <c r="B1177" s="22" t="str">
        <f>"3329151210920003"</f>
        <v>3329151210920003</v>
      </c>
      <c r="C1177" s="22" t="str">
        <f t="shared" si="36"/>
        <v>'3329151210920003</v>
      </c>
      <c r="D1177" s="22" t="str">
        <f t="shared" si="37"/>
        <v>ganda</v>
      </c>
      <c r="E1177" s="22" t="s">
        <v>2717</v>
      </c>
      <c r="F1177" s="22" t="s">
        <v>10</v>
      </c>
      <c r="G1177" s="22" t="s">
        <v>11</v>
      </c>
      <c r="H1177" s="22" t="s">
        <v>18</v>
      </c>
      <c r="I1177" s="22" t="s">
        <v>264</v>
      </c>
      <c r="J1177" s="22" t="s">
        <v>330</v>
      </c>
      <c r="K1177" s="23" t="s">
        <v>2093</v>
      </c>
    </row>
    <row r="1178" spans="1:14" hidden="1" x14ac:dyDescent="0.35">
      <c r="A1178" s="21">
        <v>2540906</v>
      </c>
      <c r="B1178" s="22" t="str">
        <f>"3329151210920003"</f>
        <v>3329151210920003</v>
      </c>
      <c r="C1178" s="22" t="str">
        <f t="shared" si="36"/>
        <v>'3329151210920003</v>
      </c>
      <c r="D1178" s="22" t="str">
        <f t="shared" si="37"/>
        <v>ganda</v>
      </c>
      <c r="E1178" s="22" t="s">
        <v>2718</v>
      </c>
      <c r="F1178" s="22" t="s">
        <v>10</v>
      </c>
      <c r="G1178" s="22" t="s">
        <v>57</v>
      </c>
      <c r="H1178" s="22" t="s">
        <v>18</v>
      </c>
      <c r="I1178" s="22" t="s">
        <v>19</v>
      </c>
      <c r="J1178" s="22" t="s">
        <v>1394</v>
      </c>
      <c r="K1178" s="23" t="s">
        <v>1395</v>
      </c>
      <c r="L1178" t="e">
        <f>VLOOKUP(B1178,ubah!$B$2:$L$234,4,FALSE)</f>
        <v>#N/A</v>
      </c>
      <c r="M1178" t="e">
        <f>VLOOKUP(B1178,ubah!$B$2:$L$234,5,FALSE)</f>
        <v>#N/A</v>
      </c>
      <c r="N1178" t="e">
        <f>VLOOKUP(B1178,ubah!$B$2:$L$234,6,FALSE)</f>
        <v>#N/A</v>
      </c>
    </row>
    <row r="1179" spans="1:14" hidden="1" x14ac:dyDescent="0.35">
      <c r="A1179" s="21">
        <v>907250</v>
      </c>
      <c r="B1179" s="22" t="str">
        <f>"3329151507930005"</f>
        <v>3329151507930005</v>
      </c>
      <c r="C1179" s="22" t="str">
        <f t="shared" si="36"/>
        <v>'3329151507930005</v>
      </c>
      <c r="D1179" s="22" t="str">
        <f t="shared" si="37"/>
        <v>ganda</v>
      </c>
      <c r="E1179" s="22" t="s">
        <v>2719</v>
      </c>
      <c r="F1179" s="22" t="s">
        <v>10</v>
      </c>
      <c r="G1179" s="22" t="s">
        <v>11</v>
      </c>
      <c r="H1179" s="22" t="s">
        <v>18</v>
      </c>
      <c r="I1179" s="22" t="s">
        <v>264</v>
      </c>
      <c r="J1179" s="22" t="s">
        <v>330</v>
      </c>
      <c r="K1179" s="23" t="s">
        <v>2720</v>
      </c>
    </row>
    <row r="1180" spans="1:14" hidden="1" x14ac:dyDescent="0.35">
      <c r="A1180" s="21">
        <v>2540678</v>
      </c>
      <c r="B1180" s="22" t="str">
        <f>"3329151507930005"</f>
        <v>3329151507930005</v>
      </c>
      <c r="C1180" s="22" t="str">
        <f t="shared" si="36"/>
        <v>'3329151507930005</v>
      </c>
      <c r="D1180" s="22" t="str">
        <f t="shared" si="37"/>
        <v>ganda</v>
      </c>
      <c r="E1180" s="22" t="s">
        <v>2721</v>
      </c>
      <c r="F1180" s="22" t="s">
        <v>10</v>
      </c>
      <c r="G1180" s="22" t="s">
        <v>57</v>
      </c>
      <c r="H1180" s="22" t="s">
        <v>18</v>
      </c>
      <c r="I1180" s="22" t="s">
        <v>19</v>
      </c>
      <c r="J1180" s="22" t="s">
        <v>1394</v>
      </c>
      <c r="K1180" s="23" t="s">
        <v>1395</v>
      </c>
      <c r="L1180" t="e">
        <f>VLOOKUP(B1180,ubah!$B$2:$L$234,4,FALSE)</f>
        <v>#N/A</v>
      </c>
      <c r="M1180" t="e">
        <f>VLOOKUP(B1180,ubah!$B$2:$L$234,5,FALSE)</f>
        <v>#N/A</v>
      </c>
      <c r="N1180" t="e">
        <f>VLOOKUP(B1180,ubah!$B$2:$L$234,6,FALSE)</f>
        <v>#N/A</v>
      </c>
    </row>
    <row r="1181" spans="1:14" hidden="1" x14ac:dyDescent="0.35">
      <c r="A1181" s="21">
        <v>805703</v>
      </c>
      <c r="B1181" s="22" t="str">
        <f>"3329162707810004"</f>
        <v>3329162707810004</v>
      </c>
      <c r="C1181" s="22" t="str">
        <f t="shared" si="36"/>
        <v>'3329162707810004</v>
      </c>
      <c r="D1181" s="22" t="str">
        <f t="shared" si="37"/>
        <v>ganda</v>
      </c>
      <c r="E1181" s="22" t="s">
        <v>71</v>
      </c>
      <c r="F1181" s="22" t="s">
        <v>10</v>
      </c>
      <c r="G1181" s="22" t="s">
        <v>11</v>
      </c>
      <c r="H1181" s="22" t="s">
        <v>18</v>
      </c>
      <c r="I1181" s="22" t="s">
        <v>264</v>
      </c>
      <c r="J1181" s="22" t="s">
        <v>344</v>
      </c>
      <c r="K1181" s="23" t="s">
        <v>344</v>
      </c>
    </row>
    <row r="1182" spans="1:14" hidden="1" x14ac:dyDescent="0.35">
      <c r="A1182" s="21">
        <v>2540913</v>
      </c>
      <c r="B1182" s="22" t="str">
        <f>"3329162707810004"</f>
        <v>3329162707810004</v>
      </c>
      <c r="C1182" s="22" t="str">
        <f t="shared" si="36"/>
        <v>'3329162707810004</v>
      </c>
      <c r="D1182" s="22" t="str">
        <f t="shared" si="37"/>
        <v>ganda</v>
      </c>
      <c r="E1182" s="22" t="s">
        <v>2722</v>
      </c>
      <c r="F1182" s="22" t="s">
        <v>10</v>
      </c>
      <c r="G1182" s="22" t="s">
        <v>57</v>
      </c>
      <c r="H1182" s="22" t="s">
        <v>18</v>
      </c>
      <c r="I1182" s="22" t="s">
        <v>19</v>
      </c>
      <c r="J1182" s="22" t="s">
        <v>1394</v>
      </c>
      <c r="K1182" s="23" t="s">
        <v>1395</v>
      </c>
      <c r="L1182" t="e">
        <f>VLOOKUP(B1182,ubah!$B$2:$L$234,4,FALSE)</f>
        <v>#N/A</v>
      </c>
      <c r="M1182" t="e">
        <f>VLOOKUP(B1182,ubah!$B$2:$L$234,5,FALSE)</f>
        <v>#N/A</v>
      </c>
      <c r="N1182" t="e">
        <f>VLOOKUP(B1182,ubah!$B$2:$L$234,6,FALSE)</f>
        <v>#N/A</v>
      </c>
    </row>
    <row r="1183" spans="1:14" hidden="1" x14ac:dyDescent="0.35">
      <c r="A1183" s="21">
        <v>175100</v>
      </c>
      <c r="B1183" s="22" t="str">
        <f>"3371022606710003"</f>
        <v>3371022606710003</v>
      </c>
      <c r="C1183" s="22" t="str">
        <f t="shared" si="36"/>
        <v>'3371022606710003</v>
      </c>
      <c r="D1183" s="22" t="str">
        <f t="shared" si="37"/>
        <v>tidak ganda</v>
      </c>
      <c r="E1183" s="22" t="s">
        <v>2723</v>
      </c>
      <c r="F1183" s="22" t="s">
        <v>10</v>
      </c>
      <c r="G1183" s="22" t="s">
        <v>11</v>
      </c>
      <c r="H1183" s="22" t="s">
        <v>18</v>
      </c>
      <c r="I1183" s="22" t="s">
        <v>298</v>
      </c>
      <c r="J1183" s="22" t="s">
        <v>2724</v>
      </c>
      <c r="K1183" s="23" t="s">
        <v>2725</v>
      </c>
    </row>
    <row r="1184" spans="1:14" hidden="1" x14ac:dyDescent="0.35">
      <c r="A1184" s="21">
        <v>352401</v>
      </c>
      <c r="B1184" s="22" t="str">
        <f>"3372042201970004"</f>
        <v>3372042201970004</v>
      </c>
      <c r="C1184" s="22" t="str">
        <f t="shared" si="36"/>
        <v>'3372042201970004</v>
      </c>
      <c r="D1184" s="22" t="str">
        <f t="shared" si="37"/>
        <v>ganda</v>
      </c>
      <c r="E1184" s="22" t="s">
        <v>2727</v>
      </c>
      <c r="F1184" s="22" t="s">
        <v>10</v>
      </c>
      <c r="G1184" s="22" t="s">
        <v>11</v>
      </c>
      <c r="H1184" s="22" t="s">
        <v>18</v>
      </c>
      <c r="I1184" s="22" t="s">
        <v>2389</v>
      </c>
      <c r="J1184" s="22" t="s">
        <v>2728</v>
      </c>
      <c r="K1184" s="23" t="s">
        <v>2729</v>
      </c>
    </row>
    <row r="1185" spans="1:14" hidden="1" x14ac:dyDescent="0.35">
      <c r="A1185" s="21">
        <v>2540775</v>
      </c>
      <c r="B1185" s="22" t="str">
        <f>"3372042201970004"</f>
        <v>3372042201970004</v>
      </c>
      <c r="C1185" s="22" t="str">
        <f t="shared" si="36"/>
        <v>'3372042201970004</v>
      </c>
      <c r="D1185" s="22" t="str">
        <f t="shared" si="37"/>
        <v>ganda</v>
      </c>
      <c r="E1185" s="22" t="s">
        <v>2730</v>
      </c>
      <c r="F1185" s="22" t="s">
        <v>10</v>
      </c>
      <c r="G1185" s="22" t="s">
        <v>57</v>
      </c>
      <c r="H1185" s="22" t="s">
        <v>18</v>
      </c>
      <c r="I1185" s="22" t="s">
        <v>19</v>
      </c>
      <c r="J1185" s="22" t="s">
        <v>1394</v>
      </c>
      <c r="K1185" s="23" t="s">
        <v>1395</v>
      </c>
      <c r="L1185" t="e">
        <f>VLOOKUP(B1185,ubah!$B$2:$L$234,4,FALSE)</f>
        <v>#N/A</v>
      </c>
      <c r="M1185" t="e">
        <f>VLOOKUP(B1185,ubah!$B$2:$L$234,5,FALSE)</f>
        <v>#N/A</v>
      </c>
      <c r="N1185" t="e">
        <f>VLOOKUP(B1185,ubah!$B$2:$L$234,6,FALSE)</f>
        <v>#N/A</v>
      </c>
    </row>
    <row r="1186" spans="1:14" hidden="1" x14ac:dyDescent="0.35">
      <c r="A1186" s="21">
        <v>1860271</v>
      </c>
      <c r="B1186" s="22" t="str">
        <f>"3374050204850005"</f>
        <v>3374050204850005</v>
      </c>
      <c r="C1186" s="22" t="str">
        <f t="shared" si="36"/>
        <v>'3374050204850005</v>
      </c>
      <c r="D1186" s="22" t="str">
        <f t="shared" si="37"/>
        <v>ganda</v>
      </c>
      <c r="E1186" s="22" t="s">
        <v>2731</v>
      </c>
      <c r="F1186" s="22" t="s">
        <v>10</v>
      </c>
      <c r="G1186" s="22" t="s">
        <v>11</v>
      </c>
      <c r="H1186" s="22" t="s">
        <v>18</v>
      </c>
      <c r="I1186" s="22" t="s">
        <v>1438</v>
      </c>
      <c r="J1186" s="22" t="s">
        <v>2732</v>
      </c>
      <c r="K1186" s="23" t="s">
        <v>2733</v>
      </c>
    </row>
    <row r="1187" spans="1:14" hidden="1" x14ac:dyDescent="0.35">
      <c r="A1187" s="21">
        <v>2540672</v>
      </c>
      <c r="B1187" s="22" t="str">
        <f>"3374050204850005"</f>
        <v>3374050204850005</v>
      </c>
      <c r="C1187" s="22" t="str">
        <f t="shared" si="36"/>
        <v>'3374050204850005</v>
      </c>
      <c r="D1187" s="22" t="str">
        <f t="shared" si="37"/>
        <v>ganda</v>
      </c>
      <c r="E1187" s="22" t="s">
        <v>2734</v>
      </c>
      <c r="F1187" s="22" t="s">
        <v>10</v>
      </c>
      <c r="G1187" s="22" t="s">
        <v>57</v>
      </c>
      <c r="H1187" s="22" t="s">
        <v>18</v>
      </c>
      <c r="I1187" s="22" t="s">
        <v>19</v>
      </c>
      <c r="J1187" s="22" t="s">
        <v>1394</v>
      </c>
      <c r="K1187" s="23" t="s">
        <v>1395</v>
      </c>
      <c r="L1187" t="e">
        <f>VLOOKUP(B1187,ubah!$B$2:$L$234,4,FALSE)</f>
        <v>#N/A</v>
      </c>
      <c r="M1187" t="e">
        <f>VLOOKUP(B1187,ubah!$B$2:$L$234,5,FALSE)</f>
        <v>#N/A</v>
      </c>
      <c r="N1187" t="e">
        <f>VLOOKUP(B1187,ubah!$B$2:$L$234,6,FALSE)</f>
        <v>#N/A</v>
      </c>
    </row>
    <row r="1188" spans="1:14" hidden="1" x14ac:dyDescent="0.35">
      <c r="A1188" s="21">
        <v>1860641</v>
      </c>
      <c r="B1188" s="22" t="str">
        <f>"3374050703690001"</f>
        <v>3374050703690001</v>
      </c>
      <c r="C1188" s="22" t="str">
        <f t="shared" si="36"/>
        <v>'3374050703690001</v>
      </c>
      <c r="D1188" s="22" t="str">
        <f t="shared" si="37"/>
        <v>tidak ganda</v>
      </c>
      <c r="E1188" s="22" t="s">
        <v>2735</v>
      </c>
      <c r="F1188" s="22" t="s">
        <v>10</v>
      </c>
      <c r="G1188" s="22" t="s">
        <v>11</v>
      </c>
      <c r="H1188" s="22" t="s">
        <v>18</v>
      </c>
      <c r="I1188" s="22" t="s">
        <v>1438</v>
      </c>
      <c r="J1188" s="22" t="s">
        <v>2732</v>
      </c>
      <c r="K1188" s="23" t="s">
        <v>2733</v>
      </c>
    </row>
    <row r="1189" spans="1:14" hidden="1" x14ac:dyDescent="0.35">
      <c r="A1189" s="21">
        <v>1904015</v>
      </c>
      <c r="B1189" s="22" t="str">
        <f>"3374061003630007"</f>
        <v>3374061003630007</v>
      </c>
      <c r="C1189" s="22" t="str">
        <f t="shared" si="36"/>
        <v>'3374061003630007</v>
      </c>
      <c r="D1189" s="22" t="str">
        <f t="shared" si="37"/>
        <v>ganda</v>
      </c>
      <c r="E1189" s="22" t="s">
        <v>2737</v>
      </c>
      <c r="F1189" s="22" t="s">
        <v>10</v>
      </c>
      <c r="G1189" s="22" t="s">
        <v>11</v>
      </c>
      <c r="H1189" s="22" t="s">
        <v>18</v>
      </c>
      <c r="I1189" s="22" t="s">
        <v>1438</v>
      </c>
      <c r="J1189" s="22" t="s">
        <v>2738</v>
      </c>
      <c r="K1189" s="23" t="s">
        <v>2739</v>
      </c>
    </row>
    <row r="1190" spans="1:14" hidden="1" x14ac:dyDescent="0.35">
      <c r="A1190" s="21">
        <v>2540722</v>
      </c>
      <c r="B1190" s="22" t="str">
        <f>"3374061003630007"</f>
        <v>3374061003630007</v>
      </c>
      <c r="C1190" s="22" t="str">
        <f t="shared" si="36"/>
        <v>'3374061003630007</v>
      </c>
      <c r="D1190" s="22" t="str">
        <f t="shared" si="37"/>
        <v>ganda</v>
      </c>
      <c r="E1190" s="22" t="s">
        <v>2740</v>
      </c>
      <c r="F1190" s="22" t="s">
        <v>10</v>
      </c>
      <c r="G1190" s="22" t="s">
        <v>57</v>
      </c>
      <c r="H1190" s="22" t="s">
        <v>18</v>
      </c>
      <c r="I1190" s="22" t="s">
        <v>19</v>
      </c>
      <c r="J1190" s="22" t="s">
        <v>1394</v>
      </c>
      <c r="K1190" s="23" t="s">
        <v>1395</v>
      </c>
      <c r="L1190" t="e">
        <f>VLOOKUP(B1190,ubah!$B$2:$L$234,4,FALSE)</f>
        <v>#N/A</v>
      </c>
      <c r="M1190" t="e">
        <f>VLOOKUP(B1190,ubah!$B$2:$L$234,5,FALSE)</f>
        <v>#N/A</v>
      </c>
      <c r="N1190" t="e">
        <f>VLOOKUP(B1190,ubah!$B$2:$L$234,6,FALSE)</f>
        <v>#N/A</v>
      </c>
    </row>
    <row r="1191" spans="1:14" hidden="1" x14ac:dyDescent="0.35">
      <c r="A1191" s="21">
        <v>2280530</v>
      </c>
      <c r="B1191" s="22" t="str">
        <f>"3374061904700004"</f>
        <v>3374061904700004</v>
      </c>
      <c r="C1191" s="22" t="str">
        <f t="shared" si="36"/>
        <v>'3374061904700004</v>
      </c>
      <c r="D1191" s="22" t="str">
        <f t="shared" si="37"/>
        <v>ganda</v>
      </c>
      <c r="E1191" s="22" t="s">
        <v>2741</v>
      </c>
      <c r="F1191" s="22" t="s">
        <v>10</v>
      </c>
      <c r="G1191" s="22" t="s">
        <v>11</v>
      </c>
      <c r="H1191" s="22" t="s">
        <v>18</v>
      </c>
      <c r="I1191" s="22" t="s">
        <v>1438</v>
      </c>
      <c r="J1191" s="22" t="s">
        <v>2732</v>
      </c>
      <c r="K1191" s="23" t="s">
        <v>2742</v>
      </c>
    </row>
    <row r="1192" spans="1:14" hidden="1" x14ac:dyDescent="0.35">
      <c r="A1192" s="21">
        <v>2540814</v>
      </c>
      <c r="B1192" s="22" t="str">
        <f>"3374061904700004"</f>
        <v>3374061904700004</v>
      </c>
      <c r="C1192" s="22" t="str">
        <f t="shared" si="36"/>
        <v>'3374061904700004</v>
      </c>
      <c r="D1192" s="22" t="str">
        <f t="shared" si="37"/>
        <v>ganda</v>
      </c>
      <c r="E1192" s="22" t="s">
        <v>2743</v>
      </c>
      <c r="F1192" s="22" t="s">
        <v>10</v>
      </c>
      <c r="G1192" s="22" t="s">
        <v>57</v>
      </c>
      <c r="H1192" s="22" t="s">
        <v>18</v>
      </c>
      <c r="I1192" s="22" t="s">
        <v>19</v>
      </c>
      <c r="J1192" s="22" t="s">
        <v>1394</v>
      </c>
      <c r="K1192" s="23" t="s">
        <v>1395</v>
      </c>
      <c r="L1192" t="e">
        <f>VLOOKUP(B1192,ubah!$B$2:$L$234,4,FALSE)</f>
        <v>#N/A</v>
      </c>
      <c r="M1192" t="e">
        <f>VLOOKUP(B1192,ubah!$B$2:$L$234,5,FALSE)</f>
        <v>#N/A</v>
      </c>
      <c r="N1192" t="e">
        <f>VLOOKUP(B1192,ubah!$B$2:$L$234,6,FALSE)</f>
        <v>#N/A</v>
      </c>
    </row>
    <row r="1193" spans="1:14" hidden="1" x14ac:dyDescent="0.35">
      <c r="A1193" s="21">
        <v>2511913</v>
      </c>
      <c r="B1193" s="22" t="str">
        <f>"3374063101910001"</f>
        <v>3374063101910001</v>
      </c>
      <c r="C1193" s="22" t="str">
        <f t="shared" si="36"/>
        <v>'3374063101910001</v>
      </c>
      <c r="D1193" s="22" t="str">
        <f t="shared" si="37"/>
        <v>ganda</v>
      </c>
      <c r="E1193" s="22" t="s">
        <v>2744</v>
      </c>
      <c r="F1193" s="22" t="s">
        <v>10</v>
      </c>
      <c r="G1193" s="22" t="s">
        <v>11</v>
      </c>
      <c r="H1193" s="22" t="s">
        <v>18</v>
      </c>
      <c r="I1193" s="22" t="s">
        <v>1438</v>
      </c>
      <c r="J1193" s="22" t="s">
        <v>2738</v>
      </c>
      <c r="K1193" s="23" t="s">
        <v>2745</v>
      </c>
    </row>
    <row r="1194" spans="1:14" hidden="1" x14ac:dyDescent="0.35">
      <c r="A1194" s="21">
        <v>2540876</v>
      </c>
      <c r="B1194" s="22" t="str">
        <f>"3374063101910001"</f>
        <v>3374063101910001</v>
      </c>
      <c r="C1194" s="22" t="str">
        <f t="shared" si="36"/>
        <v>'3374063101910001</v>
      </c>
      <c r="D1194" s="22" t="str">
        <f t="shared" si="37"/>
        <v>ganda</v>
      </c>
      <c r="E1194" s="22" t="s">
        <v>2746</v>
      </c>
      <c r="F1194" s="22" t="s">
        <v>10</v>
      </c>
      <c r="G1194" s="22" t="s">
        <v>57</v>
      </c>
      <c r="H1194" s="22" t="s">
        <v>18</v>
      </c>
      <c r="I1194" s="22" t="s">
        <v>19</v>
      </c>
      <c r="J1194" s="22" t="s">
        <v>1394</v>
      </c>
      <c r="K1194" s="23" t="s">
        <v>1395</v>
      </c>
      <c r="L1194" t="e">
        <f>VLOOKUP(B1194,ubah!$B$2:$L$234,4,FALSE)</f>
        <v>#N/A</v>
      </c>
      <c r="M1194" t="e">
        <f>VLOOKUP(B1194,ubah!$B$2:$L$234,5,FALSE)</f>
        <v>#N/A</v>
      </c>
      <c r="N1194" t="e">
        <f>VLOOKUP(B1194,ubah!$B$2:$L$234,6,FALSE)</f>
        <v>#N/A</v>
      </c>
    </row>
    <row r="1195" spans="1:14" hidden="1" x14ac:dyDescent="0.35">
      <c r="A1195" s="21">
        <v>1636325</v>
      </c>
      <c r="B1195" s="22" t="str">
        <f>"3374071704720002"</f>
        <v>3374071704720002</v>
      </c>
      <c r="C1195" s="22" t="str">
        <f t="shared" si="36"/>
        <v>'3374071704720002</v>
      </c>
      <c r="D1195" s="22" t="str">
        <f t="shared" si="37"/>
        <v>ganda</v>
      </c>
      <c r="E1195" s="22" t="s">
        <v>2747</v>
      </c>
      <c r="F1195" s="22" t="s">
        <v>10</v>
      </c>
      <c r="G1195" s="22" t="s">
        <v>11</v>
      </c>
      <c r="H1195" s="22" t="s">
        <v>18</v>
      </c>
      <c r="I1195" s="22" t="s">
        <v>1438</v>
      </c>
      <c r="J1195" s="22" t="s">
        <v>2748</v>
      </c>
      <c r="K1195" s="23" t="s">
        <v>2748</v>
      </c>
    </row>
    <row r="1196" spans="1:14" hidden="1" x14ac:dyDescent="0.35">
      <c r="A1196" s="21">
        <v>2540818</v>
      </c>
      <c r="B1196" s="22" t="str">
        <f>"3374071704720002"</f>
        <v>3374071704720002</v>
      </c>
      <c r="C1196" s="22" t="str">
        <f t="shared" si="36"/>
        <v>'3374071704720002</v>
      </c>
      <c r="D1196" s="22" t="str">
        <f t="shared" si="37"/>
        <v>ganda</v>
      </c>
      <c r="E1196" s="22" t="s">
        <v>2749</v>
      </c>
      <c r="F1196" s="22" t="s">
        <v>10</v>
      </c>
      <c r="G1196" s="22" t="s">
        <v>57</v>
      </c>
      <c r="H1196" s="22" t="s">
        <v>18</v>
      </c>
      <c r="I1196" s="22" t="s">
        <v>19</v>
      </c>
      <c r="J1196" s="22" t="s">
        <v>1394</v>
      </c>
      <c r="K1196" s="23" t="s">
        <v>1395</v>
      </c>
      <c r="L1196" t="e">
        <f>VLOOKUP(B1196,ubah!$B$2:$L$234,4,FALSE)</f>
        <v>#N/A</v>
      </c>
      <c r="M1196" t="e">
        <f>VLOOKUP(B1196,ubah!$B$2:$L$234,5,FALSE)</f>
        <v>#N/A</v>
      </c>
      <c r="N1196" t="e">
        <f>VLOOKUP(B1196,ubah!$B$2:$L$234,6,FALSE)</f>
        <v>#N/A</v>
      </c>
    </row>
    <row r="1197" spans="1:14" hidden="1" x14ac:dyDescent="0.35">
      <c r="A1197" s="21">
        <v>1641230</v>
      </c>
      <c r="B1197" s="22" t="str">
        <f>"3374092005870001"</f>
        <v>3374092005870001</v>
      </c>
      <c r="C1197" s="22" t="str">
        <f t="shared" si="36"/>
        <v>'3374092005870001</v>
      </c>
      <c r="D1197" s="22" t="str">
        <f t="shared" si="37"/>
        <v>ganda</v>
      </c>
      <c r="E1197" s="22" t="s">
        <v>2750</v>
      </c>
      <c r="F1197" s="22" t="s">
        <v>10</v>
      </c>
      <c r="G1197" s="22" t="s">
        <v>11</v>
      </c>
      <c r="H1197" s="22" t="s">
        <v>18</v>
      </c>
      <c r="I1197" s="22" t="s">
        <v>1438</v>
      </c>
      <c r="J1197" s="22" t="s">
        <v>2748</v>
      </c>
      <c r="K1197" s="23" t="s">
        <v>2748</v>
      </c>
    </row>
    <row r="1198" spans="1:14" hidden="1" x14ac:dyDescent="0.35">
      <c r="A1198" s="21">
        <v>2540670</v>
      </c>
      <c r="B1198" s="22" t="str">
        <f>"3374092005870001"</f>
        <v>3374092005870001</v>
      </c>
      <c r="C1198" s="22" t="str">
        <f t="shared" si="36"/>
        <v>'3374092005870001</v>
      </c>
      <c r="D1198" s="22" t="str">
        <f t="shared" si="37"/>
        <v>ganda</v>
      </c>
      <c r="E1198" s="22" t="s">
        <v>2751</v>
      </c>
      <c r="F1198" s="22" t="s">
        <v>10</v>
      </c>
      <c r="G1198" s="22" t="s">
        <v>57</v>
      </c>
      <c r="H1198" s="22" t="s">
        <v>18</v>
      </c>
      <c r="I1198" s="22" t="s">
        <v>19</v>
      </c>
      <c r="J1198" s="22" t="s">
        <v>1394</v>
      </c>
      <c r="K1198" s="23" t="s">
        <v>1395</v>
      </c>
      <c r="L1198" t="e">
        <f>VLOOKUP(B1198,ubah!$B$2:$L$234,4,FALSE)</f>
        <v>#N/A</v>
      </c>
      <c r="M1198" t="e">
        <f>VLOOKUP(B1198,ubah!$B$2:$L$234,5,FALSE)</f>
        <v>#N/A</v>
      </c>
      <c r="N1198" t="e">
        <f>VLOOKUP(B1198,ubah!$B$2:$L$234,6,FALSE)</f>
        <v>#N/A</v>
      </c>
    </row>
    <row r="1199" spans="1:14" x14ac:dyDescent="0.35">
      <c r="A1199" s="13">
        <v>2540687</v>
      </c>
      <c r="B1199" s="14" t="str">
        <f>"3375043003880004"</f>
        <v>3375043003880004</v>
      </c>
      <c r="C1199" s="14" t="str">
        <f t="shared" si="36"/>
        <v>'3375043003880004</v>
      </c>
      <c r="D1199" s="14" t="str">
        <f t="shared" si="37"/>
        <v>tidak ganda</v>
      </c>
      <c r="E1199" s="14" t="s">
        <v>2756</v>
      </c>
      <c r="F1199" s="14" t="s">
        <v>10</v>
      </c>
      <c r="G1199" s="14" t="s">
        <v>57</v>
      </c>
      <c r="H1199" s="14" t="s">
        <v>18</v>
      </c>
      <c r="I1199" s="14" t="s">
        <v>19</v>
      </c>
      <c r="J1199" s="14" t="s">
        <v>1394</v>
      </c>
      <c r="K1199" s="15" t="s">
        <v>1395</v>
      </c>
      <c r="L1199" s="16" t="str">
        <f>VLOOKUP(B1199,ubah!$B$2:$L$234,4,FALSE)</f>
        <v>Reguler</v>
      </c>
      <c r="M1199" s="16" t="str">
        <f>VLOOKUP(B1199,ubah!$B$2:$L$234,5,FALSE)</f>
        <v>JAWA TENGAH</v>
      </c>
      <c r="N1199" s="16" t="str">
        <f>VLOOKUP(B1199,ubah!$B$2:$L$234,6,FALSE)</f>
        <v>KOTA PEKALONGAN</v>
      </c>
    </row>
    <row r="1200" spans="1:14" hidden="1" x14ac:dyDescent="0.35">
      <c r="A1200" s="21">
        <v>338328</v>
      </c>
      <c r="B1200" s="22" t="str">
        <f>"3376010206820008"</f>
        <v>3376010206820008</v>
      </c>
      <c r="C1200" s="22" t="str">
        <f t="shared" si="36"/>
        <v>'3376010206820008</v>
      </c>
      <c r="D1200" s="22" t="str">
        <f t="shared" si="37"/>
        <v>ganda</v>
      </c>
      <c r="E1200" s="22" t="s">
        <v>2757</v>
      </c>
      <c r="F1200" s="22" t="s">
        <v>10</v>
      </c>
      <c r="G1200" s="22" t="s">
        <v>11</v>
      </c>
      <c r="H1200" s="22" t="s">
        <v>18</v>
      </c>
      <c r="I1200" s="22" t="s">
        <v>268</v>
      </c>
      <c r="J1200" s="22" t="s">
        <v>277</v>
      </c>
      <c r="K1200" s="23" t="s">
        <v>278</v>
      </c>
    </row>
    <row r="1201" spans="1:14" hidden="1" x14ac:dyDescent="0.35">
      <c r="A1201" s="21">
        <v>2540853</v>
      </c>
      <c r="B1201" s="22" t="str">
        <f>"3376010206820008"</f>
        <v>3376010206820008</v>
      </c>
      <c r="C1201" s="22" t="str">
        <f t="shared" si="36"/>
        <v>'3376010206820008</v>
      </c>
      <c r="D1201" s="22" t="str">
        <f t="shared" si="37"/>
        <v>ganda</v>
      </c>
      <c r="E1201" s="22" t="s">
        <v>2758</v>
      </c>
      <c r="F1201" s="22" t="s">
        <v>10</v>
      </c>
      <c r="G1201" s="22" t="s">
        <v>57</v>
      </c>
      <c r="H1201" s="22" t="s">
        <v>18</v>
      </c>
      <c r="I1201" s="22" t="s">
        <v>19</v>
      </c>
      <c r="J1201" s="22" t="s">
        <v>1394</v>
      </c>
      <c r="K1201" s="23" t="s">
        <v>1395</v>
      </c>
      <c r="L1201" t="e">
        <f>VLOOKUP(B1201,ubah!$B$2:$L$234,4,FALSE)</f>
        <v>#N/A</v>
      </c>
      <c r="M1201" t="e">
        <f>VLOOKUP(B1201,ubah!$B$2:$L$234,5,FALSE)</f>
        <v>#N/A</v>
      </c>
      <c r="N1201" t="e">
        <f>VLOOKUP(B1201,ubah!$B$2:$L$234,6,FALSE)</f>
        <v>#N/A</v>
      </c>
    </row>
    <row r="1202" spans="1:14" hidden="1" x14ac:dyDescent="0.35">
      <c r="A1202" s="21">
        <v>284829</v>
      </c>
      <c r="B1202" s="22" t="str">
        <f>"3376011105810001"</f>
        <v>3376011105810001</v>
      </c>
      <c r="C1202" s="22" t="str">
        <f t="shared" si="36"/>
        <v>'3376011105810001</v>
      </c>
      <c r="D1202" s="22" t="str">
        <f t="shared" si="37"/>
        <v>ganda</v>
      </c>
      <c r="E1202" s="22" t="s">
        <v>2759</v>
      </c>
      <c r="F1202" s="22" t="s">
        <v>10</v>
      </c>
      <c r="G1202" s="22" t="s">
        <v>11</v>
      </c>
      <c r="H1202" s="22" t="s">
        <v>18</v>
      </c>
      <c r="I1202" s="22" t="s">
        <v>268</v>
      </c>
      <c r="J1202" s="22" t="s">
        <v>277</v>
      </c>
      <c r="K1202" s="23" t="s">
        <v>884</v>
      </c>
    </row>
    <row r="1203" spans="1:14" hidden="1" x14ac:dyDescent="0.35">
      <c r="A1203" s="21">
        <v>2540776</v>
      </c>
      <c r="B1203" s="22" t="str">
        <f>"3376011105810001"</f>
        <v>3376011105810001</v>
      </c>
      <c r="C1203" s="22" t="str">
        <f t="shared" si="36"/>
        <v>'3376011105810001</v>
      </c>
      <c r="D1203" s="22" t="str">
        <f t="shared" si="37"/>
        <v>ganda</v>
      </c>
      <c r="E1203" s="22" t="s">
        <v>2760</v>
      </c>
      <c r="F1203" s="22" t="s">
        <v>10</v>
      </c>
      <c r="G1203" s="22" t="s">
        <v>57</v>
      </c>
      <c r="H1203" s="22" t="s">
        <v>18</v>
      </c>
      <c r="I1203" s="22" t="s">
        <v>19</v>
      </c>
      <c r="J1203" s="22" t="s">
        <v>1394</v>
      </c>
      <c r="K1203" s="23" t="s">
        <v>1395</v>
      </c>
      <c r="L1203" t="e">
        <f>VLOOKUP(B1203,ubah!$B$2:$L$234,4,FALSE)</f>
        <v>#N/A</v>
      </c>
      <c r="M1203" t="e">
        <f>VLOOKUP(B1203,ubah!$B$2:$L$234,5,FALSE)</f>
        <v>#N/A</v>
      </c>
      <c r="N1203" t="e">
        <f>VLOOKUP(B1203,ubah!$B$2:$L$234,6,FALSE)</f>
        <v>#N/A</v>
      </c>
    </row>
    <row r="1204" spans="1:14" hidden="1" x14ac:dyDescent="0.35">
      <c r="A1204" s="21">
        <v>294054</v>
      </c>
      <c r="B1204" s="22" t="str">
        <f>"3376012803780002"</f>
        <v>3376012803780002</v>
      </c>
      <c r="C1204" s="22" t="str">
        <f t="shared" si="36"/>
        <v>'3376012803780002</v>
      </c>
      <c r="D1204" s="22" t="str">
        <f t="shared" si="37"/>
        <v>ganda</v>
      </c>
      <c r="E1204" s="22" t="s">
        <v>2761</v>
      </c>
      <c r="F1204" s="22" t="s">
        <v>10</v>
      </c>
      <c r="G1204" s="22" t="s">
        <v>11</v>
      </c>
      <c r="H1204" s="22" t="s">
        <v>18</v>
      </c>
      <c r="I1204" s="22" t="s">
        <v>268</v>
      </c>
      <c r="J1204" s="22" t="s">
        <v>277</v>
      </c>
      <c r="K1204" s="23" t="s">
        <v>2762</v>
      </c>
    </row>
    <row r="1205" spans="1:14" hidden="1" x14ac:dyDescent="0.35">
      <c r="A1205" s="21">
        <v>2540724</v>
      </c>
      <c r="B1205" s="22" t="str">
        <f>"3376012803780002"</f>
        <v>3376012803780002</v>
      </c>
      <c r="C1205" s="22" t="str">
        <f t="shared" si="36"/>
        <v>'3376012803780002</v>
      </c>
      <c r="D1205" s="22" t="str">
        <f t="shared" si="37"/>
        <v>ganda</v>
      </c>
      <c r="E1205" s="22" t="s">
        <v>2763</v>
      </c>
      <c r="F1205" s="22" t="s">
        <v>10</v>
      </c>
      <c r="G1205" s="22" t="s">
        <v>57</v>
      </c>
      <c r="H1205" s="22" t="s">
        <v>18</v>
      </c>
      <c r="I1205" s="22" t="s">
        <v>19</v>
      </c>
      <c r="J1205" s="22" t="s">
        <v>1394</v>
      </c>
      <c r="K1205" s="23" t="s">
        <v>1395</v>
      </c>
      <c r="L1205" t="e">
        <f>VLOOKUP(B1205,ubah!$B$2:$L$234,4,FALSE)</f>
        <v>#N/A</v>
      </c>
      <c r="M1205" t="e">
        <f>VLOOKUP(B1205,ubah!$B$2:$L$234,5,FALSE)</f>
        <v>#N/A</v>
      </c>
      <c r="N1205" t="e">
        <f>VLOOKUP(B1205,ubah!$B$2:$L$234,6,FALSE)</f>
        <v>#N/A</v>
      </c>
    </row>
    <row r="1206" spans="1:14" hidden="1" x14ac:dyDescent="0.35">
      <c r="A1206" s="21">
        <v>238980</v>
      </c>
      <c r="B1206" s="22" t="str">
        <f>"3376020102940007"</f>
        <v>3376020102940007</v>
      </c>
      <c r="C1206" s="22" t="str">
        <f t="shared" si="36"/>
        <v>'3376020102940007</v>
      </c>
      <c r="D1206" s="22" t="str">
        <f t="shared" si="37"/>
        <v>ganda</v>
      </c>
      <c r="E1206" s="22" t="s">
        <v>2764</v>
      </c>
      <c r="F1206" s="22" t="s">
        <v>10</v>
      </c>
      <c r="G1206" s="22" t="s">
        <v>11</v>
      </c>
      <c r="H1206" s="22" t="s">
        <v>18</v>
      </c>
      <c r="I1206" s="22" t="s">
        <v>268</v>
      </c>
      <c r="J1206" s="22" t="s">
        <v>371</v>
      </c>
      <c r="K1206" s="23" t="s">
        <v>372</v>
      </c>
    </row>
    <row r="1207" spans="1:14" hidden="1" x14ac:dyDescent="0.35">
      <c r="A1207" s="21">
        <v>2540797</v>
      </c>
      <c r="B1207" s="22" t="str">
        <f>"3376020102940007"</f>
        <v>3376020102940007</v>
      </c>
      <c r="C1207" s="22" t="str">
        <f t="shared" si="36"/>
        <v>'3376020102940007</v>
      </c>
      <c r="D1207" s="22" t="str">
        <f t="shared" si="37"/>
        <v>ganda</v>
      </c>
      <c r="E1207" s="22" t="s">
        <v>2765</v>
      </c>
      <c r="F1207" s="22" t="s">
        <v>10</v>
      </c>
      <c r="G1207" s="22" t="s">
        <v>57</v>
      </c>
      <c r="H1207" s="22" t="s">
        <v>18</v>
      </c>
      <c r="I1207" s="22" t="s">
        <v>19</v>
      </c>
      <c r="J1207" s="22" t="s">
        <v>1394</v>
      </c>
      <c r="K1207" s="23" t="s">
        <v>1395</v>
      </c>
      <c r="L1207" t="e">
        <f>VLOOKUP(B1207,ubah!$B$2:$L$234,4,FALSE)</f>
        <v>#N/A</v>
      </c>
      <c r="M1207" t="e">
        <f>VLOOKUP(B1207,ubah!$B$2:$L$234,5,FALSE)</f>
        <v>#N/A</v>
      </c>
      <c r="N1207" t="e">
        <f>VLOOKUP(B1207,ubah!$B$2:$L$234,6,FALSE)</f>
        <v>#N/A</v>
      </c>
    </row>
    <row r="1208" spans="1:14" hidden="1" x14ac:dyDescent="0.35">
      <c r="A1208" s="21">
        <v>237929</v>
      </c>
      <c r="B1208" s="22" t="str">
        <f>"3376020103960003"</f>
        <v>3376020103960003</v>
      </c>
      <c r="C1208" s="22" t="str">
        <f t="shared" si="36"/>
        <v>'3376020103960003</v>
      </c>
      <c r="D1208" s="22" t="str">
        <f t="shared" si="37"/>
        <v>ganda</v>
      </c>
      <c r="E1208" s="22" t="s">
        <v>2766</v>
      </c>
      <c r="F1208" s="22" t="s">
        <v>10</v>
      </c>
      <c r="G1208" s="22" t="s">
        <v>11</v>
      </c>
      <c r="H1208" s="22" t="s">
        <v>18</v>
      </c>
      <c r="I1208" s="22" t="s">
        <v>268</v>
      </c>
      <c r="J1208" s="22" t="s">
        <v>371</v>
      </c>
      <c r="K1208" s="23" t="s">
        <v>372</v>
      </c>
    </row>
    <row r="1209" spans="1:14" hidden="1" x14ac:dyDescent="0.35">
      <c r="A1209" s="21">
        <v>2540863</v>
      </c>
      <c r="B1209" s="22" t="str">
        <f>"3376020103960003"</f>
        <v>3376020103960003</v>
      </c>
      <c r="C1209" s="22" t="str">
        <f t="shared" si="36"/>
        <v>'3376020103960003</v>
      </c>
      <c r="D1209" s="22" t="str">
        <f t="shared" si="37"/>
        <v>ganda</v>
      </c>
      <c r="E1209" s="22" t="s">
        <v>2767</v>
      </c>
      <c r="F1209" s="22" t="s">
        <v>10</v>
      </c>
      <c r="G1209" s="22" t="s">
        <v>57</v>
      </c>
      <c r="H1209" s="22" t="s">
        <v>18</v>
      </c>
      <c r="I1209" s="22" t="s">
        <v>19</v>
      </c>
      <c r="J1209" s="22" t="s">
        <v>1394</v>
      </c>
      <c r="K1209" s="23" t="s">
        <v>1395</v>
      </c>
      <c r="L1209" t="e">
        <f>VLOOKUP(B1209,ubah!$B$2:$L$234,4,FALSE)</f>
        <v>#N/A</v>
      </c>
      <c r="M1209" t="e">
        <f>VLOOKUP(B1209,ubah!$B$2:$L$234,5,FALSE)</f>
        <v>#N/A</v>
      </c>
      <c r="N1209" t="e">
        <f>VLOOKUP(B1209,ubah!$B$2:$L$234,6,FALSE)</f>
        <v>#N/A</v>
      </c>
    </row>
    <row r="1210" spans="1:14" hidden="1" x14ac:dyDescent="0.35">
      <c r="A1210" s="21">
        <v>207395</v>
      </c>
      <c r="B1210" s="22" t="str">
        <f>"3376020504780004"</f>
        <v>3376020504780004</v>
      </c>
      <c r="C1210" s="22" t="str">
        <f t="shared" si="36"/>
        <v>'3376020504780004</v>
      </c>
      <c r="D1210" s="22" t="str">
        <f t="shared" si="37"/>
        <v>ganda</v>
      </c>
      <c r="E1210" s="22" t="s">
        <v>2768</v>
      </c>
      <c r="F1210" s="22" t="s">
        <v>10</v>
      </c>
      <c r="G1210" s="22" t="s">
        <v>11</v>
      </c>
      <c r="H1210" s="22" t="s">
        <v>18</v>
      </c>
      <c r="I1210" s="22" t="s">
        <v>268</v>
      </c>
      <c r="J1210" s="22" t="s">
        <v>371</v>
      </c>
      <c r="K1210" s="23" t="s">
        <v>2769</v>
      </c>
    </row>
    <row r="1211" spans="1:14" hidden="1" x14ac:dyDescent="0.35">
      <c r="A1211" s="21">
        <v>2540800</v>
      </c>
      <c r="B1211" s="22" t="str">
        <f>"3376020504780004"</f>
        <v>3376020504780004</v>
      </c>
      <c r="C1211" s="22" t="str">
        <f t="shared" si="36"/>
        <v>'3376020504780004</v>
      </c>
      <c r="D1211" s="22" t="str">
        <f t="shared" si="37"/>
        <v>ganda</v>
      </c>
      <c r="E1211" s="22" t="s">
        <v>2770</v>
      </c>
      <c r="F1211" s="22" t="s">
        <v>10</v>
      </c>
      <c r="G1211" s="22" t="s">
        <v>57</v>
      </c>
      <c r="H1211" s="22" t="s">
        <v>18</v>
      </c>
      <c r="I1211" s="22" t="s">
        <v>19</v>
      </c>
      <c r="J1211" s="22" t="s">
        <v>1394</v>
      </c>
      <c r="K1211" s="23" t="s">
        <v>1395</v>
      </c>
      <c r="L1211" t="e">
        <f>VLOOKUP(B1211,ubah!$B$2:$L$234,4,FALSE)</f>
        <v>#N/A</v>
      </c>
      <c r="M1211" t="e">
        <f>VLOOKUP(B1211,ubah!$B$2:$L$234,5,FALSE)</f>
        <v>#N/A</v>
      </c>
      <c r="N1211" t="e">
        <f>VLOOKUP(B1211,ubah!$B$2:$L$234,6,FALSE)</f>
        <v>#N/A</v>
      </c>
    </row>
    <row r="1212" spans="1:14" hidden="1" x14ac:dyDescent="0.35">
      <c r="A1212" s="21">
        <v>213736</v>
      </c>
      <c r="B1212" s="22" t="str">
        <f>"3376021410950002"</f>
        <v>3376021410950002</v>
      </c>
      <c r="C1212" s="22" t="str">
        <f t="shared" si="36"/>
        <v>'3376021410950002</v>
      </c>
      <c r="D1212" s="22" t="str">
        <f t="shared" si="37"/>
        <v>tidak ganda</v>
      </c>
      <c r="E1212" s="22" t="s">
        <v>2771</v>
      </c>
      <c r="F1212" s="22" t="s">
        <v>10</v>
      </c>
      <c r="G1212" s="22" t="s">
        <v>11</v>
      </c>
      <c r="H1212" s="22" t="s">
        <v>18</v>
      </c>
      <c r="I1212" s="22" t="s">
        <v>268</v>
      </c>
      <c r="J1212" s="22" t="s">
        <v>371</v>
      </c>
      <c r="K1212" s="23" t="s">
        <v>2772</v>
      </c>
    </row>
    <row r="1213" spans="1:14" hidden="1" x14ac:dyDescent="0.35">
      <c r="A1213" s="21">
        <v>233533</v>
      </c>
      <c r="B1213" s="22" t="str">
        <f>"3376022604990001"</f>
        <v>3376022604990001</v>
      </c>
      <c r="C1213" s="22" t="str">
        <f t="shared" si="36"/>
        <v>'3376022604990001</v>
      </c>
      <c r="D1213" s="22" t="str">
        <f t="shared" si="37"/>
        <v>ganda</v>
      </c>
      <c r="E1213" s="22" t="s">
        <v>2773</v>
      </c>
      <c r="F1213" s="22" t="s">
        <v>10</v>
      </c>
      <c r="G1213" s="22" t="s">
        <v>11</v>
      </c>
      <c r="H1213" s="22" t="s">
        <v>18</v>
      </c>
      <c r="I1213" s="22" t="s">
        <v>268</v>
      </c>
      <c r="J1213" s="22" t="s">
        <v>371</v>
      </c>
      <c r="K1213" s="23" t="s">
        <v>372</v>
      </c>
    </row>
    <row r="1214" spans="1:14" hidden="1" x14ac:dyDescent="0.35">
      <c r="A1214" s="21">
        <v>2540894</v>
      </c>
      <c r="B1214" s="22" t="str">
        <f>"3376022604990001"</f>
        <v>3376022604990001</v>
      </c>
      <c r="C1214" s="22" t="str">
        <f t="shared" si="36"/>
        <v>'3376022604990001</v>
      </c>
      <c r="D1214" s="22" t="str">
        <f t="shared" si="37"/>
        <v>ganda</v>
      </c>
      <c r="E1214" s="22" t="s">
        <v>2774</v>
      </c>
      <c r="F1214" s="22" t="s">
        <v>10</v>
      </c>
      <c r="G1214" s="22" t="s">
        <v>57</v>
      </c>
      <c r="H1214" s="22" t="s">
        <v>18</v>
      </c>
      <c r="I1214" s="22" t="s">
        <v>19</v>
      </c>
      <c r="J1214" s="22" t="s">
        <v>1394</v>
      </c>
      <c r="K1214" s="23" t="s">
        <v>1395</v>
      </c>
      <c r="L1214" t="e">
        <f>VLOOKUP(B1214,ubah!$B$2:$L$234,4,FALSE)</f>
        <v>#N/A</v>
      </c>
      <c r="M1214" t="e">
        <f>VLOOKUP(B1214,ubah!$B$2:$L$234,5,FALSE)</f>
        <v>#N/A</v>
      </c>
      <c r="N1214" t="e">
        <f>VLOOKUP(B1214,ubah!$B$2:$L$234,6,FALSE)</f>
        <v>#N/A</v>
      </c>
    </row>
    <row r="1215" spans="1:14" hidden="1" x14ac:dyDescent="0.35">
      <c r="A1215" s="21">
        <v>315099</v>
      </c>
      <c r="B1215" s="22" t="str">
        <f>"3376031209870002"</f>
        <v>3376031209870002</v>
      </c>
      <c r="C1215" s="22" t="str">
        <f t="shared" si="36"/>
        <v>'3376031209870002</v>
      </c>
      <c r="D1215" s="22" t="str">
        <f t="shared" si="37"/>
        <v>tidak ganda</v>
      </c>
      <c r="E1215" s="22" t="s">
        <v>2775</v>
      </c>
      <c r="F1215" s="22" t="s">
        <v>10</v>
      </c>
      <c r="G1215" s="22" t="s">
        <v>11</v>
      </c>
      <c r="H1215" s="22" t="s">
        <v>18</v>
      </c>
      <c r="I1215" s="22" t="s">
        <v>268</v>
      </c>
      <c r="J1215" s="22" t="s">
        <v>269</v>
      </c>
      <c r="K1215" s="23" t="s">
        <v>1662</v>
      </c>
    </row>
    <row r="1216" spans="1:14" hidden="1" x14ac:dyDescent="0.35">
      <c r="A1216" s="21">
        <v>384484</v>
      </c>
      <c r="B1216" s="22" t="str">
        <f>"3376041012970001"</f>
        <v>3376041012970001</v>
      </c>
      <c r="C1216" s="22" t="str">
        <f t="shared" si="36"/>
        <v>'3376041012970001</v>
      </c>
      <c r="D1216" s="22" t="str">
        <f t="shared" si="37"/>
        <v>ganda</v>
      </c>
      <c r="E1216" s="22" t="s">
        <v>2776</v>
      </c>
      <c r="F1216" s="22" t="s">
        <v>10</v>
      </c>
      <c r="G1216" s="22" t="s">
        <v>11</v>
      </c>
      <c r="H1216" s="22" t="s">
        <v>18</v>
      </c>
      <c r="I1216" s="22" t="s">
        <v>268</v>
      </c>
      <c r="J1216" s="22" t="s">
        <v>448</v>
      </c>
      <c r="K1216" s="23" t="s">
        <v>2777</v>
      </c>
    </row>
    <row r="1217" spans="1:14" hidden="1" x14ac:dyDescent="0.35">
      <c r="A1217" s="21">
        <v>2540907</v>
      </c>
      <c r="B1217" s="22" t="str">
        <f>"3376041012970001"</f>
        <v>3376041012970001</v>
      </c>
      <c r="C1217" s="22" t="str">
        <f t="shared" si="36"/>
        <v>'3376041012970001</v>
      </c>
      <c r="D1217" s="22" t="str">
        <f t="shared" si="37"/>
        <v>ganda</v>
      </c>
      <c r="E1217" s="22" t="s">
        <v>2778</v>
      </c>
      <c r="F1217" s="22" t="s">
        <v>10</v>
      </c>
      <c r="G1217" s="22" t="s">
        <v>57</v>
      </c>
      <c r="H1217" s="22" t="s">
        <v>18</v>
      </c>
      <c r="I1217" s="22" t="s">
        <v>19</v>
      </c>
      <c r="J1217" s="22" t="s">
        <v>1394</v>
      </c>
      <c r="K1217" s="23" t="s">
        <v>1395</v>
      </c>
      <c r="L1217" t="e">
        <f>VLOOKUP(B1217,ubah!$B$2:$L$234,4,FALSE)</f>
        <v>#N/A</v>
      </c>
      <c r="M1217" t="e">
        <f>VLOOKUP(B1217,ubah!$B$2:$L$234,5,FALSE)</f>
        <v>#N/A</v>
      </c>
      <c r="N1217" t="e">
        <f>VLOOKUP(B1217,ubah!$B$2:$L$234,6,FALSE)</f>
        <v>#N/A</v>
      </c>
    </row>
    <row r="1218" spans="1:14" hidden="1" x14ac:dyDescent="0.35">
      <c r="A1218" s="21">
        <v>379393</v>
      </c>
      <c r="B1218" s="22" t="str">
        <f>"3376041207960001"</f>
        <v>3376041207960001</v>
      </c>
      <c r="C1218" s="22" t="str">
        <f t="shared" si="36"/>
        <v>'3376041207960001</v>
      </c>
      <c r="D1218" s="22" t="str">
        <f t="shared" si="37"/>
        <v>tidak ganda</v>
      </c>
      <c r="E1218" s="22" t="s">
        <v>1292</v>
      </c>
      <c r="F1218" s="22" t="s">
        <v>10</v>
      </c>
      <c r="G1218" s="22" t="s">
        <v>11</v>
      </c>
      <c r="H1218" s="22" t="s">
        <v>18</v>
      </c>
      <c r="I1218" s="22" t="s">
        <v>268</v>
      </c>
      <c r="J1218" s="22" t="s">
        <v>448</v>
      </c>
      <c r="K1218" s="23" t="s">
        <v>449</v>
      </c>
    </row>
    <row r="1219" spans="1:14" hidden="1" x14ac:dyDescent="0.35">
      <c r="A1219" s="21">
        <v>402673</v>
      </c>
      <c r="B1219" s="22" t="str">
        <f>"3376041906930001"</f>
        <v>3376041906930001</v>
      </c>
      <c r="C1219" s="22" t="str">
        <f t="shared" ref="C1219:C1282" si="38">"'"&amp;B1219</f>
        <v>'3376041906930001</v>
      </c>
      <c r="D1219" s="22" t="str">
        <f t="shared" ref="D1219:D1282" si="39">IF(COUNTIF($C:$C,C1219)&gt;1,"ganda","tidak ganda")</f>
        <v>ganda</v>
      </c>
      <c r="E1219" s="22" t="s">
        <v>2779</v>
      </c>
      <c r="F1219" s="22" t="s">
        <v>10</v>
      </c>
      <c r="G1219" s="22" t="s">
        <v>11</v>
      </c>
      <c r="H1219" s="22" t="s">
        <v>18</v>
      </c>
      <c r="I1219" s="22" t="s">
        <v>268</v>
      </c>
      <c r="J1219" s="22" t="s">
        <v>448</v>
      </c>
      <c r="K1219" s="23" t="s">
        <v>448</v>
      </c>
    </row>
    <row r="1220" spans="1:14" hidden="1" x14ac:dyDescent="0.35">
      <c r="A1220" s="21">
        <v>2540908</v>
      </c>
      <c r="B1220" s="22" t="str">
        <f>"3376041906930001"</f>
        <v>3376041906930001</v>
      </c>
      <c r="C1220" s="22" t="str">
        <f t="shared" si="38"/>
        <v>'3376041906930001</v>
      </c>
      <c r="D1220" s="22" t="str">
        <f t="shared" si="39"/>
        <v>ganda</v>
      </c>
      <c r="E1220" s="22" t="s">
        <v>2780</v>
      </c>
      <c r="F1220" s="22" t="s">
        <v>10</v>
      </c>
      <c r="G1220" s="22" t="s">
        <v>57</v>
      </c>
      <c r="H1220" s="22" t="s">
        <v>18</v>
      </c>
      <c r="I1220" s="22" t="s">
        <v>19</v>
      </c>
      <c r="J1220" s="22" t="s">
        <v>1394</v>
      </c>
      <c r="K1220" s="23" t="s">
        <v>1395</v>
      </c>
      <c r="L1220" t="e">
        <f>VLOOKUP(B1220,ubah!$B$2:$L$234,4,FALSE)</f>
        <v>#N/A</v>
      </c>
      <c r="M1220" t="e">
        <f>VLOOKUP(B1220,ubah!$B$2:$L$234,5,FALSE)</f>
        <v>#N/A</v>
      </c>
      <c r="N1220" t="e">
        <f>VLOOKUP(B1220,ubah!$B$2:$L$234,6,FALSE)</f>
        <v>#N/A</v>
      </c>
    </row>
    <row r="1221" spans="1:14" hidden="1" x14ac:dyDescent="0.35">
      <c r="A1221" s="21">
        <v>379749</v>
      </c>
      <c r="B1221" s="22" t="str">
        <f>"3376043012940005"</f>
        <v>3376043012940005</v>
      </c>
      <c r="C1221" s="22" t="str">
        <f t="shared" si="38"/>
        <v>'3376043012940005</v>
      </c>
      <c r="D1221" s="22" t="str">
        <f t="shared" si="39"/>
        <v>tidak ganda</v>
      </c>
      <c r="E1221" s="22" t="s">
        <v>2781</v>
      </c>
      <c r="F1221" s="22" t="s">
        <v>10</v>
      </c>
      <c r="G1221" s="22" t="s">
        <v>11</v>
      </c>
      <c r="H1221" s="22" t="s">
        <v>18</v>
      </c>
      <c r="I1221" s="22" t="s">
        <v>268</v>
      </c>
      <c r="J1221" s="22" t="s">
        <v>448</v>
      </c>
      <c r="K1221" s="23" t="s">
        <v>449</v>
      </c>
    </row>
    <row r="1222" spans="1:14" hidden="1" x14ac:dyDescent="0.35">
      <c r="A1222" s="21">
        <v>2540683</v>
      </c>
      <c r="B1222" s="22" t="str">
        <f>"3516011110790001"</f>
        <v>3516011110790001</v>
      </c>
      <c r="C1222" s="22" t="str">
        <f t="shared" si="38"/>
        <v>'3516011110790001</v>
      </c>
      <c r="D1222" s="22" t="str">
        <f t="shared" si="39"/>
        <v>ganda</v>
      </c>
      <c r="E1222" s="22" t="s">
        <v>2782</v>
      </c>
      <c r="F1222" s="22" t="s">
        <v>10</v>
      </c>
      <c r="G1222" s="22" t="s">
        <v>57</v>
      </c>
      <c r="H1222" s="22" t="s">
        <v>18</v>
      </c>
      <c r="I1222" s="22" t="s">
        <v>19</v>
      </c>
      <c r="J1222" s="22" t="s">
        <v>1394</v>
      </c>
      <c r="K1222" s="23" t="s">
        <v>1395</v>
      </c>
      <c r="L1222" t="e">
        <f>VLOOKUP(B1222,ubah!$B$2:$L$234,4,FALSE)</f>
        <v>#N/A</v>
      </c>
      <c r="M1222" t="e">
        <f>VLOOKUP(B1222,ubah!$B$2:$L$234,5,FALSE)</f>
        <v>#N/A</v>
      </c>
      <c r="N1222" t="e">
        <f>VLOOKUP(B1222,ubah!$B$2:$L$234,6,FALSE)</f>
        <v>#N/A</v>
      </c>
    </row>
    <row r="1223" spans="1:14" hidden="1" x14ac:dyDescent="0.35">
      <c r="A1223" s="21">
        <v>617166</v>
      </c>
      <c r="B1223" s="22" t="str">
        <f>"3516011110790001"</f>
        <v>3516011110790001</v>
      </c>
      <c r="C1223" s="22" t="str">
        <f t="shared" si="38"/>
        <v>'3516011110790001</v>
      </c>
      <c r="D1223" s="22" t="str">
        <f t="shared" si="39"/>
        <v>ganda</v>
      </c>
      <c r="E1223" s="22" t="s">
        <v>2783</v>
      </c>
      <c r="F1223" s="22" t="s">
        <v>10</v>
      </c>
      <c r="G1223" s="22" t="s">
        <v>11</v>
      </c>
      <c r="H1223" s="22" t="s">
        <v>303</v>
      </c>
      <c r="I1223" s="22" t="s">
        <v>2784</v>
      </c>
      <c r="J1223" s="22" t="s">
        <v>2785</v>
      </c>
      <c r="K1223" s="23" t="s">
        <v>2786</v>
      </c>
    </row>
    <row r="1224" spans="1:14" hidden="1" x14ac:dyDescent="0.35">
      <c r="A1224" s="21">
        <v>2165860</v>
      </c>
      <c r="B1224" s="22" t="str">
        <f>"3524091604760005"</f>
        <v>3524091604760005</v>
      </c>
      <c r="C1224" s="22" t="str">
        <f t="shared" si="38"/>
        <v>'3524091604760005</v>
      </c>
      <c r="D1224" s="22" t="str">
        <f t="shared" si="39"/>
        <v>ganda</v>
      </c>
      <c r="E1224" s="22" t="s">
        <v>2787</v>
      </c>
      <c r="F1224" s="22" t="s">
        <v>10</v>
      </c>
      <c r="G1224" s="22" t="s">
        <v>11</v>
      </c>
      <c r="H1224" s="22" t="s">
        <v>303</v>
      </c>
      <c r="I1224" s="22" t="s">
        <v>1987</v>
      </c>
      <c r="J1224" s="22" t="s">
        <v>2108</v>
      </c>
      <c r="K1224" s="23" t="s">
        <v>2788</v>
      </c>
    </row>
    <row r="1225" spans="1:14" hidden="1" x14ac:dyDescent="0.35">
      <c r="A1225" s="21">
        <v>2540752</v>
      </c>
      <c r="B1225" s="22" t="str">
        <f>"3524091604760005"</f>
        <v>3524091604760005</v>
      </c>
      <c r="C1225" s="22" t="str">
        <f t="shared" si="38"/>
        <v>'3524091604760005</v>
      </c>
      <c r="D1225" s="22" t="str">
        <f t="shared" si="39"/>
        <v>ganda</v>
      </c>
      <c r="E1225" s="22" t="s">
        <v>2789</v>
      </c>
      <c r="F1225" s="22" t="s">
        <v>10</v>
      </c>
      <c r="G1225" s="22" t="s">
        <v>57</v>
      </c>
      <c r="H1225" s="22" t="s">
        <v>18</v>
      </c>
      <c r="I1225" s="22" t="s">
        <v>19</v>
      </c>
      <c r="J1225" s="22" t="s">
        <v>1394</v>
      </c>
      <c r="K1225" s="23" t="s">
        <v>1395</v>
      </c>
      <c r="L1225" t="e">
        <f>VLOOKUP(B1225,ubah!$B$2:$L$234,4,FALSE)</f>
        <v>#N/A</v>
      </c>
      <c r="M1225" t="e">
        <f>VLOOKUP(B1225,ubah!$B$2:$L$234,5,FALSE)</f>
        <v>#N/A</v>
      </c>
      <c r="N1225" t="e">
        <f>VLOOKUP(B1225,ubah!$B$2:$L$234,6,FALSE)</f>
        <v>#N/A</v>
      </c>
    </row>
    <row r="1226" spans="1:14" hidden="1" x14ac:dyDescent="0.35">
      <c r="A1226" s="21">
        <v>477626</v>
      </c>
      <c r="B1226" s="22" t="str">
        <f>"3528020102730004"</f>
        <v>3528020102730004</v>
      </c>
      <c r="C1226" s="22" t="str">
        <f t="shared" si="38"/>
        <v>'3528020102730004</v>
      </c>
      <c r="D1226" s="22" t="str">
        <f t="shared" si="39"/>
        <v>ganda</v>
      </c>
      <c r="E1226" s="22" t="s">
        <v>2790</v>
      </c>
      <c r="F1226" s="22" t="s">
        <v>10</v>
      </c>
      <c r="G1226" s="22" t="s">
        <v>11</v>
      </c>
      <c r="H1226" s="22" t="s">
        <v>303</v>
      </c>
      <c r="I1226" s="22" t="s">
        <v>2791</v>
      </c>
      <c r="J1226" s="22" t="s">
        <v>2792</v>
      </c>
      <c r="K1226" s="23" t="s">
        <v>2793</v>
      </c>
    </row>
    <row r="1227" spans="1:14" hidden="1" x14ac:dyDescent="0.35">
      <c r="A1227" s="21">
        <v>2540904</v>
      </c>
      <c r="B1227" s="22" t="str">
        <f>"3528020102730004"</f>
        <v>3528020102730004</v>
      </c>
      <c r="C1227" s="22" t="str">
        <f t="shared" si="38"/>
        <v>'3528020102730004</v>
      </c>
      <c r="D1227" s="22" t="str">
        <f t="shared" si="39"/>
        <v>ganda</v>
      </c>
      <c r="E1227" s="22" t="s">
        <v>2794</v>
      </c>
      <c r="F1227" s="22" t="s">
        <v>10</v>
      </c>
      <c r="G1227" s="22" t="s">
        <v>57</v>
      </c>
      <c r="H1227" s="22" t="s">
        <v>18</v>
      </c>
      <c r="I1227" s="22" t="s">
        <v>19</v>
      </c>
      <c r="J1227" s="22" t="s">
        <v>1394</v>
      </c>
      <c r="K1227" s="23" t="s">
        <v>1395</v>
      </c>
      <c r="L1227" t="e">
        <f>VLOOKUP(B1227,ubah!$B$2:$L$234,4,FALSE)</f>
        <v>#N/A</v>
      </c>
      <c r="M1227" t="e">
        <f>VLOOKUP(B1227,ubah!$B$2:$L$234,5,FALSE)</f>
        <v>#N/A</v>
      </c>
      <c r="N1227" t="e">
        <f>VLOOKUP(B1227,ubah!$B$2:$L$234,6,FALSE)</f>
        <v>#N/A</v>
      </c>
    </row>
    <row r="1228" spans="1:14" hidden="1" x14ac:dyDescent="0.35">
      <c r="A1228" s="21">
        <v>788755</v>
      </c>
      <c r="B1228" s="22" t="str">
        <f>"3578062008780006"</f>
        <v>3578062008780006</v>
      </c>
      <c r="C1228" s="22" t="str">
        <f t="shared" si="38"/>
        <v>'3578062008780006</v>
      </c>
      <c r="D1228" s="22" t="str">
        <f t="shared" si="39"/>
        <v>ganda</v>
      </c>
      <c r="E1228" s="22" t="s">
        <v>2795</v>
      </c>
      <c r="F1228" s="22" t="s">
        <v>10</v>
      </c>
      <c r="G1228" s="22" t="s">
        <v>11</v>
      </c>
      <c r="H1228" s="22" t="s">
        <v>303</v>
      </c>
      <c r="I1228" s="22" t="s">
        <v>2796</v>
      </c>
      <c r="J1228" s="22" t="s">
        <v>2797</v>
      </c>
      <c r="K1228" s="23" t="s">
        <v>2798</v>
      </c>
    </row>
    <row r="1229" spans="1:14" hidden="1" x14ac:dyDescent="0.35">
      <c r="A1229" s="21">
        <v>2540695</v>
      </c>
      <c r="B1229" s="22" t="str">
        <f>"3578062008780006"</f>
        <v>3578062008780006</v>
      </c>
      <c r="C1229" s="22" t="str">
        <f t="shared" si="38"/>
        <v>'3578062008780006</v>
      </c>
      <c r="D1229" s="22" t="str">
        <f t="shared" si="39"/>
        <v>ganda</v>
      </c>
      <c r="E1229" s="22" t="s">
        <v>2799</v>
      </c>
      <c r="F1229" s="22" t="s">
        <v>10</v>
      </c>
      <c r="G1229" s="22" t="s">
        <v>57</v>
      </c>
      <c r="H1229" s="22" t="s">
        <v>18</v>
      </c>
      <c r="I1229" s="22" t="s">
        <v>19</v>
      </c>
      <c r="J1229" s="22" t="s">
        <v>1394</v>
      </c>
      <c r="K1229" s="23" t="s">
        <v>1395</v>
      </c>
      <c r="L1229" t="e">
        <f>VLOOKUP(B1229,ubah!$B$2:$L$234,4,FALSE)</f>
        <v>#N/A</v>
      </c>
      <c r="M1229" t="e">
        <f>VLOOKUP(B1229,ubah!$B$2:$L$234,5,FALSE)</f>
        <v>#N/A</v>
      </c>
      <c r="N1229" t="e">
        <f>VLOOKUP(B1229,ubah!$B$2:$L$234,6,FALSE)</f>
        <v>#N/A</v>
      </c>
    </row>
    <row r="1230" spans="1:14" hidden="1" x14ac:dyDescent="0.35">
      <c r="A1230" s="21">
        <v>361837</v>
      </c>
      <c r="B1230" s="22" t="str">
        <f>"3603070711880004"</f>
        <v>3603070711880004</v>
      </c>
      <c r="C1230" s="22" t="str">
        <f t="shared" si="38"/>
        <v>'3603070711880004</v>
      </c>
      <c r="D1230" s="22" t="str">
        <f t="shared" si="39"/>
        <v>tidak ganda</v>
      </c>
      <c r="E1230" s="22" t="s">
        <v>2803</v>
      </c>
      <c r="F1230" s="22" t="s">
        <v>10</v>
      </c>
      <c r="G1230" s="22" t="s">
        <v>11</v>
      </c>
      <c r="H1230" s="22" t="s">
        <v>67</v>
      </c>
      <c r="I1230" s="22" t="s">
        <v>791</v>
      </c>
      <c r="J1230" s="22" t="s">
        <v>2804</v>
      </c>
      <c r="K1230" s="23" t="s">
        <v>2805</v>
      </c>
    </row>
    <row r="1231" spans="1:14" hidden="1" x14ac:dyDescent="0.35">
      <c r="A1231" s="21">
        <v>2508303</v>
      </c>
      <c r="B1231" s="22" t="str">
        <f>"3671051207730001"</f>
        <v>3671051207730001</v>
      </c>
      <c r="C1231" s="22" t="str">
        <f t="shared" si="38"/>
        <v>'3671051207730001</v>
      </c>
      <c r="D1231" s="22" t="str">
        <f t="shared" si="39"/>
        <v>ganda</v>
      </c>
      <c r="E1231" s="22" t="s">
        <v>2807</v>
      </c>
      <c r="F1231" s="22" t="s">
        <v>10</v>
      </c>
      <c r="G1231" s="22" t="s">
        <v>11</v>
      </c>
      <c r="H1231" s="22" t="s">
        <v>67</v>
      </c>
      <c r="I1231" s="22" t="s">
        <v>512</v>
      </c>
      <c r="J1231" s="22" t="s">
        <v>2808</v>
      </c>
      <c r="K1231" s="23" t="s">
        <v>2809</v>
      </c>
    </row>
    <row r="1232" spans="1:14" hidden="1" x14ac:dyDescent="0.35">
      <c r="A1232" s="21">
        <v>2540777</v>
      </c>
      <c r="B1232" s="22" t="str">
        <f>"3671051207730001"</f>
        <v>3671051207730001</v>
      </c>
      <c r="C1232" s="22" t="str">
        <f t="shared" si="38"/>
        <v>'3671051207730001</v>
      </c>
      <c r="D1232" s="22" t="str">
        <f t="shared" si="39"/>
        <v>ganda</v>
      </c>
      <c r="E1232" s="22" t="s">
        <v>2810</v>
      </c>
      <c r="F1232" s="22" t="s">
        <v>10</v>
      </c>
      <c r="G1232" s="22" t="s">
        <v>57</v>
      </c>
      <c r="H1232" s="22" t="s">
        <v>18</v>
      </c>
      <c r="I1232" s="22" t="s">
        <v>19</v>
      </c>
      <c r="J1232" s="22" t="s">
        <v>1394</v>
      </c>
      <c r="K1232" s="23" t="s">
        <v>1395</v>
      </c>
      <c r="L1232" t="e">
        <f>VLOOKUP(B1232,ubah!$B$2:$L$234,4,FALSE)</f>
        <v>#N/A</v>
      </c>
      <c r="M1232" t="e">
        <f>VLOOKUP(B1232,ubah!$B$2:$L$234,5,FALSE)</f>
        <v>#N/A</v>
      </c>
      <c r="N1232" t="e">
        <f>VLOOKUP(B1232,ubah!$B$2:$L$234,6,FALSE)</f>
        <v>#N/A</v>
      </c>
    </row>
    <row r="1233" spans="1:14" hidden="1" x14ac:dyDescent="0.35">
      <c r="A1233" s="21">
        <v>1205861</v>
      </c>
      <c r="B1233" s="22" t="str">
        <f>"3671090607750006"</f>
        <v>3671090607750006</v>
      </c>
      <c r="C1233" s="22" t="str">
        <f t="shared" si="38"/>
        <v>'3671090607750006</v>
      </c>
      <c r="D1233" s="22" t="str">
        <f t="shared" si="39"/>
        <v>ganda</v>
      </c>
      <c r="E1233" s="22" t="s">
        <v>2811</v>
      </c>
      <c r="F1233" s="22" t="s">
        <v>10</v>
      </c>
      <c r="G1233" s="22" t="s">
        <v>11</v>
      </c>
      <c r="H1233" s="22" t="s">
        <v>91</v>
      </c>
      <c r="I1233" s="22" t="s">
        <v>650</v>
      </c>
      <c r="J1233" s="22" t="s">
        <v>688</v>
      </c>
      <c r="K1233" s="23" t="s">
        <v>689</v>
      </c>
    </row>
    <row r="1234" spans="1:14" hidden="1" x14ac:dyDescent="0.35">
      <c r="A1234" s="21">
        <v>2540757</v>
      </c>
      <c r="B1234" s="22" t="str">
        <f>"3671090607750006"</f>
        <v>3671090607750006</v>
      </c>
      <c r="C1234" s="22" t="str">
        <f t="shared" si="38"/>
        <v>'3671090607750006</v>
      </c>
      <c r="D1234" s="22" t="str">
        <f t="shared" si="39"/>
        <v>ganda</v>
      </c>
      <c r="E1234" s="22" t="s">
        <v>2812</v>
      </c>
      <c r="F1234" s="22" t="s">
        <v>10</v>
      </c>
      <c r="G1234" s="22" t="s">
        <v>57</v>
      </c>
      <c r="H1234" s="22" t="s">
        <v>18</v>
      </c>
      <c r="I1234" s="22" t="s">
        <v>19</v>
      </c>
      <c r="J1234" s="22" t="s">
        <v>1394</v>
      </c>
      <c r="K1234" s="23" t="s">
        <v>1395</v>
      </c>
      <c r="L1234" t="e">
        <f>VLOOKUP(B1234,ubah!$B$2:$L$234,4,FALSE)</f>
        <v>#N/A</v>
      </c>
      <c r="M1234" t="e">
        <f>VLOOKUP(B1234,ubah!$B$2:$L$234,5,FALSE)</f>
        <v>#N/A</v>
      </c>
      <c r="N1234" t="e">
        <f>VLOOKUP(B1234,ubah!$B$2:$L$234,6,FALSE)</f>
        <v>#N/A</v>
      </c>
    </row>
    <row r="1235" spans="1:14" hidden="1" x14ac:dyDescent="0.35">
      <c r="A1235" s="21">
        <v>1453469</v>
      </c>
      <c r="B1235" s="22" t="str">
        <f>"3671091104770005"</f>
        <v>3671091104770005</v>
      </c>
      <c r="C1235" s="22" t="str">
        <f t="shared" si="38"/>
        <v>'3671091104770005</v>
      </c>
      <c r="D1235" s="22" t="str">
        <f t="shared" si="39"/>
        <v>ganda</v>
      </c>
      <c r="E1235" s="22" t="s">
        <v>2757</v>
      </c>
      <c r="F1235" s="22" t="s">
        <v>10</v>
      </c>
      <c r="G1235" s="22" t="s">
        <v>11</v>
      </c>
      <c r="H1235" s="22" t="s">
        <v>67</v>
      </c>
      <c r="I1235" s="22" t="s">
        <v>512</v>
      </c>
      <c r="J1235" s="22" t="s">
        <v>219</v>
      </c>
      <c r="K1235" s="23" t="s">
        <v>2813</v>
      </c>
    </row>
    <row r="1236" spans="1:14" hidden="1" x14ac:dyDescent="0.35">
      <c r="A1236" s="21">
        <v>2540698</v>
      </c>
      <c r="B1236" s="22" t="str">
        <f>"3671091104770005"</f>
        <v>3671091104770005</v>
      </c>
      <c r="C1236" s="22" t="str">
        <f t="shared" si="38"/>
        <v>'3671091104770005</v>
      </c>
      <c r="D1236" s="22" t="str">
        <f t="shared" si="39"/>
        <v>ganda</v>
      </c>
      <c r="E1236" s="22" t="s">
        <v>2814</v>
      </c>
      <c r="F1236" s="22" t="s">
        <v>10</v>
      </c>
      <c r="G1236" s="22" t="s">
        <v>57</v>
      </c>
      <c r="H1236" s="22" t="s">
        <v>18</v>
      </c>
      <c r="I1236" s="22" t="s">
        <v>19</v>
      </c>
      <c r="J1236" s="22" t="s">
        <v>1394</v>
      </c>
      <c r="K1236" s="23" t="s">
        <v>1395</v>
      </c>
      <c r="L1236" t="e">
        <f>VLOOKUP(B1236,ubah!$B$2:$L$234,4,FALSE)</f>
        <v>#N/A</v>
      </c>
      <c r="M1236" t="e">
        <f>VLOOKUP(B1236,ubah!$B$2:$L$234,5,FALSE)</f>
        <v>#N/A</v>
      </c>
      <c r="N1236" t="e">
        <f>VLOOKUP(B1236,ubah!$B$2:$L$234,6,FALSE)</f>
        <v>#N/A</v>
      </c>
    </row>
    <row r="1237" spans="1:14" hidden="1" x14ac:dyDescent="0.35">
      <c r="A1237" s="21">
        <v>1822175</v>
      </c>
      <c r="B1237" s="22" t="str">
        <f>"3674066006840014"</f>
        <v>3674066006840014</v>
      </c>
      <c r="C1237" s="22" t="str">
        <f t="shared" si="38"/>
        <v>'3674066006840014</v>
      </c>
      <c r="D1237" s="22" t="str">
        <f t="shared" si="39"/>
        <v>tidak ganda</v>
      </c>
      <c r="E1237" s="22" t="s">
        <v>2815</v>
      </c>
      <c r="F1237" s="22" t="s">
        <v>10</v>
      </c>
      <c r="G1237" s="22" t="s">
        <v>11</v>
      </c>
      <c r="H1237" s="22" t="s">
        <v>18</v>
      </c>
      <c r="I1237" s="22" t="s">
        <v>19</v>
      </c>
      <c r="J1237" s="22" t="s">
        <v>1394</v>
      </c>
      <c r="K1237" s="23" t="s">
        <v>2212</v>
      </c>
      <c r="L1237" t="e">
        <f>VLOOKUP(B1237,ubah!$B$2:$L$234,4,FALSE)</f>
        <v>#N/A</v>
      </c>
      <c r="M1237" t="e">
        <f>VLOOKUP(B1237,ubah!$B$2:$L$234,5,FALSE)</f>
        <v>#N/A</v>
      </c>
      <c r="N1237" t="e">
        <f>VLOOKUP(B1237,ubah!$B$2:$L$234,6,FALSE)</f>
        <v>#N/A</v>
      </c>
    </row>
    <row r="1238" spans="1:14" hidden="1" x14ac:dyDescent="0.35">
      <c r="A1238" s="21">
        <v>90701</v>
      </c>
      <c r="B1238" s="22" t="str">
        <f>"5201013112730026"</f>
        <v>5201013112730026</v>
      </c>
      <c r="C1238" s="22" t="str">
        <f t="shared" si="38"/>
        <v>'5201013112730026</v>
      </c>
      <c r="D1238" s="22" t="str">
        <f t="shared" si="39"/>
        <v>ganda</v>
      </c>
      <c r="E1238" s="22" t="s">
        <v>2819</v>
      </c>
      <c r="F1238" s="22" t="s">
        <v>10</v>
      </c>
      <c r="G1238" s="22" t="s">
        <v>11</v>
      </c>
      <c r="H1238" s="22" t="s">
        <v>2820</v>
      </c>
      <c r="I1238" s="22" t="s">
        <v>2821</v>
      </c>
      <c r="J1238" s="22" t="s">
        <v>2822</v>
      </c>
      <c r="K1238" s="23" t="s">
        <v>2823</v>
      </c>
    </row>
    <row r="1239" spans="1:14" hidden="1" x14ac:dyDescent="0.35">
      <c r="A1239" s="21">
        <v>2540760</v>
      </c>
      <c r="B1239" s="22" t="str">
        <f>"5201013112730026"</f>
        <v>5201013112730026</v>
      </c>
      <c r="C1239" s="22" t="str">
        <f t="shared" si="38"/>
        <v>'5201013112730026</v>
      </c>
      <c r="D1239" s="22" t="str">
        <f t="shared" si="39"/>
        <v>ganda</v>
      </c>
      <c r="E1239" s="22" t="s">
        <v>2824</v>
      </c>
      <c r="F1239" s="22" t="s">
        <v>10</v>
      </c>
      <c r="G1239" s="22" t="s">
        <v>57</v>
      </c>
      <c r="H1239" s="22" t="s">
        <v>18</v>
      </c>
      <c r="I1239" s="22" t="s">
        <v>19</v>
      </c>
      <c r="J1239" s="22" t="s">
        <v>1394</v>
      </c>
      <c r="K1239" s="23" t="s">
        <v>1395</v>
      </c>
      <c r="L1239" t="e">
        <f>VLOOKUP(B1239,ubah!$B$2:$L$234,4,FALSE)</f>
        <v>#N/A</v>
      </c>
      <c r="M1239" t="e">
        <f>VLOOKUP(B1239,ubah!$B$2:$L$234,5,FALSE)</f>
        <v>#N/A</v>
      </c>
      <c r="N1239" t="e">
        <f>VLOOKUP(B1239,ubah!$B$2:$L$234,6,FALSE)</f>
        <v>#N/A</v>
      </c>
    </row>
    <row r="1240" spans="1:14" hidden="1" x14ac:dyDescent="0.35">
      <c r="A1240" s="21">
        <v>34786</v>
      </c>
      <c r="B1240" s="22" t="str">
        <f>"5311012408820002"</f>
        <v>5311012408820002</v>
      </c>
      <c r="C1240" s="22" t="str">
        <f t="shared" si="38"/>
        <v>'5311012408820002</v>
      </c>
      <c r="D1240" s="22" t="str">
        <f t="shared" si="39"/>
        <v>tidak ganda</v>
      </c>
      <c r="E1240" s="22" t="s">
        <v>2825</v>
      </c>
      <c r="F1240" s="22" t="s">
        <v>10</v>
      </c>
      <c r="G1240" s="22" t="s">
        <v>11</v>
      </c>
      <c r="H1240" s="22" t="s">
        <v>2122</v>
      </c>
      <c r="I1240" s="22" t="s">
        <v>2123</v>
      </c>
      <c r="J1240" s="22" t="s">
        <v>2826</v>
      </c>
      <c r="K1240" s="23" t="s">
        <v>2827</v>
      </c>
    </row>
    <row r="1241" spans="1:14" hidden="1" x14ac:dyDescent="0.35">
      <c r="A1241" s="21">
        <v>438146</v>
      </c>
      <c r="B1241" s="22" t="str">
        <f>"6471032211790004"</f>
        <v>6471032211790004</v>
      </c>
      <c r="C1241" s="22" t="str">
        <f t="shared" si="38"/>
        <v>'6471032211790004</v>
      </c>
      <c r="D1241" s="22" t="str">
        <f t="shared" si="39"/>
        <v>tidak ganda</v>
      </c>
      <c r="E1241" s="22" t="s">
        <v>2828</v>
      </c>
      <c r="F1241" s="22" t="s">
        <v>10</v>
      </c>
      <c r="G1241" s="22" t="s">
        <v>11</v>
      </c>
      <c r="H1241" s="22" t="s">
        <v>232</v>
      </c>
      <c r="I1241" s="22" t="s">
        <v>233</v>
      </c>
      <c r="J1241" s="22" t="s">
        <v>234</v>
      </c>
      <c r="K1241" s="23" t="s">
        <v>2829</v>
      </c>
    </row>
    <row r="1242" spans="1:14" hidden="1" x14ac:dyDescent="0.35">
      <c r="A1242" s="21">
        <v>438147</v>
      </c>
      <c r="B1242" s="22" t="str">
        <f>"6471034808900005"</f>
        <v>6471034808900005</v>
      </c>
      <c r="C1242" s="22" t="str">
        <f t="shared" si="38"/>
        <v>'6471034808900005</v>
      </c>
      <c r="D1242" s="22" t="str">
        <f t="shared" si="39"/>
        <v>tidak ganda</v>
      </c>
      <c r="E1242" s="22" t="s">
        <v>2831</v>
      </c>
      <c r="F1242" s="22" t="s">
        <v>10</v>
      </c>
      <c r="G1242" s="22" t="s">
        <v>11</v>
      </c>
      <c r="H1242" s="22" t="s">
        <v>232</v>
      </c>
      <c r="I1242" s="22" t="s">
        <v>233</v>
      </c>
      <c r="J1242" s="22" t="s">
        <v>234</v>
      </c>
      <c r="K1242" s="23" t="s">
        <v>2829</v>
      </c>
    </row>
    <row r="1243" spans="1:14" hidden="1" x14ac:dyDescent="0.35">
      <c r="A1243" s="21">
        <v>76080</v>
      </c>
      <c r="B1243" s="22" t="str">
        <f>"8205021005980002"</f>
        <v>8205021005980002</v>
      </c>
      <c r="C1243" s="22" t="str">
        <f t="shared" si="38"/>
        <v>'8205021005980002</v>
      </c>
      <c r="D1243" s="22" t="str">
        <f t="shared" si="39"/>
        <v>tidak ganda</v>
      </c>
      <c r="E1243" s="22" t="s">
        <v>2833</v>
      </c>
      <c r="F1243" s="22" t="s">
        <v>10</v>
      </c>
      <c r="G1243" s="22" t="s">
        <v>11</v>
      </c>
      <c r="H1243" s="22" t="s">
        <v>2545</v>
      </c>
      <c r="I1243" s="22" t="s">
        <v>2546</v>
      </c>
      <c r="J1243" s="22" t="s">
        <v>2834</v>
      </c>
      <c r="K1243" s="23" t="s">
        <v>2835</v>
      </c>
    </row>
    <row r="1244" spans="1:14" hidden="1" x14ac:dyDescent="0.35">
      <c r="A1244" s="21">
        <v>491011</v>
      </c>
      <c r="B1244" s="22" t="str">
        <f>"9171051010850009"</f>
        <v>9171051010850009</v>
      </c>
      <c r="C1244" s="22" t="str">
        <f t="shared" si="38"/>
        <v>'9171051010850009</v>
      </c>
      <c r="D1244" s="22" t="str">
        <f t="shared" si="39"/>
        <v>tidak ganda</v>
      </c>
      <c r="E1244" s="22" t="s">
        <v>2836</v>
      </c>
      <c r="F1244" s="22" t="s">
        <v>10</v>
      </c>
      <c r="G1244" s="22" t="s">
        <v>11</v>
      </c>
      <c r="H1244" s="22" t="s">
        <v>783</v>
      </c>
      <c r="I1244" s="22" t="s">
        <v>1112</v>
      </c>
      <c r="J1244" s="22" t="s">
        <v>2563</v>
      </c>
      <c r="K1244" s="23" t="s">
        <v>2837</v>
      </c>
    </row>
    <row r="1245" spans="1:14" hidden="1" x14ac:dyDescent="0.35">
      <c r="A1245" s="21">
        <v>1721733</v>
      </c>
      <c r="B1245" s="22" t="str">
        <f>"3174033011880008"</f>
        <v>3174033011880008</v>
      </c>
      <c r="C1245" s="22" t="str">
        <f t="shared" si="38"/>
        <v>'3174033011880008</v>
      </c>
      <c r="D1245" s="22" t="str">
        <f t="shared" si="39"/>
        <v>ganda</v>
      </c>
      <c r="E1245" s="22" t="s">
        <v>2838</v>
      </c>
      <c r="F1245" s="22" t="s">
        <v>10</v>
      </c>
      <c r="G1245" s="22" t="s">
        <v>11</v>
      </c>
      <c r="H1245" s="22" t="s">
        <v>50</v>
      </c>
      <c r="I1245" s="22" t="s">
        <v>72</v>
      </c>
      <c r="J1245" s="22" t="s">
        <v>1172</v>
      </c>
      <c r="K1245" s="23" t="s">
        <v>226</v>
      </c>
    </row>
    <row r="1246" spans="1:14" hidden="1" x14ac:dyDescent="0.35">
      <c r="A1246" s="21">
        <v>2540915</v>
      </c>
      <c r="B1246" s="22" t="str">
        <f>"3174033011880008"</f>
        <v>3174033011880008</v>
      </c>
      <c r="C1246" s="22" t="str">
        <f t="shared" si="38"/>
        <v>'3174033011880008</v>
      </c>
      <c r="D1246" s="22" t="str">
        <f t="shared" si="39"/>
        <v>ganda</v>
      </c>
      <c r="E1246" s="22" t="s">
        <v>2839</v>
      </c>
      <c r="F1246" s="22" t="s">
        <v>10</v>
      </c>
      <c r="G1246" s="22" t="s">
        <v>57</v>
      </c>
      <c r="H1246" s="22" t="s">
        <v>18</v>
      </c>
      <c r="I1246" s="22" t="s">
        <v>19</v>
      </c>
      <c r="J1246" s="22" t="s">
        <v>1394</v>
      </c>
      <c r="K1246" s="23" t="s">
        <v>1395</v>
      </c>
      <c r="L1246" t="e">
        <f>VLOOKUP(B1246,ubah!$B$2:$L$234,4,FALSE)</f>
        <v>#N/A</v>
      </c>
      <c r="M1246" t="e">
        <f>VLOOKUP(B1246,ubah!$B$2:$L$234,5,FALSE)</f>
        <v>#N/A</v>
      </c>
      <c r="N1246" t="e">
        <f>VLOOKUP(B1246,ubah!$B$2:$L$234,6,FALSE)</f>
        <v>#N/A</v>
      </c>
    </row>
    <row r="1247" spans="1:14" hidden="1" x14ac:dyDescent="0.35">
      <c r="A1247" s="21">
        <v>687363</v>
      </c>
      <c r="B1247" s="22" t="str">
        <f>"3174033011880008"</f>
        <v>3174033011880008</v>
      </c>
      <c r="C1247" s="22" t="str">
        <f t="shared" si="38"/>
        <v>'3174033011880008</v>
      </c>
      <c r="D1247" s="22" t="str">
        <f t="shared" si="39"/>
        <v>ganda</v>
      </c>
      <c r="E1247" s="22" t="s">
        <v>2839</v>
      </c>
      <c r="F1247" s="22" t="s">
        <v>10</v>
      </c>
      <c r="G1247" s="22" t="s">
        <v>57</v>
      </c>
      <c r="H1247" s="22" t="s">
        <v>18</v>
      </c>
      <c r="I1247" s="22" t="s">
        <v>190</v>
      </c>
      <c r="J1247" s="22" t="s">
        <v>190</v>
      </c>
      <c r="K1247" s="23" t="s">
        <v>2413</v>
      </c>
    </row>
    <row r="1248" spans="1:14" hidden="1" x14ac:dyDescent="0.35">
      <c r="A1248" s="21">
        <v>969841</v>
      </c>
      <c r="B1248" s="22" t="str">
        <f>"3375040101780003"</f>
        <v>3375040101780003</v>
      </c>
      <c r="C1248" s="22" t="str">
        <f t="shared" si="38"/>
        <v>'3375040101780003</v>
      </c>
      <c r="D1248" s="22" t="str">
        <f t="shared" si="39"/>
        <v>ganda</v>
      </c>
      <c r="E1248" s="22" t="s">
        <v>2840</v>
      </c>
      <c r="F1248" s="22" t="s">
        <v>10</v>
      </c>
      <c r="G1248" s="22" t="s">
        <v>11</v>
      </c>
      <c r="H1248" s="22" t="s">
        <v>18</v>
      </c>
      <c r="I1248" s="22" t="s">
        <v>195</v>
      </c>
      <c r="J1248" s="22" t="s">
        <v>1434</v>
      </c>
      <c r="K1248" s="23" t="s">
        <v>2841</v>
      </c>
    </row>
    <row r="1249" spans="1:14" hidden="1" x14ac:dyDescent="0.35">
      <c r="A1249" s="21">
        <v>2540784</v>
      </c>
      <c r="B1249" s="22" t="str">
        <f>"3375040101780003"</f>
        <v>3375040101780003</v>
      </c>
      <c r="C1249" s="22" t="str">
        <f t="shared" si="38"/>
        <v>'3375040101780003</v>
      </c>
      <c r="D1249" s="22" t="str">
        <f t="shared" si="39"/>
        <v>ganda</v>
      </c>
      <c r="E1249" s="22" t="s">
        <v>2842</v>
      </c>
      <c r="F1249" s="22" t="s">
        <v>10</v>
      </c>
      <c r="G1249" s="22" t="s">
        <v>57</v>
      </c>
      <c r="H1249" s="22" t="s">
        <v>18</v>
      </c>
      <c r="I1249" s="22" t="s">
        <v>19</v>
      </c>
      <c r="J1249" s="22" t="s">
        <v>1394</v>
      </c>
      <c r="K1249" s="23" t="s">
        <v>1395</v>
      </c>
      <c r="L1249" t="e">
        <f>VLOOKUP(B1249,ubah!$B$2:$L$234,4,FALSE)</f>
        <v>#N/A</v>
      </c>
      <c r="M1249" t="e">
        <f>VLOOKUP(B1249,ubah!$B$2:$L$234,5,FALSE)</f>
        <v>#N/A</v>
      </c>
      <c r="N1249" t="e">
        <f>VLOOKUP(B1249,ubah!$B$2:$L$234,6,FALSE)</f>
        <v>#N/A</v>
      </c>
    </row>
    <row r="1250" spans="1:14" hidden="1" x14ac:dyDescent="0.35">
      <c r="A1250" s="21">
        <v>687375</v>
      </c>
      <c r="B1250" s="22" t="str">
        <f>"3375040101780003"</f>
        <v>3375040101780003</v>
      </c>
      <c r="C1250" s="22" t="str">
        <f t="shared" si="38"/>
        <v>'3375040101780003</v>
      </c>
      <c r="D1250" s="22" t="str">
        <f t="shared" si="39"/>
        <v>ganda</v>
      </c>
      <c r="E1250" s="22" t="s">
        <v>2843</v>
      </c>
      <c r="F1250" s="22" t="s">
        <v>10</v>
      </c>
      <c r="G1250" s="22" t="s">
        <v>57</v>
      </c>
      <c r="H1250" s="22" t="s">
        <v>18</v>
      </c>
      <c r="I1250" s="22" t="s">
        <v>190</v>
      </c>
      <c r="J1250" s="22" t="s">
        <v>190</v>
      </c>
      <c r="K1250" s="23" t="s">
        <v>2413</v>
      </c>
    </row>
    <row r="1251" spans="1:14" hidden="1" x14ac:dyDescent="0.35">
      <c r="A1251" s="21">
        <v>74255</v>
      </c>
      <c r="B1251" s="22" t="str">
        <f>"1801040112970009"</f>
        <v>1801040112970009</v>
      </c>
      <c r="C1251" s="22" t="str">
        <f t="shared" si="38"/>
        <v>'1801040112970009</v>
      </c>
      <c r="D1251" s="22" t="str">
        <f t="shared" si="39"/>
        <v>tidak ganda</v>
      </c>
      <c r="E1251" s="22" t="s">
        <v>2844</v>
      </c>
      <c r="F1251" s="22" t="s">
        <v>10</v>
      </c>
      <c r="G1251" s="22" t="s">
        <v>11</v>
      </c>
      <c r="H1251" s="22" t="s">
        <v>44</v>
      </c>
      <c r="I1251" s="22" t="s">
        <v>909</v>
      </c>
      <c r="J1251" s="22" t="s">
        <v>2167</v>
      </c>
      <c r="K1251" s="23" t="s">
        <v>2845</v>
      </c>
    </row>
    <row r="1252" spans="1:14" hidden="1" x14ac:dyDescent="0.35">
      <c r="A1252" s="21">
        <v>777480</v>
      </c>
      <c r="B1252" s="22" t="str">
        <f>"1801231111920001"</f>
        <v>1801231111920001</v>
      </c>
      <c r="C1252" s="22" t="str">
        <f t="shared" si="38"/>
        <v>'1801231111920001</v>
      </c>
      <c r="D1252" s="22" t="str">
        <f t="shared" si="39"/>
        <v>tidak ganda</v>
      </c>
      <c r="E1252" s="22" t="s">
        <v>2847</v>
      </c>
      <c r="F1252" s="22" t="s">
        <v>10</v>
      </c>
      <c r="G1252" s="22" t="s">
        <v>11</v>
      </c>
      <c r="H1252" s="22" t="s">
        <v>50</v>
      </c>
      <c r="I1252" s="22" t="s">
        <v>86</v>
      </c>
      <c r="J1252" s="22" t="s">
        <v>530</v>
      </c>
      <c r="K1252" s="23" t="s">
        <v>789</v>
      </c>
    </row>
    <row r="1253" spans="1:14" hidden="1" x14ac:dyDescent="0.35">
      <c r="A1253" s="21">
        <v>119077</v>
      </c>
      <c r="B1253" s="22" t="str">
        <f>"1802021004720003"</f>
        <v>1802021004720003</v>
      </c>
      <c r="C1253" s="22" t="str">
        <f t="shared" si="38"/>
        <v>'1802021004720003</v>
      </c>
      <c r="D1253" s="22" t="str">
        <f t="shared" si="39"/>
        <v>tidak ganda</v>
      </c>
      <c r="E1253" s="22" t="s">
        <v>2850</v>
      </c>
      <c r="F1253" s="22" t="s">
        <v>10</v>
      </c>
      <c r="G1253" s="22" t="s">
        <v>11</v>
      </c>
      <c r="H1253" s="22" t="s">
        <v>44</v>
      </c>
      <c r="I1253" s="22" t="s">
        <v>1040</v>
      </c>
      <c r="J1253" s="22" t="s">
        <v>2851</v>
      </c>
      <c r="K1253" s="23" t="s">
        <v>2852</v>
      </c>
    </row>
    <row r="1254" spans="1:14" hidden="1" x14ac:dyDescent="0.35">
      <c r="A1254" s="21">
        <v>433462</v>
      </c>
      <c r="B1254" s="22" t="str">
        <f>"3172064409901001"</f>
        <v>3172064409901001</v>
      </c>
      <c r="C1254" s="22" t="str">
        <f t="shared" si="38"/>
        <v>'3172064409901001</v>
      </c>
      <c r="D1254" s="22" t="str">
        <f t="shared" si="39"/>
        <v>tidak ganda</v>
      </c>
      <c r="E1254" s="22" t="s">
        <v>2853</v>
      </c>
      <c r="F1254" s="22" t="s">
        <v>10</v>
      </c>
      <c r="G1254" s="22" t="s">
        <v>11</v>
      </c>
      <c r="H1254" s="22" t="s">
        <v>50</v>
      </c>
      <c r="I1254" s="22" t="s">
        <v>51</v>
      </c>
      <c r="J1254" s="22" t="s">
        <v>425</v>
      </c>
      <c r="K1254" s="23" t="s">
        <v>426</v>
      </c>
    </row>
    <row r="1255" spans="1:14" hidden="1" x14ac:dyDescent="0.35">
      <c r="A1255" s="21">
        <v>1304561</v>
      </c>
      <c r="B1255" s="22" t="str">
        <f>"3173011004710019"</f>
        <v>3173011004710019</v>
      </c>
      <c r="C1255" s="22" t="str">
        <f t="shared" si="38"/>
        <v>'3173011004710019</v>
      </c>
      <c r="D1255" s="22" t="str">
        <f t="shared" si="39"/>
        <v>tidak ganda</v>
      </c>
      <c r="E1255" s="22" t="s">
        <v>2855</v>
      </c>
      <c r="F1255" s="22" t="s">
        <v>10</v>
      </c>
      <c r="G1255" s="22" t="s">
        <v>11</v>
      </c>
      <c r="H1255" s="22" t="s">
        <v>50</v>
      </c>
      <c r="I1255" s="22" t="s">
        <v>86</v>
      </c>
      <c r="J1255" s="22" t="s">
        <v>1268</v>
      </c>
      <c r="K1255" s="23" t="s">
        <v>2203</v>
      </c>
    </row>
    <row r="1256" spans="1:14" hidden="1" x14ac:dyDescent="0.35">
      <c r="A1256" s="21">
        <v>970431</v>
      </c>
      <c r="B1256" s="22" t="str">
        <f>"3173014901051002"</f>
        <v>3173014901051002</v>
      </c>
      <c r="C1256" s="22" t="str">
        <f t="shared" si="38"/>
        <v>'3173014901051002</v>
      </c>
      <c r="D1256" s="22" t="str">
        <f t="shared" si="39"/>
        <v>tidak ganda</v>
      </c>
      <c r="E1256" s="22" t="s">
        <v>2857</v>
      </c>
      <c r="F1256" s="22" t="s">
        <v>10</v>
      </c>
      <c r="G1256" s="22" t="s">
        <v>11</v>
      </c>
      <c r="H1256" s="22" t="s">
        <v>303</v>
      </c>
      <c r="I1256" s="22" t="s">
        <v>2858</v>
      </c>
      <c r="J1256" s="22" t="s">
        <v>2859</v>
      </c>
      <c r="K1256" s="23" t="s">
        <v>2860</v>
      </c>
    </row>
    <row r="1257" spans="1:14" hidden="1" x14ac:dyDescent="0.35">
      <c r="A1257" s="21">
        <v>1212515</v>
      </c>
      <c r="B1257" s="22" t="str">
        <f>"3174050506480006"</f>
        <v>3174050506480006</v>
      </c>
      <c r="C1257" s="22" t="str">
        <f t="shared" si="38"/>
        <v>'3174050506480006</v>
      </c>
      <c r="D1257" s="22" t="str">
        <f t="shared" si="39"/>
        <v>tidak ganda</v>
      </c>
      <c r="E1257" s="22" t="s">
        <v>2863</v>
      </c>
      <c r="F1257" s="22" t="s">
        <v>10</v>
      </c>
      <c r="G1257" s="22" t="s">
        <v>11</v>
      </c>
      <c r="H1257" s="22" t="s">
        <v>50</v>
      </c>
      <c r="I1257" s="22" t="s">
        <v>72</v>
      </c>
      <c r="J1257" s="22" t="s">
        <v>803</v>
      </c>
      <c r="K1257" s="23" t="s">
        <v>2864</v>
      </c>
    </row>
    <row r="1258" spans="1:14" hidden="1" x14ac:dyDescent="0.35">
      <c r="A1258" s="21">
        <v>949558</v>
      </c>
      <c r="B1258" s="22" t="str">
        <f>"3174050707600012"</f>
        <v>3174050707600012</v>
      </c>
      <c r="C1258" s="22" t="str">
        <f t="shared" si="38"/>
        <v>'3174050707600012</v>
      </c>
      <c r="D1258" s="22" t="str">
        <f t="shared" si="39"/>
        <v>tidak ganda</v>
      </c>
      <c r="E1258" s="22" t="s">
        <v>2865</v>
      </c>
      <c r="F1258" s="22" t="s">
        <v>10</v>
      </c>
      <c r="G1258" s="22" t="s">
        <v>11</v>
      </c>
      <c r="H1258" s="22" t="s">
        <v>50</v>
      </c>
      <c r="I1258" s="22" t="s">
        <v>72</v>
      </c>
      <c r="J1258" s="22" t="s">
        <v>803</v>
      </c>
      <c r="K1258" s="23" t="s">
        <v>2866</v>
      </c>
    </row>
    <row r="1259" spans="1:14" hidden="1" x14ac:dyDescent="0.35">
      <c r="A1259" s="21">
        <v>1212518</v>
      </c>
      <c r="B1259" s="22" t="str">
        <f>"3174054101540007"</f>
        <v>3174054101540007</v>
      </c>
      <c r="C1259" s="22" t="str">
        <f t="shared" si="38"/>
        <v>'3174054101540007</v>
      </c>
      <c r="D1259" s="22" t="str">
        <f t="shared" si="39"/>
        <v>tidak ganda</v>
      </c>
      <c r="E1259" s="22" t="s">
        <v>2867</v>
      </c>
      <c r="F1259" s="22" t="s">
        <v>10</v>
      </c>
      <c r="G1259" s="22" t="s">
        <v>11</v>
      </c>
      <c r="H1259" s="22" t="s">
        <v>50</v>
      </c>
      <c r="I1259" s="22" t="s">
        <v>72</v>
      </c>
      <c r="J1259" s="22" t="s">
        <v>803</v>
      </c>
      <c r="K1259" s="23" t="s">
        <v>2864</v>
      </c>
    </row>
    <row r="1260" spans="1:14" hidden="1" x14ac:dyDescent="0.35">
      <c r="A1260" s="21">
        <v>623411</v>
      </c>
      <c r="B1260" s="22" t="str">
        <f>"3174102404760007"</f>
        <v>3174102404760007</v>
      </c>
      <c r="C1260" s="22" t="str">
        <f t="shared" si="38"/>
        <v>'3174102404760007</v>
      </c>
      <c r="D1260" s="22" t="str">
        <f t="shared" si="39"/>
        <v>tidak ganda</v>
      </c>
      <c r="E1260" s="22" t="s">
        <v>2868</v>
      </c>
      <c r="F1260" s="22" t="s">
        <v>10</v>
      </c>
      <c r="G1260" s="22" t="s">
        <v>11</v>
      </c>
      <c r="H1260" s="22" t="s">
        <v>50</v>
      </c>
      <c r="I1260" s="22" t="s">
        <v>72</v>
      </c>
      <c r="J1260" s="22" t="s">
        <v>541</v>
      </c>
      <c r="K1260" s="23" t="s">
        <v>2869</v>
      </c>
    </row>
    <row r="1261" spans="1:14" hidden="1" x14ac:dyDescent="0.35">
      <c r="A1261" s="21">
        <v>623407</v>
      </c>
      <c r="B1261" s="22" t="str">
        <f>"3174104505810017"</f>
        <v>3174104505810017</v>
      </c>
      <c r="C1261" s="22" t="str">
        <f t="shared" si="38"/>
        <v>'3174104505810017</v>
      </c>
      <c r="D1261" s="22" t="str">
        <f t="shared" si="39"/>
        <v>tidak ganda</v>
      </c>
      <c r="E1261" s="22" t="s">
        <v>2870</v>
      </c>
      <c r="F1261" s="22" t="s">
        <v>10</v>
      </c>
      <c r="G1261" s="22" t="s">
        <v>11</v>
      </c>
      <c r="H1261" s="22" t="s">
        <v>50</v>
      </c>
      <c r="I1261" s="22" t="s">
        <v>72</v>
      </c>
      <c r="J1261" s="22" t="s">
        <v>541</v>
      </c>
      <c r="K1261" s="23" t="s">
        <v>2869</v>
      </c>
    </row>
    <row r="1262" spans="1:14" hidden="1" x14ac:dyDescent="0.35">
      <c r="A1262" s="21">
        <v>480081</v>
      </c>
      <c r="B1262" s="22" t="str">
        <f>"3174105508380002"</f>
        <v>3174105508380002</v>
      </c>
      <c r="C1262" s="22" t="str">
        <f t="shared" si="38"/>
        <v>'3174105508380002</v>
      </c>
      <c r="D1262" s="22" t="str">
        <f t="shared" si="39"/>
        <v>tidak ganda</v>
      </c>
      <c r="E1262" s="22" t="s">
        <v>2871</v>
      </c>
      <c r="F1262" s="22" t="s">
        <v>10</v>
      </c>
      <c r="G1262" s="22" t="s">
        <v>11</v>
      </c>
      <c r="H1262" s="22" t="s">
        <v>50</v>
      </c>
      <c r="I1262" s="22" t="s">
        <v>72</v>
      </c>
      <c r="J1262" s="22" t="s">
        <v>541</v>
      </c>
      <c r="K1262" s="23" t="s">
        <v>2869</v>
      </c>
    </row>
    <row r="1263" spans="1:14" hidden="1" x14ac:dyDescent="0.35">
      <c r="A1263" s="21">
        <v>623409</v>
      </c>
      <c r="B1263" s="22" t="str">
        <f>"3174105705030010"</f>
        <v>3174105705030010</v>
      </c>
      <c r="C1263" s="22" t="str">
        <f t="shared" si="38"/>
        <v>'3174105705030010</v>
      </c>
      <c r="D1263" s="22" t="str">
        <f t="shared" si="39"/>
        <v>tidak ganda</v>
      </c>
      <c r="E1263" s="22" t="s">
        <v>2874</v>
      </c>
      <c r="F1263" s="22" t="s">
        <v>10</v>
      </c>
      <c r="G1263" s="22" t="s">
        <v>11</v>
      </c>
      <c r="H1263" s="22" t="s">
        <v>50</v>
      </c>
      <c r="I1263" s="22" t="s">
        <v>72</v>
      </c>
      <c r="J1263" s="22" t="s">
        <v>541</v>
      </c>
      <c r="K1263" s="23" t="s">
        <v>2869</v>
      </c>
    </row>
    <row r="1264" spans="1:14" hidden="1" x14ac:dyDescent="0.35">
      <c r="A1264" s="21">
        <v>2358480</v>
      </c>
      <c r="B1264" s="22" t="str">
        <f>"3175065910980009"</f>
        <v>3175065910980009</v>
      </c>
      <c r="C1264" s="22" t="str">
        <f t="shared" si="38"/>
        <v>'3175065910980009</v>
      </c>
      <c r="D1264" s="22" t="str">
        <f t="shared" si="39"/>
        <v>tidak ganda</v>
      </c>
      <c r="E1264" s="22" t="s">
        <v>2875</v>
      </c>
      <c r="F1264" s="22" t="s">
        <v>10</v>
      </c>
      <c r="G1264" s="22" t="s">
        <v>11</v>
      </c>
      <c r="H1264" s="22" t="s">
        <v>50</v>
      </c>
      <c r="I1264" s="22" t="s">
        <v>58</v>
      </c>
      <c r="J1264" s="22" t="s">
        <v>417</v>
      </c>
      <c r="K1264" s="23" t="s">
        <v>59</v>
      </c>
    </row>
    <row r="1265" spans="1:14" hidden="1" x14ac:dyDescent="0.35">
      <c r="A1265" s="21">
        <v>597325</v>
      </c>
      <c r="B1265" s="22" t="str">
        <f>"3175105206861004"</f>
        <v>3175105206861004</v>
      </c>
      <c r="C1265" s="22" t="str">
        <f t="shared" si="38"/>
        <v>'3175105206861004</v>
      </c>
      <c r="D1265" s="22" t="str">
        <f t="shared" si="39"/>
        <v>tidak ganda</v>
      </c>
      <c r="E1265" s="22" t="s">
        <v>2877</v>
      </c>
      <c r="F1265" s="22" t="s">
        <v>10</v>
      </c>
      <c r="G1265" s="22" t="s">
        <v>11</v>
      </c>
      <c r="H1265" s="22" t="s">
        <v>50</v>
      </c>
      <c r="I1265" s="22" t="s">
        <v>58</v>
      </c>
      <c r="J1265" s="22" t="s">
        <v>316</v>
      </c>
      <c r="K1265" s="23" t="s">
        <v>2878</v>
      </c>
    </row>
    <row r="1266" spans="1:14" hidden="1" x14ac:dyDescent="0.35">
      <c r="A1266" s="21">
        <v>875910</v>
      </c>
      <c r="B1266" s="22" t="str">
        <f>"3212192309900001"</f>
        <v>3212192309900001</v>
      </c>
      <c r="C1266" s="22" t="str">
        <f t="shared" si="38"/>
        <v>'3212192309900001</v>
      </c>
      <c r="D1266" s="22" t="str">
        <f t="shared" si="39"/>
        <v>tidak ganda</v>
      </c>
      <c r="E1266" s="22" t="s">
        <v>2881</v>
      </c>
      <c r="F1266" s="22" t="s">
        <v>10</v>
      </c>
      <c r="G1266" s="22" t="s">
        <v>11</v>
      </c>
      <c r="H1266" s="22" t="s">
        <v>91</v>
      </c>
      <c r="I1266" s="22" t="s">
        <v>114</v>
      </c>
      <c r="J1266" s="22" t="s">
        <v>2580</v>
      </c>
      <c r="K1266" s="23" t="s">
        <v>2581</v>
      </c>
    </row>
    <row r="1267" spans="1:14" hidden="1" x14ac:dyDescent="0.35">
      <c r="A1267" s="21">
        <v>1330924</v>
      </c>
      <c r="B1267" s="22" t="str">
        <f>"3275052509970011"</f>
        <v>3275052509970011</v>
      </c>
      <c r="C1267" s="22" t="str">
        <f t="shared" si="38"/>
        <v>'3275052509970011</v>
      </c>
      <c r="D1267" s="22" t="str">
        <f t="shared" si="39"/>
        <v>tidak ganda</v>
      </c>
      <c r="E1267" s="22" t="s">
        <v>2883</v>
      </c>
      <c r="F1267" s="22" t="s">
        <v>10</v>
      </c>
      <c r="G1267" s="22" t="s">
        <v>11</v>
      </c>
      <c r="H1267" s="22" t="s">
        <v>91</v>
      </c>
      <c r="I1267" s="22" t="s">
        <v>159</v>
      </c>
      <c r="J1267" s="22" t="s">
        <v>160</v>
      </c>
      <c r="K1267" s="23" t="s">
        <v>161</v>
      </c>
    </row>
    <row r="1268" spans="1:14" hidden="1" x14ac:dyDescent="0.35">
      <c r="A1268" s="21">
        <v>431953</v>
      </c>
      <c r="B1268" s="22" t="str">
        <f>"3324014711870003"</f>
        <v>3324014711870003</v>
      </c>
      <c r="C1268" s="22" t="str">
        <f t="shared" si="38"/>
        <v>'3324014711870003</v>
      </c>
      <c r="D1268" s="22" t="str">
        <f t="shared" si="39"/>
        <v>tidak ganda</v>
      </c>
      <c r="E1268" s="22" t="s">
        <v>2885</v>
      </c>
      <c r="F1268" s="22" t="s">
        <v>10</v>
      </c>
      <c r="G1268" s="22" t="s">
        <v>11</v>
      </c>
      <c r="H1268" s="22" t="s">
        <v>50</v>
      </c>
      <c r="I1268" s="22" t="s">
        <v>51</v>
      </c>
      <c r="J1268" s="22" t="s">
        <v>425</v>
      </c>
      <c r="K1268" s="23" t="s">
        <v>426</v>
      </c>
    </row>
    <row r="1269" spans="1:14" hidden="1" x14ac:dyDescent="0.35">
      <c r="A1269" s="21">
        <v>242227</v>
      </c>
      <c r="B1269" s="22" t="str">
        <f>"3328070104840006"</f>
        <v>3328070104840006</v>
      </c>
      <c r="C1269" s="22" t="str">
        <f t="shared" si="38"/>
        <v>'3328070104840006</v>
      </c>
      <c r="D1269" s="22" t="str">
        <f t="shared" si="39"/>
        <v>tidak ganda</v>
      </c>
      <c r="E1269" s="22" t="s">
        <v>1622</v>
      </c>
      <c r="F1269" s="22" t="s">
        <v>10</v>
      </c>
      <c r="G1269" s="22" t="s">
        <v>11</v>
      </c>
      <c r="H1269" s="22" t="s">
        <v>2889</v>
      </c>
      <c r="I1269" s="22" t="s">
        <v>2890</v>
      </c>
      <c r="J1269" s="22" t="s">
        <v>2891</v>
      </c>
      <c r="K1269" s="23" t="s">
        <v>2892</v>
      </c>
    </row>
    <row r="1270" spans="1:14" hidden="1" x14ac:dyDescent="0.35">
      <c r="A1270" s="21">
        <v>285299</v>
      </c>
      <c r="B1270" s="22" t="str">
        <f>"3328070107940014"</f>
        <v>3328070107940014</v>
      </c>
      <c r="C1270" s="22" t="str">
        <f t="shared" si="38"/>
        <v>'3328070107940014</v>
      </c>
      <c r="D1270" s="22" t="str">
        <f t="shared" si="39"/>
        <v>tidak ganda</v>
      </c>
      <c r="E1270" s="22" t="s">
        <v>2894</v>
      </c>
      <c r="F1270" s="22" t="s">
        <v>10</v>
      </c>
      <c r="G1270" s="22" t="s">
        <v>11</v>
      </c>
      <c r="H1270" s="22" t="s">
        <v>50</v>
      </c>
      <c r="I1270" s="22" t="s">
        <v>58</v>
      </c>
      <c r="J1270" s="22" t="s">
        <v>316</v>
      </c>
      <c r="K1270" s="23" t="s">
        <v>2895</v>
      </c>
    </row>
    <row r="1271" spans="1:14" hidden="1" x14ac:dyDescent="0.35">
      <c r="A1271" s="21">
        <v>187497</v>
      </c>
      <c r="B1271" s="22" t="str">
        <f>"3328070206000009"</f>
        <v>3328070206000009</v>
      </c>
      <c r="C1271" s="22" t="str">
        <f t="shared" si="38"/>
        <v>'3328070206000009</v>
      </c>
      <c r="D1271" s="22" t="str">
        <f t="shared" si="39"/>
        <v>tidak ganda</v>
      </c>
      <c r="E1271" s="22" t="s">
        <v>2896</v>
      </c>
      <c r="F1271" s="22" t="s">
        <v>10</v>
      </c>
      <c r="G1271" s="22" t="s">
        <v>11</v>
      </c>
      <c r="H1271" s="22" t="s">
        <v>232</v>
      </c>
      <c r="I1271" s="22" t="s">
        <v>233</v>
      </c>
      <c r="J1271" s="22" t="s">
        <v>2897</v>
      </c>
      <c r="K1271" s="23" t="s">
        <v>2898</v>
      </c>
    </row>
    <row r="1272" spans="1:14" hidden="1" x14ac:dyDescent="0.35">
      <c r="A1272" s="21">
        <v>1669935</v>
      </c>
      <c r="B1272" s="22" t="str">
        <f>"3328070311890001"</f>
        <v>3328070311890001</v>
      </c>
      <c r="C1272" s="22" t="str">
        <f t="shared" si="38"/>
        <v>'3328070311890001</v>
      </c>
      <c r="D1272" s="22" t="str">
        <f t="shared" si="39"/>
        <v>ganda</v>
      </c>
      <c r="E1272" s="22" t="s">
        <v>2899</v>
      </c>
      <c r="F1272" s="22" t="s">
        <v>10</v>
      </c>
      <c r="G1272" s="22" t="s">
        <v>11</v>
      </c>
      <c r="H1272" s="22" t="s">
        <v>18</v>
      </c>
      <c r="I1272" s="22" t="s">
        <v>19</v>
      </c>
      <c r="J1272" s="22" t="s">
        <v>59</v>
      </c>
      <c r="K1272" s="23" t="s">
        <v>2856</v>
      </c>
      <c r="L1272" t="e">
        <f>VLOOKUP(B1272,ubah!$B$2:$L$234,4,FALSE)</f>
        <v>#N/A</v>
      </c>
      <c r="M1272" t="e">
        <f>VLOOKUP(B1272,ubah!$B$2:$L$234,5,FALSE)</f>
        <v>#N/A</v>
      </c>
      <c r="N1272" t="e">
        <f>VLOOKUP(B1272,ubah!$B$2:$L$234,6,FALSE)</f>
        <v>#N/A</v>
      </c>
    </row>
    <row r="1273" spans="1:14" hidden="1" x14ac:dyDescent="0.35">
      <c r="A1273" s="21">
        <v>251515</v>
      </c>
      <c r="B1273" s="22" t="str">
        <f>"3328070311890001"</f>
        <v>3328070311890001</v>
      </c>
      <c r="C1273" s="22" t="str">
        <f t="shared" si="38"/>
        <v>'3328070311890001</v>
      </c>
      <c r="D1273" s="22" t="str">
        <f t="shared" si="39"/>
        <v>ganda</v>
      </c>
      <c r="E1273" s="22" t="s">
        <v>2899</v>
      </c>
      <c r="F1273" s="22" t="s">
        <v>10</v>
      </c>
      <c r="G1273" s="22" t="s">
        <v>57</v>
      </c>
      <c r="H1273" s="22" t="s">
        <v>521</v>
      </c>
      <c r="I1273" s="22" t="s">
        <v>657</v>
      </c>
      <c r="J1273" s="22" t="s">
        <v>658</v>
      </c>
      <c r="K1273" s="23" t="s">
        <v>871</v>
      </c>
    </row>
    <row r="1274" spans="1:14" hidden="1" x14ac:dyDescent="0.35">
      <c r="A1274" s="21">
        <v>99549</v>
      </c>
      <c r="B1274" s="22" t="str">
        <f>"3328070404040001"</f>
        <v>3328070404040001</v>
      </c>
      <c r="C1274" s="22" t="str">
        <f t="shared" si="38"/>
        <v>'3328070404040001</v>
      </c>
      <c r="D1274" s="22" t="str">
        <f t="shared" si="39"/>
        <v>tidak ganda</v>
      </c>
      <c r="E1274" s="22" t="s">
        <v>2900</v>
      </c>
      <c r="F1274" s="22" t="s">
        <v>10</v>
      </c>
      <c r="G1274" s="22" t="s">
        <v>11</v>
      </c>
      <c r="H1274" s="22" t="s">
        <v>50</v>
      </c>
      <c r="I1274" s="22" t="s">
        <v>72</v>
      </c>
      <c r="J1274" s="22" t="s">
        <v>541</v>
      </c>
      <c r="K1274" s="23" t="s">
        <v>2901</v>
      </c>
    </row>
    <row r="1275" spans="1:14" hidden="1" x14ac:dyDescent="0.35">
      <c r="A1275" s="21">
        <v>641430</v>
      </c>
      <c r="B1275" s="22" t="str">
        <f>"3328070706820002"</f>
        <v>3328070706820002</v>
      </c>
      <c r="C1275" s="22" t="str">
        <f t="shared" si="38"/>
        <v>'3328070706820002</v>
      </c>
      <c r="D1275" s="22" t="str">
        <f t="shared" si="39"/>
        <v>tidak ganda</v>
      </c>
      <c r="E1275" s="22" t="s">
        <v>2903</v>
      </c>
      <c r="F1275" s="22" t="s">
        <v>10</v>
      </c>
      <c r="G1275" s="22" t="s">
        <v>11</v>
      </c>
      <c r="H1275" s="22" t="s">
        <v>50</v>
      </c>
      <c r="I1275" s="22" t="s">
        <v>280</v>
      </c>
      <c r="J1275" s="22" t="s">
        <v>281</v>
      </c>
      <c r="K1275" s="23" t="s">
        <v>282</v>
      </c>
    </row>
    <row r="1276" spans="1:14" hidden="1" x14ac:dyDescent="0.35">
      <c r="A1276" s="21">
        <v>1842362</v>
      </c>
      <c r="B1276" s="22" t="str">
        <f>"3328070807720003"</f>
        <v>3328070807720003</v>
      </c>
      <c r="C1276" s="22" t="str">
        <f t="shared" si="38"/>
        <v>'3328070807720003</v>
      </c>
      <c r="D1276" s="22" t="str">
        <f t="shared" si="39"/>
        <v>tidak ganda</v>
      </c>
      <c r="E1276" s="22" t="s">
        <v>2905</v>
      </c>
      <c r="F1276" s="22" t="s">
        <v>10</v>
      </c>
      <c r="G1276" s="22" t="s">
        <v>11</v>
      </c>
      <c r="H1276" s="22" t="s">
        <v>91</v>
      </c>
      <c r="I1276" s="22" t="s">
        <v>159</v>
      </c>
      <c r="J1276" s="22" t="s">
        <v>1332</v>
      </c>
      <c r="K1276" s="23" t="s">
        <v>2358</v>
      </c>
    </row>
    <row r="1277" spans="1:14" hidden="1" x14ac:dyDescent="0.35">
      <c r="A1277" s="21">
        <v>22803</v>
      </c>
      <c r="B1277" s="22" t="str">
        <f>"3328070812870007"</f>
        <v>3328070812870007</v>
      </c>
      <c r="C1277" s="22" t="str">
        <f t="shared" si="38"/>
        <v>'3328070812870007</v>
      </c>
      <c r="D1277" s="22" t="str">
        <f t="shared" si="39"/>
        <v>tidak ganda</v>
      </c>
      <c r="E1277" s="22" t="s">
        <v>2906</v>
      </c>
      <c r="F1277" s="22" t="s">
        <v>10</v>
      </c>
      <c r="G1277" s="22" t="s">
        <v>11</v>
      </c>
      <c r="H1277" s="22" t="s">
        <v>2907</v>
      </c>
      <c r="I1277" s="22" t="s">
        <v>2908</v>
      </c>
      <c r="J1277" s="22" t="s">
        <v>2909</v>
      </c>
      <c r="K1277" s="23" t="s">
        <v>2910</v>
      </c>
    </row>
    <row r="1278" spans="1:14" hidden="1" x14ac:dyDescent="0.35">
      <c r="A1278" s="21">
        <v>1341669</v>
      </c>
      <c r="B1278" s="22" t="str">
        <f>"3328070905690001"</f>
        <v>3328070905690001</v>
      </c>
      <c r="C1278" s="22" t="str">
        <f t="shared" si="38"/>
        <v>'3328070905690001</v>
      </c>
      <c r="D1278" s="22" t="str">
        <f t="shared" si="39"/>
        <v>tidak ganda</v>
      </c>
      <c r="E1278" s="22" t="s">
        <v>2911</v>
      </c>
      <c r="F1278" s="22" t="s">
        <v>10</v>
      </c>
      <c r="G1278" s="22" t="s">
        <v>11</v>
      </c>
      <c r="H1278" s="22" t="s">
        <v>50</v>
      </c>
      <c r="I1278" s="22" t="s">
        <v>58</v>
      </c>
      <c r="J1278" s="22" t="s">
        <v>417</v>
      </c>
      <c r="K1278" s="23" t="s">
        <v>1131</v>
      </c>
    </row>
    <row r="1279" spans="1:14" hidden="1" x14ac:dyDescent="0.35">
      <c r="A1279" s="21">
        <v>1509565</v>
      </c>
      <c r="B1279" s="22" t="str">
        <f>"3328070908710002"</f>
        <v>3328070908710002</v>
      </c>
      <c r="C1279" s="22" t="str">
        <f t="shared" si="38"/>
        <v>'3328070908710002</v>
      </c>
      <c r="D1279" s="22" t="str">
        <f t="shared" si="39"/>
        <v>tidak ganda</v>
      </c>
      <c r="E1279" s="22" t="s">
        <v>2912</v>
      </c>
      <c r="F1279" s="22" t="s">
        <v>10</v>
      </c>
      <c r="G1279" s="22" t="s">
        <v>11</v>
      </c>
      <c r="H1279" s="22" t="s">
        <v>50</v>
      </c>
      <c r="I1279" s="22" t="s">
        <v>72</v>
      </c>
      <c r="J1279" s="22" t="s">
        <v>738</v>
      </c>
      <c r="K1279" s="23" t="s">
        <v>738</v>
      </c>
    </row>
    <row r="1280" spans="1:14" hidden="1" x14ac:dyDescent="0.35">
      <c r="A1280" s="21">
        <v>1392374</v>
      </c>
      <c r="B1280" s="22" t="str">
        <f>"3328070909950003"</f>
        <v>3328070909950003</v>
      </c>
      <c r="C1280" s="22" t="str">
        <f t="shared" si="38"/>
        <v>'3328070909950003</v>
      </c>
      <c r="D1280" s="22" t="str">
        <f t="shared" si="39"/>
        <v>tidak ganda</v>
      </c>
      <c r="E1280" s="22" t="s">
        <v>2913</v>
      </c>
      <c r="F1280" s="22" t="s">
        <v>10</v>
      </c>
      <c r="G1280" s="22" t="s">
        <v>11</v>
      </c>
      <c r="H1280" s="22" t="s">
        <v>67</v>
      </c>
      <c r="I1280" s="22" t="s">
        <v>68</v>
      </c>
      <c r="J1280" s="22" t="s">
        <v>69</v>
      </c>
      <c r="K1280" s="23" t="s">
        <v>2117</v>
      </c>
    </row>
    <row r="1281" spans="1:14" hidden="1" x14ac:dyDescent="0.35">
      <c r="A1281" s="21">
        <v>1731073</v>
      </c>
      <c r="B1281" s="22" t="str">
        <f>"3328071010060006"</f>
        <v>3328071010060006</v>
      </c>
      <c r="C1281" s="22" t="str">
        <f t="shared" si="38"/>
        <v>'3328071010060006</v>
      </c>
      <c r="D1281" s="22" t="str">
        <f t="shared" si="39"/>
        <v>tidak ganda</v>
      </c>
      <c r="E1281" s="22" t="s">
        <v>2914</v>
      </c>
      <c r="F1281" s="22" t="s">
        <v>10</v>
      </c>
      <c r="G1281" s="22" t="s">
        <v>11</v>
      </c>
      <c r="H1281" s="22" t="s">
        <v>18</v>
      </c>
      <c r="I1281" s="22" t="s">
        <v>19</v>
      </c>
      <c r="J1281" s="22" t="s">
        <v>59</v>
      </c>
      <c r="K1281" s="23" t="s">
        <v>2849</v>
      </c>
      <c r="L1281" t="e">
        <f>VLOOKUP(B1281,ubah!$B$2:$L$234,4,FALSE)</f>
        <v>#N/A</v>
      </c>
      <c r="M1281" t="e">
        <f>VLOOKUP(B1281,ubah!$B$2:$L$234,5,FALSE)</f>
        <v>#N/A</v>
      </c>
      <c r="N1281" t="e">
        <f>VLOOKUP(B1281,ubah!$B$2:$L$234,6,FALSE)</f>
        <v>#N/A</v>
      </c>
    </row>
    <row r="1282" spans="1:14" hidden="1" x14ac:dyDescent="0.35">
      <c r="A1282" s="21">
        <v>243805</v>
      </c>
      <c r="B1282" s="22" t="str">
        <f>"3328071203700005"</f>
        <v>3328071203700005</v>
      </c>
      <c r="C1282" s="22" t="str">
        <f t="shared" si="38"/>
        <v>'3328071203700005</v>
      </c>
      <c r="D1282" s="22" t="str">
        <f t="shared" si="39"/>
        <v>tidak ganda</v>
      </c>
      <c r="E1282" s="22" t="s">
        <v>2917</v>
      </c>
      <c r="F1282" s="22" t="s">
        <v>10</v>
      </c>
      <c r="G1282" s="22" t="s">
        <v>11</v>
      </c>
      <c r="H1282" s="22" t="s">
        <v>91</v>
      </c>
      <c r="I1282" s="22" t="s">
        <v>159</v>
      </c>
      <c r="J1282" s="22" t="s">
        <v>1288</v>
      </c>
      <c r="K1282" s="23" t="s">
        <v>2918</v>
      </c>
    </row>
    <row r="1283" spans="1:14" hidden="1" x14ac:dyDescent="0.35">
      <c r="A1283" s="21">
        <v>939166</v>
      </c>
      <c r="B1283" s="22" t="str">
        <f>"3328071207850018"</f>
        <v>3328071207850018</v>
      </c>
      <c r="C1283" s="22" t="str">
        <f t="shared" ref="C1283:C1346" si="40">"'"&amp;B1283</f>
        <v>'3328071207850018</v>
      </c>
      <c r="D1283" s="22" t="str">
        <f t="shared" ref="D1283:D1346" si="41">IF(COUNTIF($C:$C,C1283)&gt;1,"ganda","tidak ganda")</f>
        <v>tidak ganda</v>
      </c>
      <c r="E1283" s="22" t="s">
        <v>2920</v>
      </c>
      <c r="F1283" s="22" t="s">
        <v>10</v>
      </c>
      <c r="G1283" s="22" t="s">
        <v>11</v>
      </c>
      <c r="H1283" s="22" t="s">
        <v>18</v>
      </c>
      <c r="I1283" s="22" t="s">
        <v>264</v>
      </c>
      <c r="J1283" s="22" t="s">
        <v>264</v>
      </c>
      <c r="K1283" s="23" t="s">
        <v>2921</v>
      </c>
    </row>
    <row r="1284" spans="1:14" hidden="1" x14ac:dyDescent="0.35">
      <c r="A1284" s="21">
        <v>1593424</v>
      </c>
      <c r="B1284" s="22" t="str">
        <f>"3328071210910002"</f>
        <v>3328071210910002</v>
      </c>
      <c r="C1284" s="22" t="str">
        <f t="shared" si="40"/>
        <v>'3328071210910002</v>
      </c>
      <c r="D1284" s="22" t="str">
        <f t="shared" si="41"/>
        <v>tidak ganda</v>
      </c>
      <c r="E1284" s="22" t="s">
        <v>2923</v>
      </c>
      <c r="F1284" s="22" t="s">
        <v>10</v>
      </c>
      <c r="G1284" s="22" t="s">
        <v>11</v>
      </c>
      <c r="H1284" s="22" t="s">
        <v>67</v>
      </c>
      <c r="I1284" s="22" t="s">
        <v>68</v>
      </c>
      <c r="J1284" s="22" t="s">
        <v>2924</v>
      </c>
      <c r="K1284" s="23" t="s">
        <v>2925</v>
      </c>
    </row>
    <row r="1285" spans="1:14" hidden="1" x14ac:dyDescent="0.35">
      <c r="A1285" s="21">
        <v>1351209</v>
      </c>
      <c r="B1285" s="22" t="str">
        <f>"3328071507000006"</f>
        <v>3328071507000006</v>
      </c>
      <c r="C1285" s="22" t="str">
        <f t="shared" si="40"/>
        <v>'3328071507000006</v>
      </c>
      <c r="D1285" s="22" t="str">
        <f t="shared" si="41"/>
        <v>tidak ganda</v>
      </c>
      <c r="E1285" s="22" t="s">
        <v>2931</v>
      </c>
      <c r="F1285" s="22" t="s">
        <v>10</v>
      </c>
      <c r="G1285" s="22" t="s">
        <v>57</v>
      </c>
      <c r="H1285" s="22" t="s">
        <v>303</v>
      </c>
      <c r="I1285" s="22" t="s">
        <v>608</v>
      </c>
      <c r="J1285" s="22" t="s">
        <v>609</v>
      </c>
      <c r="K1285" s="23" t="s">
        <v>610</v>
      </c>
    </row>
    <row r="1286" spans="1:14" hidden="1" x14ac:dyDescent="0.35">
      <c r="A1286" s="21">
        <v>1672659</v>
      </c>
      <c r="B1286" s="22" t="str">
        <f>"3328071608040003"</f>
        <v>3328071608040003</v>
      </c>
      <c r="C1286" s="22" t="str">
        <f t="shared" si="40"/>
        <v>'3328071608040003</v>
      </c>
      <c r="D1286" s="22" t="str">
        <f t="shared" si="41"/>
        <v>ganda</v>
      </c>
      <c r="E1286" s="22" t="s">
        <v>2932</v>
      </c>
      <c r="F1286" s="22" t="s">
        <v>10</v>
      </c>
      <c r="G1286" s="22" t="s">
        <v>11</v>
      </c>
      <c r="H1286" s="22" t="s">
        <v>18</v>
      </c>
      <c r="I1286" s="22" t="s">
        <v>19</v>
      </c>
      <c r="J1286" s="22" t="s">
        <v>59</v>
      </c>
      <c r="K1286" s="23" t="s">
        <v>2862</v>
      </c>
      <c r="L1286" t="e">
        <f>VLOOKUP(B1286,ubah!$B$2:$L$234,4,FALSE)</f>
        <v>#N/A</v>
      </c>
      <c r="M1286" t="e">
        <f>VLOOKUP(B1286,ubah!$B$2:$L$234,5,FALSE)</f>
        <v>#N/A</v>
      </c>
      <c r="N1286" t="e">
        <f>VLOOKUP(B1286,ubah!$B$2:$L$234,6,FALSE)</f>
        <v>#N/A</v>
      </c>
    </row>
    <row r="1287" spans="1:14" hidden="1" x14ac:dyDescent="0.35">
      <c r="A1287" s="21">
        <v>762447</v>
      </c>
      <c r="B1287" s="22" t="str">
        <f>"3328071608040003"</f>
        <v>3328071608040003</v>
      </c>
      <c r="C1287" s="22" t="str">
        <f t="shared" si="40"/>
        <v>'3328071608040003</v>
      </c>
      <c r="D1287" s="22" t="str">
        <f t="shared" si="41"/>
        <v>ganda</v>
      </c>
      <c r="E1287" s="22" t="s">
        <v>2933</v>
      </c>
      <c r="F1287" s="22" t="s">
        <v>10</v>
      </c>
      <c r="G1287" s="22" t="s">
        <v>57</v>
      </c>
      <c r="H1287" s="22" t="s">
        <v>379</v>
      </c>
      <c r="I1287" s="22" t="s">
        <v>711</v>
      </c>
      <c r="J1287" s="22" t="s">
        <v>718</v>
      </c>
      <c r="K1287" s="23" t="s">
        <v>719</v>
      </c>
    </row>
    <row r="1288" spans="1:14" hidden="1" x14ac:dyDescent="0.35">
      <c r="A1288" s="21">
        <v>1731948</v>
      </c>
      <c r="B1288" s="22" t="str">
        <f>"3328071707810011"</f>
        <v>3328071707810011</v>
      </c>
      <c r="C1288" s="22" t="str">
        <f t="shared" si="40"/>
        <v>'3328071707810011</v>
      </c>
      <c r="D1288" s="22" t="str">
        <f t="shared" si="41"/>
        <v>ganda</v>
      </c>
      <c r="E1288" s="22" t="s">
        <v>2934</v>
      </c>
      <c r="F1288" s="22" t="s">
        <v>10</v>
      </c>
      <c r="G1288" s="22" t="s">
        <v>11</v>
      </c>
      <c r="H1288" s="22" t="s">
        <v>18</v>
      </c>
      <c r="I1288" s="22" t="s">
        <v>19</v>
      </c>
      <c r="J1288" s="22" t="s">
        <v>59</v>
      </c>
      <c r="K1288" s="23" t="s">
        <v>2849</v>
      </c>
      <c r="L1288" t="e">
        <f>VLOOKUP(B1288,ubah!$B$2:$L$234,4,FALSE)</f>
        <v>#N/A</v>
      </c>
      <c r="M1288" t="e">
        <f>VLOOKUP(B1288,ubah!$B$2:$L$234,5,FALSE)</f>
        <v>#N/A</v>
      </c>
      <c r="N1288" t="e">
        <f>VLOOKUP(B1288,ubah!$B$2:$L$234,6,FALSE)</f>
        <v>#N/A</v>
      </c>
    </row>
    <row r="1289" spans="1:14" hidden="1" x14ac:dyDescent="0.35">
      <c r="A1289" s="21">
        <v>2406044</v>
      </c>
      <c r="B1289" s="22" t="str">
        <f>"3328071707810011"</f>
        <v>3328071707810011</v>
      </c>
      <c r="C1289" s="22" t="str">
        <f t="shared" si="40"/>
        <v>'3328071707810011</v>
      </c>
      <c r="D1289" s="22" t="str">
        <f t="shared" si="41"/>
        <v>ganda</v>
      </c>
      <c r="E1289" s="22" t="s">
        <v>2934</v>
      </c>
      <c r="F1289" s="22" t="s">
        <v>10</v>
      </c>
      <c r="G1289" s="22" t="s">
        <v>57</v>
      </c>
      <c r="H1289" s="22" t="s">
        <v>67</v>
      </c>
      <c r="I1289" s="22" t="s">
        <v>791</v>
      </c>
      <c r="J1289" s="22" t="s">
        <v>2935</v>
      </c>
      <c r="K1289" s="23" t="s">
        <v>2936</v>
      </c>
    </row>
    <row r="1290" spans="1:14" hidden="1" x14ac:dyDescent="0.35">
      <c r="A1290" s="21">
        <v>386311</v>
      </c>
      <c r="B1290" s="22" t="str">
        <f>"3328072103970002"</f>
        <v>3328072103970002</v>
      </c>
      <c r="C1290" s="22" t="str">
        <f t="shared" si="40"/>
        <v>'3328072103970002</v>
      </c>
      <c r="D1290" s="22" t="str">
        <f t="shared" si="41"/>
        <v>tidak ganda</v>
      </c>
      <c r="E1290" s="22" t="s">
        <v>2937</v>
      </c>
      <c r="F1290" s="22" t="s">
        <v>10</v>
      </c>
      <c r="G1290" s="22" t="s">
        <v>11</v>
      </c>
      <c r="H1290" s="22" t="s">
        <v>18</v>
      </c>
      <c r="I1290" s="22" t="s">
        <v>2389</v>
      </c>
      <c r="J1290" s="22" t="s">
        <v>2728</v>
      </c>
      <c r="K1290" s="23" t="s">
        <v>2938</v>
      </c>
    </row>
    <row r="1291" spans="1:14" hidden="1" x14ac:dyDescent="0.35">
      <c r="A1291" s="21">
        <v>22802</v>
      </c>
      <c r="B1291" s="22" t="str">
        <f>"3328072707000001"</f>
        <v>3328072707000001</v>
      </c>
      <c r="C1291" s="22" t="str">
        <f t="shared" si="40"/>
        <v>'3328072707000001</v>
      </c>
      <c r="D1291" s="22" t="str">
        <f t="shared" si="41"/>
        <v>tidak ganda</v>
      </c>
      <c r="E1291" s="22" t="s">
        <v>2940</v>
      </c>
      <c r="F1291" s="22" t="s">
        <v>10</v>
      </c>
      <c r="G1291" s="22" t="s">
        <v>11</v>
      </c>
      <c r="H1291" s="22" t="s">
        <v>2907</v>
      </c>
      <c r="I1291" s="22" t="s">
        <v>2908</v>
      </c>
      <c r="J1291" s="22" t="s">
        <v>2909</v>
      </c>
      <c r="K1291" s="23" t="s">
        <v>2910</v>
      </c>
    </row>
    <row r="1292" spans="1:14" hidden="1" x14ac:dyDescent="0.35">
      <c r="A1292" s="21">
        <v>60957</v>
      </c>
      <c r="B1292" s="22" t="str">
        <f>"3328072808030003"</f>
        <v>3328072808030003</v>
      </c>
      <c r="C1292" s="22" t="str">
        <f t="shared" si="40"/>
        <v>'3328072808030003</v>
      </c>
      <c r="D1292" s="22" t="str">
        <f t="shared" si="41"/>
        <v>tidak ganda</v>
      </c>
      <c r="E1292" s="22" t="s">
        <v>2942</v>
      </c>
      <c r="F1292" s="22" t="s">
        <v>10</v>
      </c>
      <c r="G1292" s="22" t="s">
        <v>11</v>
      </c>
      <c r="H1292" s="22" t="s">
        <v>811</v>
      </c>
      <c r="I1292" s="22" t="s">
        <v>2943</v>
      </c>
      <c r="J1292" s="22" t="s">
        <v>2943</v>
      </c>
      <c r="K1292" s="23" t="s">
        <v>2944</v>
      </c>
    </row>
    <row r="1293" spans="1:14" hidden="1" x14ac:dyDescent="0.35">
      <c r="A1293" s="21">
        <v>910844</v>
      </c>
      <c r="B1293" s="22" t="str">
        <f>"3328073007690002"</f>
        <v>3328073007690002</v>
      </c>
      <c r="C1293" s="22" t="str">
        <f t="shared" si="40"/>
        <v>'3328073007690002</v>
      </c>
      <c r="D1293" s="22" t="str">
        <f t="shared" si="41"/>
        <v>tidak ganda</v>
      </c>
      <c r="E1293" s="22" t="s">
        <v>2946</v>
      </c>
      <c r="F1293" s="22" t="s">
        <v>10</v>
      </c>
      <c r="G1293" s="22" t="s">
        <v>11</v>
      </c>
      <c r="H1293" s="22" t="s">
        <v>91</v>
      </c>
      <c r="I1293" s="22" t="s">
        <v>92</v>
      </c>
      <c r="J1293" s="22" t="s">
        <v>128</v>
      </c>
      <c r="K1293" s="23" t="s">
        <v>2947</v>
      </c>
    </row>
    <row r="1294" spans="1:14" hidden="1" x14ac:dyDescent="0.35">
      <c r="A1294" s="21">
        <v>1684387</v>
      </c>
      <c r="B1294" s="22" t="str">
        <f>"3328073101070003"</f>
        <v>3328073101070003</v>
      </c>
      <c r="C1294" s="22" t="str">
        <f t="shared" si="40"/>
        <v>'3328073101070003</v>
      </c>
      <c r="D1294" s="22" t="str">
        <f t="shared" si="41"/>
        <v>tidak ganda</v>
      </c>
      <c r="E1294" s="22" t="s">
        <v>2949</v>
      </c>
      <c r="F1294" s="22" t="s">
        <v>10</v>
      </c>
      <c r="G1294" s="22" t="s">
        <v>57</v>
      </c>
      <c r="H1294" s="22" t="s">
        <v>18</v>
      </c>
      <c r="I1294" s="22" t="s">
        <v>184</v>
      </c>
      <c r="J1294" s="22" t="s">
        <v>1085</v>
      </c>
      <c r="K1294" s="23" t="s">
        <v>1086</v>
      </c>
    </row>
    <row r="1295" spans="1:14" hidden="1" x14ac:dyDescent="0.35">
      <c r="A1295" s="21">
        <v>386312</v>
      </c>
      <c r="B1295" s="22" t="str">
        <f>"3328074107730070"</f>
        <v>3328074107730070</v>
      </c>
      <c r="C1295" s="22" t="str">
        <f t="shared" si="40"/>
        <v>'3328074107730070</v>
      </c>
      <c r="D1295" s="22" t="str">
        <f t="shared" si="41"/>
        <v>tidak ganda</v>
      </c>
      <c r="E1295" s="22" t="s">
        <v>2950</v>
      </c>
      <c r="F1295" s="22" t="s">
        <v>10</v>
      </c>
      <c r="G1295" s="22" t="s">
        <v>11</v>
      </c>
      <c r="H1295" s="22" t="s">
        <v>18</v>
      </c>
      <c r="I1295" s="22" t="s">
        <v>2389</v>
      </c>
      <c r="J1295" s="22" t="s">
        <v>2728</v>
      </c>
      <c r="K1295" s="23" t="s">
        <v>2938</v>
      </c>
    </row>
    <row r="1296" spans="1:14" hidden="1" x14ac:dyDescent="0.35">
      <c r="A1296" s="21">
        <v>539038</v>
      </c>
      <c r="B1296" s="22" t="str">
        <f>"3328074110020003"</f>
        <v>3328074110020003</v>
      </c>
      <c r="C1296" s="22" t="str">
        <f t="shared" si="40"/>
        <v>'3328074110020003</v>
      </c>
      <c r="D1296" s="22" t="str">
        <f t="shared" si="41"/>
        <v>tidak ganda</v>
      </c>
      <c r="E1296" s="22" t="s">
        <v>2952</v>
      </c>
      <c r="F1296" s="22" t="s">
        <v>10</v>
      </c>
      <c r="G1296" s="22" t="s">
        <v>11</v>
      </c>
      <c r="H1296" s="22" t="s">
        <v>50</v>
      </c>
      <c r="I1296" s="22" t="s">
        <v>58</v>
      </c>
      <c r="J1296" s="22" t="s">
        <v>316</v>
      </c>
      <c r="K1296" s="23" t="s">
        <v>1293</v>
      </c>
    </row>
    <row r="1297" spans="1:14" hidden="1" x14ac:dyDescent="0.35">
      <c r="A1297" s="21">
        <v>1727346</v>
      </c>
      <c r="B1297" s="22" t="str">
        <f>"3328074308860003"</f>
        <v>3328074308860003</v>
      </c>
      <c r="C1297" s="22" t="str">
        <f t="shared" si="40"/>
        <v>'3328074308860003</v>
      </c>
      <c r="D1297" s="22" t="str">
        <f t="shared" si="41"/>
        <v>tidak ganda</v>
      </c>
      <c r="E1297" s="22" t="s">
        <v>2954</v>
      </c>
      <c r="F1297" s="22" t="s">
        <v>10</v>
      </c>
      <c r="G1297" s="22" t="s">
        <v>11</v>
      </c>
      <c r="H1297" s="22" t="s">
        <v>67</v>
      </c>
      <c r="I1297" s="22" t="s">
        <v>68</v>
      </c>
      <c r="J1297" s="22" t="s">
        <v>2955</v>
      </c>
      <c r="K1297" s="23" t="s">
        <v>2956</v>
      </c>
    </row>
    <row r="1298" spans="1:14" hidden="1" x14ac:dyDescent="0.35">
      <c r="A1298" s="21">
        <v>632352</v>
      </c>
      <c r="B1298" s="22" t="str">
        <f>"3328074701960007"</f>
        <v>3328074701960007</v>
      </c>
      <c r="C1298" s="22" t="str">
        <f t="shared" si="40"/>
        <v>'3328074701960007</v>
      </c>
      <c r="D1298" s="22" t="str">
        <f t="shared" si="41"/>
        <v>tidak ganda</v>
      </c>
      <c r="E1298" s="22" t="s">
        <v>2957</v>
      </c>
      <c r="F1298" s="22" t="s">
        <v>10</v>
      </c>
      <c r="G1298" s="22" t="s">
        <v>11</v>
      </c>
      <c r="H1298" s="22" t="s">
        <v>91</v>
      </c>
      <c r="I1298" s="22" t="s">
        <v>438</v>
      </c>
      <c r="J1298" s="22" t="s">
        <v>2958</v>
      </c>
      <c r="K1298" s="23" t="s">
        <v>2959</v>
      </c>
    </row>
    <row r="1299" spans="1:14" hidden="1" x14ac:dyDescent="0.35">
      <c r="A1299" s="21">
        <v>539039</v>
      </c>
      <c r="B1299" s="22" t="str">
        <f>"3328074803980005"</f>
        <v>3328074803980005</v>
      </c>
      <c r="C1299" s="22" t="str">
        <f t="shared" si="40"/>
        <v>'3328074803980005</v>
      </c>
      <c r="D1299" s="22" t="str">
        <f t="shared" si="41"/>
        <v>tidak ganda</v>
      </c>
      <c r="E1299" s="22" t="s">
        <v>2960</v>
      </c>
      <c r="F1299" s="22" t="s">
        <v>10</v>
      </c>
      <c r="G1299" s="22" t="s">
        <v>11</v>
      </c>
      <c r="H1299" s="22" t="s">
        <v>50</v>
      </c>
      <c r="I1299" s="22" t="s">
        <v>58</v>
      </c>
      <c r="J1299" s="22" t="s">
        <v>316</v>
      </c>
      <c r="K1299" s="23" t="s">
        <v>1293</v>
      </c>
    </row>
    <row r="1300" spans="1:14" hidden="1" x14ac:dyDescent="0.35">
      <c r="A1300" s="21">
        <v>1786904</v>
      </c>
      <c r="B1300" s="22" t="str">
        <f>"3328074903870003"</f>
        <v>3328074903870003</v>
      </c>
      <c r="C1300" s="22" t="str">
        <f t="shared" si="40"/>
        <v>'3328074903870003</v>
      </c>
      <c r="D1300" s="22" t="str">
        <f t="shared" si="41"/>
        <v>tidak ganda</v>
      </c>
      <c r="E1300" s="22" t="s">
        <v>2962</v>
      </c>
      <c r="F1300" s="22" t="s">
        <v>10</v>
      </c>
      <c r="G1300" s="22" t="s">
        <v>11</v>
      </c>
      <c r="H1300" s="22" t="s">
        <v>67</v>
      </c>
      <c r="I1300" s="22" t="s">
        <v>68</v>
      </c>
      <c r="J1300" s="22" t="s">
        <v>2955</v>
      </c>
      <c r="K1300" s="23" t="s">
        <v>776</v>
      </c>
    </row>
    <row r="1301" spans="1:14" hidden="1" x14ac:dyDescent="0.35">
      <c r="A1301" s="21">
        <v>1341671</v>
      </c>
      <c r="B1301" s="22" t="str">
        <f>"3328075011750007"</f>
        <v>3328075011750007</v>
      </c>
      <c r="C1301" s="22" t="str">
        <f t="shared" si="40"/>
        <v>'3328075011750007</v>
      </c>
      <c r="D1301" s="22" t="str">
        <f t="shared" si="41"/>
        <v>tidak ganda</v>
      </c>
      <c r="E1301" s="22" t="s">
        <v>2964</v>
      </c>
      <c r="F1301" s="22" t="s">
        <v>10</v>
      </c>
      <c r="G1301" s="22" t="s">
        <v>11</v>
      </c>
      <c r="H1301" s="22" t="s">
        <v>50</v>
      </c>
      <c r="I1301" s="22" t="s">
        <v>58</v>
      </c>
      <c r="J1301" s="22" t="s">
        <v>417</v>
      </c>
      <c r="K1301" s="23" t="s">
        <v>1131</v>
      </c>
    </row>
    <row r="1302" spans="1:14" hidden="1" x14ac:dyDescent="0.35">
      <c r="A1302" s="21">
        <v>158728</v>
      </c>
      <c r="B1302" s="22" t="str">
        <f>"3328075302010002"</f>
        <v>3328075302010002</v>
      </c>
      <c r="C1302" s="22" t="str">
        <f t="shared" si="40"/>
        <v>'3328075302010002</v>
      </c>
      <c r="D1302" s="22" t="str">
        <f t="shared" si="41"/>
        <v>tidak ganda</v>
      </c>
      <c r="E1302" s="22" t="s">
        <v>2965</v>
      </c>
      <c r="F1302" s="22" t="s">
        <v>10</v>
      </c>
      <c r="G1302" s="22" t="s">
        <v>11</v>
      </c>
      <c r="H1302" s="22" t="s">
        <v>50</v>
      </c>
      <c r="I1302" s="22" t="s">
        <v>72</v>
      </c>
      <c r="J1302" s="22" t="s">
        <v>246</v>
      </c>
      <c r="K1302" s="23" t="s">
        <v>247</v>
      </c>
    </row>
    <row r="1303" spans="1:14" hidden="1" x14ac:dyDescent="0.35">
      <c r="A1303" s="21">
        <v>2241451</v>
      </c>
      <c r="B1303" s="22" t="str">
        <f>"3328075603900002"</f>
        <v>3328075603900002</v>
      </c>
      <c r="C1303" s="22" t="str">
        <f t="shared" si="40"/>
        <v>'3328075603900002</v>
      </c>
      <c r="D1303" s="22" t="str">
        <f t="shared" si="41"/>
        <v>tidak ganda</v>
      </c>
      <c r="E1303" s="22" t="s">
        <v>2966</v>
      </c>
      <c r="F1303" s="22" t="s">
        <v>10</v>
      </c>
      <c r="G1303" s="22" t="s">
        <v>11</v>
      </c>
      <c r="H1303" s="22" t="s">
        <v>18</v>
      </c>
      <c r="I1303" s="22" t="s">
        <v>199</v>
      </c>
      <c r="J1303" s="22" t="s">
        <v>706</v>
      </c>
      <c r="K1303" s="23" t="s">
        <v>2967</v>
      </c>
    </row>
    <row r="1304" spans="1:14" hidden="1" x14ac:dyDescent="0.35">
      <c r="A1304" s="21">
        <v>1620468</v>
      </c>
      <c r="B1304" s="22" t="str">
        <f>"3328075710990001"</f>
        <v>3328075710990001</v>
      </c>
      <c r="C1304" s="22" t="str">
        <f t="shared" si="40"/>
        <v>'3328075710990001</v>
      </c>
      <c r="D1304" s="22" t="str">
        <f t="shared" si="41"/>
        <v>tidak ganda</v>
      </c>
      <c r="E1304" s="22" t="s">
        <v>1536</v>
      </c>
      <c r="F1304" s="22" t="s">
        <v>10</v>
      </c>
      <c r="G1304" s="22" t="s">
        <v>11</v>
      </c>
      <c r="H1304" s="22" t="s">
        <v>67</v>
      </c>
      <c r="I1304" s="22" t="s">
        <v>512</v>
      </c>
      <c r="J1304" s="22" t="s">
        <v>791</v>
      </c>
      <c r="K1304" s="23" t="s">
        <v>2969</v>
      </c>
    </row>
    <row r="1305" spans="1:14" hidden="1" x14ac:dyDescent="0.35">
      <c r="A1305" s="21">
        <v>1703027</v>
      </c>
      <c r="B1305" s="22" t="str">
        <f>"3328076203030003"</f>
        <v>3328076203030003</v>
      </c>
      <c r="C1305" s="22" t="str">
        <f t="shared" si="40"/>
        <v>'3328076203030003</v>
      </c>
      <c r="D1305" s="22" t="str">
        <f t="shared" si="41"/>
        <v>ganda</v>
      </c>
      <c r="E1305" s="22" t="s">
        <v>2972</v>
      </c>
      <c r="F1305" s="22" t="s">
        <v>10</v>
      </c>
      <c r="G1305" s="22" t="s">
        <v>11</v>
      </c>
      <c r="H1305" s="22" t="s">
        <v>18</v>
      </c>
      <c r="I1305" s="22" t="s">
        <v>19</v>
      </c>
      <c r="J1305" s="22" t="s">
        <v>59</v>
      </c>
      <c r="K1305" s="23" t="s">
        <v>2887</v>
      </c>
      <c r="L1305" t="e">
        <f>VLOOKUP(B1305,ubah!$B$2:$L$234,4,FALSE)</f>
        <v>#N/A</v>
      </c>
      <c r="M1305" t="e">
        <f>VLOOKUP(B1305,ubah!$B$2:$L$234,5,FALSE)</f>
        <v>#N/A</v>
      </c>
      <c r="N1305" t="e">
        <f>VLOOKUP(B1305,ubah!$B$2:$L$234,6,FALSE)</f>
        <v>#N/A</v>
      </c>
    </row>
    <row r="1306" spans="1:14" hidden="1" x14ac:dyDescent="0.35">
      <c r="A1306" s="21">
        <v>1863010</v>
      </c>
      <c r="B1306" s="22" t="str">
        <f>"3328076203030003"</f>
        <v>3328076203030003</v>
      </c>
      <c r="C1306" s="22" t="str">
        <f t="shared" si="40"/>
        <v>'3328076203030003</v>
      </c>
      <c r="D1306" s="22" t="str">
        <f t="shared" si="41"/>
        <v>ganda</v>
      </c>
      <c r="E1306" s="22" t="s">
        <v>2972</v>
      </c>
      <c r="F1306" s="22" t="s">
        <v>10</v>
      </c>
      <c r="G1306" s="22" t="s">
        <v>57</v>
      </c>
      <c r="H1306" s="22" t="s">
        <v>18</v>
      </c>
      <c r="I1306" s="22" t="s">
        <v>733</v>
      </c>
      <c r="J1306" s="22" t="s">
        <v>1127</v>
      </c>
      <c r="K1306" s="23" t="s">
        <v>1127</v>
      </c>
    </row>
    <row r="1307" spans="1:14" hidden="1" x14ac:dyDescent="0.35">
      <c r="A1307" s="21">
        <v>539040</v>
      </c>
      <c r="B1307" s="22" t="str">
        <f>"3328076212600001"</f>
        <v>3328076212600001</v>
      </c>
      <c r="C1307" s="22" t="str">
        <f t="shared" si="40"/>
        <v>'3328076212600001</v>
      </c>
      <c r="D1307" s="22" t="str">
        <f t="shared" si="41"/>
        <v>tidak ganda</v>
      </c>
      <c r="E1307" s="22" t="s">
        <v>2973</v>
      </c>
      <c r="F1307" s="22" t="s">
        <v>10</v>
      </c>
      <c r="G1307" s="22" t="s">
        <v>11</v>
      </c>
      <c r="H1307" s="22" t="s">
        <v>50</v>
      </c>
      <c r="I1307" s="22" t="s">
        <v>58</v>
      </c>
      <c r="J1307" s="22" t="s">
        <v>316</v>
      </c>
      <c r="K1307" s="23" t="s">
        <v>1293</v>
      </c>
    </row>
    <row r="1308" spans="1:14" hidden="1" x14ac:dyDescent="0.35">
      <c r="A1308" s="21">
        <v>1724926</v>
      </c>
      <c r="B1308" s="22" t="str">
        <f>"3328076212830002"</f>
        <v>3328076212830002</v>
      </c>
      <c r="C1308" s="22" t="str">
        <f t="shared" si="40"/>
        <v>'3328076212830002</v>
      </c>
      <c r="D1308" s="22" t="str">
        <f t="shared" si="41"/>
        <v>ganda</v>
      </c>
      <c r="E1308" s="22" t="s">
        <v>2974</v>
      </c>
      <c r="F1308" s="22" t="s">
        <v>10</v>
      </c>
      <c r="G1308" s="22" t="s">
        <v>11</v>
      </c>
      <c r="H1308" s="22" t="s">
        <v>18</v>
      </c>
      <c r="I1308" s="22" t="s">
        <v>19</v>
      </c>
      <c r="J1308" s="22" t="s">
        <v>59</v>
      </c>
      <c r="K1308" s="23" t="s">
        <v>110</v>
      </c>
      <c r="L1308" t="e">
        <f>VLOOKUP(B1308,ubah!$B$2:$L$234,4,FALSE)</f>
        <v>#N/A</v>
      </c>
      <c r="M1308" t="e">
        <f>VLOOKUP(B1308,ubah!$B$2:$L$234,5,FALSE)</f>
        <v>#N/A</v>
      </c>
      <c r="N1308" t="e">
        <f>VLOOKUP(B1308,ubah!$B$2:$L$234,6,FALSE)</f>
        <v>#N/A</v>
      </c>
    </row>
    <row r="1309" spans="1:14" hidden="1" x14ac:dyDescent="0.35">
      <c r="A1309" s="21">
        <v>2618366</v>
      </c>
      <c r="B1309" s="22" t="str">
        <f>"3328076212830002"</f>
        <v>3328076212830002</v>
      </c>
      <c r="C1309" s="22" t="str">
        <f t="shared" si="40"/>
        <v>'3328076212830002</v>
      </c>
      <c r="D1309" s="22" t="str">
        <f t="shared" si="41"/>
        <v>ganda</v>
      </c>
      <c r="E1309" s="22" t="s">
        <v>2975</v>
      </c>
      <c r="F1309" s="22" t="s">
        <v>10</v>
      </c>
      <c r="G1309" s="22" t="s">
        <v>57</v>
      </c>
      <c r="H1309" s="22" t="s">
        <v>18</v>
      </c>
      <c r="I1309" s="22" t="s">
        <v>1438</v>
      </c>
      <c r="J1309" s="22" t="s">
        <v>2976</v>
      </c>
      <c r="K1309" s="23" t="s">
        <v>2977</v>
      </c>
    </row>
    <row r="1310" spans="1:14" hidden="1" x14ac:dyDescent="0.35">
      <c r="A1310" s="21">
        <v>1352902</v>
      </c>
      <c r="B1310" s="22" t="str">
        <f>"3328076911040007"</f>
        <v>3328076911040007</v>
      </c>
      <c r="C1310" s="22" t="str">
        <f t="shared" si="40"/>
        <v>'3328076911040007</v>
      </c>
      <c r="D1310" s="22" t="str">
        <f t="shared" si="41"/>
        <v>tidak ganda</v>
      </c>
      <c r="E1310" s="22" t="s">
        <v>2978</v>
      </c>
      <c r="F1310" s="22" t="s">
        <v>10</v>
      </c>
      <c r="G1310" s="22" t="s">
        <v>57</v>
      </c>
      <c r="H1310" s="22" t="s">
        <v>303</v>
      </c>
      <c r="I1310" s="22" t="s">
        <v>608</v>
      </c>
      <c r="J1310" s="22" t="s">
        <v>609</v>
      </c>
      <c r="K1310" s="23" t="s">
        <v>610</v>
      </c>
    </row>
    <row r="1311" spans="1:14" hidden="1" x14ac:dyDescent="0.35">
      <c r="A1311" s="21">
        <v>597326</v>
      </c>
      <c r="B1311" s="22" t="str">
        <f>"3328131201796287"</f>
        <v>3328131201796287</v>
      </c>
      <c r="C1311" s="22" t="str">
        <f t="shared" si="40"/>
        <v>'3328131201796287</v>
      </c>
      <c r="D1311" s="22" t="str">
        <f t="shared" si="41"/>
        <v>tidak ganda</v>
      </c>
      <c r="E1311" s="22" t="s">
        <v>2979</v>
      </c>
      <c r="F1311" s="22" t="s">
        <v>10</v>
      </c>
      <c r="G1311" s="22" t="s">
        <v>11</v>
      </c>
      <c r="H1311" s="22" t="s">
        <v>50</v>
      </c>
      <c r="I1311" s="22" t="s">
        <v>58</v>
      </c>
      <c r="J1311" s="22" t="s">
        <v>316</v>
      </c>
      <c r="K1311" s="23" t="s">
        <v>2878</v>
      </c>
    </row>
    <row r="1312" spans="1:14" hidden="1" x14ac:dyDescent="0.35">
      <c r="A1312" s="21">
        <v>651368</v>
      </c>
      <c r="B1312" s="22" t="str">
        <f>"3329091903660007"</f>
        <v>3329091903660007</v>
      </c>
      <c r="C1312" s="22" t="str">
        <f t="shared" si="40"/>
        <v>'3329091903660007</v>
      </c>
      <c r="D1312" s="22" t="str">
        <f t="shared" si="41"/>
        <v>tidak ganda</v>
      </c>
      <c r="E1312" s="22" t="s">
        <v>2981</v>
      </c>
      <c r="F1312" s="22" t="s">
        <v>10</v>
      </c>
      <c r="G1312" s="22" t="s">
        <v>11</v>
      </c>
      <c r="H1312" s="22" t="s">
        <v>18</v>
      </c>
      <c r="I1312" s="22" t="s">
        <v>264</v>
      </c>
      <c r="J1312" s="22" t="s">
        <v>264</v>
      </c>
      <c r="K1312" s="23" t="s">
        <v>2982</v>
      </c>
    </row>
    <row r="1313" spans="1:11" hidden="1" x14ac:dyDescent="0.35">
      <c r="A1313" s="21">
        <v>939163</v>
      </c>
      <c r="B1313" s="22" t="str">
        <f>"3329096803750007"</f>
        <v>3329096803750007</v>
      </c>
      <c r="C1313" s="22" t="str">
        <f t="shared" si="40"/>
        <v>'3329096803750007</v>
      </c>
      <c r="D1313" s="22" t="str">
        <f t="shared" si="41"/>
        <v>tidak ganda</v>
      </c>
      <c r="E1313" s="22" t="s">
        <v>2983</v>
      </c>
      <c r="F1313" s="22" t="s">
        <v>10</v>
      </c>
      <c r="G1313" s="22" t="s">
        <v>11</v>
      </c>
      <c r="H1313" s="22" t="s">
        <v>18</v>
      </c>
      <c r="I1313" s="22" t="s">
        <v>264</v>
      </c>
      <c r="J1313" s="22" t="s">
        <v>264</v>
      </c>
      <c r="K1313" s="23" t="s">
        <v>2921</v>
      </c>
    </row>
    <row r="1314" spans="1:11" hidden="1" x14ac:dyDescent="0.35">
      <c r="A1314" s="21">
        <v>658665</v>
      </c>
      <c r="B1314" s="22" t="str">
        <f>"3501112711830001"</f>
        <v>3501112711830001</v>
      </c>
      <c r="C1314" s="22" t="str">
        <f t="shared" si="40"/>
        <v>'3501112711830001</v>
      </c>
      <c r="D1314" s="22" t="str">
        <f t="shared" si="41"/>
        <v>tidak ganda</v>
      </c>
      <c r="E1314" s="22" t="s">
        <v>2987</v>
      </c>
      <c r="F1314" s="22" t="s">
        <v>10</v>
      </c>
      <c r="G1314" s="22" t="s">
        <v>11</v>
      </c>
      <c r="H1314" s="22" t="s">
        <v>303</v>
      </c>
      <c r="I1314" s="22" t="s">
        <v>1855</v>
      </c>
      <c r="J1314" s="22" t="s">
        <v>2988</v>
      </c>
      <c r="K1314" s="23" t="s">
        <v>2989</v>
      </c>
    </row>
    <row r="1315" spans="1:11" hidden="1" x14ac:dyDescent="0.35">
      <c r="A1315" s="21">
        <v>769307</v>
      </c>
      <c r="B1315" s="22" t="str">
        <f>"3604031509060001"</f>
        <v>3604031509060001</v>
      </c>
      <c r="C1315" s="22" t="str">
        <f t="shared" si="40"/>
        <v>'3604031509060001</v>
      </c>
      <c r="D1315" s="22" t="str">
        <f t="shared" si="41"/>
        <v>tidak ganda</v>
      </c>
      <c r="E1315" s="22" t="s">
        <v>2994</v>
      </c>
      <c r="F1315" s="22" t="s">
        <v>10</v>
      </c>
      <c r="G1315" s="22" t="s">
        <v>11</v>
      </c>
      <c r="H1315" s="22" t="s">
        <v>67</v>
      </c>
      <c r="I1315" s="22" t="s">
        <v>696</v>
      </c>
      <c r="J1315" s="22" t="s">
        <v>697</v>
      </c>
      <c r="K1315" s="23" t="s">
        <v>2995</v>
      </c>
    </row>
    <row r="1316" spans="1:11" hidden="1" x14ac:dyDescent="0.35">
      <c r="A1316" s="21">
        <v>769354</v>
      </c>
      <c r="B1316" s="22" t="str">
        <f>"3604035710790217"</f>
        <v>3604035710790217</v>
      </c>
      <c r="C1316" s="22" t="str">
        <f t="shared" si="40"/>
        <v>'3604035710790217</v>
      </c>
      <c r="D1316" s="22" t="str">
        <f t="shared" si="41"/>
        <v>tidak ganda</v>
      </c>
      <c r="E1316" s="22" t="s">
        <v>2613</v>
      </c>
      <c r="F1316" s="22" t="s">
        <v>10</v>
      </c>
      <c r="G1316" s="22" t="s">
        <v>11</v>
      </c>
      <c r="H1316" s="22" t="s">
        <v>67</v>
      </c>
      <c r="I1316" s="22" t="s">
        <v>696</v>
      </c>
      <c r="J1316" s="22" t="s">
        <v>697</v>
      </c>
      <c r="K1316" s="23" t="s">
        <v>2995</v>
      </c>
    </row>
    <row r="1317" spans="1:11" hidden="1" x14ac:dyDescent="0.35">
      <c r="A1317" s="21">
        <v>2556382</v>
      </c>
      <c r="B1317" s="22" t="str">
        <f>"3671062410610003"</f>
        <v>3671062410610003</v>
      </c>
      <c r="C1317" s="22" t="str">
        <f t="shared" si="40"/>
        <v>'3671062410610003</v>
      </c>
      <c r="D1317" s="22" t="str">
        <f t="shared" si="41"/>
        <v>tidak ganda</v>
      </c>
      <c r="E1317" s="22" t="s">
        <v>3002</v>
      </c>
      <c r="F1317" s="22" t="s">
        <v>10</v>
      </c>
      <c r="G1317" s="22" t="s">
        <v>11</v>
      </c>
      <c r="H1317" s="22" t="s">
        <v>67</v>
      </c>
      <c r="I1317" s="22" t="s">
        <v>512</v>
      </c>
      <c r="J1317" s="22" t="s">
        <v>513</v>
      </c>
      <c r="K1317" s="23" t="s">
        <v>514</v>
      </c>
    </row>
    <row r="1318" spans="1:11" hidden="1" x14ac:dyDescent="0.35">
      <c r="A1318" s="21">
        <v>1639540</v>
      </c>
      <c r="B1318" s="22" t="str">
        <f>"3674031508740003"</f>
        <v>3674031508740003</v>
      </c>
      <c r="C1318" s="22" t="str">
        <f t="shared" si="40"/>
        <v>'3674031508740003</v>
      </c>
      <c r="D1318" s="22" t="str">
        <f t="shared" si="41"/>
        <v>tidak ganda</v>
      </c>
      <c r="E1318" s="22" t="s">
        <v>3003</v>
      </c>
      <c r="F1318" s="22" t="s">
        <v>10</v>
      </c>
      <c r="G1318" s="22" t="s">
        <v>11</v>
      </c>
      <c r="H1318" s="22" t="s">
        <v>67</v>
      </c>
      <c r="I1318" s="22" t="s">
        <v>68</v>
      </c>
      <c r="J1318" s="22" t="s">
        <v>2924</v>
      </c>
      <c r="K1318" s="23" t="s">
        <v>3004</v>
      </c>
    </row>
    <row r="1319" spans="1:11" hidden="1" x14ac:dyDescent="0.35">
      <c r="A1319" s="21">
        <v>1392375</v>
      </c>
      <c r="B1319" s="22" t="str">
        <f>"3674044806900002"</f>
        <v>3674044806900002</v>
      </c>
      <c r="C1319" s="22" t="str">
        <f t="shared" si="40"/>
        <v>'3674044806900002</v>
      </c>
      <c r="D1319" s="22" t="str">
        <f t="shared" si="41"/>
        <v>tidak ganda</v>
      </c>
      <c r="E1319" s="22" t="s">
        <v>3006</v>
      </c>
      <c r="F1319" s="22" t="s">
        <v>10</v>
      </c>
      <c r="G1319" s="22" t="s">
        <v>11</v>
      </c>
      <c r="H1319" s="22" t="s">
        <v>67</v>
      </c>
      <c r="I1319" s="22" t="s">
        <v>68</v>
      </c>
      <c r="J1319" s="22" t="s">
        <v>69</v>
      </c>
      <c r="K1319" s="23" t="s">
        <v>2117</v>
      </c>
    </row>
    <row r="1320" spans="1:11" hidden="1" x14ac:dyDescent="0.35">
      <c r="A1320" s="21">
        <v>1727341</v>
      </c>
      <c r="B1320" s="22" t="str">
        <f>"3674052703910002"</f>
        <v>3674052703910002</v>
      </c>
      <c r="C1320" s="22" t="str">
        <f t="shared" si="40"/>
        <v>'3674052703910002</v>
      </c>
      <c r="D1320" s="22" t="str">
        <f t="shared" si="41"/>
        <v>tidak ganda</v>
      </c>
      <c r="E1320" s="22" t="s">
        <v>3007</v>
      </c>
      <c r="F1320" s="22" t="s">
        <v>10</v>
      </c>
      <c r="G1320" s="22" t="s">
        <v>11</v>
      </c>
      <c r="H1320" s="22" t="s">
        <v>67</v>
      </c>
      <c r="I1320" s="22" t="s">
        <v>68</v>
      </c>
      <c r="J1320" s="22" t="s">
        <v>2955</v>
      </c>
      <c r="K1320" s="23" t="s">
        <v>2956</v>
      </c>
    </row>
    <row r="1321" spans="1:11" hidden="1" x14ac:dyDescent="0.35">
      <c r="A1321" s="21">
        <v>1285369</v>
      </c>
      <c r="B1321" s="22" t="str">
        <f>"3674064410760002"</f>
        <v>3674064410760002</v>
      </c>
      <c r="C1321" s="22" t="str">
        <f t="shared" si="40"/>
        <v>'3674064410760002</v>
      </c>
      <c r="D1321" s="22" t="str">
        <f t="shared" si="41"/>
        <v>tidak ganda</v>
      </c>
      <c r="E1321" s="22" t="s">
        <v>3008</v>
      </c>
      <c r="F1321" s="22" t="s">
        <v>10</v>
      </c>
      <c r="G1321" s="22" t="s">
        <v>11</v>
      </c>
      <c r="H1321" s="22" t="s">
        <v>67</v>
      </c>
      <c r="I1321" s="22" t="s">
        <v>68</v>
      </c>
      <c r="J1321" s="22" t="s">
        <v>2817</v>
      </c>
      <c r="K1321" s="23" t="s">
        <v>3009</v>
      </c>
    </row>
    <row r="1322" spans="1:11" hidden="1" x14ac:dyDescent="0.35">
      <c r="A1322" s="21">
        <v>1810846</v>
      </c>
      <c r="B1322" s="22" t="str">
        <f>"1801154203000002"</f>
        <v>1801154203000002</v>
      </c>
      <c r="C1322" s="22" t="str">
        <f t="shared" si="40"/>
        <v>'1801154203000002</v>
      </c>
      <c r="D1322" s="22" t="str">
        <f t="shared" si="41"/>
        <v>tidak ganda</v>
      </c>
      <c r="E1322" s="22" t="s">
        <v>3011</v>
      </c>
      <c r="F1322" s="22" t="s">
        <v>10</v>
      </c>
      <c r="G1322" s="22" t="s">
        <v>11</v>
      </c>
      <c r="H1322" s="22" t="s">
        <v>67</v>
      </c>
      <c r="I1322" s="22" t="s">
        <v>375</v>
      </c>
      <c r="J1322" s="22" t="s">
        <v>3012</v>
      </c>
      <c r="K1322" s="23" t="s">
        <v>3013</v>
      </c>
    </row>
    <row r="1323" spans="1:11" hidden="1" x14ac:dyDescent="0.35">
      <c r="A1323" s="21">
        <v>87178</v>
      </c>
      <c r="B1323" s="22" t="str">
        <f>"3171020206810006"</f>
        <v>3171020206810006</v>
      </c>
      <c r="C1323" s="22" t="str">
        <f t="shared" si="40"/>
        <v>'3171020206810006</v>
      </c>
      <c r="D1323" s="22" t="str">
        <f t="shared" si="41"/>
        <v>tidak ganda</v>
      </c>
      <c r="E1323" s="22" t="s">
        <v>3016</v>
      </c>
      <c r="F1323" s="22" t="s">
        <v>10</v>
      </c>
      <c r="G1323" s="22" t="s">
        <v>11</v>
      </c>
      <c r="H1323" s="22" t="s">
        <v>50</v>
      </c>
      <c r="I1323" s="22" t="s">
        <v>280</v>
      </c>
      <c r="J1323" s="22" t="s">
        <v>455</v>
      </c>
      <c r="K1323" s="23" t="s">
        <v>456</v>
      </c>
    </row>
    <row r="1324" spans="1:11" hidden="1" x14ac:dyDescent="0.35">
      <c r="A1324" s="21">
        <v>170535</v>
      </c>
      <c r="B1324" s="22" t="str">
        <f>"3172020205660011"</f>
        <v>3172020205660011</v>
      </c>
      <c r="C1324" s="22" t="str">
        <f t="shared" si="40"/>
        <v>'3172020205660011</v>
      </c>
      <c r="D1324" s="22" t="str">
        <f t="shared" si="41"/>
        <v>tidak ganda</v>
      </c>
      <c r="E1324" s="22" t="s">
        <v>943</v>
      </c>
      <c r="F1324" s="22" t="s">
        <v>10</v>
      </c>
      <c r="G1324" s="22" t="s">
        <v>11</v>
      </c>
      <c r="H1324" s="22" t="s">
        <v>50</v>
      </c>
      <c r="I1324" s="22" t="s">
        <v>51</v>
      </c>
      <c r="J1324" s="22" t="s">
        <v>62</v>
      </c>
      <c r="K1324" s="23" t="s">
        <v>63</v>
      </c>
    </row>
    <row r="1325" spans="1:11" hidden="1" x14ac:dyDescent="0.35">
      <c r="A1325" s="21">
        <v>482134</v>
      </c>
      <c r="B1325" s="22" t="str">
        <f>"3172026206061003"</f>
        <v>3172026206061003</v>
      </c>
      <c r="C1325" s="22" t="str">
        <f t="shared" si="40"/>
        <v>'3172026206061003</v>
      </c>
      <c r="D1325" s="22" t="str">
        <f t="shared" si="41"/>
        <v>tidak ganda</v>
      </c>
      <c r="E1325" s="22" t="s">
        <v>3019</v>
      </c>
      <c r="F1325" s="22" t="s">
        <v>10</v>
      </c>
      <c r="G1325" s="22" t="s">
        <v>11</v>
      </c>
      <c r="H1325" s="22" t="s">
        <v>50</v>
      </c>
      <c r="I1325" s="22" t="s">
        <v>51</v>
      </c>
      <c r="J1325" s="22" t="s">
        <v>62</v>
      </c>
      <c r="K1325" s="23" t="s">
        <v>2193</v>
      </c>
    </row>
    <row r="1326" spans="1:11" hidden="1" x14ac:dyDescent="0.35">
      <c r="A1326" s="21">
        <v>482133</v>
      </c>
      <c r="B1326" s="22" t="str">
        <f>"3172026304850021"</f>
        <v>3172026304850021</v>
      </c>
      <c r="C1326" s="22" t="str">
        <f t="shared" si="40"/>
        <v>'3172026304850021</v>
      </c>
      <c r="D1326" s="22" t="str">
        <f t="shared" si="41"/>
        <v>tidak ganda</v>
      </c>
      <c r="E1326" s="22" t="s">
        <v>3021</v>
      </c>
      <c r="F1326" s="22" t="s">
        <v>10</v>
      </c>
      <c r="G1326" s="22" t="s">
        <v>11</v>
      </c>
      <c r="H1326" s="22" t="s">
        <v>50</v>
      </c>
      <c r="I1326" s="22" t="s">
        <v>51</v>
      </c>
      <c r="J1326" s="22" t="s">
        <v>62</v>
      </c>
      <c r="K1326" s="23" t="s">
        <v>2193</v>
      </c>
    </row>
    <row r="1327" spans="1:11" hidden="1" x14ac:dyDescent="0.35">
      <c r="A1327" s="21">
        <v>170536</v>
      </c>
      <c r="B1327" s="22" t="str">
        <f>"3172027112740016"</f>
        <v>3172027112740016</v>
      </c>
      <c r="C1327" s="22" t="str">
        <f t="shared" si="40"/>
        <v>'3172027112740016</v>
      </c>
      <c r="D1327" s="22" t="str">
        <f t="shared" si="41"/>
        <v>tidak ganda</v>
      </c>
      <c r="E1327" s="22" t="s">
        <v>3023</v>
      </c>
      <c r="F1327" s="22" t="s">
        <v>10</v>
      </c>
      <c r="G1327" s="22" t="s">
        <v>11</v>
      </c>
      <c r="H1327" s="22" t="s">
        <v>50</v>
      </c>
      <c r="I1327" s="22" t="s">
        <v>51</v>
      </c>
      <c r="J1327" s="22" t="s">
        <v>62</v>
      </c>
      <c r="K1327" s="23" t="s">
        <v>63</v>
      </c>
    </row>
    <row r="1328" spans="1:11" hidden="1" x14ac:dyDescent="0.35">
      <c r="A1328" s="21">
        <v>431001</v>
      </c>
      <c r="B1328" s="22" t="str">
        <f>"3172060404740007"</f>
        <v>3172060404740007</v>
      </c>
      <c r="C1328" s="22" t="str">
        <f t="shared" si="40"/>
        <v>'3172060404740007</v>
      </c>
      <c r="D1328" s="22" t="str">
        <f t="shared" si="41"/>
        <v>tidak ganda</v>
      </c>
      <c r="E1328" s="22" t="s">
        <v>3024</v>
      </c>
      <c r="F1328" s="22" t="s">
        <v>10</v>
      </c>
      <c r="G1328" s="22" t="s">
        <v>11</v>
      </c>
      <c r="H1328" s="22" t="s">
        <v>50</v>
      </c>
      <c r="I1328" s="22" t="s">
        <v>51</v>
      </c>
      <c r="J1328" s="22" t="s">
        <v>425</v>
      </c>
      <c r="K1328" s="23" t="s">
        <v>426</v>
      </c>
    </row>
    <row r="1329" spans="1:14" hidden="1" x14ac:dyDescent="0.35">
      <c r="A1329" s="21">
        <v>1197224</v>
      </c>
      <c r="B1329" s="22" t="str">
        <f>"3173012105870016"</f>
        <v>3173012105870016</v>
      </c>
      <c r="C1329" s="22" t="str">
        <f t="shared" si="40"/>
        <v>'3173012105870016</v>
      </c>
      <c r="D1329" s="22" t="str">
        <f t="shared" si="41"/>
        <v>tidak ganda</v>
      </c>
      <c r="E1329" s="22" t="s">
        <v>3025</v>
      </c>
      <c r="F1329" s="22" t="s">
        <v>10</v>
      </c>
      <c r="G1329" s="22" t="s">
        <v>11</v>
      </c>
      <c r="H1329" s="22" t="s">
        <v>50</v>
      </c>
      <c r="I1329" s="22" t="s">
        <v>86</v>
      </c>
      <c r="J1329" s="22" t="s">
        <v>1268</v>
      </c>
      <c r="K1329" s="23" t="s">
        <v>2503</v>
      </c>
    </row>
    <row r="1330" spans="1:14" hidden="1" x14ac:dyDescent="0.35">
      <c r="A1330" s="21">
        <v>1197227</v>
      </c>
      <c r="B1330" s="22" t="str">
        <f>"3173015809931001"</f>
        <v>3173015809931001</v>
      </c>
      <c r="C1330" s="22" t="str">
        <f t="shared" si="40"/>
        <v>'3173015809931001</v>
      </c>
      <c r="D1330" s="22" t="str">
        <f t="shared" si="41"/>
        <v>tidak ganda</v>
      </c>
      <c r="E1330" s="22" t="s">
        <v>3027</v>
      </c>
      <c r="F1330" s="22" t="s">
        <v>10</v>
      </c>
      <c r="G1330" s="22" t="s">
        <v>11</v>
      </c>
      <c r="H1330" s="22" t="s">
        <v>50</v>
      </c>
      <c r="I1330" s="22" t="s">
        <v>86</v>
      </c>
      <c r="J1330" s="22" t="s">
        <v>1268</v>
      </c>
      <c r="K1330" s="23" t="s">
        <v>2503</v>
      </c>
    </row>
    <row r="1331" spans="1:14" hidden="1" x14ac:dyDescent="0.35">
      <c r="A1331" s="21">
        <v>268043</v>
      </c>
      <c r="B1331" s="22" t="str">
        <f>"3173020411981002"</f>
        <v>3173020411981002</v>
      </c>
      <c r="C1331" s="22" t="str">
        <f t="shared" si="40"/>
        <v>'3173020411981002</v>
      </c>
      <c r="D1331" s="22" t="str">
        <f t="shared" si="41"/>
        <v>tidak ganda</v>
      </c>
      <c r="E1331" s="22" t="s">
        <v>3028</v>
      </c>
      <c r="F1331" s="22" t="s">
        <v>10</v>
      </c>
      <c r="G1331" s="22" t="s">
        <v>11</v>
      </c>
      <c r="H1331" s="22" t="s">
        <v>50</v>
      </c>
      <c r="I1331" s="22" t="s">
        <v>86</v>
      </c>
      <c r="J1331" s="22" t="s">
        <v>205</v>
      </c>
      <c r="K1331" s="23" t="s">
        <v>2635</v>
      </c>
    </row>
    <row r="1332" spans="1:14" hidden="1" x14ac:dyDescent="0.35">
      <c r="A1332" s="21">
        <v>544074</v>
      </c>
      <c r="B1332" s="22" t="str">
        <f>"3173071705820004"</f>
        <v>3173071705820004</v>
      </c>
      <c r="C1332" s="22" t="str">
        <f t="shared" si="40"/>
        <v>'3173071705820004</v>
      </c>
      <c r="D1332" s="22" t="str">
        <f t="shared" si="41"/>
        <v>tidak ganda</v>
      </c>
      <c r="E1332" s="22" t="s">
        <v>3029</v>
      </c>
      <c r="F1332" s="22" t="s">
        <v>10</v>
      </c>
      <c r="G1332" s="22" t="s">
        <v>11</v>
      </c>
      <c r="H1332" s="22" t="s">
        <v>50</v>
      </c>
      <c r="I1332" s="22" t="s">
        <v>72</v>
      </c>
      <c r="J1332" s="22" t="s">
        <v>803</v>
      </c>
      <c r="K1332" s="23" t="s">
        <v>3030</v>
      </c>
    </row>
    <row r="1333" spans="1:14" hidden="1" x14ac:dyDescent="0.35">
      <c r="A1333" s="21">
        <v>1636708</v>
      </c>
      <c r="B1333" s="22" t="str">
        <f>"3174030112700011"</f>
        <v>3174030112700011</v>
      </c>
      <c r="C1333" s="22" t="str">
        <f t="shared" si="40"/>
        <v>'3174030112700011</v>
      </c>
      <c r="D1333" s="22" t="str">
        <f t="shared" si="41"/>
        <v>tidak ganda</v>
      </c>
      <c r="E1333" s="22" t="s">
        <v>3032</v>
      </c>
      <c r="F1333" s="22" t="s">
        <v>10</v>
      </c>
      <c r="G1333" s="22" t="s">
        <v>11</v>
      </c>
      <c r="H1333" s="22" t="s">
        <v>50</v>
      </c>
      <c r="I1333" s="22" t="s">
        <v>72</v>
      </c>
      <c r="J1333" s="22" t="s">
        <v>1172</v>
      </c>
      <c r="K1333" s="23" t="s">
        <v>1173</v>
      </c>
    </row>
    <row r="1334" spans="1:14" hidden="1" x14ac:dyDescent="0.35">
      <c r="A1334" s="21">
        <v>1620214</v>
      </c>
      <c r="B1334" s="22" t="str">
        <f>"3174035010700007"</f>
        <v>3174035010700007</v>
      </c>
      <c r="C1334" s="22" t="str">
        <f t="shared" si="40"/>
        <v>'3174035010700007</v>
      </c>
      <c r="D1334" s="22" t="str">
        <f t="shared" si="41"/>
        <v>tidak ganda</v>
      </c>
      <c r="E1334" s="22" t="s">
        <v>3033</v>
      </c>
      <c r="F1334" s="22" t="s">
        <v>10</v>
      </c>
      <c r="G1334" s="22" t="s">
        <v>11</v>
      </c>
      <c r="H1334" s="22" t="s">
        <v>50</v>
      </c>
      <c r="I1334" s="22" t="s">
        <v>72</v>
      </c>
      <c r="J1334" s="22" t="s">
        <v>1172</v>
      </c>
      <c r="K1334" s="23" t="s">
        <v>1173</v>
      </c>
    </row>
    <row r="1335" spans="1:14" hidden="1" x14ac:dyDescent="0.35">
      <c r="A1335" s="21">
        <v>1366975</v>
      </c>
      <c r="B1335" s="22" t="str">
        <f>"3174071402830008"</f>
        <v>3174071402830008</v>
      </c>
      <c r="C1335" s="22" t="str">
        <f t="shared" si="40"/>
        <v>'3174071402830008</v>
      </c>
      <c r="D1335" s="22" t="str">
        <f t="shared" si="41"/>
        <v>tidak ganda</v>
      </c>
      <c r="E1335" s="22" t="s">
        <v>3036</v>
      </c>
      <c r="F1335" s="22" t="s">
        <v>10</v>
      </c>
      <c r="G1335" s="22" t="s">
        <v>11</v>
      </c>
      <c r="H1335" s="22" t="s">
        <v>50</v>
      </c>
      <c r="I1335" s="22" t="s">
        <v>72</v>
      </c>
      <c r="J1335" s="22" t="s">
        <v>628</v>
      </c>
      <c r="K1335" s="23" t="s">
        <v>2252</v>
      </c>
    </row>
    <row r="1336" spans="1:14" hidden="1" x14ac:dyDescent="0.35">
      <c r="A1336" s="21">
        <v>2090120</v>
      </c>
      <c r="B1336" s="22" t="str">
        <f>"3175080611920003"</f>
        <v>3175080611920003</v>
      </c>
      <c r="C1336" s="22" t="str">
        <f t="shared" si="40"/>
        <v>'3175080611920003</v>
      </c>
      <c r="D1336" s="22" t="str">
        <f t="shared" si="41"/>
        <v>tidak ganda</v>
      </c>
      <c r="E1336" s="22" t="s">
        <v>3038</v>
      </c>
      <c r="F1336" s="22" t="s">
        <v>10</v>
      </c>
      <c r="G1336" s="22" t="s">
        <v>11</v>
      </c>
      <c r="H1336" s="22" t="s">
        <v>50</v>
      </c>
      <c r="I1336" s="22" t="s">
        <v>58</v>
      </c>
      <c r="J1336" s="22" t="s">
        <v>1742</v>
      </c>
      <c r="K1336" s="23" t="s">
        <v>3039</v>
      </c>
    </row>
    <row r="1337" spans="1:14" hidden="1" x14ac:dyDescent="0.35">
      <c r="A1337" s="21">
        <v>1182623</v>
      </c>
      <c r="B1337" s="22" t="str">
        <f>"3175082507610005"</f>
        <v>3175082507610005</v>
      </c>
      <c r="C1337" s="22" t="str">
        <f t="shared" si="40"/>
        <v>'3175082507610005</v>
      </c>
      <c r="D1337" s="22" t="str">
        <f t="shared" si="41"/>
        <v>tidak ganda</v>
      </c>
      <c r="E1337" s="22" t="s">
        <v>3041</v>
      </c>
      <c r="F1337" s="22" t="s">
        <v>10</v>
      </c>
      <c r="G1337" s="22" t="s">
        <v>11</v>
      </c>
      <c r="H1337" s="22" t="s">
        <v>50</v>
      </c>
      <c r="I1337" s="22" t="s">
        <v>58</v>
      </c>
      <c r="J1337" s="22" t="s">
        <v>1742</v>
      </c>
      <c r="K1337" s="23" t="s">
        <v>3042</v>
      </c>
    </row>
    <row r="1338" spans="1:14" hidden="1" x14ac:dyDescent="0.35">
      <c r="A1338" s="21">
        <v>1182624</v>
      </c>
      <c r="B1338" s="22" t="str">
        <f>"3175104605740008"</f>
        <v>3175104605740008</v>
      </c>
      <c r="C1338" s="22" t="str">
        <f t="shared" si="40"/>
        <v>'3175104605740008</v>
      </c>
      <c r="D1338" s="22" t="str">
        <f t="shared" si="41"/>
        <v>tidak ganda</v>
      </c>
      <c r="E1338" s="22" t="s">
        <v>3044</v>
      </c>
      <c r="F1338" s="22" t="s">
        <v>10</v>
      </c>
      <c r="G1338" s="22" t="s">
        <v>11</v>
      </c>
      <c r="H1338" s="22" t="s">
        <v>50</v>
      </c>
      <c r="I1338" s="22" t="s">
        <v>58</v>
      </c>
      <c r="J1338" s="22" t="s">
        <v>1742</v>
      </c>
      <c r="K1338" s="23" t="s">
        <v>3042</v>
      </c>
    </row>
    <row r="1339" spans="1:14" hidden="1" x14ac:dyDescent="0.35">
      <c r="A1339" s="21">
        <v>470135</v>
      </c>
      <c r="B1339" s="22" t="str">
        <f>"3203205602900004"</f>
        <v>3203205602900004</v>
      </c>
      <c r="C1339" s="22" t="str">
        <f t="shared" si="40"/>
        <v>'3203205602900004</v>
      </c>
      <c r="D1339" s="22" t="str">
        <f t="shared" si="41"/>
        <v>tidak ganda</v>
      </c>
      <c r="E1339" s="22" t="s">
        <v>3046</v>
      </c>
      <c r="F1339" s="22" t="s">
        <v>10</v>
      </c>
      <c r="G1339" s="22" t="s">
        <v>11</v>
      </c>
      <c r="H1339" s="22" t="s">
        <v>91</v>
      </c>
      <c r="I1339" s="22" t="s">
        <v>159</v>
      </c>
      <c r="J1339" s="22" t="s">
        <v>685</v>
      </c>
      <c r="K1339" s="23" t="s">
        <v>1632</v>
      </c>
    </row>
    <row r="1340" spans="1:14" hidden="1" x14ac:dyDescent="0.35">
      <c r="A1340" s="21">
        <v>815041</v>
      </c>
      <c r="B1340" s="22" t="str">
        <f>"3275031805060015"</f>
        <v>3275031805060015</v>
      </c>
      <c r="C1340" s="22" t="str">
        <f t="shared" si="40"/>
        <v>'3275031805060015</v>
      </c>
      <c r="D1340" s="22" t="str">
        <f t="shared" si="41"/>
        <v>tidak ganda</v>
      </c>
      <c r="E1340" s="22" t="s">
        <v>3047</v>
      </c>
      <c r="F1340" s="22" t="s">
        <v>10</v>
      </c>
      <c r="G1340" s="22" t="s">
        <v>11</v>
      </c>
      <c r="H1340" s="22" t="s">
        <v>91</v>
      </c>
      <c r="I1340" s="22" t="s">
        <v>159</v>
      </c>
      <c r="J1340" s="22" t="s">
        <v>1828</v>
      </c>
      <c r="K1340" s="23" t="s">
        <v>1829</v>
      </c>
    </row>
    <row r="1341" spans="1:14" hidden="1" x14ac:dyDescent="0.35">
      <c r="A1341" s="21">
        <v>1428869</v>
      </c>
      <c r="B1341" s="22" t="str">
        <f>"3308082004900003"</f>
        <v>3308082004900003</v>
      </c>
      <c r="C1341" s="22" t="str">
        <f t="shared" si="40"/>
        <v>'3308082004900003</v>
      </c>
      <c r="D1341" s="22" t="str">
        <f t="shared" si="41"/>
        <v>tidak ganda</v>
      </c>
      <c r="E1341" s="22" t="s">
        <v>3049</v>
      </c>
      <c r="F1341" s="22" t="s">
        <v>10</v>
      </c>
      <c r="G1341" s="22" t="s">
        <v>11</v>
      </c>
      <c r="H1341" s="22" t="s">
        <v>18</v>
      </c>
      <c r="I1341" s="22" t="s">
        <v>962</v>
      </c>
      <c r="J1341" s="22" t="s">
        <v>3050</v>
      </c>
      <c r="K1341" s="23" t="s">
        <v>3051</v>
      </c>
    </row>
    <row r="1342" spans="1:14" hidden="1" x14ac:dyDescent="0.35">
      <c r="A1342" s="21">
        <v>2042527</v>
      </c>
      <c r="B1342" s="22" t="str">
        <f>"3308132111960001"</f>
        <v>3308132111960001</v>
      </c>
      <c r="C1342" s="22" t="str">
        <f t="shared" si="40"/>
        <v>'3308132111960001</v>
      </c>
      <c r="D1342" s="22" t="str">
        <f t="shared" si="41"/>
        <v>tidak ganda</v>
      </c>
      <c r="E1342" s="22" t="s">
        <v>3053</v>
      </c>
      <c r="F1342" s="22" t="s">
        <v>10</v>
      </c>
      <c r="G1342" s="22" t="s">
        <v>11</v>
      </c>
      <c r="H1342" s="22" t="s">
        <v>18</v>
      </c>
      <c r="I1342" s="22" t="s">
        <v>19</v>
      </c>
      <c r="J1342" s="22" t="s">
        <v>3014</v>
      </c>
      <c r="K1342" s="23" t="s">
        <v>3014</v>
      </c>
      <c r="L1342" t="e">
        <f>VLOOKUP(B1342,ubah!$B$2:$L$234,4,FALSE)</f>
        <v>#N/A</v>
      </c>
      <c r="M1342" t="e">
        <f>VLOOKUP(B1342,ubah!$B$2:$L$234,5,FALSE)</f>
        <v>#N/A</v>
      </c>
      <c r="N1342" t="e">
        <f>VLOOKUP(B1342,ubah!$B$2:$L$234,6,FALSE)</f>
        <v>#N/A</v>
      </c>
    </row>
    <row r="1343" spans="1:14" hidden="1" x14ac:dyDescent="0.35">
      <c r="A1343" s="21">
        <v>835965</v>
      </c>
      <c r="B1343" s="22" t="str">
        <f>"3318161312900001"</f>
        <v>3318161312900001</v>
      </c>
      <c r="C1343" s="22" t="str">
        <f t="shared" si="40"/>
        <v>'3318161312900001</v>
      </c>
      <c r="D1343" s="22" t="str">
        <f t="shared" si="41"/>
        <v>tidak ganda</v>
      </c>
      <c r="E1343" s="22" t="s">
        <v>3056</v>
      </c>
      <c r="F1343" s="22" t="s">
        <v>10</v>
      </c>
      <c r="G1343" s="22" t="s">
        <v>11</v>
      </c>
      <c r="H1343" s="22" t="s">
        <v>18</v>
      </c>
      <c r="I1343" s="22" t="s">
        <v>1787</v>
      </c>
      <c r="J1343" s="22" t="s">
        <v>3057</v>
      </c>
      <c r="K1343" s="23" t="s">
        <v>3058</v>
      </c>
    </row>
    <row r="1344" spans="1:14" hidden="1" x14ac:dyDescent="0.35">
      <c r="A1344" s="21">
        <v>205886</v>
      </c>
      <c r="B1344" s="22" t="str">
        <f>"3328062303990001"</f>
        <v>3328062303990001</v>
      </c>
      <c r="C1344" s="22" t="str">
        <f t="shared" si="40"/>
        <v>'3328062303990001</v>
      </c>
      <c r="D1344" s="22" t="str">
        <f t="shared" si="41"/>
        <v>tidak ganda</v>
      </c>
      <c r="E1344" s="22" t="s">
        <v>3072</v>
      </c>
      <c r="F1344" s="22" t="s">
        <v>10</v>
      </c>
      <c r="G1344" s="22" t="s">
        <v>11</v>
      </c>
      <c r="H1344" s="22" t="s">
        <v>91</v>
      </c>
      <c r="I1344" s="22" t="s">
        <v>903</v>
      </c>
      <c r="J1344" s="22" t="s">
        <v>2368</v>
      </c>
      <c r="K1344" s="23" t="s">
        <v>2368</v>
      </c>
    </row>
    <row r="1345" spans="1:14" hidden="1" x14ac:dyDescent="0.35">
      <c r="A1345" s="21">
        <v>470136</v>
      </c>
      <c r="B1345" s="22" t="str">
        <f>"3328080105910001"</f>
        <v>3328080105910001</v>
      </c>
      <c r="C1345" s="22" t="str">
        <f t="shared" si="40"/>
        <v>'3328080105910001</v>
      </c>
      <c r="D1345" s="22" t="str">
        <f t="shared" si="41"/>
        <v>tidak ganda</v>
      </c>
      <c r="E1345" s="22" t="s">
        <v>3075</v>
      </c>
      <c r="F1345" s="22" t="s">
        <v>10</v>
      </c>
      <c r="G1345" s="22" t="s">
        <v>11</v>
      </c>
      <c r="H1345" s="22" t="s">
        <v>91</v>
      </c>
      <c r="I1345" s="22" t="s">
        <v>159</v>
      </c>
      <c r="J1345" s="22" t="s">
        <v>685</v>
      </c>
      <c r="K1345" s="23" t="s">
        <v>1632</v>
      </c>
    </row>
    <row r="1346" spans="1:14" hidden="1" x14ac:dyDescent="0.35">
      <c r="A1346" s="21">
        <v>371132</v>
      </c>
      <c r="B1346" s="22" t="str">
        <f>"3328080107700101"</f>
        <v>3328080107700101</v>
      </c>
      <c r="C1346" s="22" t="str">
        <f t="shared" si="40"/>
        <v>'3328080107700101</v>
      </c>
      <c r="D1346" s="22" t="str">
        <f t="shared" si="41"/>
        <v>tidak ganda</v>
      </c>
      <c r="E1346" s="22" t="s">
        <v>2576</v>
      </c>
      <c r="F1346" s="22" t="s">
        <v>10</v>
      </c>
      <c r="G1346" s="22" t="s">
        <v>11</v>
      </c>
      <c r="H1346" s="22" t="s">
        <v>2889</v>
      </c>
      <c r="I1346" s="22" t="s">
        <v>3076</v>
      </c>
      <c r="J1346" s="22" t="s">
        <v>3077</v>
      </c>
      <c r="K1346" s="23" t="s">
        <v>3078</v>
      </c>
    </row>
    <row r="1347" spans="1:14" hidden="1" x14ac:dyDescent="0.35">
      <c r="A1347" s="21">
        <v>1351224</v>
      </c>
      <c r="B1347" s="22" t="str">
        <f>"3328080204040003"</f>
        <v>3328080204040003</v>
      </c>
      <c r="C1347" s="22" t="str">
        <f t="shared" ref="C1347:C1410" si="42">"'"&amp;B1347</f>
        <v>'3328080204040003</v>
      </c>
      <c r="D1347" s="22" t="str">
        <f t="shared" ref="D1347:D1410" si="43">IF(COUNTIF($C:$C,C1347)&gt;1,"ganda","tidak ganda")</f>
        <v>tidak ganda</v>
      </c>
      <c r="E1347" s="22" t="s">
        <v>3079</v>
      </c>
      <c r="F1347" s="22" t="s">
        <v>10</v>
      </c>
      <c r="G1347" s="22" t="s">
        <v>57</v>
      </c>
      <c r="H1347" s="22" t="s">
        <v>303</v>
      </c>
      <c r="I1347" s="22" t="s">
        <v>608</v>
      </c>
      <c r="J1347" s="22" t="s">
        <v>609</v>
      </c>
      <c r="K1347" s="23" t="s">
        <v>610</v>
      </c>
    </row>
    <row r="1348" spans="1:14" hidden="1" x14ac:dyDescent="0.35">
      <c r="A1348" s="21">
        <v>2044421</v>
      </c>
      <c r="B1348" s="22" t="str">
        <f>"3328080509920002"</f>
        <v>3328080509920002</v>
      </c>
      <c r="C1348" s="22" t="str">
        <f t="shared" si="42"/>
        <v>'3328080509920002</v>
      </c>
      <c r="D1348" s="22" t="str">
        <f t="shared" si="43"/>
        <v>tidak ganda</v>
      </c>
      <c r="E1348" s="22" t="s">
        <v>3080</v>
      </c>
      <c r="F1348" s="22" t="s">
        <v>10</v>
      </c>
      <c r="G1348" s="22" t="s">
        <v>11</v>
      </c>
      <c r="H1348" s="22" t="s">
        <v>18</v>
      </c>
      <c r="I1348" s="22" t="s">
        <v>19</v>
      </c>
      <c r="J1348" s="22" t="s">
        <v>3014</v>
      </c>
      <c r="K1348" s="23" t="s">
        <v>1381</v>
      </c>
      <c r="L1348" t="e">
        <f>VLOOKUP(B1348,ubah!$B$2:$L$234,4,FALSE)</f>
        <v>#N/A</v>
      </c>
      <c r="M1348" t="e">
        <f>VLOOKUP(B1348,ubah!$B$2:$L$234,5,FALSE)</f>
        <v>#N/A</v>
      </c>
      <c r="N1348" t="e">
        <f>VLOOKUP(B1348,ubah!$B$2:$L$234,6,FALSE)</f>
        <v>#N/A</v>
      </c>
    </row>
    <row r="1349" spans="1:14" hidden="1" x14ac:dyDescent="0.35">
      <c r="A1349" s="21">
        <v>1684308</v>
      </c>
      <c r="B1349" s="22" t="str">
        <f>"3328080802060005"</f>
        <v>3328080802060005</v>
      </c>
      <c r="C1349" s="22" t="str">
        <f t="shared" si="42"/>
        <v>'3328080802060005</v>
      </c>
      <c r="D1349" s="22" t="str">
        <f t="shared" si="43"/>
        <v>tidak ganda</v>
      </c>
      <c r="E1349" s="22" t="s">
        <v>3081</v>
      </c>
      <c r="F1349" s="22" t="s">
        <v>10</v>
      </c>
      <c r="G1349" s="22" t="s">
        <v>57</v>
      </c>
      <c r="H1349" s="22" t="s">
        <v>18</v>
      </c>
      <c r="I1349" s="22" t="s">
        <v>184</v>
      </c>
      <c r="J1349" s="22" t="s">
        <v>1085</v>
      </c>
      <c r="K1349" s="23" t="s">
        <v>1086</v>
      </c>
    </row>
    <row r="1350" spans="1:14" hidden="1" x14ac:dyDescent="0.35">
      <c r="A1350" s="21">
        <v>1684309</v>
      </c>
      <c r="B1350" s="22" t="str">
        <f>"3328080805060004"</f>
        <v>3328080805060004</v>
      </c>
      <c r="C1350" s="22" t="str">
        <f t="shared" si="42"/>
        <v>'3328080805060004</v>
      </c>
      <c r="D1350" s="22" t="str">
        <f t="shared" si="43"/>
        <v>tidak ganda</v>
      </c>
      <c r="E1350" s="22" t="s">
        <v>3082</v>
      </c>
      <c r="F1350" s="22" t="s">
        <v>10</v>
      </c>
      <c r="G1350" s="22" t="s">
        <v>57</v>
      </c>
      <c r="H1350" s="22" t="s">
        <v>18</v>
      </c>
      <c r="I1350" s="22" t="s">
        <v>184</v>
      </c>
      <c r="J1350" s="22" t="s">
        <v>1085</v>
      </c>
      <c r="K1350" s="23" t="s">
        <v>1086</v>
      </c>
    </row>
    <row r="1351" spans="1:14" hidden="1" x14ac:dyDescent="0.35">
      <c r="A1351" s="21">
        <v>50087</v>
      </c>
      <c r="B1351" s="22" t="str">
        <f>"3328081007930001"</f>
        <v>3328081007930001</v>
      </c>
      <c r="C1351" s="22" t="str">
        <f t="shared" si="42"/>
        <v>'3328081007930001</v>
      </c>
      <c r="D1351" s="22" t="str">
        <f t="shared" si="43"/>
        <v>tidak ganda</v>
      </c>
      <c r="E1351" s="22" t="s">
        <v>3083</v>
      </c>
      <c r="F1351" s="22" t="s">
        <v>10</v>
      </c>
      <c r="G1351" s="22" t="s">
        <v>11</v>
      </c>
      <c r="H1351" s="22" t="s">
        <v>44</v>
      </c>
      <c r="I1351" s="22" t="s">
        <v>3084</v>
      </c>
      <c r="J1351" s="22" t="s">
        <v>3085</v>
      </c>
      <c r="K1351" s="23" t="s">
        <v>3086</v>
      </c>
    </row>
    <row r="1352" spans="1:14" hidden="1" x14ac:dyDescent="0.35">
      <c r="A1352" s="21">
        <v>852663</v>
      </c>
      <c r="B1352" s="22" t="str">
        <f>"3328081012910002"</f>
        <v>3328081012910002</v>
      </c>
      <c r="C1352" s="22" t="str">
        <f t="shared" si="42"/>
        <v>'3328081012910002</v>
      </c>
      <c r="D1352" s="22" t="str">
        <f t="shared" si="43"/>
        <v>tidak ganda</v>
      </c>
      <c r="E1352" s="22" t="s">
        <v>3087</v>
      </c>
      <c r="F1352" s="22" t="s">
        <v>10</v>
      </c>
      <c r="G1352" s="22" t="s">
        <v>11</v>
      </c>
      <c r="H1352" s="22" t="s">
        <v>18</v>
      </c>
      <c r="I1352" s="22" t="s">
        <v>264</v>
      </c>
      <c r="J1352" s="22" t="s">
        <v>344</v>
      </c>
      <c r="K1352" s="23" t="s">
        <v>492</v>
      </c>
    </row>
    <row r="1353" spans="1:14" hidden="1" x14ac:dyDescent="0.35">
      <c r="A1353" s="21">
        <v>1427640</v>
      </c>
      <c r="B1353" s="22" t="str">
        <f>"3328081202820001"</f>
        <v>3328081202820001</v>
      </c>
      <c r="C1353" s="22" t="str">
        <f t="shared" si="42"/>
        <v>'3328081202820001</v>
      </c>
      <c r="D1353" s="22" t="str">
        <f t="shared" si="43"/>
        <v>tidak ganda</v>
      </c>
      <c r="E1353" s="22" t="s">
        <v>3088</v>
      </c>
      <c r="F1353" s="22" t="s">
        <v>10</v>
      </c>
      <c r="G1353" s="22" t="s">
        <v>11</v>
      </c>
      <c r="H1353" s="22" t="s">
        <v>18</v>
      </c>
      <c r="I1353" s="22" t="s">
        <v>195</v>
      </c>
      <c r="J1353" s="22" t="s">
        <v>1381</v>
      </c>
      <c r="K1353" s="23" t="s">
        <v>3089</v>
      </c>
    </row>
    <row r="1354" spans="1:14" hidden="1" x14ac:dyDescent="0.35">
      <c r="A1354" s="21">
        <v>1500066</v>
      </c>
      <c r="B1354" s="22" t="str">
        <f>"3328081210930002"</f>
        <v>3328081210930002</v>
      </c>
      <c r="C1354" s="22" t="str">
        <f t="shared" si="42"/>
        <v>'3328081210930002</v>
      </c>
      <c r="D1354" s="22" t="str">
        <f t="shared" si="43"/>
        <v>tidak ganda</v>
      </c>
      <c r="E1354" s="22" t="s">
        <v>3090</v>
      </c>
      <c r="F1354" s="22" t="s">
        <v>10</v>
      </c>
      <c r="G1354" s="22" t="s">
        <v>11</v>
      </c>
      <c r="H1354" s="22" t="s">
        <v>18</v>
      </c>
      <c r="I1354" s="22" t="s">
        <v>184</v>
      </c>
      <c r="J1354" s="22" t="s">
        <v>1266</v>
      </c>
      <c r="K1354" s="23" t="s">
        <v>3091</v>
      </c>
    </row>
    <row r="1355" spans="1:14" hidden="1" x14ac:dyDescent="0.35">
      <c r="A1355" s="21">
        <v>367803</v>
      </c>
      <c r="B1355" s="22" t="str">
        <f>"3328081507540004"</f>
        <v>3328081507540004</v>
      </c>
      <c r="C1355" s="22" t="str">
        <f t="shared" si="42"/>
        <v>'3328081507540004</v>
      </c>
      <c r="D1355" s="22" t="str">
        <f t="shared" si="43"/>
        <v>tidak ganda</v>
      </c>
      <c r="E1355" s="22" t="s">
        <v>3092</v>
      </c>
      <c r="F1355" s="22" t="s">
        <v>10</v>
      </c>
      <c r="G1355" s="22" t="s">
        <v>11</v>
      </c>
      <c r="H1355" s="22" t="s">
        <v>50</v>
      </c>
      <c r="I1355" s="22" t="s">
        <v>51</v>
      </c>
      <c r="J1355" s="22" t="s">
        <v>922</v>
      </c>
      <c r="K1355" s="23" t="s">
        <v>3093</v>
      </c>
    </row>
    <row r="1356" spans="1:14" hidden="1" x14ac:dyDescent="0.35">
      <c r="A1356" s="21">
        <v>2023035</v>
      </c>
      <c r="B1356" s="22" t="str">
        <f>"3328081607650005"</f>
        <v>3328081607650005</v>
      </c>
      <c r="C1356" s="22" t="str">
        <f t="shared" si="42"/>
        <v>'3328081607650005</v>
      </c>
      <c r="D1356" s="22" t="str">
        <f t="shared" si="43"/>
        <v>tidak ganda</v>
      </c>
      <c r="E1356" s="22" t="s">
        <v>3094</v>
      </c>
      <c r="F1356" s="22" t="s">
        <v>10</v>
      </c>
      <c r="G1356" s="22" t="s">
        <v>11</v>
      </c>
      <c r="H1356" s="22" t="s">
        <v>18</v>
      </c>
      <c r="I1356" s="22" t="s">
        <v>19</v>
      </c>
      <c r="J1356" s="22" t="s">
        <v>3014</v>
      </c>
      <c r="K1356" s="23" t="s">
        <v>492</v>
      </c>
      <c r="L1356" t="e">
        <f>VLOOKUP(B1356,ubah!$B$2:$L$234,4,FALSE)</f>
        <v>#N/A</v>
      </c>
      <c r="M1356" t="e">
        <f>VLOOKUP(B1356,ubah!$B$2:$L$234,5,FALSE)</f>
        <v>#N/A</v>
      </c>
      <c r="N1356" t="e">
        <f>VLOOKUP(B1356,ubah!$B$2:$L$234,6,FALSE)</f>
        <v>#N/A</v>
      </c>
    </row>
    <row r="1357" spans="1:14" hidden="1" x14ac:dyDescent="0.35">
      <c r="A1357" s="21">
        <v>213236</v>
      </c>
      <c r="B1357" s="22" t="str">
        <f>"3328082004720001"</f>
        <v>3328082004720001</v>
      </c>
      <c r="C1357" s="22" t="str">
        <f t="shared" si="42"/>
        <v>'3328082004720001</v>
      </c>
      <c r="D1357" s="22" t="str">
        <f t="shared" si="43"/>
        <v>tidak ganda</v>
      </c>
      <c r="E1357" s="22" t="s">
        <v>3097</v>
      </c>
      <c r="F1357" s="22" t="s">
        <v>10</v>
      </c>
      <c r="G1357" s="22" t="s">
        <v>11</v>
      </c>
      <c r="H1357" s="22" t="s">
        <v>50</v>
      </c>
      <c r="I1357" s="22" t="s">
        <v>51</v>
      </c>
      <c r="J1357" s="22" t="s">
        <v>78</v>
      </c>
      <c r="K1357" s="23" t="s">
        <v>436</v>
      </c>
    </row>
    <row r="1358" spans="1:14" hidden="1" x14ac:dyDescent="0.35">
      <c r="A1358" s="21">
        <v>26114</v>
      </c>
      <c r="B1358" s="22" t="str">
        <f>"3328082609990005"</f>
        <v>3328082609990005</v>
      </c>
      <c r="C1358" s="22" t="str">
        <f t="shared" si="42"/>
        <v>'3328082609990005</v>
      </c>
      <c r="D1358" s="22" t="str">
        <f t="shared" si="43"/>
        <v>tidak ganda</v>
      </c>
      <c r="E1358" s="22" t="s">
        <v>3098</v>
      </c>
      <c r="F1358" s="22" t="s">
        <v>10</v>
      </c>
      <c r="G1358" s="22" t="s">
        <v>11</v>
      </c>
      <c r="H1358" s="22" t="s">
        <v>91</v>
      </c>
      <c r="I1358" s="22" t="s">
        <v>903</v>
      </c>
      <c r="J1358" s="22" t="s">
        <v>767</v>
      </c>
      <c r="K1358" s="23" t="s">
        <v>3099</v>
      </c>
    </row>
    <row r="1359" spans="1:14" hidden="1" x14ac:dyDescent="0.35">
      <c r="A1359" s="21">
        <v>1684312</v>
      </c>
      <c r="B1359" s="22" t="str">
        <f>"3328082701060004"</f>
        <v>3328082701060004</v>
      </c>
      <c r="C1359" s="22" t="str">
        <f t="shared" si="42"/>
        <v>'3328082701060004</v>
      </c>
      <c r="D1359" s="22" t="str">
        <f t="shared" si="43"/>
        <v>tidak ganda</v>
      </c>
      <c r="E1359" s="22" t="s">
        <v>3101</v>
      </c>
      <c r="F1359" s="22" t="s">
        <v>10</v>
      </c>
      <c r="G1359" s="22" t="s">
        <v>57</v>
      </c>
      <c r="H1359" s="22" t="s">
        <v>18</v>
      </c>
      <c r="I1359" s="22" t="s">
        <v>184</v>
      </c>
      <c r="J1359" s="22" t="s">
        <v>1085</v>
      </c>
      <c r="K1359" s="23" t="s">
        <v>1086</v>
      </c>
    </row>
    <row r="1360" spans="1:14" hidden="1" x14ac:dyDescent="0.35">
      <c r="A1360" s="21">
        <v>1684313</v>
      </c>
      <c r="B1360" s="22" t="str">
        <f>"3328082807060002"</f>
        <v>3328082807060002</v>
      </c>
      <c r="C1360" s="22" t="str">
        <f t="shared" si="42"/>
        <v>'3328082807060002</v>
      </c>
      <c r="D1360" s="22" t="str">
        <f t="shared" si="43"/>
        <v>tidak ganda</v>
      </c>
      <c r="E1360" s="22" t="s">
        <v>3103</v>
      </c>
      <c r="F1360" s="22" t="s">
        <v>10</v>
      </c>
      <c r="G1360" s="22" t="s">
        <v>57</v>
      </c>
      <c r="H1360" s="22" t="s">
        <v>18</v>
      </c>
      <c r="I1360" s="22" t="s">
        <v>184</v>
      </c>
      <c r="J1360" s="22" t="s">
        <v>1085</v>
      </c>
      <c r="K1360" s="23" t="s">
        <v>1086</v>
      </c>
    </row>
    <row r="1361" spans="1:14" hidden="1" x14ac:dyDescent="0.35">
      <c r="A1361" s="21">
        <v>1408764</v>
      </c>
      <c r="B1361" s="22" t="str">
        <f>"3328082812000002"</f>
        <v>3328082812000002</v>
      </c>
      <c r="C1361" s="22" t="str">
        <f t="shared" si="42"/>
        <v>'3328082812000002</v>
      </c>
      <c r="D1361" s="22" t="str">
        <f t="shared" si="43"/>
        <v>tidak ganda</v>
      </c>
      <c r="E1361" s="22" t="s">
        <v>3104</v>
      </c>
      <c r="F1361" s="22" t="s">
        <v>10</v>
      </c>
      <c r="G1361" s="22" t="s">
        <v>11</v>
      </c>
      <c r="H1361" s="22" t="s">
        <v>91</v>
      </c>
      <c r="I1361" s="22" t="s">
        <v>159</v>
      </c>
      <c r="J1361" s="22" t="s">
        <v>685</v>
      </c>
      <c r="K1361" s="23" t="s">
        <v>3105</v>
      </c>
    </row>
    <row r="1362" spans="1:14" hidden="1" x14ac:dyDescent="0.35">
      <c r="A1362" s="21">
        <v>1268745</v>
      </c>
      <c r="B1362" s="22" t="str">
        <f>"3328083010930002"</f>
        <v>3328083010930002</v>
      </c>
      <c r="C1362" s="22" t="str">
        <f t="shared" si="42"/>
        <v>'3328083010930002</v>
      </c>
      <c r="D1362" s="22" t="str">
        <f t="shared" si="43"/>
        <v>tidak ganda</v>
      </c>
      <c r="E1362" s="22" t="s">
        <v>3106</v>
      </c>
      <c r="F1362" s="22" t="s">
        <v>10</v>
      </c>
      <c r="G1362" s="22" t="s">
        <v>11</v>
      </c>
      <c r="H1362" s="22" t="s">
        <v>91</v>
      </c>
      <c r="I1362" s="22" t="s">
        <v>159</v>
      </c>
      <c r="J1362" s="22" t="s">
        <v>3107</v>
      </c>
      <c r="K1362" s="23" t="s">
        <v>680</v>
      </c>
    </row>
    <row r="1363" spans="1:14" hidden="1" x14ac:dyDescent="0.35">
      <c r="A1363" s="21">
        <v>632593</v>
      </c>
      <c r="B1363" s="22" t="str">
        <f>"3328083112060001"</f>
        <v>3328083112060001</v>
      </c>
      <c r="C1363" s="22" t="str">
        <f t="shared" si="42"/>
        <v>'3328083112060001</v>
      </c>
      <c r="D1363" s="22" t="str">
        <f t="shared" si="43"/>
        <v>tidak ganda</v>
      </c>
      <c r="E1363" s="22" t="s">
        <v>3110</v>
      </c>
      <c r="F1363" s="22" t="s">
        <v>10</v>
      </c>
      <c r="G1363" s="22" t="s">
        <v>11</v>
      </c>
      <c r="H1363" s="22" t="s">
        <v>50</v>
      </c>
      <c r="I1363" s="22" t="s">
        <v>51</v>
      </c>
      <c r="J1363" s="22" t="s">
        <v>78</v>
      </c>
      <c r="K1363" s="23" t="s">
        <v>334</v>
      </c>
    </row>
    <row r="1364" spans="1:14" hidden="1" x14ac:dyDescent="0.35">
      <c r="A1364" s="21">
        <v>371134</v>
      </c>
      <c r="B1364" s="22" t="str">
        <f>"3328084107030037"</f>
        <v>3328084107030037</v>
      </c>
      <c r="C1364" s="22" t="str">
        <f t="shared" si="42"/>
        <v>'3328084107030037</v>
      </c>
      <c r="D1364" s="22" t="str">
        <f t="shared" si="43"/>
        <v>tidak ganda</v>
      </c>
      <c r="E1364" s="22" t="s">
        <v>3112</v>
      </c>
      <c r="F1364" s="22" t="s">
        <v>10</v>
      </c>
      <c r="G1364" s="22" t="s">
        <v>11</v>
      </c>
      <c r="H1364" s="22" t="s">
        <v>2889</v>
      </c>
      <c r="I1364" s="22" t="s">
        <v>3076</v>
      </c>
      <c r="J1364" s="22" t="s">
        <v>3077</v>
      </c>
      <c r="K1364" s="23" t="s">
        <v>3078</v>
      </c>
    </row>
    <row r="1365" spans="1:14" hidden="1" x14ac:dyDescent="0.35">
      <c r="A1365" s="21">
        <v>371133</v>
      </c>
      <c r="B1365" s="22" t="str">
        <f>"3328084107750076"</f>
        <v>3328084107750076</v>
      </c>
      <c r="C1365" s="22" t="str">
        <f t="shared" si="42"/>
        <v>'3328084107750076</v>
      </c>
      <c r="D1365" s="22" t="str">
        <f t="shared" si="43"/>
        <v>tidak ganda</v>
      </c>
      <c r="E1365" s="22" t="s">
        <v>3113</v>
      </c>
      <c r="F1365" s="22" t="s">
        <v>10</v>
      </c>
      <c r="G1365" s="22" t="s">
        <v>11</v>
      </c>
      <c r="H1365" s="22" t="s">
        <v>2889</v>
      </c>
      <c r="I1365" s="22" t="s">
        <v>3076</v>
      </c>
      <c r="J1365" s="22" t="s">
        <v>3077</v>
      </c>
      <c r="K1365" s="23" t="s">
        <v>3078</v>
      </c>
    </row>
    <row r="1366" spans="1:14" hidden="1" x14ac:dyDescent="0.35">
      <c r="A1366" s="21">
        <v>2415119</v>
      </c>
      <c r="B1366" s="22" t="str">
        <f>"3328084208810002"</f>
        <v>3328084208810002</v>
      </c>
      <c r="C1366" s="22" t="str">
        <f t="shared" si="42"/>
        <v>'3328084208810002</v>
      </c>
      <c r="D1366" s="22" t="str">
        <f t="shared" si="43"/>
        <v>tidak ganda</v>
      </c>
      <c r="E1366" s="22" t="s">
        <v>3115</v>
      </c>
      <c r="F1366" s="22" t="s">
        <v>10</v>
      </c>
      <c r="G1366" s="22" t="s">
        <v>11</v>
      </c>
      <c r="H1366" s="22" t="s">
        <v>50</v>
      </c>
      <c r="I1366" s="22" t="s">
        <v>58</v>
      </c>
      <c r="J1366" s="22" t="s">
        <v>406</v>
      </c>
      <c r="K1366" s="23" t="s">
        <v>3116</v>
      </c>
    </row>
    <row r="1367" spans="1:14" hidden="1" x14ac:dyDescent="0.35">
      <c r="A1367" s="21">
        <v>1352903</v>
      </c>
      <c r="B1367" s="22" t="str">
        <f>"3328084508060001"</f>
        <v>3328084508060001</v>
      </c>
      <c r="C1367" s="22" t="str">
        <f t="shared" si="42"/>
        <v>'3328084508060001</v>
      </c>
      <c r="D1367" s="22" t="str">
        <f t="shared" si="43"/>
        <v>tidak ganda</v>
      </c>
      <c r="E1367" s="22" t="s">
        <v>3119</v>
      </c>
      <c r="F1367" s="22" t="s">
        <v>10</v>
      </c>
      <c r="G1367" s="22" t="s">
        <v>57</v>
      </c>
      <c r="H1367" s="22" t="s">
        <v>303</v>
      </c>
      <c r="I1367" s="22" t="s">
        <v>608</v>
      </c>
      <c r="J1367" s="22" t="s">
        <v>609</v>
      </c>
      <c r="K1367" s="23" t="s">
        <v>610</v>
      </c>
    </row>
    <row r="1368" spans="1:14" hidden="1" x14ac:dyDescent="0.35">
      <c r="A1368" s="21">
        <v>2030771</v>
      </c>
      <c r="B1368" s="22" t="str">
        <f>"3328084904740002"</f>
        <v>3328084904740002</v>
      </c>
      <c r="C1368" s="22" t="str">
        <f t="shared" si="42"/>
        <v>'3328084904740002</v>
      </c>
      <c r="D1368" s="22" t="str">
        <f t="shared" si="43"/>
        <v>tidak ganda</v>
      </c>
      <c r="E1368" s="22" t="s">
        <v>3120</v>
      </c>
      <c r="F1368" s="22" t="s">
        <v>10</v>
      </c>
      <c r="G1368" s="22" t="s">
        <v>11</v>
      </c>
      <c r="H1368" s="22" t="s">
        <v>18</v>
      </c>
      <c r="I1368" s="22" t="s">
        <v>19</v>
      </c>
      <c r="J1368" s="22" t="s">
        <v>3014</v>
      </c>
      <c r="K1368" s="23" t="s">
        <v>3018</v>
      </c>
      <c r="L1368" t="e">
        <f>VLOOKUP(B1368,ubah!$B$2:$L$234,4,FALSE)</f>
        <v>#N/A</v>
      </c>
      <c r="M1368" t="e">
        <f>VLOOKUP(B1368,ubah!$B$2:$L$234,5,FALSE)</f>
        <v>#N/A</v>
      </c>
      <c r="N1368" t="e">
        <f>VLOOKUP(B1368,ubah!$B$2:$L$234,6,FALSE)</f>
        <v>#N/A</v>
      </c>
    </row>
    <row r="1369" spans="1:14" hidden="1" x14ac:dyDescent="0.35">
      <c r="A1369" s="21">
        <v>1925988</v>
      </c>
      <c r="B1369" s="22" t="str">
        <f>"3328084909980004"</f>
        <v>3328084909980004</v>
      </c>
      <c r="C1369" s="22" t="str">
        <f t="shared" si="42"/>
        <v>'3328084909980004</v>
      </c>
      <c r="D1369" s="22" t="str">
        <f t="shared" si="43"/>
        <v>tidak ganda</v>
      </c>
      <c r="E1369" s="22" t="s">
        <v>3121</v>
      </c>
      <c r="F1369" s="22" t="s">
        <v>10</v>
      </c>
      <c r="G1369" s="22" t="s">
        <v>11</v>
      </c>
      <c r="H1369" s="22" t="s">
        <v>18</v>
      </c>
      <c r="I1369" s="22" t="s">
        <v>19</v>
      </c>
      <c r="J1369" s="22" t="s">
        <v>3014</v>
      </c>
      <c r="K1369" s="23" t="s">
        <v>3035</v>
      </c>
      <c r="L1369" t="e">
        <f>VLOOKUP(B1369,ubah!$B$2:$L$234,4,FALSE)</f>
        <v>#N/A</v>
      </c>
      <c r="M1369" t="e">
        <f>VLOOKUP(B1369,ubah!$B$2:$L$234,5,FALSE)</f>
        <v>#N/A</v>
      </c>
      <c r="N1369" t="e">
        <f>VLOOKUP(B1369,ubah!$B$2:$L$234,6,FALSE)</f>
        <v>#N/A</v>
      </c>
    </row>
    <row r="1370" spans="1:14" hidden="1" x14ac:dyDescent="0.35">
      <c r="A1370" s="21">
        <v>2012595</v>
      </c>
      <c r="B1370" s="22" t="str">
        <f>"3328085003870003"</f>
        <v>3328085003870003</v>
      </c>
      <c r="C1370" s="22" t="str">
        <f t="shared" si="42"/>
        <v>'3328085003870003</v>
      </c>
      <c r="D1370" s="22" t="str">
        <f t="shared" si="43"/>
        <v>tidak ganda</v>
      </c>
      <c r="E1370" s="22" t="s">
        <v>3122</v>
      </c>
      <c r="F1370" s="22" t="s">
        <v>10</v>
      </c>
      <c r="G1370" s="22" t="s">
        <v>11</v>
      </c>
      <c r="H1370" s="22" t="s">
        <v>18</v>
      </c>
      <c r="I1370" s="22" t="s">
        <v>19</v>
      </c>
      <c r="J1370" s="22" t="s">
        <v>3014</v>
      </c>
      <c r="K1370" s="23" t="s">
        <v>3095</v>
      </c>
      <c r="L1370" t="e">
        <f>VLOOKUP(B1370,ubah!$B$2:$L$234,4,FALSE)</f>
        <v>#N/A</v>
      </c>
      <c r="M1370" t="e">
        <f>VLOOKUP(B1370,ubah!$B$2:$L$234,5,FALSE)</f>
        <v>#N/A</v>
      </c>
      <c r="N1370" t="e">
        <f>VLOOKUP(B1370,ubah!$B$2:$L$234,6,FALSE)</f>
        <v>#N/A</v>
      </c>
    </row>
    <row r="1371" spans="1:14" hidden="1" x14ac:dyDescent="0.35">
      <c r="A1371" s="21">
        <v>1684946</v>
      </c>
      <c r="B1371" s="22" t="str">
        <f>"3328085103060001"</f>
        <v>3328085103060001</v>
      </c>
      <c r="C1371" s="22" t="str">
        <f t="shared" si="42"/>
        <v>'3328085103060001</v>
      </c>
      <c r="D1371" s="22" t="str">
        <f t="shared" si="43"/>
        <v>tidak ganda</v>
      </c>
      <c r="E1371" s="22" t="s">
        <v>3124</v>
      </c>
      <c r="F1371" s="22" t="s">
        <v>10</v>
      </c>
      <c r="G1371" s="22" t="s">
        <v>57</v>
      </c>
      <c r="H1371" s="22" t="s">
        <v>18</v>
      </c>
      <c r="I1371" s="22" t="s">
        <v>184</v>
      </c>
      <c r="J1371" s="22" t="s">
        <v>1085</v>
      </c>
      <c r="K1371" s="23" t="s">
        <v>1086</v>
      </c>
    </row>
    <row r="1372" spans="1:14" hidden="1" x14ac:dyDescent="0.35">
      <c r="A1372" s="21">
        <v>1427641</v>
      </c>
      <c r="B1372" s="22" t="str">
        <f>"3328085104840002"</f>
        <v>3328085104840002</v>
      </c>
      <c r="C1372" s="22" t="str">
        <f t="shared" si="42"/>
        <v>'3328085104840002</v>
      </c>
      <c r="D1372" s="22" t="str">
        <f t="shared" si="43"/>
        <v>tidak ganda</v>
      </c>
      <c r="E1372" s="22" t="s">
        <v>3125</v>
      </c>
      <c r="F1372" s="22" t="s">
        <v>10</v>
      </c>
      <c r="G1372" s="22" t="s">
        <v>11</v>
      </c>
      <c r="H1372" s="22" t="s">
        <v>18</v>
      </c>
      <c r="I1372" s="22" t="s">
        <v>195</v>
      </c>
      <c r="J1372" s="22" t="s">
        <v>1381</v>
      </c>
      <c r="K1372" s="23" t="s">
        <v>3089</v>
      </c>
    </row>
    <row r="1373" spans="1:14" hidden="1" x14ac:dyDescent="0.35">
      <c r="A1373" s="21">
        <v>1352904</v>
      </c>
      <c r="B1373" s="22" t="str">
        <f>"3328085409040002"</f>
        <v>3328085409040002</v>
      </c>
      <c r="C1373" s="22" t="str">
        <f t="shared" si="42"/>
        <v>'3328085409040002</v>
      </c>
      <c r="D1373" s="22" t="str">
        <f t="shared" si="43"/>
        <v>tidak ganda</v>
      </c>
      <c r="E1373" s="22" t="s">
        <v>3127</v>
      </c>
      <c r="F1373" s="22" t="s">
        <v>10</v>
      </c>
      <c r="G1373" s="22" t="s">
        <v>57</v>
      </c>
      <c r="H1373" s="22" t="s">
        <v>303</v>
      </c>
      <c r="I1373" s="22" t="s">
        <v>608</v>
      </c>
      <c r="J1373" s="22" t="s">
        <v>609</v>
      </c>
      <c r="K1373" s="23" t="s">
        <v>610</v>
      </c>
    </row>
    <row r="1374" spans="1:14" hidden="1" x14ac:dyDescent="0.35">
      <c r="A1374" s="21">
        <v>386142</v>
      </c>
      <c r="B1374" s="22" t="str">
        <f>"3328086305900001"</f>
        <v>3328086305900001</v>
      </c>
      <c r="C1374" s="22" t="str">
        <f t="shared" si="42"/>
        <v>'3328086305900001</v>
      </c>
      <c r="D1374" s="22" t="str">
        <f t="shared" si="43"/>
        <v>tidak ganda</v>
      </c>
      <c r="E1374" s="22" t="s">
        <v>3129</v>
      </c>
      <c r="F1374" s="22" t="s">
        <v>10</v>
      </c>
      <c r="G1374" s="22" t="s">
        <v>11</v>
      </c>
      <c r="H1374" s="22" t="s">
        <v>18</v>
      </c>
      <c r="I1374" s="22" t="s">
        <v>264</v>
      </c>
      <c r="J1374" s="22" t="s">
        <v>477</v>
      </c>
      <c r="K1374" s="23" t="s">
        <v>2714</v>
      </c>
    </row>
    <row r="1375" spans="1:14" hidden="1" x14ac:dyDescent="0.35">
      <c r="A1375" s="21">
        <v>852664</v>
      </c>
      <c r="B1375" s="22" t="str">
        <f>"3328086409970003"</f>
        <v>3328086409970003</v>
      </c>
      <c r="C1375" s="22" t="str">
        <f t="shared" si="42"/>
        <v>'3328086409970003</v>
      </c>
      <c r="D1375" s="22" t="str">
        <f t="shared" si="43"/>
        <v>tidak ganda</v>
      </c>
      <c r="E1375" s="22" t="s">
        <v>3130</v>
      </c>
      <c r="F1375" s="22" t="s">
        <v>10</v>
      </c>
      <c r="G1375" s="22" t="s">
        <v>11</v>
      </c>
      <c r="H1375" s="22" t="s">
        <v>18</v>
      </c>
      <c r="I1375" s="22" t="s">
        <v>264</v>
      </c>
      <c r="J1375" s="22" t="s">
        <v>344</v>
      </c>
      <c r="K1375" s="23" t="s">
        <v>492</v>
      </c>
    </row>
    <row r="1376" spans="1:14" hidden="1" x14ac:dyDescent="0.35">
      <c r="A1376" s="21">
        <v>1108904</v>
      </c>
      <c r="B1376" s="22" t="str">
        <f>"3328086603000003"</f>
        <v>3328086603000003</v>
      </c>
      <c r="C1376" s="22" t="str">
        <f t="shared" si="42"/>
        <v>'3328086603000003</v>
      </c>
      <c r="D1376" s="22" t="str">
        <f t="shared" si="43"/>
        <v>tidak ganda</v>
      </c>
      <c r="E1376" s="22" t="s">
        <v>3131</v>
      </c>
      <c r="F1376" s="22" t="s">
        <v>10</v>
      </c>
      <c r="G1376" s="22" t="s">
        <v>11</v>
      </c>
      <c r="H1376" s="22" t="s">
        <v>91</v>
      </c>
      <c r="I1376" s="22" t="s">
        <v>137</v>
      </c>
      <c r="J1376" s="22" t="s">
        <v>3132</v>
      </c>
      <c r="K1376" s="23" t="s">
        <v>3133</v>
      </c>
    </row>
    <row r="1377" spans="1:14" hidden="1" x14ac:dyDescent="0.35">
      <c r="A1377" s="21">
        <v>466220</v>
      </c>
      <c r="B1377" s="22" t="str">
        <f>"3328150709892826"</f>
        <v>3328150709892826</v>
      </c>
      <c r="C1377" s="22" t="str">
        <f t="shared" si="42"/>
        <v>'3328150709892826</v>
      </c>
      <c r="D1377" s="22" t="str">
        <f t="shared" si="43"/>
        <v>tidak ganda</v>
      </c>
      <c r="E1377" s="22" t="s">
        <v>3135</v>
      </c>
      <c r="F1377" s="22" t="s">
        <v>10</v>
      </c>
      <c r="G1377" s="22" t="s">
        <v>11</v>
      </c>
      <c r="H1377" s="22" t="s">
        <v>783</v>
      </c>
      <c r="I1377" s="22" t="s">
        <v>1112</v>
      </c>
      <c r="J1377" s="22" t="s">
        <v>2563</v>
      </c>
      <c r="K1377" s="23" t="s">
        <v>3136</v>
      </c>
    </row>
    <row r="1378" spans="1:14" hidden="1" x14ac:dyDescent="0.35">
      <c r="A1378" s="21">
        <v>835615</v>
      </c>
      <c r="B1378" s="22" t="str">
        <f>"3329091305830015"</f>
        <v>3329091305830015</v>
      </c>
      <c r="C1378" s="22" t="str">
        <f t="shared" si="42"/>
        <v>'3329091305830015</v>
      </c>
      <c r="D1378" s="22" t="str">
        <f t="shared" si="43"/>
        <v>tidak ganda</v>
      </c>
      <c r="E1378" s="22" t="s">
        <v>3138</v>
      </c>
      <c r="F1378" s="22" t="s">
        <v>10</v>
      </c>
      <c r="G1378" s="22" t="s">
        <v>11</v>
      </c>
      <c r="H1378" s="22" t="s">
        <v>18</v>
      </c>
      <c r="I1378" s="22" t="s">
        <v>264</v>
      </c>
      <c r="J1378" s="22" t="s">
        <v>264</v>
      </c>
      <c r="K1378" s="23" t="s">
        <v>264</v>
      </c>
    </row>
    <row r="1379" spans="1:14" hidden="1" x14ac:dyDescent="0.35">
      <c r="A1379" s="21">
        <v>347485</v>
      </c>
      <c r="B1379" s="22" t="str">
        <f>"3376032907010003"</f>
        <v>3376032907010003</v>
      </c>
      <c r="C1379" s="22" t="str">
        <f t="shared" si="42"/>
        <v>'3376032907010003</v>
      </c>
      <c r="D1379" s="22" t="str">
        <f t="shared" si="43"/>
        <v>tidak ganda</v>
      </c>
      <c r="E1379" s="22" t="s">
        <v>3139</v>
      </c>
      <c r="F1379" s="22" t="s">
        <v>10</v>
      </c>
      <c r="G1379" s="22" t="s">
        <v>11</v>
      </c>
      <c r="H1379" s="22" t="s">
        <v>18</v>
      </c>
      <c r="I1379" s="22" t="s">
        <v>268</v>
      </c>
      <c r="J1379" s="22" t="s">
        <v>269</v>
      </c>
      <c r="K1379" s="23" t="s">
        <v>3140</v>
      </c>
    </row>
    <row r="1380" spans="1:14" hidden="1" x14ac:dyDescent="0.35">
      <c r="A1380" s="21">
        <v>846659</v>
      </c>
      <c r="B1380" s="22" t="str">
        <f>"3527081706780001"</f>
        <v>3527081706780001</v>
      </c>
      <c r="C1380" s="22" t="str">
        <f t="shared" si="42"/>
        <v>'3527081706780001</v>
      </c>
      <c r="D1380" s="22" t="str">
        <f t="shared" si="43"/>
        <v>tidak ganda</v>
      </c>
      <c r="E1380" s="22" t="s">
        <v>3141</v>
      </c>
      <c r="F1380" s="22" t="s">
        <v>10</v>
      </c>
      <c r="G1380" s="22" t="s">
        <v>11</v>
      </c>
      <c r="H1380" s="22" t="s">
        <v>303</v>
      </c>
      <c r="I1380" s="22" t="s">
        <v>509</v>
      </c>
      <c r="J1380" s="22" t="s">
        <v>3142</v>
      </c>
      <c r="K1380" s="23" t="s">
        <v>3143</v>
      </c>
    </row>
    <row r="1381" spans="1:14" hidden="1" x14ac:dyDescent="0.35">
      <c r="A1381" s="21">
        <v>1653118</v>
      </c>
      <c r="B1381" s="22" t="str">
        <f>"3602095512020001"</f>
        <v>3602095512020001</v>
      </c>
      <c r="C1381" s="22" t="str">
        <f t="shared" si="42"/>
        <v>'3602095512020001</v>
      </c>
      <c r="D1381" s="22" t="str">
        <f t="shared" si="43"/>
        <v>tidak ganda</v>
      </c>
      <c r="E1381" s="22" t="s">
        <v>3144</v>
      </c>
      <c r="F1381" s="22" t="s">
        <v>10</v>
      </c>
      <c r="G1381" s="22" t="s">
        <v>11</v>
      </c>
      <c r="H1381" s="22" t="s">
        <v>67</v>
      </c>
      <c r="I1381" s="22" t="s">
        <v>638</v>
      </c>
      <c r="J1381" s="22" t="s">
        <v>2597</v>
      </c>
      <c r="K1381" s="23" t="s">
        <v>3145</v>
      </c>
    </row>
    <row r="1382" spans="1:14" hidden="1" x14ac:dyDescent="0.35">
      <c r="A1382" s="21">
        <v>1937429</v>
      </c>
      <c r="B1382" s="22" t="str">
        <f>"3603194508770003"</f>
        <v>3603194508770003</v>
      </c>
      <c r="C1382" s="22" t="str">
        <f t="shared" si="42"/>
        <v>'3603194508770003</v>
      </c>
      <c r="D1382" s="22" t="str">
        <f t="shared" si="43"/>
        <v>tidak ganda</v>
      </c>
      <c r="E1382" s="22" t="s">
        <v>3146</v>
      </c>
      <c r="F1382" s="22" t="s">
        <v>10</v>
      </c>
      <c r="G1382" s="22" t="s">
        <v>11</v>
      </c>
      <c r="H1382" s="22" t="s">
        <v>67</v>
      </c>
      <c r="I1382" s="22" t="s">
        <v>791</v>
      </c>
      <c r="J1382" s="22" t="s">
        <v>3147</v>
      </c>
      <c r="K1382" s="23" t="s">
        <v>3148</v>
      </c>
    </row>
    <row r="1383" spans="1:14" hidden="1" x14ac:dyDescent="0.35">
      <c r="A1383" s="21">
        <v>2048979</v>
      </c>
      <c r="B1383" s="22" t="str">
        <f>"3604121211890003"</f>
        <v>3604121211890003</v>
      </c>
      <c r="C1383" s="22" t="str">
        <f t="shared" si="42"/>
        <v>'3604121211890003</v>
      </c>
      <c r="D1383" s="22" t="str">
        <f t="shared" si="43"/>
        <v>tidak ganda</v>
      </c>
      <c r="E1383" s="22" t="s">
        <v>2327</v>
      </c>
      <c r="F1383" s="22" t="s">
        <v>10</v>
      </c>
      <c r="G1383" s="22" t="s">
        <v>11</v>
      </c>
      <c r="H1383" s="22" t="s">
        <v>18</v>
      </c>
      <c r="I1383" s="22" t="s">
        <v>19</v>
      </c>
      <c r="J1383" s="22" t="s">
        <v>3014</v>
      </c>
      <c r="K1383" s="23" t="s">
        <v>1381</v>
      </c>
      <c r="L1383" t="e">
        <f>VLOOKUP(B1383,ubah!$B$2:$L$234,4,FALSE)</f>
        <v>#N/A</v>
      </c>
      <c r="M1383" t="e">
        <f>VLOOKUP(B1383,ubah!$B$2:$L$234,5,FALSE)</f>
        <v>#N/A</v>
      </c>
      <c r="N1383" t="e">
        <f>VLOOKUP(B1383,ubah!$B$2:$L$234,6,FALSE)</f>
        <v>#N/A</v>
      </c>
    </row>
    <row r="1384" spans="1:14" hidden="1" x14ac:dyDescent="0.35">
      <c r="A1384" s="21">
        <v>2061259</v>
      </c>
      <c r="B1384" s="22" t="str">
        <f>"3674031704780014"</f>
        <v>3674031704780014</v>
      </c>
      <c r="C1384" s="22" t="str">
        <f t="shared" si="42"/>
        <v>'3674031704780014</v>
      </c>
      <c r="D1384" s="22" t="str">
        <f t="shared" si="43"/>
        <v>tidak ganda</v>
      </c>
      <c r="E1384" s="22" t="s">
        <v>3153</v>
      </c>
      <c r="F1384" s="22" t="s">
        <v>10</v>
      </c>
      <c r="G1384" s="22" t="s">
        <v>11</v>
      </c>
      <c r="H1384" s="22" t="s">
        <v>67</v>
      </c>
      <c r="I1384" s="22" t="s">
        <v>68</v>
      </c>
      <c r="J1384" s="22" t="s">
        <v>2924</v>
      </c>
      <c r="K1384" s="23" t="s">
        <v>3154</v>
      </c>
    </row>
    <row r="1385" spans="1:14" hidden="1" x14ac:dyDescent="0.35">
      <c r="A1385" s="21">
        <v>2061380</v>
      </c>
      <c r="B1385" s="22" t="str">
        <f>"3674036109770009"</f>
        <v>3674036109770009</v>
      </c>
      <c r="C1385" s="22" t="str">
        <f t="shared" si="42"/>
        <v>'3674036109770009</v>
      </c>
      <c r="D1385" s="22" t="str">
        <f t="shared" si="43"/>
        <v>tidak ganda</v>
      </c>
      <c r="E1385" s="22" t="s">
        <v>3156</v>
      </c>
      <c r="F1385" s="22" t="s">
        <v>10</v>
      </c>
      <c r="G1385" s="22" t="s">
        <v>11</v>
      </c>
      <c r="H1385" s="22" t="s">
        <v>67</v>
      </c>
      <c r="I1385" s="22" t="s">
        <v>68</v>
      </c>
      <c r="J1385" s="22" t="s">
        <v>2924</v>
      </c>
      <c r="K1385" s="23" t="s">
        <v>3154</v>
      </c>
    </row>
    <row r="1386" spans="1:14" hidden="1" x14ac:dyDescent="0.35">
      <c r="A1386" s="21">
        <v>403905</v>
      </c>
      <c r="B1386" s="22" t="str">
        <f>"1306024704860005"</f>
        <v>1306024704860005</v>
      </c>
      <c r="C1386" s="22" t="str">
        <f t="shared" si="42"/>
        <v>'1306024704860005</v>
      </c>
      <c r="D1386" s="22" t="str">
        <f t="shared" si="43"/>
        <v>tidak ganda</v>
      </c>
      <c r="E1386" s="22" t="s">
        <v>3157</v>
      </c>
      <c r="F1386" s="22" t="s">
        <v>10</v>
      </c>
      <c r="G1386" s="22" t="s">
        <v>11</v>
      </c>
      <c r="H1386" s="22" t="s">
        <v>12</v>
      </c>
      <c r="I1386" s="22" t="s">
        <v>3158</v>
      </c>
      <c r="J1386" s="22" t="s">
        <v>3159</v>
      </c>
      <c r="K1386" s="23" t="s">
        <v>3159</v>
      </c>
    </row>
    <row r="1387" spans="1:14" hidden="1" x14ac:dyDescent="0.35">
      <c r="A1387" s="21">
        <v>581023</v>
      </c>
      <c r="B1387" s="22" t="str">
        <f>"3171081501810002"</f>
        <v>3171081501810002</v>
      </c>
      <c r="C1387" s="22" t="str">
        <f t="shared" si="42"/>
        <v>'3171081501810002</v>
      </c>
      <c r="D1387" s="22" t="str">
        <f t="shared" si="43"/>
        <v>tidak ganda</v>
      </c>
      <c r="E1387" s="22" t="s">
        <v>3094</v>
      </c>
      <c r="F1387" s="22" t="s">
        <v>10</v>
      </c>
      <c r="G1387" s="22" t="s">
        <v>11</v>
      </c>
      <c r="H1387" s="22" t="s">
        <v>50</v>
      </c>
      <c r="I1387" s="22" t="s">
        <v>280</v>
      </c>
      <c r="J1387" s="22" t="s">
        <v>2507</v>
      </c>
      <c r="K1387" s="23" t="s">
        <v>3162</v>
      </c>
    </row>
    <row r="1388" spans="1:14" hidden="1" x14ac:dyDescent="0.35">
      <c r="A1388" s="21">
        <v>161738</v>
      </c>
      <c r="B1388" s="22" t="str">
        <f>"3172027110940003"</f>
        <v>3172027110940003</v>
      </c>
      <c r="C1388" s="22" t="str">
        <f t="shared" si="42"/>
        <v>'3172027110940003</v>
      </c>
      <c r="D1388" s="22" t="str">
        <f t="shared" si="43"/>
        <v>tidak ganda</v>
      </c>
      <c r="E1388" s="22" t="s">
        <v>3163</v>
      </c>
      <c r="F1388" s="22" t="s">
        <v>10</v>
      </c>
      <c r="G1388" s="22" t="s">
        <v>11</v>
      </c>
      <c r="H1388" s="22" t="s">
        <v>50</v>
      </c>
      <c r="I1388" s="22" t="s">
        <v>51</v>
      </c>
      <c r="J1388" s="22" t="s">
        <v>62</v>
      </c>
      <c r="K1388" s="23" t="s">
        <v>63</v>
      </c>
    </row>
    <row r="1389" spans="1:14" hidden="1" x14ac:dyDescent="0.35">
      <c r="A1389" s="21">
        <v>757547</v>
      </c>
      <c r="B1389" s="22" t="str">
        <f>"3172034302740003"</f>
        <v>3172034302740003</v>
      </c>
      <c r="C1389" s="22" t="str">
        <f t="shared" si="42"/>
        <v>'3172034302740003</v>
      </c>
      <c r="D1389" s="22" t="str">
        <f t="shared" si="43"/>
        <v>tidak ganda</v>
      </c>
      <c r="E1389" s="22" t="s">
        <v>3164</v>
      </c>
      <c r="F1389" s="22" t="s">
        <v>10</v>
      </c>
      <c r="G1389" s="22" t="s">
        <v>11</v>
      </c>
      <c r="H1389" s="22" t="s">
        <v>50</v>
      </c>
      <c r="I1389" s="22" t="s">
        <v>51</v>
      </c>
      <c r="J1389" s="22" t="s">
        <v>284</v>
      </c>
      <c r="K1389" s="23" t="s">
        <v>284</v>
      </c>
    </row>
    <row r="1390" spans="1:14" hidden="1" x14ac:dyDescent="0.35">
      <c r="A1390" s="21">
        <v>987916</v>
      </c>
      <c r="B1390" s="22" t="str">
        <f>"3172040112820018"</f>
        <v>3172040112820018</v>
      </c>
      <c r="C1390" s="22" t="str">
        <f t="shared" si="42"/>
        <v>'3172040112820018</v>
      </c>
      <c r="D1390" s="22" t="str">
        <f t="shared" si="43"/>
        <v>tidak ganda</v>
      </c>
      <c r="E1390" s="22" t="s">
        <v>3166</v>
      </c>
      <c r="F1390" s="22" t="s">
        <v>10</v>
      </c>
      <c r="G1390" s="22" t="s">
        <v>11</v>
      </c>
      <c r="H1390" s="22" t="s">
        <v>50</v>
      </c>
      <c r="I1390" s="22" t="s">
        <v>51</v>
      </c>
      <c r="J1390" s="22" t="s">
        <v>78</v>
      </c>
      <c r="K1390" s="23" t="s">
        <v>81</v>
      </c>
    </row>
    <row r="1391" spans="1:14" hidden="1" x14ac:dyDescent="0.35">
      <c r="A1391" s="21">
        <v>993249</v>
      </c>
      <c r="B1391" s="22" t="str">
        <f>"3172040401870018"</f>
        <v>3172040401870018</v>
      </c>
      <c r="C1391" s="22" t="str">
        <f t="shared" si="42"/>
        <v>'3172040401870018</v>
      </c>
      <c r="D1391" s="22" t="str">
        <f t="shared" si="43"/>
        <v>tidak ganda</v>
      </c>
      <c r="E1391" s="22" t="s">
        <v>3168</v>
      </c>
      <c r="F1391" s="22" t="s">
        <v>10</v>
      </c>
      <c r="G1391" s="22" t="s">
        <v>11</v>
      </c>
      <c r="H1391" s="22" t="s">
        <v>50</v>
      </c>
      <c r="I1391" s="22" t="s">
        <v>51</v>
      </c>
      <c r="J1391" s="22" t="s">
        <v>78</v>
      </c>
      <c r="K1391" s="23" t="s">
        <v>81</v>
      </c>
    </row>
    <row r="1392" spans="1:14" hidden="1" x14ac:dyDescent="0.35">
      <c r="A1392" s="21">
        <v>987915</v>
      </c>
      <c r="B1392" s="22" t="str">
        <f>"3172044201891003"</f>
        <v>3172044201891003</v>
      </c>
      <c r="C1392" s="22" t="str">
        <f t="shared" si="42"/>
        <v>'3172044201891003</v>
      </c>
      <c r="D1392" s="22" t="str">
        <f t="shared" si="43"/>
        <v>tidak ganda</v>
      </c>
      <c r="E1392" s="22" t="s">
        <v>421</v>
      </c>
      <c r="F1392" s="22" t="s">
        <v>10</v>
      </c>
      <c r="G1392" s="22" t="s">
        <v>11</v>
      </c>
      <c r="H1392" s="22" t="s">
        <v>50</v>
      </c>
      <c r="I1392" s="22" t="s">
        <v>51</v>
      </c>
      <c r="J1392" s="22" t="s">
        <v>78</v>
      </c>
      <c r="K1392" s="23" t="s">
        <v>81</v>
      </c>
    </row>
    <row r="1393" spans="1:11" hidden="1" x14ac:dyDescent="0.35">
      <c r="A1393" s="21">
        <v>349989</v>
      </c>
      <c r="B1393" s="22" t="str">
        <f>"3173025510741001"</f>
        <v>3173025510741001</v>
      </c>
      <c r="C1393" s="22" t="str">
        <f t="shared" si="42"/>
        <v>'3173025510741001</v>
      </c>
      <c r="D1393" s="22" t="str">
        <f t="shared" si="43"/>
        <v>tidak ganda</v>
      </c>
      <c r="E1393" s="22" t="s">
        <v>3171</v>
      </c>
      <c r="F1393" s="22" t="s">
        <v>10</v>
      </c>
      <c r="G1393" s="22" t="s">
        <v>11</v>
      </c>
      <c r="H1393" s="22" t="s">
        <v>50</v>
      </c>
      <c r="I1393" s="22" t="s">
        <v>86</v>
      </c>
      <c r="J1393" s="22" t="s">
        <v>205</v>
      </c>
      <c r="K1393" s="23" t="s">
        <v>3172</v>
      </c>
    </row>
    <row r="1394" spans="1:11" hidden="1" x14ac:dyDescent="0.35">
      <c r="A1394" s="21">
        <v>603759</v>
      </c>
      <c r="B1394" s="22" t="str">
        <f>"3173030204680007"</f>
        <v>3173030204680007</v>
      </c>
      <c r="C1394" s="22" t="str">
        <f t="shared" si="42"/>
        <v>'3173030204680007</v>
      </c>
      <c r="D1394" s="22" t="str">
        <f t="shared" si="43"/>
        <v>tidak ganda</v>
      </c>
      <c r="E1394" s="22" t="s">
        <v>1622</v>
      </c>
      <c r="F1394" s="22" t="s">
        <v>10</v>
      </c>
      <c r="G1394" s="22" t="s">
        <v>11</v>
      </c>
      <c r="H1394" s="22" t="s">
        <v>50</v>
      </c>
      <c r="I1394" s="22" t="s">
        <v>86</v>
      </c>
      <c r="J1394" s="22" t="s">
        <v>1463</v>
      </c>
      <c r="K1394" s="23" t="s">
        <v>3175</v>
      </c>
    </row>
    <row r="1395" spans="1:11" hidden="1" x14ac:dyDescent="0.35">
      <c r="A1395" s="21">
        <v>792207</v>
      </c>
      <c r="B1395" s="22" t="str">
        <f>"3174024101620006"</f>
        <v>3174024101620006</v>
      </c>
      <c r="C1395" s="22" t="str">
        <f t="shared" si="42"/>
        <v>'3174024101620006</v>
      </c>
      <c r="D1395" s="22" t="str">
        <f t="shared" si="43"/>
        <v>tidak ganda</v>
      </c>
      <c r="E1395" s="22" t="s">
        <v>3177</v>
      </c>
      <c r="F1395" s="22" t="s">
        <v>10</v>
      </c>
      <c r="G1395" s="22" t="s">
        <v>11</v>
      </c>
      <c r="H1395" s="22" t="s">
        <v>50</v>
      </c>
      <c r="I1395" s="22" t="s">
        <v>72</v>
      </c>
      <c r="J1395" s="22" t="s">
        <v>73</v>
      </c>
      <c r="K1395" s="23" t="s">
        <v>74</v>
      </c>
    </row>
    <row r="1396" spans="1:11" hidden="1" x14ac:dyDescent="0.35">
      <c r="A1396" s="21">
        <v>1644764</v>
      </c>
      <c r="B1396" s="22" t="str">
        <f>"3174030308700008"</f>
        <v>3174030308700008</v>
      </c>
      <c r="C1396" s="22" t="str">
        <f t="shared" si="42"/>
        <v>'3174030308700008</v>
      </c>
      <c r="D1396" s="22" t="str">
        <f t="shared" si="43"/>
        <v>tidak ganda</v>
      </c>
      <c r="E1396" s="22" t="s">
        <v>3179</v>
      </c>
      <c r="F1396" s="22" t="s">
        <v>10</v>
      </c>
      <c r="G1396" s="22" t="s">
        <v>11</v>
      </c>
      <c r="H1396" s="22" t="s">
        <v>50</v>
      </c>
      <c r="I1396" s="22" t="s">
        <v>72</v>
      </c>
      <c r="J1396" s="22" t="s">
        <v>1172</v>
      </c>
      <c r="K1396" s="23" t="s">
        <v>1173</v>
      </c>
    </row>
    <row r="1397" spans="1:11" hidden="1" x14ac:dyDescent="0.35">
      <c r="A1397" s="21">
        <v>1642550</v>
      </c>
      <c r="B1397" s="22" t="str">
        <f>"3174030908630001"</f>
        <v>3174030908630001</v>
      </c>
      <c r="C1397" s="22" t="str">
        <f t="shared" si="42"/>
        <v>'3174030908630001</v>
      </c>
      <c r="D1397" s="22" t="str">
        <f t="shared" si="43"/>
        <v>tidak ganda</v>
      </c>
      <c r="E1397" s="22" t="s">
        <v>3181</v>
      </c>
      <c r="F1397" s="22" t="s">
        <v>10</v>
      </c>
      <c r="G1397" s="22" t="s">
        <v>11</v>
      </c>
      <c r="H1397" s="22" t="s">
        <v>50</v>
      </c>
      <c r="I1397" s="22" t="s">
        <v>72</v>
      </c>
      <c r="J1397" s="22" t="s">
        <v>1172</v>
      </c>
      <c r="K1397" s="23" t="s">
        <v>1173</v>
      </c>
    </row>
    <row r="1398" spans="1:11" hidden="1" x14ac:dyDescent="0.35">
      <c r="A1398" s="21">
        <v>1722737</v>
      </c>
      <c r="B1398" s="22" t="str">
        <f>"3174031608530002"</f>
        <v>3174031608530002</v>
      </c>
      <c r="C1398" s="22" t="str">
        <f t="shared" si="42"/>
        <v>'3174031608530002</v>
      </c>
      <c r="D1398" s="22" t="str">
        <f t="shared" si="43"/>
        <v>tidak ganda</v>
      </c>
      <c r="E1398" s="22" t="s">
        <v>3182</v>
      </c>
      <c r="F1398" s="22" t="s">
        <v>10</v>
      </c>
      <c r="G1398" s="22" t="s">
        <v>11</v>
      </c>
      <c r="H1398" s="22" t="s">
        <v>50</v>
      </c>
      <c r="I1398" s="22" t="s">
        <v>72</v>
      </c>
      <c r="J1398" s="22" t="s">
        <v>1172</v>
      </c>
      <c r="K1398" s="23" t="s">
        <v>226</v>
      </c>
    </row>
    <row r="1399" spans="1:11" hidden="1" x14ac:dyDescent="0.35">
      <c r="A1399" s="21">
        <v>1722831</v>
      </c>
      <c r="B1399" s="22" t="str">
        <f>"3174035007540003"</f>
        <v>3174035007540003</v>
      </c>
      <c r="C1399" s="22" t="str">
        <f t="shared" si="42"/>
        <v>'3174035007540003</v>
      </c>
      <c r="D1399" s="22" t="str">
        <f t="shared" si="43"/>
        <v>tidak ganda</v>
      </c>
      <c r="E1399" s="22" t="s">
        <v>3183</v>
      </c>
      <c r="F1399" s="22" t="s">
        <v>10</v>
      </c>
      <c r="G1399" s="22" t="s">
        <v>11</v>
      </c>
      <c r="H1399" s="22" t="s">
        <v>50</v>
      </c>
      <c r="I1399" s="22" t="s">
        <v>72</v>
      </c>
      <c r="J1399" s="22" t="s">
        <v>1172</v>
      </c>
      <c r="K1399" s="23" t="s">
        <v>226</v>
      </c>
    </row>
    <row r="1400" spans="1:11" hidden="1" x14ac:dyDescent="0.35">
      <c r="A1400" s="21">
        <v>1642549</v>
      </c>
      <c r="B1400" s="22" t="str">
        <f>"3174037112710011"</f>
        <v>3174037112710011</v>
      </c>
      <c r="C1400" s="22" t="str">
        <f t="shared" si="42"/>
        <v>'3174037112710011</v>
      </c>
      <c r="D1400" s="22" t="str">
        <f t="shared" si="43"/>
        <v>tidak ganda</v>
      </c>
      <c r="E1400" s="22" t="s">
        <v>3184</v>
      </c>
      <c r="F1400" s="22" t="s">
        <v>10</v>
      </c>
      <c r="G1400" s="22" t="s">
        <v>11</v>
      </c>
      <c r="H1400" s="22" t="s">
        <v>50</v>
      </c>
      <c r="I1400" s="22" t="s">
        <v>72</v>
      </c>
      <c r="J1400" s="22" t="s">
        <v>1172</v>
      </c>
      <c r="K1400" s="23" t="s">
        <v>1173</v>
      </c>
    </row>
    <row r="1401" spans="1:11" hidden="1" x14ac:dyDescent="0.35">
      <c r="A1401" s="21">
        <v>233147</v>
      </c>
      <c r="B1401" s="22" t="str">
        <f>"3174052803810007"</f>
        <v>3174052803810007</v>
      </c>
      <c r="C1401" s="22" t="str">
        <f t="shared" si="42"/>
        <v>'3174052803810007</v>
      </c>
      <c r="D1401" s="22" t="str">
        <f t="shared" si="43"/>
        <v>tidak ganda</v>
      </c>
      <c r="E1401" s="22" t="s">
        <v>3186</v>
      </c>
      <c r="F1401" s="22" t="s">
        <v>10</v>
      </c>
      <c r="G1401" s="22" t="s">
        <v>11</v>
      </c>
      <c r="H1401" s="22" t="s">
        <v>18</v>
      </c>
      <c r="I1401" s="22" t="s">
        <v>268</v>
      </c>
      <c r="J1401" s="22" t="s">
        <v>371</v>
      </c>
      <c r="K1401" s="23" t="s">
        <v>372</v>
      </c>
    </row>
    <row r="1402" spans="1:11" hidden="1" x14ac:dyDescent="0.35">
      <c r="A1402" s="21">
        <v>233148</v>
      </c>
      <c r="B1402" s="22" t="str">
        <f>"3174054107810010"</f>
        <v>3174054107810010</v>
      </c>
      <c r="C1402" s="22" t="str">
        <f t="shared" si="42"/>
        <v>'3174054107810010</v>
      </c>
      <c r="D1402" s="22" t="str">
        <f t="shared" si="43"/>
        <v>tidak ganda</v>
      </c>
      <c r="E1402" s="22" t="s">
        <v>179</v>
      </c>
      <c r="F1402" s="22" t="s">
        <v>10</v>
      </c>
      <c r="G1402" s="22" t="s">
        <v>11</v>
      </c>
      <c r="H1402" s="22" t="s">
        <v>18</v>
      </c>
      <c r="I1402" s="22" t="s">
        <v>268</v>
      </c>
      <c r="J1402" s="22" t="s">
        <v>371</v>
      </c>
      <c r="K1402" s="23" t="s">
        <v>372</v>
      </c>
    </row>
    <row r="1403" spans="1:11" hidden="1" x14ac:dyDescent="0.35">
      <c r="A1403" s="21">
        <v>576541</v>
      </c>
      <c r="B1403" s="22" t="str">
        <f>"3174062811740003"</f>
        <v>3174062811740003</v>
      </c>
      <c r="C1403" s="22" t="str">
        <f t="shared" si="42"/>
        <v>'3174062811740003</v>
      </c>
      <c r="D1403" s="22" t="str">
        <f t="shared" si="43"/>
        <v>tidak ganda</v>
      </c>
      <c r="E1403" s="22" t="s">
        <v>2736</v>
      </c>
      <c r="F1403" s="22" t="s">
        <v>10</v>
      </c>
      <c r="G1403" s="22" t="s">
        <v>11</v>
      </c>
      <c r="H1403" s="22" t="s">
        <v>50</v>
      </c>
      <c r="I1403" s="22" t="s">
        <v>72</v>
      </c>
      <c r="J1403" s="22" t="s">
        <v>1093</v>
      </c>
      <c r="K1403" s="23" t="s">
        <v>3190</v>
      </c>
    </row>
    <row r="1404" spans="1:11" hidden="1" x14ac:dyDescent="0.35">
      <c r="A1404" s="21">
        <v>739882</v>
      </c>
      <c r="B1404" s="22" t="str">
        <f>"3174071408610010"</f>
        <v>3174071408610010</v>
      </c>
      <c r="C1404" s="22" t="str">
        <f t="shared" si="42"/>
        <v>'3174071408610010</v>
      </c>
      <c r="D1404" s="22" t="str">
        <f t="shared" si="43"/>
        <v>tidak ganda</v>
      </c>
      <c r="E1404" s="22" t="s">
        <v>3192</v>
      </c>
      <c r="F1404" s="22" t="s">
        <v>10</v>
      </c>
      <c r="G1404" s="22" t="s">
        <v>11</v>
      </c>
      <c r="H1404" s="22" t="s">
        <v>50</v>
      </c>
      <c r="I1404" s="22" t="s">
        <v>72</v>
      </c>
      <c r="J1404" s="22" t="s">
        <v>803</v>
      </c>
      <c r="K1404" s="23" t="s">
        <v>2244</v>
      </c>
    </row>
    <row r="1405" spans="1:11" hidden="1" x14ac:dyDescent="0.35">
      <c r="A1405" s="21">
        <v>739881</v>
      </c>
      <c r="B1405" s="22" t="str">
        <f>"3174075111640008"</f>
        <v>3174075111640008</v>
      </c>
      <c r="C1405" s="22" t="str">
        <f t="shared" si="42"/>
        <v>'3174075111640008</v>
      </c>
      <c r="D1405" s="22" t="str">
        <f t="shared" si="43"/>
        <v>tidak ganda</v>
      </c>
      <c r="E1405" s="22" t="s">
        <v>3193</v>
      </c>
      <c r="F1405" s="22" t="s">
        <v>10</v>
      </c>
      <c r="G1405" s="22" t="s">
        <v>11</v>
      </c>
      <c r="H1405" s="22" t="s">
        <v>50</v>
      </c>
      <c r="I1405" s="22" t="s">
        <v>72</v>
      </c>
      <c r="J1405" s="22" t="s">
        <v>803</v>
      </c>
      <c r="K1405" s="23" t="s">
        <v>2244</v>
      </c>
    </row>
    <row r="1406" spans="1:11" hidden="1" x14ac:dyDescent="0.35">
      <c r="A1406" s="21">
        <v>802500</v>
      </c>
      <c r="B1406" s="22" t="str">
        <f>"3174106005791001"</f>
        <v>3174106005791001</v>
      </c>
      <c r="C1406" s="22" t="str">
        <f t="shared" si="42"/>
        <v>'3174106005791001</v>
      </c>
      <c r="D1406" s="22" t="str">
        <f t="shared" si="43"/>
        <v>tidak ganda</v>
      </c>
      <c r="E1406" s="22" t="s">
        <v>3194</v>
      </c>
      <c r="F1406" s="22" t="s">
        <v>10</v>
      </c>
      <c r="G1406" s="22" t="s">
        <v>11</v>
      </c>
      <c r="H1406" s="22" t="s">
        <v>50</v>
      </c>
      <c r="I1406" s="22" t="s">
        <v>72</v>
      </c>
      <c r="J1406" s="22" t="s">
        <v>541</v>
      </c>
      <c r="K1406" s="23" t="s">
        <v>2901</v>
      </c>
    </row>
    <row r="1407" spans="1:11" hidden="1" x14ac:dyDescent="0.35">
      <c r="A1407" s="21">
        <v>106882</v>
      </c>
      <c r="B1407" s="22" t="str">
        <f>"3175011212770010"</f>
        <v>3175011212770010</v>
      </c>
      <c r="C1407" s="22" t="str">
        <f t="shared" si="42"/>
        <v>'3175011212770010</v>
      </c>
      <c r="D1407" s="22" t="str">
        <f t="shared" si="43"/>
        <v>tidak ganda</v>
      </c>
      <c r="E1407" s="22" t="s">
        <v>2757</v>
      </c>
      <c r="F1407" s="22" t="s">
        <v>10</v>
      </c>
      <c r="G1407" s="22" t="s">
        <v>11</v>
      </c>
      <c r="H1407" s="22" t="s">
        <v>50</v>
      </c>
      <c r="I1407" s="22" t="s">
        <v>280</v>
      </c>
      <c r="J1407" s="22" t="s">
        <v>2179</v>
      </c>
      <c r="K1407" s="23" t="s">
        <v>2179</v>
      </c>
    </row>
    <row r="1408" spans="1:11" hidden="1" x14ac:dyDescent="0.35">
      <c r="A1408" s="21">
        <v>1982072</v>
      </c>
      <c r="B1408" s="22" t="str">
        <f>"3175050208820011"</f>
        <v>3175050208820011</v>
      </c>
      <c r="C1408" s="22" t="str">
        <f t="shared" si="42"/>
        <v>'3175050208820011</v>
      </c>
      <c r="D1408" s="22" t="str">
        <f t="shared" si="43"/>
        <v>tidak ganda</v>
      </c>
      <c r="E1408" s="22" t="s">
        <v>3196</v>
      </c>
      <c r="F1408" s="22" t="s">
        <v>10</v>
      </c>
      <c r="G1408" s="22" t="s">
        <v>11</v>
      </c>
      <c r="H1408" s="22" t="s">
        <v>50</v>
      </c>
      <c r="I1408" s="22" t="s">
        <v>58</v>
      </c>
      <c r="J1408" s="22" t="s">
        <v>260</v>
      </c>
      <c r="K1408" s="23" t="s">
        <v>261</v>
      </c>
    </row>
    <row r="1409" spans="1:11" hidden="1" x14ac:dyDescent="0.35">
      <c r="A1409" s="21">
        <v>1554037</v>
      </c>
      <c r="B1409" s="22" t="str">
        <f>"3175092101971003"</f>
        <v>3175092101971003</v>
      </c>
      <c r="C1409" s="22" t="str">
        <f t="shared" si="42"/>
        <v>'3175092101971003</v>
      </c>
      <c r="D1409" s="22" t="str">
        <f t="shared" si="43"/>
        <v>tidak ganda</v>
      </c>
      <c r="E1409" s="22" t="s">
        <v>3197</v>
      </c>
      <c r="F1409" s="22" t="s">
        <v>10</v>
      </c>
      <c r="G1409" s="22" t="s">
        <v>11</v>
      </c>
      <c r="H1409" s="22" t="s">
        <v>50</v>
      </c>
      <c r="I1409" s="22" t="s">
        <v>58</v>
      </c>
      <c r="J1409" s="22" t="s">
        <v>1747</v>
      </c>
      <c r="K1409" s="23" t="s">
        <v>1747</v>
      </c>
    </row>
    <row r="1410" spans="1:11" hidden="1" x14ac:dyDescent="0.35">
      <c r="A1410" s="21">
        <v>3547701</v>
      </c>
      <c r="B1410" s="22" t="str">
        <f>"3201152506920002"</f>
        <v>3201152506920002</v>
      </c>
      <c r="C1410" s="22" t="str">
        <f t="shared" si="42"/>
        <v>'3201152506920002</v>
      </c>
      <c r="D1410" s="22" t="str">
        <f t="shared" si="43"/>
        <v>tidak ganda</v>
      </c>
      <c r="E1410" s="22" t="s">
        <v>3198</v>
      </c>
      <c r="F1410" s="22" t="s">
        <v>10</v>
      </c>
      <c r="G1410" s="22" t="s">
        <v>11</v>
      </c>
      <c r="H1410" s="22" t="s">
        <v>91</v>
      </c>
      <c r="I1410" s="22" t="s">
        <v>650</v>
      </c>
      <c r="J1410" s="22" t="s">
        <v>651</v>
      </c>
      <c r="K1410" s="23" t="s">
        <v>3199</v>
      </c>
    </row>
    <row r="1411" spans="1:11" hidden="1" x14ac:dyDescent="0.35">
      <c r="A1411" s="21">
        <v>3547699</v>
      </c>
      <c r="B1411" s="22" t="str">
        <f>"3201154810940009"</f>
        <v>3201154810940009</v>
      </c>
      <c r="C1411" s="22" t="str">
        <f t="shared" ref="C1411:C1474" si="44">"'"&amp;B1411</f>
        <v>'3201154810940009</v>
      </c>
      <c r="D1411" s="22" t="str">
        <f t="shared" ref="D1411:D1474" si="45">IF(COUNTIF($C:$C,C1411)&gt;1,"ganda","tidak ganda")</f>
        <v>tidak ganda</v>
      </c>
      <c r="E1411" s="22" t="s">
        <v>3201</v>
      </c>
      <c r="F1411" s="22" t="s">
        <v>10</v>
      </c>
      <c r="G1411" s="22" t="s">
        <v>11</v>
      </c>
      <c r="H1411" s="22" t="s">
        <v>91</v>
      </c>
      <c r="I1411" s="22" t="s">
        <v>650</v>
      </c>
      <c r="J1411" s="22" t="s">
        <v>651</v>
      </c>
      <c r="K1411" s="23" t="s">
        <v>3199</v>
      </c>
    </row>
    <row r="1412" spans="1:11" hidden="1" x14ac:dyDescent="0.35">
      <c r="A1412" s="21">
        <v>834287</v>
      </c>
      <c r="B1412" s="22" t="str">
        <f>"3206326004870002"</f>
        <v>3206326004870002</v>
      </c>
      <c r="C1412" s="22" t="str">
        <f t="shared" si="44"/>
        <v>'3206326004870002</v>
      </c>
      <c r="D1412" s="22" t="str">
        <f t="shared" si="45"/>
        <v>tidak ganda</v>
      </c>
      <c r="E1412" s="22" t="s">
        <v>3202</v>
      </c>
      <c r="F1412" s="22" t="s">
        <v>10</v>
      </c>
      <c r="G1412" s="22" t="s">
        <v>11</v>
      </c>
      <c r="H1412" s="22" t="s">
        <v>50</v>
      </c>
      <c r="I1412" s="22" t="s">
        <v>51</v>
      </c>
      <c r="J1412" s="22" t="s">
        <v>284</v>
      </c>
      <c r="K1412" s="23" t="s">
        <v>400</v>
      </c>
    </row>
    <row r="1413" spans="1:11" hidden="1" x14ac:dyDescent="0.35">
      <c r="A1413" s="21">
        <v>286227</v>
      </c>
      <c r="B1413" s="22" t="str">
        <f>"3209051007750006"</f>
        <v>3209051007750006</v>
      </c>
      <c r="C1413" s="22" t="str">
        <f t="shared" si="44"/>
        <v>'3209051007750006</v>
      </c>
      <c r="D1413" s="22" t="str">
        <f t="shared" si="45"/>
        <v>tidak ganda</v>
      </c>
      <c r="E1413" s="22" t="s">
        <v>3204</v>
      </c>
      <c r="F1413" s="22" t="s">
        <v>10</v>
      </c>
      <c r="G1413" s="22" t="s">
        <v>11</v>
      </c>
      <c r="H1413" s="22" t="s">
        <v>91</v>
      </c>
      <c r="I1413" s="22" t="s">
        <v>985</v>
      </c>
      <c r="J1413" s="22" t="s">
        <v>1573</v>
      </c>
      <c r="K1413" s="23" t="s">
        <v>3205</v>
      </c>
    </row>
    <row r="1414" spans="1:11" hidden="1" x14ac:dyDescent="0.35">
      <c r="A1414" s="21">
        <v>196098</v>
      </c>
      <c r="B1414" s="22" t="str">
        <f>"3216141506720031"</f>
        <v>3216141506720031</v>
      </c>
      <c r="C1414" s="22" t="str">
        <f t="shared" si="44"/>
        <v>'3216141506720031</v>
      </c>
      <c r="D1414" s="22" t="str">
        <f t="shared" si="45"/>
        <v>tidak ganda</v>
      </c>
      <c r="E1414" s="22" t="s">
        <v>3207</v>
      </c>
      <c r="F1414" s="22" t="s">
        <v>10</v>
      </c>
      <c r="G1414" s="22" t="s">
        <v>11</v>
      </c>
      <c r="H1414" s="22" t="s">
        <v>91</v>
      </c>
      <c r="I1414" s="22" t="s">
        <v>92</v>
      </c>
      <c r="J1414" s="22" t="s">
        <v>3208</v>
      </c>
      <c r="K1414" s="23" t="s">
        <v>3209</v>
      </c>
    </row>
    <row r="1415" spans="1:11" hidden="1" x14ac:dyDescent="0.35">
      <c r="A1415" s="21">
        <v>1378248</v>
      </c>
      <c r="B1415" s="22" t="str">
        <f>"3275010710960012"</f>
        <v>3275010710960012</v>
      </c>
      <c r="C1415" s="22" t="str">
        <f t="shared" si="44"/>
        <v>'3275010710960012</v>
      </c>
      <c r="D1415" s="22" t="str">
        <f t="shared" si="45"/>
        <v>tidak ganda</v>
      </c>
      <c r="E1415" s="22" t="s">
        <v>3028</v>
      </c>
      <c r="F1415" s="22" t="s">
        <v>10</v>
      </c>
      <c r="G1415" s="22" t="s">
        <v>11</v>
      </c>
      <c r="H1415" s="22" t="s">
        <v>91</v>
      </c>
      <c r="I1415" s="22" t="s">
        <v>159</v>
      </c>
      <c r="J1415" s="22" t="s">
        <v>685</v>
      </c>
      <c r="K1415" s="23" t="s">
        <v>3105</v>
      </c>
    </row>
    <row r="1416" spans="1:11" hidden="1" x14ac:dyDescent="0.35">
      <c r="A1416" s="21">
        <v>488284</v>
      </c>
      <c r="B1416" s="22" t="str">
        <f>"3275010811670017"</f>
        <v>3275010811670017</v>
      </c>
      <c r="C1416" s="22" t="str">
        <f t="shared" si="44"/>
        <v>'3275010811670017</v>
      </c>
      <c r="D1416" s="22" t="str">
        <f t="shared" si="45"/>
        <v>tidak ganda</v>
      </c>
      <c r="E1416" s="22" t="s">
        <v>3212</v>
      </c>
      <c r="F1416" s="22" t="s">
        <v>10</v>
      </c>
      <c r="G1416" s="22" t="s">
        <v>11</v>
      </c>
      <c r="H1416" s="22" t="s">
        <v>91</v>
      </c>
      <c r="I1416" s="22" t="s">
        <v>159</v>
      </c>
      <c r="J1416" s="22" t="s">
        <v>685</v>
      </c>
      <c r="K1416" s="23" t="s">
        <v>1632</v>
      </c>
    </row>
    <row r="1417" spans="1:11" hidden="1" x14ac:dyDescent="0.35">
      <c r="A1417" s="21">
        <v>157266</v>
      </c>
      <c r="B1417" s="22" t="str">
        <f>"3275011310770017"</f>
        <v>3275011310770017</v>
      </c>
      <c r="C1417" s="22" t="str">
        <f t="shared" si="44"/>
        <v>'3275011310770017</v>
      </c>
      <c r="D1417" s="22" t="str">
        <f t="shared" si="45"/>
        <v>tidak ganda</v>
      </c>
      <c r="E1417" s="22" t="s">
        <v>3213</v>
      </c>
      <c r="F1417" s="22" t="s">
        <v>10</v>
      </c>
      <c r="G1417" s="22" t="s">
        <v>11</v>
      </c>
      <c r="H1417" s="22" t="s">
        <v>91</v>
      </c>
      <c r="I1417" s="22" t="s">
        <v>159</v>
      </c>
      <c r="J1417" s="22" t="s">
        <v>685</v>
      </c>
      <c r="K1417" s="23" t="s">
        <v>686</v>
      </c>
    </row>
    <row r="1418" spans="1:11" hidden="1" x14ac:dyDescent="0.35">
      <c r="A1418" s="21">
        <v>488285</v>
      </c>
      <c r="B1418" s="22" t="str">
        <f>"3275014101710035"</f>
        <v>3275014101710035</v>
      </c>
      <c r="C1418" s="22" t="str">
        <f t="shared" si="44"/>
        <v>'3275014101710035</v>
      </c>
      <c r="D1418" s="22" t="str">
        <f t="shared" si="45"/>
        <v>tidak ganda</v>
      </c>
      <c r="E1418" s="22" t="s">
        <v>3214</v>
      </c>
      <c r="F1418" s="22" t="s">
        <v>10</v>
      </c>
      <c r="G1418" s="22" t="s">
        <v>11</v>
      </c>
      <c r="H1418" s="22" t="s">
        <v>91</v>
      </c>
      <c r="I1418" s="22" t="s">
        <v>159</v>
      </c>
      <c r="J1418" s="22" t="s">
        <v>685</v>
      </c>
      <c r="K1418" s="23" t="s">
        <v>1632</v>
      </c>
    </row>
    <row r="1419" spans="1:11" hidden="1" x14ac:dyDescent="0.35">
      <c r="A1419" s="21">
        <v>581022</v>
      </c>
      <c r="B1419" s="22" t="str">
        <f>"3275026910850018"</f>
        <v>3275026910850018</v>
      </c>
      <c r="C1419" s="22" t="str">
        <f t="shared" si="44"/>
        <v>'3275026910850018</v>
      </c>
      <c r="D1419" s="22" t="str">
        <f t="shared" si="45"/>
        <v>tidak ganda</v>
      </c>
      <c r="E1419" s="22" t="s">
        <v>3215</v>
      </c>
      <c r="F1419" s="22" t="s">
        <v>10</v>
      </c>
      <c r="G1419" s="22" t="s">
        <v>11</v>
      </c>
      <c r="H1419" s="22" t="s">
        <v>50</v>
      </c>
      <c r="I1419" s="22" t="s">
        <v>280</v>
      </c>
      <c r="J1419" s="22" t="s">
        <v>2507</v>
      </c>
      <c r="K1419" s="23" t="s">
        <v>3162</v>
      </c>
    </row>
    <row r="1420" spans="1:11" hidden="1" x14ac:dyDescent="0.35">
      <c r="A1420" s="21">
        <v>95248</v>
      </c>
      <c r="B1420" s="22" t="str">
        <f>"3275090501830025"</f>
        <v>3275090501830025</v>
      </c>
      <c r="C1420" s="22" t="str">
        <f t="shared" si="44"/>
        <v>'3275090501830025</v>
      </c>
      <c r="D1420" s="22" t="str">
        <f t="shared" si="45"/>
        <v>tidak ganda</v>
      </c>
      <c r="E1420" s="22" t="s">
        <v>3216</v>
      </c>
      <c r="F1420" s="22" t="s">
        <v>10</v>
      </c>
      <c r="G1420" s="22" t="s">
        <v>11</v>
      </c>
      <c r="H1420" s="22" t="s">
        <v>91</v>
      </c>
      <c r="I1420" s="22" t="s">
        <v>159</v>
      </c>
      <c r="J1420" s="22" t="s">
        <v>1170</v>
      </c>
      <c r="K1420" s="23" t="s">
        <v>1170</v>
      </c>
    </row>
    <row r="1421" spans="1:11" hidden="1" x14ac:dyDescent="0.35">
      <c r="A1421" s="21">
        <v>95249</v>
      </c>
      <c r="B1421" s="22" t="str">
        <f>"3275094708980020"</f>
        <v>3275094708980020</v>
      </c>
      <c r="C1421" s="22" t="str">
        <f t="shared" si="44"/>
        <v>'3275094708980020</v>
      </c>
      <c r="D1421" s="22" t="str">
        <f t="shared" si="45"/>
        <v>tidak ganda</v>
      </c>
      <c r="E1421" s="22" t="s">
        <v>3218</v>
      </c>
      <c r="F1421" s="22" t="s">
        <v>10</v>
      </c>
      <c r="G1421" s="22" t="s">
        <v>11</v>
      </c>
      <c r="H1421" s="22" t="s">
        <v>91</v>
      </c>
      <c r="I1421" s="22" t="s">
        <v>159</v>
      </c>
      <c r="J1421" s="22" t="s">
        <v>1170</v>
      </c>
      <c r="K1421" s="23" t="s">
        <v>1170</v>
      </c>
    </row>
    <row r="1422" spans="1:11" hidden="1" x14ac:dyDescent="0.35">
      <c r="A1422" s="21">
        <v>538073</v>
      </c>
      <c r="B1422" s="22" t="str">
        <f>"3304121905920002"</f>
        <v>3304121905920002</v>
      </c>
      <c r="C1422" s="22" t="str">
        <f t="shared" si="44"/>
        <v>'3304121905920002</v>
      </c>
      <c r="D1422" s="22" t="str">
        <f t="shared" si="45"/>
        <v>tidak ganda</v>
      </c>
      <c r="E1422" s="22" t="s">
        <v>3221</v>
      </c>
      <c r="F1422" s="22" t="s">
        <v>10</v>
      </c>
      <c r="G1422" s="22" t="s">
        <v>11</v>
      </c>
      <c r="H1422" s="22" t="s">
        <v>18</v>
      </c>
      <c r="I1422" s="22" t="s">
        <v>951</v>
      </c>
      <c r="J1422" s="22" t="s">
        <v>3222</v>
      </c>
      <c r="K1422" s="23" t="s">
        <v>3223</v>
      </c>
    </row>
    <row r="1423" spans="1:11" hidden="1" x14ac:dyDescent="0.35">
      <c r="A1423" s="21">
        <v>994814</v>
      </c>
      <c r="B1423" s="22" t="str">
        <f>"3328090107880037"</f>
        <v>3328090107880037</v>
      </c>
      <c r="C1423" s="22" t="str">
        <f t="shared" si="44"/>
        <v>'3328090107880037</v>
      </c>
      <c r="D1423" s="22" t="str">
        <f t="shared" si="45"/>
        <v>tidak ganda</v>
      </c>
      <c r="E1423" s="22" t="s">
        <v>3227</v>
      </c>
      <c r="F1423" s="22" t="s">
        <v>10</v>
      </c>
      <c r="G1423" s="22" t="s">
        <v>11</v>
      </c>
      <c r="H1423" s="22" t="s">
        <v>91</v>
      </c>
      <c r="I1423" s="22" t="s">
        <v>555</v>
      </c>
      <c r="J1423" s="22" t="s">
        <v>3228</v>
      </c>
      <c r="K1423" s="23" t="s">
        <v>3229</v>
      </c>
    </row>
    <row r="1424" spans="1:11" hidden="1" x14ac:dyDescent="0.35">
      <c r="A1424" s="21">
        <v>793786</v>
      </c>
      <c r="B1424" s="22" t="str">
        <f>"3328090107910071"</f>
        <v>3328090107910071</v>
      </c>
      <c r="C1424" s="22" t="str">
        <f t="shared" si="44"/>
        <v>'3328090107910071</v>
      </c>
      <c r="D1424" s="22" t="str">
        <f t="shared" si="45"/>
        <v>tidak ganda</v>
      </c>
      <c r="E1424" s="22" t="s">
        <v>3230</v>
      </c>
      <c r="F1424" s="22" t="s">
        <v>10</v>
      </c>
      <c r="G1424" s="22" t="s">
        <v>11</v>
      </c>
      <c r="H1424" s="22" t="s">
        <v>18</v>
      </c>
      <c r="I1424" s="22" t="s">
        <v>264</v>
      </c>
      <c r="J1424" s="22" t="s">
        <v>344</v>
      </c>
      <c r="K1424" s="23" t="s">
        <v>939</v>
      </c>
    </row>
    <row r="1425" spans="1:14" hidden="1" x14ac:dyDescent="0.35">
      <c r="A1425" s="21">
        <v>1165924</v>
      </c>
      <c r="B1425" s="22" t="str">
        <f>"3328090110940004"</f>
        <v>3328090110940004</v>
      </c>
      <c r="C1425" s="22" t="str">
        <f t="shared" si="44"/>
        <v>'3328090110940004</v>
      </c>
      <c r="D1425" s="22" t="str">
        <f t="shared" si="45"/>
        <v>tidak ganda</v>
      </c>
      <c r="E1425" s="22" t="s">
        <v>3233</v>
      </c>
      <c r="F1425" s="22" t="s">
        <v>10</v>
      </c>
      <c r="G1425" s="22" t="s">
        <v>11</v>
      </c>
      <c r="H1425" s="22" t="s">
        <v>91</v>
      </c>
      <c r="I1425" s="22" t="s">
        <v>101</v>
      </c>
      <c r="J1425" s="22" t="s">
        <v>102</v>
      </c>
      <c r="K1425" s="23" t="s">
        <v>3234</v>
      </c>
    </row>
    <row r="1426" spans="1:14" hidden="1" x14ac:dyDescent="0.35">
      <c r="A1426" s="21">
        <v>396033</v>
      </c>
      <c r="B1426" s="22" t="str">
        <f>"3328090202010009"</f>
        <v>3328090202010009</v>
      </c>
      <c r="C1426" s="22" t="str">
        <f t="shared" si="44"/>
        <v>'3328090202010009</v>
      </c>
      <c r="D1426" s="22" t="str">
        <f t="shared" si="45"/>
        <v>tidak ganda</v>
      </c>
      <c r="E1426" s="22" t="s">
        <v>3236</v>
      </c>
      <c r="F1426" s="22" t="s">
        <v>10</v>
      </c>
      <c r="G1426" s="22" t="s">
        <v>11</v>
      </c>
      <c r="H1426" s="22" t="s">
        <v>91</v>
      </c>
      <c r="I1426" s="22" t="s">
        <v>320</v>
      </c>
      <c r="J1426" s="22" t="s">
        <v>664</v>
      </c>
      <c r="K1426" s="23" t="s">
        <v>3237</v>
      </c>
    </row>
    <row r="1427" spans="1:14" hidden="1" x14ac:dyDescent="0.35">
      <c r="A1427" s="21">
        <v>279961</v>
      </c>
      <c r="B1427" s="22" t="str">
        <f>"3328090409870002"</f>
        <v>3328090409870002</v>
      </c>
      <c r="C1427" s="22" t="str">
        <f t="shared" si="44"/>
        <v>'3328090409870002</v>
      </c>
      <c r="D1427" s="22" t="str">
        <f t="shared" si="45"/>
        <v>tidak ganda</v>
      </c>
      <c r="E1427" s="22" t="s">
        <v>3242</v>
      </c>
      <c r="F1427" s="22" t="s">
        <v>10</v>
      </c>
      <c r="G1427" s="22" t="s">
        <v>11</v>
      </c>
      <c r="H1427" s="22" t="s">
        <v>18</v>
      </c>
      <c r="I1427" s="22" t="s">
        <v>268</v>
      </c>
      <c r="J1427" s="22" t="s">
        <v>277</v>
      </c>
      <c r="K1427" s="23" t="s">
        <v>3243</v>
      </c>
    </row>
    <row r="1428" spans="1:14" hidden="1" x14ac:dyDescent="0.35">
      <c r="A1428" s="21">
        <v>1759364</v>
      </c>
      <c r="B1428" s="22" t="str">
        <f>"3328090601060002"</f>
        <v>3328090601060002</v>
      </c>
      <c r="C1428" s="22" t="str">
        <f t="shared" si="44"/>
        <v>'3328090601060002</v>
      </c>
      <c r="D1428" s="22" t="str">
        <f t="shared" si="45"/>
        <v>tidak ganda</v>
      </c>
      <c r="E1428" s="22" t="s">
        <v>3244</v>
      </c>
      <c r="F1428" s="22" t="s">
        <v>10</v>
      </c>
      <c r="G1428" s="22" t="s">
        <v>11</v>
      </c>
      <c r="H1428" s="22" t="s">
        <v>18</v>
      </c>
      <c r="I1428" s="22" t="s">
        <v>19</v>
      </c>
      <c r="J1428" s="22" t="s">
        <v>2575</v>
      </c>
      <c r="K1428" s="23" t="s">
        <v>3174</v>
      </c>
      <c r="L1428" t="e">
        <f>VLOOKUP(B1428,ubah!$B$2:$L$234,4,FALSE)</f>
        <v>#N/A</v>
      </c>
      <c r="M1428" t="e">
        <f>VLOOKUP(B1428,ubah!$B$2:$L$234,5,FALSE)</f>
        <v>#N/A</v>
      </c>
      <c r="N1428" t="e">
        <f>VLOOKUP(B1428,ubah!$B$2:$L$234,6,FALSE)</f>
        <v>#N/A</v>
      </c>
    </row>
    <row r="1429" spans="1:14" hidden="1" x14ac:dyDescent="0.35">
      <c r="A1429" s="21">
        <v>1756633</v>
      </c>
      <c r="B1429" s="22" t="str">
        <f>"3328090602000004"</f>
        <v>3328090602000004</v>
      </c>
      <c r="C1429" s="22" t="str">
        <f t="shared" si="44"/>
        <v>'3328090602000004</v>
      </c>
      <c r="D1429" s="22" t="str">
        <f t="shared" si="45"/>
        <v>ganda</v>
      </c>
      <c r="E1429" s="22" t="s">
        <v>3248</v>
      </c>
      <c r="F1429" s="22" t="s">
        <v>10</v>
      </c>
      <c r="G1429" s="22" t="s">
        <v>11</v>
      </c>
      <c r="H1429" s="22" t="s">
        <v>18</v>
      </c>
      <c r="I1429" s="22" t="s">
        <v>19</v>
      </c>
      <c r="J1429" s="22" t="s">
        <v>2575</v>
      </c>
      <c r="K1429" s="23" t="s">
        <v>3174</v>
      </c>
      <c r="L1429" t="e">
        <f>VLOOKUP(B1429,ubah!$B$2:$L$234,4,FALSE)</f>
        <v>#N/A</v>
      </c>
      <c r="M1429" t="e">
        <f>VLOOKUP(B1429,ubah!$B$2:$L$234,5,FALSE)</f>
        <v>#N/A</v>
      </c>
      <c r="N1429" t="e">
        <f>VLOOKUP(B1429,ubah!$B$2:$L$234,6,FALSE)</f>
        <v>#N/A</v>
      </c>
    </row>
    <row r="1430" spans="1:14" hidden="1" x14ac:dyDescent="0.35">
      <c r="A1430" s="21">
        <v>1862135</v>
      </c>
      <c r="B1430" s="22" t="str">
        <f>"3328090602000004"</f>
        <v>3328090602000004</v>
      </c>
      <c r="C1430" s="22" t="str">
        <f t="shared" si="44"/>
        <v>'3328090602000004</v>
      </c>
      <c r="D1430" s="22" t="str">
        <f t="shared" si="45"/>
        <v>ganda</v>
      </c>
      <c r="E1430" s="22" t="s">
        <v>3249</v>
      </c>
      <c r="F1430" s="22" t="s">
        <v>10</v>
      </c>
      <c r="G1430" s="22" t="s">
        <v>57</v>
      </c>
      <c r="H1430" s="22" t="s">
        <v>18</v>
      </c>
      <c r="I1430" s="22" t="s">
        <v>733</v>
      </c>
      <c r="J1430" s="22" t="s">
        <v>733</v>
      </c>
      <c r="K1430" s="23" t="s">
        <v>734</v>
      </c>
    </row>
    <row r="1431" spans="1:14" hidden="1" x14ac:dyDescent="0.35">
      <c r="A1431" s="21">
        <v>117935</v>
      </c>
      <c r="B1431" s="22" t="str">
        <f>"3328090705960006"</f>
        <v>3328090705960006</v>
      </c>
      <c r="C1431" s="22" t="str">
        <f t="shared" si="44"/>
        <v>'3328090705960006</v>
      </c>
      <c r="D1431" s="22" t="str">
        <f t="shared" si="45"/>
        <v>tidak ganda</v>
      </c>
      <c r="E1431" s="22" t="s">
        <v>3250</v>
      </c>
      <c r="F1431" s="22" t="s">
        <v>10</v>
      </c>
      <c r="G1431" s="22" t="s">
        <v>11</v>
      </c>
      <c r="H1431" s="22" t="s">
        <v>2889</v>
      </c>
      <c r="I1431" s="22" t="s">
        <v>3251</v>
      </c>
      <c r="J1431" s="22" t="s">
        <v>3252</v>
      </c>
      <c r="K1431" s="23" t="s">
        <v>3253</v>
      </c>
    </row>
    <row r="1432" spans="1:14" hidden="1" x14ac:dyDescent="0.35">
      <c r="A1432" s="21">
        <v>291535</v>
      </c>
      <c r="B1432" s="22" t="str">
        <f>"3328090806700006"</f>
        <v>3328090806700006</v>
      </c>
      <c r="C1432" s="22" t="str">
        <f t="shared" si="44"/>
        <v>'3328090806700006</v>
      </c>
      <c r="D1432" s="22" t="str">
        <f t="shared" si="45"/>
        <v>tidak ganda</v>
      </c>
      <c r="E1432" s="22" t="s">
        <v>3255</v>
      </c>
      <c r="F1432" s="22" t="s">
        <v>10</v>
      </c>
      <c r="G1432" s="22" t="s">
        <v>11</v>
      </c>
      <c r="H1432" s="22" t="s">
        <v>18</v>
      </c>
      <c r="I1432" s="22" t="s">
        <v>268</v>
      </c>
      <c r="J1432" s="22" t="s">
        <v>277</v>
      </c>
      <c r="K1432" s="23" t="s">
        <v>2665</v>
      </c>
    </row>
    <row r="1433" spans="1:14" hidden="1" x14ac:dyDescent="0.35">
      <c r="A1433" s="21">
        <v>1634532</v>
      </c>
      <c r="B1433" s="22" t="str">
        <f>"3328090809950004"</f>
        <v>3328090809950004</v>
      </c>
      <c r="C1433" s="22" t="str">
        <f t="shared" si="44"/>
        <v>'3328090809950004</v>
      </c>
      <c r="D1433" s="22" t="str">
        <f t="shared" si="45"/>
        <v>tidak ganda</v>
      </c>
      <c r="E1433" s="22" t="s">
        <v>3258</v>
      </c>
      <c r="F1433" s="22" t="s">
        <v>10</v>
      </c>
      <c r="G1433" s="22" t="s">
        <v>11</v>
      </c>
      <c r="H1433" s="22" t="s">
        <v>18</v>
      </c>
      <c r="I1433" s="22" t="s">
        <v>19</v>
      </c>
      <c r="J1433" s="22" t="s">
        <v>2575</v>
      </c>
      <c r="K1433" s="23" t="s">
        <v>2575</v>
      </c>
      <c r="L1433" t="e">
        <f>VLOOKUP(B1433,ubah!$B$2:$L$234,4,FALSE)</f>
        <v>#N/A</v>
      </c>
      <c r="M1433" t="e">
        <f>VLOOKUP(B1433,ubah!$B$2:$L$234,5,FALSE)</f>
        <v>#N/A</v>
      </c>
      <c r="N1433" t="e">
        <f>VLOOKUP(B1433,ubah!$B$2:$L$234,6,FALSE)</f>
        <v>#N/A</v>
      </c>
    </row>
    <row r="1434" spans="1:14" hidden="1" x14ac:dyDescent="0.35">
      <c r="A1434" s="21">
        <v>880553</v>
      </c>
      <c r="B1434" s="22" t="str">
        <f>"3328090907000006"</f>
        <v>3328090907000006</v>
      </c>
      <c r="C1434" s="22" t="str">
        <f t="shared" si="44"/>
        <v>'3328090907000006</v>
      </c>
      <c r="D1434" s="22" t="str">
        <f t="shared" si="45"/>
        <v>tidak ganda</v>
      </c>
      <c r="E1434" s="22" t="s">
        <v>3259</v>
      </c>
      <c r="F1434" s="22" t="s">
        <v>10</v>
      </c>
      <c r="G1434" s="22" t="s">
        <v>11</v>
      </c>
      <c r="H1434" s="22" t="s">
        <v>91</v>
      </c>
      <c r="I1434" s="22" t="s">
        <v>903</v>
      </c>
      <c r="J1434" s="22" t="s">
        <v>915</v>
      </c>
      <c r="K1434" s="23" t="s">
        <v>916</v>
      </c>
    </row>
    <row r="1435" spans="1:14" hidden="1" x14ac:dyDescent="0.35">
      <c r="A1435" s="21">
        <v>619675</v>
      </c>
      <c r="B1435" s="22" t="str">
        <f>"3328091105940004"</f>
        <v>3328091105940004</v>
      </c>
      <c r="C1435" s="22" t="str">
        <f t="shared" si="44"/>
        <v>'3328091105940004</v>
      </c>
      <c r="D1435" s="22" t="str">
        <f t="shared" si="45"/>
        <v>tidak ganda</v>
      </c>
      <c r="E1435" s="22" t="s">
        <v>3041</v>
      </c>
      <c r="F1435" s="22" t="s">
        <v>10</v>
      </c>
      <c r="G1435" s="22" t="s">
        <v>11</v>
      </c>
      <c r="H1435" s="22" t="s">
        <v>50</v>
      </c>
      <c r="I1435" s="22" t="s">
        <v>86</v>
      </c>
      <c r="J1435" s="22" t="s">
        <v>1463</v>
      </c>
      <c r="K1435" s="23" t="s">
        <v>3261</v>
      </c>
    </row>
    <row r="1436" spans="1:14" hidden="1" x14ac:dyDescent="0.35">
      <c r="A1436" s="21">
        <v>1142104</v>
      </c>
      <c r="B1436" s="22" t="str">
        <f>"3328091107020010"</f>
        <v>3328091107020010</v>
      </c>
      <c r="C1436" s="22" t="str">
        <f t="shared" si="44"/>
        <v>'3328091107020010</v>
      </c>
      <c r="D1436" s="22" t="str">
        <f t="shared" si="45"/>
        <v>tidak ganda</v>
      </c>
      <c r="E1436" s="22" t="s">
        <v>3262</v>
      </c>
      <c r="F1436" s="22" t="s">
        <v>10</v>
      </c>
      <c r="G1436" s="22" t="s">
        <v>11</v>
      </c>
      <c r="H1436" s="22" t="s">
        <v>50</v>
      </c>
      <c r="I1436" s="22" t="s">
        <v>58</v>
      </c>
      <c r="J1436" s="22" t="s">
        <v>417</v>
      </c>
      <c r="K1436" s="23" t="s">
        <v>3263</v>
      </c>
    </row>
    <row r="1437" spans="1:14" hidden="1" x14ac:dyDescent="0.35">
      <c r="A1437" s="21">
        <v>1197898</v>
      </c>
      <c r="B1437" s="22" t="str">
        <f>"3328091109030001"</f>
        <v>3328091109030001</v>
      </c>
      <c r="C1437" s="22" t="str">
        <f t="shared" si="44"/>
        <v>'3328091109030001</v>
      </c>
      <c r="D1437" s="22" t="str">
        <f t="shared" si="45"/>
        <v>tidak ganda</v>
      </c>
      <c r="E1437" s="22" t="s">
        <v>3265</v>
      </c>
      <c r="F1437" s="22" t="s">
        <v>10</v>
      </c>
      <c r="G1437" s="22" t="s">
        <v>11</v>
      </c>
      <c r="H1437" s="22" t="s">
        <v>91</v>
      </c>
      <c r="I1437" s="22" t="s">
        <v>320</v>
      </c>
      <c r="J1437" s="22" t="s">
        <v>368</v>
      </c>
      <c r="K1437" s="23" t="s">
        <v>3266</v>
      </c>
    </row>
    <row r="1438" spans="1:14" hidden="1" x14ac:dyDescent="0.35">
      <c r="A1438" s="21">
        <v>347912</v>
      </c>
      <c r="B1438" s="22" t="str">
        <f>"3328091210870001"</f>
        <v>3328091210870001</v>
      </c>
      <c r="C1438" s="22" t="str">
        <f t="shared" si="44"/>
        <v>'3328091210870001</v>
      </c>
      <c r="D1438" s="22" t="str">
        <f t="shared" si="45"/>
        <v>tidak ganda</v>
      </c>
      <c r="E1438" s="22" t="s">
        <v>3267</v>
      </c>
      <c r="F1438" s="22" t="s">
        <v>10</v>
      </c>
      <c r="G1438" s="22" t="s">
        <v>11</v>
      </c>
      <c r="H1438" s="22" t="s">
        <v>18</v>
      </c>
      <c r="I1438" s="22" t="s">
        <v>268</v>
      </c>
      <c r="J1438" s="22" t="s">
        <v>269</v>
      </c>
      <c r="K1438" s="23" t="s">
        <v>3140</v>
      </c>
    </row>
    <row r="1439" spans="1:14" hidden="1" x14ac:dyDescent="0.35">
      <c r="A1439" s="21">
        <v>592374</v>
      </c>
      <c r="B1439" s="22" t="str">
        <f>"3328091305000007"</f>
        <v>3328091305000007</v>
      </c>
      <c r="C1439" s="22" t="str">
        <f t="shared" si="44"/>
        <v>'3328091305000007</v>
      </c>
      <c r="D1439" s="22" t="str">
        <f t="shared" si="45"/>
        <v>tidak ganda</v>
      </c>
      <c r="E1439" s="22" t="s">
        <v>3268</v>
      </c>
      <c r="F1439" s="22" t="s">
        <v>10</v>
      </c>
      <c r="G1439" s="22" t="s">
        <v>11</v>
      </c>
      <c r="H1439" s="22" t="s">
        <v>91</v>
      </c>
      <c r="I1439" s="22" t="s">
        <v>2364</v>
      </c>
      <c r="J1439" s="22" t="s">
        <v>3269</v>
      </c>
      <c r="K1439" s="23" t="s">
        <v>3270</v>
      </c>
    </row>
    <row r="1440" spans="1:14" hidden="1" x14ac:dyDescent="0.35">
      <c r="A1440" s="21">
        <v>38684</v>
      </c>
      <c r="B1440" s="22" t="str">
        <f>"3328091305020006"</f>
        <v>3328091305020006</v>
      </c>
      <c r="C1440" s="22" t="str">
        <f t="shared" si="44"/>
        <v>'3328091305020006</v>
      </c>
      <c r="D1440" s="22" t="str">
        <f t="shared" si="45"/>
        <v>tidak ganda</v>
      </c>
      <c r="E1440" s="22" t="s">
        <v>3271</v>
      </c>
      <c r="F1440" s="22" t="s">
        <v>10</v>
      </c>
      <c r="G1440" s="22" t="s">
        <v>11</v>
      </c>
      <c r="H1440" s="22" t="s">
        <v>18</v>
      </c>
      <c r="I1440" s="22" t="s">
        <v>385</v>
      </c>
      <c r="J1440" s="22" t="s">
        <v>3272</v>
      </c>
      <c r="K1440" s="23" t="s">
        <v>3273</v>
      </c>
    </row>
    <row r="1441" spans="1:14" hidden="1" x14ac:dyDescent="0.35">
      <c r="A1441" s="21">
        <v>1399099</v>
      </c>
      <c r="B1441" s="22" t="str">
        <f>"3328091310910002"</f>
        <v>3328091310910002</v>
      </c>
      <c r="C1441" s="22" t="str">
        <f t="shared" si="44"/>
        <v>'3328091310910002</v>
      </c>
      <c r="D1441" s="22" t="str">
        <f t="shared" si="45"/>
        <v>ganda</v>
      </c>
      <c r="E1441" s="22" t="s">
        <v>3274</v>
      </c>
      <c r="F1441" s="22" t="s">
        <v>10</v>
      </c>
      <c r="G1441" s="22" t="s">
        <v>11</v>
      </c>
      <c r="H1441" s="22" t="s">
        <v>18</v>
      </c>
      <c r="I1441" s="22" t="s">
        <v>19</v>
      </c>
      <c r="J1441" s="22" t="s">
        <v>2575</v>
      </c>
      <c r="K1441" s="23" t="s">
        <v>1410</v>
      </c>
      <c r="L1441" t="e">
        <f>VLOOKUP(B1441,ubah!$B$2:$L$234,4,FALSE)</f>
        <v>#N/A</v>
      </c>
      <c r="M1441" t="e">
        <f>VLOOKUP(B1441,ubah!$B$2:$L$234,5,FALSE)</f>
        <v>#N/A</v>
      </c>
      <c r="N1441" t="e">
        <f>VLOOKUP(B1441,ubah!$B$2:$L$234,6,FALSE)</f>
        <v>#N/A</v>
      </c>
    </row>
    <row r="1442" spans="1:14" hidden="1" x14ac:dyDescent="0.35">
      <c r="A1442" s="21">
        <v>423776</v>
      </c>
      <c r="B1442" s="22" t="str">
        <f>"3328091310910002"</f>
        <v>3328091310910002</v>
      </c>
      <c r="C1442" s="22" t="str">
        <f t="shared" si="44"/>
        <v>'3328091310910002</v>
      </c>
      <c r="D1442" s="22" t="str">
        <f t="shared" si="45"/>
        <v>ganda</v>
      </c>
      <c r="E1442" s="22" t="s">
        <v>3275</v>
      </c>
      <c r="F1442" s="22" t="s">
        <v>10</v>
      </c>
      <c r="G1442" s="22" t="s">
        <v>57</v>
      </c>
      <c r="H1442" s="22" t="s">
        <v>18</v>
      </c>
      <c r="I1442" s="22" t="s">
        <v>268</v>
      </c>
      <c r="J1442" s="22" t="s">
        <v>277</v>
      </c>
      <c r="K1442" s="23" t="s">
        <v>278</v>
      </c>
    </row>
    <row r="1443" spans="1:14" hidden="1" x14ac:dyDescent="0.35">
      <c r="A1443" s="21">
        <v>531474</v>
      </c>
      <c r="B1443" s="22" t="str">
        <f>"3328091403870001"</f>
        <v>3328091403870001</v>
      </c>
      <c r="C1443" s="22" t="str">
        <f t="shared" si="44"/>
        <v>'3328091403870001</v>
      </c>
      <c r="D1443" s="22" t="str">
        <f t="shared" si="45"/>
        <v>tidak ganda</v>
      </c>
      <c r="E1443" s="22" t="s">
        <v>3276</v>
      </c>
      <c r="F1443" s="22" t="s">
        <v>10</v>
      </c>
      <c r="G1443" s="22" t="s">
        <v>11</v>
      </c>
      <c r="H1443" s="22" t="s">
        <v>67</v>
      </c>
      <c r="I1443" s="22" t="s">
        <v>791</v>
      </c>
      <c r="J1443" s="22" t="s">
        <v>1852</v>
      </c>
      <c r="K1443" s="23" t="s">
        <v>906</v>
      </c>
    </row>
    <row r="1444" spans="1:14" hidden="1" x14ac:dyDescent="0.35">
      <c r="A1444" s="21">
        <v>1273727</v>
      </c>
      <c r="B1444" s="22" t="str">
        <f>"3328091408980001"</f>
        <v>3328091408980001</v>
      </c>
      <c r="C1444" s="22" t="str">
        <f t="shared" si="44"/>
        <v>'3328091408980001</v>
      </c>
      <c r="D1444" s="22" t="str">
        <f t="shared" si="45"/>
        <v>tidak ganda</v>
      </c>
      <c r="E1444" s="22" t="s">
        <v>3277</v>
      </c>
      <c r="F1444" s="22" t="s">
        <v>10</v>
      </c>
      <c r="G1444" s="22" t="s">
        <v>11</v>
      </c>
      <c r="H1444" s="22" t="s">
        <v>91</v>
      </c>
      <c r="I1444" s="22" t="s">
        <v>159</v>
      </c>
      <c r="J1444" s="22" t="s">
        <v>3107</v>
      </c>
      <c r="K1444" s="23" t="s">
        <v>680</v>
      </c>
    </row>
    <row r="1445" spans="1:14" hidden="1" x14ac:dyDescent="0.35">
      <c r="A1445" s="21">
        <v>1717339</v>
      </c>
      <c r="B1445" s="22" t="str">
        <f>"3328091509810009"</f>
        <v>3328091509810009</v>
      </c>
      <c r="C1445" s="22" t="str">
        <f t="shared" si="44"/>
        <v>'3328091509810009</v>
      </c>
      <c r="D1445" s="22" t="str">
        <f t="shared" si="45"/>
        <v>tidak ganda</v>
      </c>
      <c r="E1445" s="22" t="s">
        <v>3279</v>
      </c>
      <c r="F1445" s="22" t="s">
        <v>10</v>
      </c>
      <c r="G1445" s="22" t="s">
        <v>11</v>
      </c>
      <c r="H1445" s="22" t="s">
        <v>91</v>
      </c>
      <c r="I1445" s="22" t="s">
        <v>159</v>
      </c>
      <c r="J1445" s="22" t="s">
        <v>1337</v>
      </c>
      <c r="K1445" s="23" t="s">
        <v>3280</v>
      </c>
    </row>
    <row r="1446" spans="1:14" hidden="1" x14ac:dyDescent="0.35">
      <c r="A1446" s="21">
        <v>324074</v>
      </c>
      <c r="B1446" s="22" t="str">
        <f>"3328091607830003"</f>
        <v>3328091607830003</v>
      </c>
      <c r="C1446" s="22" t="str">
        <f t="shared" si="44"/>
        <v>'3328091607830003</v>
      </c>
      <c r="D1446" s="22" t="str">
        <f t="shared" si="45"/>
        <v>tidak ganda</v>
      </c>
      <c r="E1446" s="22" t="s">
        <v>3281</v>
      </c>
      <c r="F1446" s="22" t="s">
        <v>10</v>
      </c>
      <c r="G1446" s="22" t="s">
        <v>11</v>
      </c>
      <c r="H1446" s="22" t="s">
        <v>232</v>
      </c>
      <c r="I1446" s="22" t="s">
        <v>3282</v>
      </c>
      <c r="J1446" s="22" t="s">
        <v>3283</v>
      </c>
      <c r="K1446" s="23" t="s">
        <v>3284</v>
      </c>
    </row>
    <row r="1447" spans="1:14" hidden="1" x14ac:dyDescent="0.35">
      <c r="A1447" s="21">
        <v>1089685</v>
      </c>
      <c r="B1447" s="22" t="str">
        <f>"3328091703730012"</f>
        <v>3328091703730012</v>
      </c>
      <c r="C1447" s="22" t="str">
        <f t="shared" si="44"/>
        <v>'3328091703730012</v>
      </c>
      <c r="D1447" s="22" t="str">
        <f t="shared" si="45"/>
        <v>tidak ganda</v>
      </c>
      <c r="E1447" s="22" t="s">
        <v>2576</v>
      </c>
      <c r="F1447" s="22" t="s">
        <v>10</v>
      </c>
      <c r="G1447" s="22" t="s">
        <v>11</v>
      </c>
      <c r="H1447" s="22" t="s">
        <v>91</v>
      </c>
      <c r="I1447" s="22" t="s">
        <v>903</v>
      </c>
      <c r="J1447" s="22" t="s">
        <v>2371</v>
      </c>
      <c r="K1447" s="23" t="s">
        <v>3286</v>
      </c>
    </row>
    <row r="1448" spans="1:14" hidden="1" x14ac:dyDescent="0.35">
      <c r="A1448" s="21">
        <v>834288</v>
      </c>
      <c r="B1448" s="22" t="str">
        <f>"3328092004890005"</f>
        <v>3328092004890005</v>
      </c>
      <c r="C1448" s="22" t="str">
        <f t="shared" si="44"/>
        <v>'3328092004890005</v>
      </c>
      <c r="D1448" s="22" t="str">
        <f t="shared" si="45"/>
        <v>tidak ganda</v>
      </c>
      <c r="E1448" s="22" t="s">
        <v>3287</v>
      </c>
      <c r="F1448" s="22" t="s">
        <v>10</v>
      </c>
      <c r="G1448" s="22" t="s">
        <v>11</v>
      </c>
      <c r="H1448" s="22" t="s">
        <v>50</v>
      </c>
      <c r="I1448" s="22" t="s">
        <v>51</v>
      </c>
      <c r="J1448" s="22" t="s">
        <v>284</v>
      </c>
      <c r="K1448" s="23" t="s">
        <v>400</v>
      </c>
    </row>
    <row r="1449" spans="1:14" hidden="1" x14ac:dyDescent="0.35">
      <c r="A1449" s="21">
        <v>1081608</v>
      </c>
      <c r="B1449" s="22" t="str">
        <f>"3328092104000004"</f>
        <v>3328092104000004</v>
      </c>
      <c r="C1449" s="22" t="str">
        <f t="shared" si="44"/>
        <v>'3328092104000004</v>
      </c>
      <c r="D1449" s="22" t="str">
        <f t="shared" si="45"/>
        <v>tidak ganda</v>
      </c>
      <c r="E1449" s="22" t="s">
        <v>3288</v>
      </c>
      <c r="F1449" s="22" t="s">
        <v>10</v>
      </c>
      <c r="G1449" s="22" t="s">
        <v>11</v>
      </c>
      <c r="H1449" s="22" t="s">
        <v>91</v>
      </c>
      <c r="I1449" s="22" t="s">
        <v>159</v>
      </c>
      <c r="J1449" s="22" t="s">
        <v>1828</v>
      </c>
      <c r="K1449" s="23" t="s">
        <v>3289</v>
      </c>
    </row>
    <row r="1450" spans="1:14" hidden="1" x14ac:dyDescent="0.35">
      <c r="A1450" s="21">
        <v>827767</v>
      </c>
      <c r="B1450" s="22" t="str">
        <f>"3328092209030006"</f>
        <v>3328092209030006</v>
      </c>
      <c r="C1450" s="22" t="str">
        <f t="shared" si="44"/>
        <v>'3328092209030006</v>
      </c>
      <c r="D1450" s="22" t="str">
        <f t="shared" si="45"/>
        <v>tidak ganda</v>
      </c>
      <c r="E1450" s="22" t="s">
        <v>3290</v>
      </c>
      <c r="F1450" s="22" t="s">
        <v>10</v>
      </c>
      <c r="G1450" s="22" t="s">
        <v>11</v>
      </c>
      <c r="H1450" s="22" t="s">
        <v>232</v>
      </c>
      <c r="I1450" s="22" t="s">
        <v>1981</v>
      </c>
      <c r="J1450" s="22" t="s">
        <v>1982</v>
      </c>
      <c r="K1450" s="23" t="s">
        <v>3291</v>
      </c>
    </row>
    <row r="1451" spans="1:14" hidden="1" x14ac:dyDescent="0.35">
      <c r="A1451" s="21">
        <v>1861053</v>
      </c>
      <c r="B1451" s="22" t="str">
        <f>"3328092504020002"</f>
        <v>3328092504020002</v>
      </c>
      <c r="C1451" s="22" t="str">
        <f t="shared" si="44"/>
        <v>'3328092504020002</v>
      </c>
      <c r="D1451" s="22" t="str">
        <f t="shared" si="45"/>
        <v>tidak ganda</v>
      </c>
      <c r="E1451" s="22" t="s">
        <v>3292</v>
      </c>
      <c r="F1451" s="22" t="s">
        <v>10</v>
      </c>
      <c r="G1451" s="22" t="s">
        <v>11</v>
      </c>
      <c r="H1451" s="22" t="s">
        <v>50</v>
      </c>
      <c r="I1451" s="22" t="s">
        <v>58</v>
      </c>
      <c r="J1451" s="22" t="s">
        <v>97</v>
      </c>
      <c r="K1451" s="23" t="s">
        <v>342</v>
      </c>
    </row>
    <row r="1452" spans="1:14" hidden="1" x14ac:dyDescent="0.35">
      <c r="A1452" s="21">
        <v>1634530</v>
      </c>
      <c r="B1452" s="22" t="str">
        <f>"3328092505710003"</f>
        <v>3328092505710003</v>
      </c>
      <c r="C1452" s="22" t="str">
        <f t="shared" si="44"/>
        <v>'3328092505710003</v>
      </c>
      <c r="D1452" s="22" t="str">
        <f t="shared" si="45"/>
        <v>tidak ganda</v>
      </c>
      <c r="E1452" s="22" t="s">
        <v>3294</v>
      </c>
      <c r="F1452" s="22" t="s">
        <v>10</v>
      </c>
      <c r="G1452" s="22" t="s">
        <v>11</v>
      </c>
      <c r="H1452" s="22" t="s">
        <v>18</v>
      </c>
      <c r="I1452" s="22" t="s">
        <v>19</v>
      </c>
      <c r="J1452" s="22" t="s">
        <v>2575</v>
      </c>
      <c r="K1452" s="23" t="s">
        <v>2575</v>
      </c>
      <c r="L1452" t="e">
        <f>VLOOKUP(B1452,ubah!$B$2:$L$234,4,FALSE)</f>
        <v>#N/A</v>
      </c>
      <c r="M1452" t="e">
        <f>VLOOKUP(B1452,ubah!$B$2:$L$234,5,FALSE)</f>
        <v>#N/A</v>
      </c>
      <c r="N1452" t="e">
        <f>VLOOKUP(B1452,ubah!$B$2:$L$234,6,FALSE)</f>
        <v>#N/A</v>
      </c>
    </row>
    <row r="1453" spans="1:14" hidden="1" x14ac:dyDescent="0.35">
      <c r="A1453" s="21">
        <v>1413415</v>
      </c>
      <c r="B1453" s="22" t="str">
        <f>"3328092601980001"</f>
        <v>3328092601980001</v>
      </c>
      <c r="C1453" s="22" t="str">
        <f t="shared" si="44"/>
        <v>'3328092601980001</v>
      </c>
      <c r="D1453" s="22" t="str">
        <f t="shared" si="45"/>
        <v>ganda</v>
      </c>
      <c r="E1453" s="22" t="s">
        <v>3295</v>
      </c>
      <c r="F1453" s="22" t="s">
        <v>10</v>
      </c>
      <c r="G1453" s="22" t="s">
        <v>11</v>
      </c>
      <c r="H1453" s="22" t="s">
        <v>18</v>
      </c>
      <c r="I1453" s="22" t="s">
        <v>19</v>
      </c>
      <c r="J1453" s="22" t="s">
        <v>2575</v>
      </c>
      <c r="K1453" s="23" t="s">
        <v>3211</v>
      </c>
      <c r="L1453" t="e">
        <f>VLOOKUP(B1453,ubah!$B$2:$L$234,4,FALSE)</f>
        <v>#N/A</v>
      </c>
      <c r="M1453" t="e">
        <f>VLOOKUP(B1453,ubah!$B$2:$L$234,5,FALSE)</f>
        <v>#N/A</v>
      </c>
      <c r="N1453" t="e">
        <f>VLOOKUP(B1453,ubah!$B$2:$L$234,6,FALSE)</f>
        <v>#N/A</v>
      </c>
    </row>
    <row r="1454" spans="1:14" hidden="1" x14ac:dyDescent="0.35">
      <c r="A1454" s="21">
        <v>445177</v>
      </c>
      <c r="B1454" s="22" t="str">
        <f>"3328092601980001"</f>
        <v>3328092601980001</v>
      </c>
      <c r="C1454" s="22" t="str">
        <f t="shared" si="44"/>
        <v>'3328092601980001</v>
      </c>
      <c r="D1454" s="22" t="str">
        <f t="shared" si="45"/>
        <v>ganda</v>
      </c>
      <c r="E1454" s="22" t="s">
        <v>3295</v>
      </c>
      <c r="F1454" s="22" t="s">
        <v>10</v>
      </c>
      <c r="G1454" s="22" t="s">
        <v>57</v>
      </c>
      <c r="H1454" s="22" t="s">
        <v>521</v>
      </c>
      <c r="I1454" s="22" t="s">
        <v>3296</v>
      </c>
      <c r="J1454" s="22" t="s">
        <v>3297</v>
      </c>
      <c r="K1454" s="23" t="s">
        <v>3298</v>
      </c>
    </row>
    <row r="1455" spans="1:14" hidden="1" x14ac:dyDescent="0.35">
      <c r="A1455" s="21">
        <v>133085</v>
      </c>
      <c r="B1455" s="22" t="str">
        <f>"3328092710980007"</f>
        <v>3328092710980007</v>
      </c>
      <c r="C1455" s="22" t="str">
        <f t="shared" si="44"/>
        <v>'3328092710980007</v>
      </c>
      <c r="D1455" s="22" t="str">
        <f t="shared" si="45"/>
        <v>tidak ganda</v>
      </c>
      <c r="E1455" s="22" t="s">
        <v>3299</v>
      </c>
      <c r="F1455" s="22" t="s">
        <v>10</v>
      </c>
      <c r="G1455" s="22" t="s">
        <v>11</v>
      </c>
      <c r="H1455" s="22" t="s">
        <v>232</v>
      </c>
      <c r="I1455" s="22" t="s">
        <v>3300</v>
      </c>
      <c r="J1455" s="22" t="s">
        <v>3301</v>
      </c>
      <c r="K1455" s="23" t="s">
        <v>3302</v>
      </c>
    </row>
    <row r="1456" spans="1:14" hidden="1" x14ac:dyDescent="0.35">
      <c r="A1456" s="21">
        <v>1644765</v>
      </c>
      <c r="B1456" s="22" t="str">
        <f>"3328092803970005"</f>
        <v>3328092803970005</v>
      </c>
      <c r="C1456" s="22" t="str">
        <f t="shared" si="44"/>
        <v>'3328092803970005</v>
      </c>
      <c r="D1456" s="22" t="str">
        <f t="shared" si="45"/>
        <v>tidak ganda</v>
      </c>
      <c r="E1456" s="22" t="s">
        <v>3303</v>
      </c>
      <c r="F1456" s="22" t="s">
        <v>10</v>
      </c>
      <c r="G1456" s="22" t="s">
        <v>11</v>
      </c>
      <c r="H1456" s="22" t="s">
        <v>50</v>
      </c>
      <c r="I1456" s="22" t="s">
        <v>72</v>
      </c>
      <c r="J1456" s="22" t="s">
        <v>1172</v>
      </c>
      <c r="K1456" s="23" t="s">
        <v>1173</v>
      </c>
    </row>
    <row r="1457" spans="1:14" hidden="1" x14ac:dyDescent="0.35">
      <c r="A1457" s="21">
        <v>615785</v>
      </c>
      <c r="B1457" s="22" t="str">
        <f>"3328093001060009"</f>
        <v>3328093001060009</v>
      </c>
      <c r="C1457" s="22" t="str">
        <f t="shared" si="44"/>
        <v>'3328093001060009</v>
      </c>
      <c r="D1457" s="22" t="str">
        <f t="shared" si="45"/>
        <v>tidak ganda</v>
      </c>
      <c r="E1457" s="22" t="s">
        <v>3304</v>
      </c>
      <c r="F1457" s="22" t="s">
        <v>10</v>
      </c>
      <c r="G1457" s="22" t="s">
        <v>11</v>
      </c>
      <c r="H1457" s="22" t="s">
        <v>50</v>
      </c>
      <c r="I1457" s="22" t="s">
        <v>86</v>
      </c>
      <c r="J1457" s="22" t="s">
        <v>1463</v>
      </c>
      <c r="K1457" s="23" t="s">
        <v>3261</v>
      </c>
    </row>
    <row r="1458" spans="1:14" hidden="1" x14ac:dyDescent="0.35">
      <c r="A1458" s="21">
        <v>1717340</v>
      </c>
      <c r="B1458" s="22" t="str">
        <f>"3328094401880002"</f>
        <v>3328094401880002</v>
      </c>
      <c r="C1458" s="22" t="str">
        <f t="shared" si="44"/>
        <v>'3328094401880002</v>
      </c>
      <c r="D1458" s="22" t="str">
        <f t="shared" si="45"/>
        <v>tidak ganda</v>
      </c>
      <c r="E1458" s="22" t="s">
        <v>3306</v>
      </c>
      <c r="F1458" s="22" t="s">
        <v>10</v>
      </c>
      <c r="G1458" s="22" t="s">
        <v>11</v>
      </c>
      <c r="H1458" s="22" t="s">
        <v>91</v>
      </c>
      <c r="I1458" s="22" t="s">
        <v>159</v>
      </c>
      <c r="J1458" s="22" t="s">
        <v>1337</v>
      </c>
      <c r="K1458" s="23" t="s">
        <v>3280</v>
      </c>
    </row>
    <row r="1459" spans="1:14" hidden="1" x14ac:dyDescent="0.35">
      <c r="A1459" s="21">
        <v>1632107</v>
      </c>
      <c r="B1459" s="22" t="str">
        <f>"3328094405850007"</f>
        <v>3328094405850007</v>
      </c>
      <c r="C1459" s="22" t="str">
        <f t="shared" si="44"/>
        <v>'3328094405850007</v>
      </c>
      <c r="D1459" s="22" t="str">
        <f t="shared" si="45"/>
        <v>ganda</v>
      </c>
      <c r="E1459" s="22" t="s">
        <v>3307</v>
      </c>
      <c r="F1459" s="22" t="s">
        <v>10</v>
      </c>
      <c r="G1459" s="22" t="s">
        <v>11</v>
      </c>
      <c r="H1459" s="22" t="s">
        <v>18</v>
      </c>
      <c r="I1459" s="22" t="s">
        <v>19</v>
      </c>
      <c r="J1459" s="22" t="s">
        <v>2575</v>
      </c>
      <c r="K1459" s="23" t="s">
        <v>2575</v>
      </c>
      <c r="L1459" t="e">
        <f>VLOOKUP(B1459,ubah!$B$2:$L$234,4,FALSE)</f>
        <v>#N/A</v>
      </c>
      <c r="M1459" t="e">
        <f>VLOOKUP(B1459,ubah!$B$2:$L$234,5,FALSE)</f>
        <v>#N/A</v>
      </c>
      <c r="N1459" t="e">
        <f>VLOOKUP(B1459,ubah!$B$2:$L$234,6,FALSE)</f>
        <v>#N/A</v>
      </c>
    </row>
    <row r="1460" spans="1:14" hidden="1" x14ac:dyDescent="0.35">
      <c r="A1460" s="21">
        <v>423879</v>
      </c>
      <c r="B1460" s="22" t="str">
        <f>"3328094405850007"</f>
        <v>3328094405850007</v>
      </c>
      <c r="C1460" s="22" t="str">
        <f t="shared" si="44"/>
        <v>'3328094405850007</v>
      </c>
      <c r="D1460" s="22" t="str">
        <f t="shared" si="45"/>
        <v>ganda</v>
      </c>
      <c r="E1460" s="22" t="s">
        <v>3308</v>
      </c>
      <c r="F1460" s="22" t="s">
        <v>10</v>
      </c>
      <c r="G1460" s="22" t="s">
        <v>57</v>
      </c>
      <c r="H1460" s="22" t="s">
        <v>18</v>
      </c>
      <c r="I1460" s="22" t="s">
        <v>268</v>
      </c>
      <c r="J1460" s="22" t="s">
        <v>277</v>
      </c>
      <c r="K1460" s="23" t="s">
        <v>278</v>
      </c>
    </row>
    <row r="1461" spans="1:14" hidden="1" x14ac:dyDescent="0.35">
      <c r="A1461" s="21">
        <v>1290093</v>
      </c>
      <c r="B1461" s="22" t="str">
        <f>"3328094502960002"</f>
        <v>3328094502960002</v>
      </c>
      <c r="C1461" s="22" t="str">
        <f t="shared" si="44"/>
        <v>'3328094502960002</v>
      </c>
      <c r="D1461" s="22" t="str">
        <f t="shared" si="45"/>
        <v>tidak ganda</v>
      </c>
      <c r="E1461" s="22" t="s">
        <v>2608</v>
      </c>
      <c r="F1461" s="22" t="s">
        <v>10</v>
      </c>
      <c r="G1461" s="22" t="s">
        <v>11</v>
      </c>
      <c r="H1461" s="22" t="s">
        <v>91</v>
      </c>
      <c r="I1461" s="22" t="s">
        <v>92</v>
      </c>
      <c r="J1461" s="22" t="s">
        <v>571</v>
      </c>
      <c r="K1461" s="23" t="s">
        <v>3309</v>
      </c>
    </row>
    <row r="1462" spans="1:14" hidden="1" x14ac:dyDescent="0.35">
      <c r="A1462" s="21">
        <v>1634989</v>
      </c>
      <c r="B1462" s="22" t="str">
        <f>"3328094505720008"</f>
        <v>3328094505720008</v>
      </c>
      <c r="C1462" s="22" t="str">
        <f t="shared" si="44"/>
        <v>'3328094505720008</v>
      </c>
      <c r="D1462" s="22" t="str">
        <f t="shared" si="45"/>
        <v>ganda</v>
      </c>
      <c r="E1462" s="22" t="s">
        <v>3310</v>
      </c>
      <c r="F1462" s="22" t="s">
        <v>10</v>
      </c>
      <c r="G1462" s="22" t="s">
        <v>11</v>
      </c>
      <c r="H1462" s="22" t="s">
        <v>18</v>
      </c>
      <c r="I1462" s="22" t="s">
        <v>19</v>
      </c>
      <c r="J1462" s="22" t="s">
        <v>2575</v>
      </c>
      <c r="K1462" s="23" t="s">
        <v>2575</v>
      </c>
      <c r="L1462" t="e">
        <f>VLOOKUP(B1462,ubah!$B$2:$L$234,4,FALSE)</f>
        <v>#N/A</v>
      </c>
      <c r="M1462" t="e">
        <f>VLOOKUP(B1462,ubah!$B$2:$L$234,5,FALSE)</f>
        <v>#N/A</v>
      </c>
      <c r="N1462" t="e">
        <f>VLOOKUP(B1462,ubah!$B$2:$L$234,6,FALSE)</f>
        <v>#N/A</v>
      </c>
    </row>
    <row r="1463" spans="1:14" hidden="1" x14ac:dyDescent="0.35">
      <c r="A1463" s="21">
        <v>423800</v>
      </c>
      <c r="B1463" s="22" t="str">
        <f>"3328094505720008"</f>
        <v>3328094505720008</v>
      </c>
      <c r="C1463" s="22" t="str">
        <f t="shared" si="44"/>
        <v>'3328094505720008</v>
      </c>
      <c r="D1463" s="22" t="str">
        <f t="shared" si="45"/>
        <v>ganda</v>
      </c>
      <c r="E1463" s="22" t="s">
        <v>3311</v>
      </c>
      <c r="F1463" s="22" t="s">
        <v>10</v>
      </c>
      <c r="G1463" s="22" t="s">
        <v>57</v>
      </c>
      <c r="H1463" s="22" t="s">
        <v>18</v>
      </c>
      <c r="I1463" s="22" t="s">
        <v>268</v>
      </c>
      <c r="J1463" s="22" t="s">
        <v>277</v>
      </c>
      <c r="K1463" s="23" t="s">
        <v>278</v>
      </c>
    </row>
    <row r="1464" spans="1:14" hidden="1" x14ac:dyDescent="0.35">
      <c r="A1464" s="21">
        <v>1415488</v>
      </c>
      <c r="B1464" s="22" t="str">
        <f>"3328094511950008"</f>
        <v>3328094511950008</v>
      </c>
      <c r="C1464" s="22" t="str">
        <f t="shared" si="44"/>
        <v>'3328094511950008</v>
      </c>
      <c r="D1464" s="22" t="str">
        <f t="shared" si="45"/>
        <v>tidak ganda</v>
      </c>
      <c r="E1464" s="22" t="s">
        <v>3312</v>
      </c>
      <c r="F1464" s="22" t="s">
        <v>10</v>
      </c>
      <c r="G1464" s="22" t="s">
        <v>11</v>
      </c>
      <c r="H1464" s="22" t="s">
        <v>18</v>
      </c>
      <c r="I1464" s="22" t="s">
        <v>195</v>
      </c>
      <c r="J1464" s="22" t="s">
        <v>1381</v>
      </c>
      <c r="K1464" s="23" t="s">
        <v>3313</v>
      </c>
    </row>
    <row r="1465" spans="1:14" hidden="1" x14ac:dyDescent="0.35">
      <c r="A1465" s="21">
        <v>1634533</v>
      </c>
      <c r="B1465" s="22" t="str">
        <f>"3328094810750002"</f>
        <v>3328094810750002</v>
      </c>
      <c r="C1465" s="22" t="str">
        <f t="shared" si="44"/>
        <v>'3328094810750002</v>
      </c>
      <c r="D1465" s="22" t="str">
        <f t="shared" si="45"/>
        <v>tidak ganda</v>
      </c>
      <c r="E1465" s="22" t="s">
        <v>3315</v>
      </c>
      <c r="F1465" s="22" t="s">
        <v>10</v>
      </c>
      <c r="G1465" s="22" t="s">
        <v>11</v>
      </c>
      <c r="H1465" s="22" t="s">
        <v>18</v>
      </c>
      <c r="I1465" s="22" t="s">
        <v>19</v>
      </c>
      <c r="J1465" s="22" t="s">
        <v>2575</v>
      </c>
      <c r="K1465" s="23" t="s">
        <v>2575</v>
      </c>
      <c r="L1465" t="e">
        <f>VLOOKUP(B1465,ubah!$B$2:$L$234,4,FALSE)</f>
        <v>#N/A</v>
      </c>
      <c r="M1465" t="e">
        <f>VLOOKUP(B1465,ubah!$B$2:$L$234,5,FALSE)</f>
        <v>#N/A</v>
      </c>
      <c r="N1465" t="e">
        <f>VLOOKUP(B1465,ubah!$B$2:$L$234,6,FALSE)</f>
        <v>#N/A</v>
      </c>
    </row>
    <row r="1466" spans="1:14" hidden="1" x14ac:dyDescent="0.35">
      <c r="A1466" s="21">
        <v>121754</v>
      </c>
      <c r="B1466" s="22" t="str">
        <f>"3328095005010001"</f>
        <v>3328095005010001</v>
      </c>
      <c r="C1466" s="22" t="str">
        <f t="shared" si="44"/>
        <v>'3328095005010001</v>
      </c>
      <c r="D1466" s="22" t="str">
        <f t="shared" si="45"/>
        <v>tidak ganda</v>
      </c>
      <c r="E1466" s="22" t="s">
        <v>3318</v>
      </c>
      <c r="F1466" s="22" t="s">
        <v>10</v>
      </c>
      <c r="G1466" s="22" t="s">
        <v>11</v>
      </c>
      <c r="H1466" s="22" t="s">
        <v>1374</v>
      </c>
      <c r="I1466" s="22" t="s">
        <v>2551</v>
      </c>
      <c r="J1466" s="22" t="s">
        <v>2552</v>
      </c>
      <c r="K1466" s="23" t="s">
        <v>3319</v>
      </c>
    </row>
    <row r="1467" spans="1:14" hidden="1" x14ac:dyDescent="0.35">
      <c r="A1467" s="21">
        <v>1166033</v>
      </c>
      <c r="B1467" s="22" t="str">
        <f>"3328095102750005"</f>
        <v>3328095102750005</v>
      </c>
      <c r="C1467" s="22" t="str">
        <f t="shared" si="44"/>
        <v>'3328095102750005</v>
      </c>
      <c r="D1467" s="22" t="str">
        <f t="shared" si="45"/>
        <v>tidak ganda</v>
      </c>
      <c r="E1467" s="22" t="s">
        <v>3321</v>
      </c>
      <c r="F1467" s="22" t="s">
        <v>10</v>
      </c>
      <c r="G1467" s="22" t="s">
        <v>11</v>
      </c>
      <c r="H1467" s="22" t="s">
        <v>91</v>
      </c>
      <c r="I1467" s="22" t="s">
        <v>101</v>
      </c>
      <c r="J1467" s="22" t="s">
        <v>102</v>
      </c>
      <c r="K1467" s="23" t="s">
        <v>3234</v>
      </c>
    </row>
    <row r="1468" spans="1:14" hidden="1" x14ac:dyDescent="0.35">
      <c r="A1468" s="21">
        <v>276381</v>
      </c>
      <c r="B1468" s="22" t="str">
        <f>"3328095311030004"</f>
        <v>3328095311030004</v>
      </c>
      <c r="C1468" s="22" t="str">
        <f t="shared" si="44"/>
        <v>'3328095311030004</v>
      </c>
      <c r="D1468" s="22" t="str">
        <f t="shared" si="45"/>
        <v>tidak ganda</v>
      </c>
      <c r="E1468" s="22" t="s">
        <v>3325</v>
      </c>
      <c r="F1468" s="22" t="s">
        <v>10</v>
      </c>
      <c r="G1468" s="22" t="s">
        <v>11</v>
      </c>
      <c r="H1468" s="22" t="s">
        <v>18</v>
      </c>
      <c r="I1468" s="22" t="s">
        <v>268</v>
      </c>
      <c r="J1468" s="22" t="s">
        <v>277</v>
      </c>
      <c r="K1468" s="23" t="s">
        <v>3326</v>
      </c>
    </row>
    <row r="1469" spans="1:14" hidden="1" x14ac:dyDescent="0.35">
      <c r="A1469" s="21">
        <v>1352913</v>
      </c>
      <c r="B1469" s="22" t="str">
        <f>"3328095312010001"</f>
        <v>3328095312010001</v>
      </c>
      <c r="C1469" s="22" t="str">
        <f t="shared" si="44"/>
        <v>'3328095312010001</v>
      </c>
      <c r="D1469" s="22" t="str">
        <f t="shared" si="45"/>
        <v>tidak ganda</v>
      </c>
      <c r="E1469" s="22" t="s">
        <v>3327</v>
      </c>
      <c r="F1469" s="22" t="s">
        <v>10</v>
      </c>
      <c r="G1469" s="22" t="s">
        <v>57</v>
      </c>
      <c r="H1469" s="22" t="s">
        <v>303</v>
      </c>
      <c r="I1469" s="22" t="s">
        <v>608</v>
      </c>
      <c r="J1469" s="22" t="s">
        <v>609</v>
      </c>
      <c r="K1469" s="23" t="s">
        <v>610</v>
      </c>
    </row>
    <row r="1470" spans="1:14" hidden="1" x14ac:dyDescent="0.35">
      <c r="A1470" s="21">
        <v>1089684</v>
      </c>
      <c r="B1470" s="22" t="str">
        <f>"3328095403730005"</f>
        <v>3328095403730005</v>
      </c>
      <c r="C1470" s="22" t="str">
        <f t="shared" si="44"/>
        <v>'3328095403730005</v>
      </c>
      <c r="D1470" s="22" t="str">
        <f t="shared" si="45"/>
        <v>tidak ganda</v>
      </c>
      <c r="E1470" s="22" t="s">
        <v>3328</v>
      </c>
      <c r="F1470" s="22" t="s">
        <v>10</v>
      </c>
      <c r="G1470" s="22" t="s">
        <v>11</v>
      </c>
      <c r="H1470" s="22" t="s">
        <v>91</v>
      </c>
      <c r="I1470" s="22" t="s">
        <v>903</v>
      </c>
      <c r="J1470" s="22" t="s">
        <v>2371</v>
      </c>
      <c r="K1470" s="23" t="s">
        <v>3286</v>
      </c>
    </row>
    <row r="1471" spans="1:14" hidden="1" x14ac:dyDescent="0.35">
      <c r="A1471" s="21">
        <v>973034</v>
      </c>
      <c r="B1471" s="22" t="str">
        <f>"3328095507730016"</f>
        <v>3328095507730016</v>
      </c>
      <c r="C1471" s="22" t="str">
        <f t="shared" si="44"/>
        <v>'3328095507730016</v>
      </c>
      <c r="D1471" s="22" t="str">
        <f t="shared" si="45"/>
        <v>tidak ganda</v>
      </c>
      <c r="E1471" s="22" t="s">
        <v>3329</v>
      </c>
      <c r="F1471" s="22" t="s">
        <v>10</v>
      </c>
      <c r="G1471" s="22" t="s">
        <v>11</v>
      </c>
      <c r="H1471" s="22" t="s">
        <v>91</v>
      </c>
      <c r="I1471" s="22" t="s">
        <v>149</v>
      </c>
      <c r="J1471" s="22" t="s">
        <v>3330</v>
      </c>
      <c r="K1471" s="23" t="s">
        <v>3331</v>
      </c>
    </row>
    <row r="1472" spans="1:14" hidden="1" x14ac:dyDescent="0.35">
      <c r="A1472" s="21">
        <v>1406914</v>
      </c>
      <c r="B1472" s="22" t="str">
        <f>"3328096008940005"</f>
        <v>3328096008940005</v>
      </c>
      <c r="C1472" s="22" t="str">
        <f t="shared" si="44"/>
        <v>'3328096008940005</v>
      </c>
      <c r="D1472" s="22" t="str">
        <f t="shared" si="45"/>
        <v>ganda</v>
      </c>
      <c r="E1472" s="22" t="s">
        <v>3332</v>
      </c>
      <c r="F1472" s="22" t="s">
        <v>10</v>
      </c>
      <c r="G1472" s="22" t="s">
        <v>11</v>
      </c>
      <c r="H1472" s="22" t="s">
        <v>18</v>
      </c>
      <c r="I1472" s="22" t="s">
        <v>19</v>
      </c>
      <c r="J1472" s="22" t="s">
        <v>2575</v>
      </c>
      <c r="K1472" s="23" t="s">
        <v>3176</v>
      </c>
      <c r="L1472" t="e">
        <f>VLOOKUP(B1472,ubah!$B$2:$L$234,4,FALSE)</f>
        <v>#N/A</v>
      </c>
      <c r="M1472" t="e">
        <f>VLOOKUP(B1472,ubah!$B$2:$L$234,5,FALSE)</f>
        <v>#N/A</v>
      </c>
      <c r="N1472" t="e">
        <f>VLOOKUP(B1472,ubah!$B$2:$L$234,6,FALSE)</f>
        <v>#N/A</v>
      </c>
    </row>
    <row r="1473" spans="1:14" hidden="1" x14ac:dyDescent="0.35">
      <c r="A1473" s="21">
        <v>423779</v>
      </c>
      <c r="B1473" s="22" t="str">
        <f>"3328096008940005"</f>
        <v>3328096008940005</v>
      </c>
      <c r="C1473" s="22" t="str">
        <f t="shared" si="44"/>
        <v>'3328096008940005</v>
      </c>
      <c r="D1473" s="22" t="str">
        <f t="shared" si="45"/>
        <v>ganda</v>
      </c>
      <c r="E1473" s="22" t="s">
        <v>3333</v>
      </c>
      <c r="F1473" s="22" t="s">
        <v>10</v>
      </c>
      <c r="G1473" s="22" t="s">
        <v>57</v>
      </c>
      <c r="H1473" s="22" t="s">
        <v>18</v>
      </c>
      <c r="I1473" s="22" t="s">
        <v>268</v>
      </c>
      <c r="J1473" s="22" t="s">
        <v>277</v>
      </c>
      <c r="K1473" s="23" t="s">
        <v>278</v>
      </c>
    </row>
    <row r="1474" spans="1:14" hidden="1" x14ac:dyDescent="0.35">
      <c r="A1474" s="21">
        <v>85086</v>
      </c>
      <c r="B1474" s="22" t="str">
        <f>"3328096708830003"</f>
        <v>3328096708830003</v>
      </c>
      <c r="C1474" s="22" t="str">
        <f t="shared" si="44"/>
        <v>'3328096708830003</v>
      </c>
      <c r="D1474" s="22" t="str">
        <f t="shared" si="45"/>
        <v>tidak ganda</v>
      </c>
      <c r="E1474" s="22" t="s">
        <v>3335</v>
      </c>
      <c r="F1474" s="22" t="s">
        <v>10</v>
      </c>
      <c r="G1474" s="22" t="s">
        <v>11</v>
      </c>
      <c r="H1474" s="22" t="s">
        <v>50</v>
      </c>
      <c r="I1474" s="22" t="s">
        <v>280</v>
      </c>
      <c r="J1474" s="22" t="s">
        <v>455</v>
      </c>
      <c r="K1474" s="23" t="s">
        <v>456</v>
      </c>
    </row>
    <row r="1475" spans="1:14" hidden="1" x14ac:dyDescent="0.35">
      <c r="A1475" s="21">
        <v>531475</v>
      </c>
      <c r="B1475" s="22" t="str">
        <f>"3328096711950004"</f>
        <v>3328096711950004</v>
      </c>
      <c r="C1475" s="22" t="str">
        <f t="shared" ref="C1475:C1538" si="46">"'"&amp;B1475</f>
        <v>'3328096711950004</v>
      </c>
      <c r="D1475" s="22" t="str">
        <f t="shared" ref="D1475:D1538" si="47">IF(COUNTIF($C:$C,C1475)&gt;1,"ganda","tidak ganda")</f>
        <v>tidak ganda</v>
      </c>
      <c r="E1475" s="22" t="s">
        <v>3337</v>
      </c>
      <c r="F1475" s="22" t="s">
        <v>10</v>
      </c>
      <c r="G1475" s="22" t="s">
        <v>11</v>
      </c>
      <c r="H1475" s="22" t="s">
        <v>67</v>
      </c>
      <c r="I1475" s="22" t="s">
        <v>791</v>
      </c>
      <c r="J1475" s="22" t="s">
        <v>1852</v>
      </c>
      <c r="K1475" s="23" t="s">
        <v>906</v>
      </c>
    </row>
    <row r="1476" spans="1:14" hidden="1" x14ac:dyDescent="0.35">
      <c r="A1476" s="21">
        <v>661263</v>
      </c>
      <c r="B1476" s="22" t="str">
        <f>"3328096909940003"</f>
        <v>3328096909940003</v>
      </c>
      <c r="C1476" s="22" t="str">
        <f t="shared" si="46"/>
        <v>'3328096909940003</v>
      </c>
      <c r="D1476" s="22" t="str">
        <f t="shared" si="47"/>
        <v>tidak ganda</v>
      </c>
      <c r="E1476" s="22" t="s">
        <v>3340</v>
      </c>
      <c r="F1476" s="22" t="s">
        <v>10</v>
      </c>
      <c r="G1476" s="22" t="s">
        <v>11</v>
      </c>
      <c r="H1476" s="22" t="s">
        <v>44</v>
      </c>
      <c r="I1476" s="22" t="s">
        <v>1594</v>
      </c>
      <c r="J1476" s="22" t="s">
        <v>3341</v>
      </c>
      <c r="K1476" s="23" t="s">
        <v>3342</v>
      </c>
    </row>
    <row r="1477" spans="1:14" hidden="1" x14ac:dyDescent="0.35">
      <c r="A1477" s="21">
        <v>2271874</v>
      </c>
      <c r="B1477" s="22" t="str">
        <f>"3328100112450013"</f>
        <v>3328100112450013</v>
      </c>
      <c r="C1477" s="22" t="str">
        <f t="shared" si="46"/>
        <v>'3328100112450013</v>
      </c>
      <c r="D1477" s="22" t="str">
        <f t="shared" si="47"/>
        <v>tidak ganda</v>
      </c>
      <c r="E1477" s="22" t="s">
        <v>3343</v>
      </c>
      <c r="F1477" s="22" t="s">
        <v>10</v>
      </c>
      <c r="G1477" s="22" t="s">
        <v>11</v>
      </c>
      <c r="H1477" s="22" t="s">
        <v>18</v>
      </c>
      <c r="I1477" s="22" t="s">
        <v>19</v>
      </c>
      <c r="J1477" s="22" t="s">
        <v>251</v>
      </c>
      <c r="K1477" s="23" t="s">
        <v>3344</v>
      </c>
      <c r="L1477" t="e">
        <f>VLOOKUP(B1477,ubah!$B$2:$L$234,4,FALSE)</f>
        <v>#N/A</v>
      </c>
      <c r="M1477" t="e">
        <f>VLOOKUP(B1477,ubah!$B$2:$L$234,5,FALSE)</f>
        <v>#N/A</v>
      </c>
      <c r="N1477" t="e">
        <f>VLOOKUP(B1477,ubah!$B$2:$L$234,6,FALSE)</f>
        <v>#N/A</v>
      </c>
    </row>
    <row r="1478" spans="1:14" hidden="1" x14ac:dyDescent="0.35">
      <c r="A1478" s="21">
        <v>2271873</v>
      </c>
      <c r="B1478" s="22" t="str">
        <f>"3328100507790004"</f>
        <v>3328100507790004</v>
      </c>
      <c r="C1478" s="22" t="str">
        <f t="shared" si="46"/>
        <v>'3328100507790004</v>
      </c>
      <c r="D1478" s="22" t="str">
        <f t="shared" si="47"/>
        <v>tidak ganda</v>
      </c>
      <c r="E1478" s="22" t="s">
        <v>3345</v>
      </c>
      <c r="F1478" s="22" t="s">
        <v>10</v>
      </c>
      <c r="G1478" s="22" t="s">
        <v>11</v>
      </c>
      <c r="H1478" s="22" t="s">
        <v>18</v>
      </c>
      <c r="I1478" s="22" t="s">
        <v>19</v>
      </c>
      <c r="J1478" s="22" t="s">
        <v>251</v>
      </c>
      <c r="K1478" s="23" t="s">
        <v>3344</v>
      </c>
      <c r="L1478" t="e">
        <f>VLOOKUP(B1478,ubah!$B$2:$L$234,4,FALSE)</f>
        <v>#N/A</v>
      </c>
      <c r="M1478" t="e">
        <f>VLOOKUP(B1478,ubah!$B$2:$L$234,5,FALSE)</f>
        <v>#N/A</v>
      </c>
      <c r="N1478" t="e">
        <f>VLOOKUP(B1478,ubah!$B$2:$L$234,6,FALSE)</f>
        <v>#N/A</v>
      </c>
    </row>
    <row r="1479" spans="1:14" hidden="1" x14ac:dyDescent="0.35">
      <c r="A1479" s="21">
        <v>2253307</v>
      </c>
      <c r="B1479" s="22" t="str">
        <f>"3328100607950005"</f>
        <v>3328100607950005</v>
      </c>
      <c r="C1479" s="22" t="str">
        <f t="shared" si="46"/>
        <v>'3328100607950005</v>
      </c>
      <c r="D1479" s="22" t="str">
        <f t="shared" si="47"/>
        <v>tidak ganda</v>
      </c>
      <c r="E1479" s="22" t="s">
        <v>3347</v>
      </c>
      <c r="F1479" s="22" t="s">
        <v>10</v>
      </c>
      <c r="G1479" s="22" t="s">
        <v>11</v>
      </c>
      <c r="H1479" s="22" t="s">
        <v>18</v>
      </c>
      <c r="I1479" s="22" t="s">
        <v>19</v>
      </c>
      <c r="J1479" s="22" t="s">
        <v>251</v>
      </c>
      <c r="K1479" s="23" t="s">
        <v>3348</v>
      </c>
      <c r="L1479" t="e">
        <f>VLOOKUP(B1479,ubah!$B$2:$L$234,4,FALSE)</f>
        <v>#N/A</v>
      </c>
      <c r="M1479" t="e">
        <f>VLOOKUP(B1479,ubah!$B$2:$L$234,5,FALSE)</f>
        <v>#N/A</v>
      </c>
      <c r="N1479" t="e">
        <f>VLOOKUP(B1479,ubah!$B$2:$L$234,6,FALSE)</f>
        <v>#N/A</v>
      </c>
    </row>
    <row r="1480" spans="1:14" hidden="1" x14ac:dyDescent="0.35">
      <c r="A1480" s="21">
        <v>2271875</v>
      </c>
      <c r="B1480" s="22" t="str">
        <f>"3328104502570003"</f>
        <v>3328104502570003</v>
      </c>
      <c r="C1480" s="22" t="str">
        <f t="shared" si="46"/>
        <v>'3328104502570003</v>
      </c>
      <c r="D1480" s="22" t="str">
        <f t="shared" si="47"/>
        <v>tidak ganda</v>
      </c>
      <c r="E1480" s="22" t="s">
        <v>3349</v>
      </c>
      <c r="F1480" s="22" t="s">
        <v>10</v>
      </c>
      <c r="G1480" s="22" t="s">
        <v>11</v>
      </c>
      <c r="H1480" s="22" t="s">
        <v>18</v>
      </c>
      <c r="I1480" s="22" t="s">
        <v>19</v>
      </c>
      <c r="J1480" s="22" t="s">
        <v>251</v>
      </c>
      <c r="K1480" s="23" t="s">
        <v>3344</v>
      </c>
      <c r="L1480" t="e">
        <f>VLOOKUP(B1480,ubah!$B$2:$L$234,4,FALSE)</f>
        <v>#N/A</v>
      </c>
      <c r="M1480" t="e">
        <f>VLOOKUP(B1480,ubah!$B$2:$L$234,5,FALSE)</f>
        <v>#N/A</v>
      </c>
      <c r="N1480" t="e">
        <f>VLOOKUP(B1480,ubah!$B$2:$L$234,6,FALSE)</f>
        <v>#N/A</v>
      </c>
    </row>
    <row r="1481" spans="1:14" hidden="1" x14ac:dyDescent="0.35">
      <c r="A1481" s="21">
        <v>1404929</v>
      </c>
      <c r="B1481" s="22" t="str">
        <f>"3328114704780006"</f>
        <v>3328114704780006</v>
      </c>
      <c r="C1481" s="22" t="str">
        <f t="shared" si="46"/>
        <v>'3328114704780006</v>
      </c>
      <c r="D1481" s="22" t="str">
        <f t="shared" si="47"/>
        <v>tidak ganda</v>
      </c>
      <c r="E1481" s="22" t="s">
        <v>3352</v>
      </c>
      <c r="F1481" s="22" t="s">
        <v>10</v>
      </c>
      <c r="G1481" s="22" t="s">
        <v>11</v>
      </c>
      <c r="H1481" s="22" t="s">
        <v>18</v>
      </c>
      <c r="I1481" s="22" t="s">
        <v>264</v>
      </c>
      <c r="J1481" s="22" t="s">
        <v>461</v>
      </c>
      <c r="K1481" s="23" t="s">
        <v>1458</v>
      </c>
    </row>
    <row r="1482" spans="1:14" hidden="1" x14ac:dyDescent="0.35">
      <c r="A1482" s="21">
        <v>1639578</v>
      </c>
      <c r="B1482" s="22" t="str">
        <f>"3328140202900002"</f>
        <v>3328140202900002</v>
      </c>
      <c r="C1482" s="22" t="str">
        <f t="shared" si="46"/>
        <v>'3328140202900002</v>
      </c>
      <c r="D1482" s="22" t="str">
        <f t="shared" si="47"/>
        <v>ganda</v>
      </c>
      <c r="E1482" s="22" t="s">
        <v>3356</v>
      </c>
      <c r="F1482" s="22" t="s">
        <v>10</v>
      </c>
      <c r="G1482" s="22" t="s">
        <v>11</v>
      </c>
      <c r="H1482" s="22" t="s">
        <v>18</v>
      </c>
      <c r="I1482" s="22" t="s">
        <v>19</v>
      </c>
      <c r="J1482" s="22" t="s">
        <v>2575</v>
      </c>
      <c r="K1482" s="23" t="s">
        <v>3188</v>
      </c>
      <c r="L1482" t="e">
        <f>VLOOKUP(B1482,ubah!$B$2:$L$234,4,FALSE)</f>
        <v>#N/A</v>
      </c>
      <c r="M1482" t="e">
        <f>VLOOKUP(B1482,ubah!$B$2:$L$234,5,FALSE)</f>
        <v>#N/A</v>
      </c>
      <c r="N1482" t="e">
        <f>VLOOKUP(B1482,ubah!$B$2:$L$234,6,FALSE)</f>
        <v>#N/A</v>
      </c>
    </row>
    <row r="1483" spans="1:14" hidden="1" x14ac:dyDescent="0.35">
      <c r="A1483" s="21">
        <v>252398</v>
      </c>
      <c r="B1483" s="22" t="str">
        <f>"3328140202900002"</f>
        <v>3328140202900002</v>
      </c>
      <c r="C1483" s="22" t="str">
        <f t="shared" si="46"/>
        <v>'3328140202900002</v>
      </c>
      <c r="D1483" s="22" t="str">
        <f t="shared" si="47"/>
        <v>ganda</v>
      </c>
      <c r="E1483" s="22" t="s">
        <v>3356</v>
      </c>
      <c r="F1483" s="22" t="s">
        <v>10</v>
      </c>
      <c r="G1483" s="22" t="s">
        <v>57</v>
      </c>
      <c r="H1483" s="22" t="s">
        <v>521</v>
      </c>
      <c r="I1483" s="22" t="s">
        <v>657</v>
      </c>
      <c r="J1483" s="22" t="s">
        <v>658</v>
      </c>
      <c r="K1483" s="23" t="s">
        <v>3357</v>
      </c>
    </row>
    <row r="1484" spans="1:14" hidden="1" x14ac:dyDescent="0.35">
      <c r="A1484" s="21">
        <v>921222</v>
      </c>
      <c r="B1484" s="22" t="str">
        <f>"3329096101020002"</f>
        <v>3329096101020002</v>
      </c>
      <c r="C1484" s="22" t="str">
        <f t="shared" si="46"/>
        <v>'3329096101020002</v>
      </c>
      <c r="D1484" s="22" t="str">
        <f t="shared" si="47"/>
        <v>tidak ganda</v>
      </c>
      <c r="E1484" s="22" t="s">
        <v>3362</v>
      </c>
      <c r="F1484" s="22" t="s">
        <v>10</v>
      </c>
      <c r="G1484" s="22" t="s">
        <v>11</v>
      </c>
      <c r="H1484" s="22" t="s">
        <v>18</v>
      </c>
      <c r="I1484" s="22" t="s">
        <v>264</v>
      </c>
      <c r="J1484" s="22" t="s">
        <v>264</v>
      </c>
      <c r="K1484" s="23" t="s">
        <v>2921</v>
      </c>
    </row>
    <row r="1485" spans="1:14" hidden="1" x14ac:dyDescent="0.35">
      <c r="A1485" s="21">
        <v>1442860</v>
      </c>
      <c r="B1485" s="22" t="str">
        <f>"3329100602910003"</f>
        <v>3329100602910003</v>
      </c>
      <c r="C1485" s="22" t="str">
        <f t="shared" si="46"/>
        <v>'3329100602910003</v>
      </c>
      <c r="D1485" s="22" t="str">
        <f t="shared" si="47"/>
        <v>tidak ganda</v>
      </c>
      <c r="E1485" s="22" t="s">
        <v>3363</v>
      </c>
      <c r="F1485" s="22" t="s">
        <v>10</v>
      </c>
      <c r="G1485" s="22" t="s">
        <v>11</v>
      </c>
      <c r="H1485" s="22" t="s">
        <v>18</v>
      </c>
      <c r="I1485" s="22" t="s">
        <v>264</v>
      </c>
      <c r="J1485" s="22" t="s">
        <v>273</v>
      </c>
      <c r="K1485" s="23" t="s">
        <v>875</v>
      </c>
    </row>
    <row r="1486" spans="1:14" hidden="1" x14ac:dyDescent="0.35">
      <c r="A1486" s="21">
        <v>512558</v>
      </c>
      <c r="B1486" s="22" t="str">
        <f>"3329124503950006"</f>
        <v>3329124503950006</v>
      </c>
      <c r="C1486" s="22" t="str">
        <f t="shared" si="46"/>
        <v>'3329124503950006</v>
      </c>
      <c r="D1486" s="22" t="str">
        <f t="shared" si="47"/>
        <v>tidak ganda</v>
      </c>
      <c r="E1486" s="22" t="s">
        <v>1167</v>
      </c>
      <c r="F1486" s="22" t="s">
        <v>10</v>
      </c>
      <c r="G1486" s="22" t="s">
        <v>11</v>
      </c>
      <c r="H1486" s="22" t="s">
        <v>18</v>
      </c>
      <c r="I1486" s="22" t="s">
        <v>264</v>
      </c>
      <c r="J1486" s="22" t="s">
        <v>877</v>
      </c>
      <c r="K1486" s="23" t="s">
        <v>3364</v>
      </c>
    </row>
    <row r="1487" spans="1:14" hidden="1" x14ac:dyDescent="0.35">
      <c r="A1487" s="21">
        <v>454670</v>
      </c>
      <c r="B1487" s="22" t="str">
        <f>"3329140506950008"</f>
        <v>3329140506950008</v>
      </c>
      <c r="C1487" s="22" t="str">
        <f t="shared" si="46"/>
        <v>'3329140506950008</v>
      </c>
      <c r="D1487" s="22" t="str">
        <f t="shared" si="47"/>
        <v>tidak ganda</v>
      </c>
      <c r="E1487" s="22" t="s">
        <v>3365</v>
      </c>
      <c r="F1487" s="22" t="s">
        <v>10</v>
      </c>
      <c r="G1487" s="22" t="s">
        <v>11</v>
      </c>
      <c r="H1487" s="22" t="s">
        <v>18</v>
      </c>
      <c r="I1487" s="22" t="s">
        <v>264</v>
      </c>
      <c r="J1487" s="22" t="s">
        <v>477</v>
      </c>
      <c r="K1487" s="23" t="s">
        <v>1845</v>
      </c>
    </row>
    <row r="1488" spans="1:14" hidden="1" x14ac:dyDescent="0.35">
      <c r="A1488" s="21">
        <v>75490</v>
      </c>
      <c r="B1488" s="22" t="str">
        <f>"3329145211960016"</f>
        <v>3329145211960016</v>
      </c>
      <c r="C1488" s="22" t="str">
        <f t="shared" si="46"/>
        <v>'3329145211960016</v>
      </c>
      <c r="D1488" s="22" t="str">
        <f t="shared" si="47"/>
        <v>tidak ganda</v>
      </c>
      <c r="E1488" s="22" t="s">
        <v>3367</v>
      </c>
      <c r="F1488" s="22" t="s">
        <v>10</v>
      </c>
      <c r="G1488" s="22" t="s">
        <v>11</v>
      </c>
      <c r="H1488" s="22" t="s">
        <v>18</v>
      </c>
      <c r="I1488" s="22" t="s">
        <v>264</v>
      </c>
      <c r="J1488" s="22" t="s">
        <v>477</v>
      </c>
      <c r="K1488" s="23" t="s">
        <v>1646</v>
      </c>
    </row>
    <row r="1489" spans="1:14" hidden="1" x14ac:dyDescent="0.35">
      <c r="A1489" s="21">
        <v>717075</v>
      </c>
      <c r="B1489" s="22" t="str">
        <f>"3329150912980004"</f>
        <v>3329150912980004</v>
      </c>
      <c r="C1489" s="22" t="str">
        <f t="shared" si="46"/>
        <v>'3329150912980004</v>
      </c>
      <c r="D1489" s="22" t="str">
        <f t="shared" si="47"/>
        <v>tidak ganda</v>
      </c>
      <c r="E1489" s="22" t="s">
        <v>3368</v>
      </c>
      <c r="F1489" s="22" t="s">
        <v>10</v>
      </c>
      <c r="G1489" s="22" t="s">
        <v>11</v>
      </c>
      <c r="H1489" s="22" t="s">
        <v>18</v>
      </c>
      <c r="I1489" s="22" t="s">
        <v>264</v>
      </c>
      <c r="J1489" s="22" t="s">
        <v>330</v>
      </c>
      <c r="K1489" s="23" t="s">
        <v>2093</v>
      </c>
    </row>
    <row r="1490" spans="1:14" hidden="1" x14ac:dyDescent="0.35">
      <c r="A1490" s="21">
        <v>919253</v>
      </c>
      <c r="B1490" s="22" t="str">
        <f>"3329160401960002"</f>
        <v>3329160401960002</v>
      </c>
      <c r="C1490" s="22" t="str">
        <f t="shared" si="46"/>
        <v>'3329160401960002</v>
      </c>
      <c r="D1490" s="22" t="str">
        <f t="shared" si="47"/>
        <v>tidak ganda</v>
      </c>
      <c r="E1490" s="22" t="s">
        <v>2243</v>
      </c>
      <c r="F1490" s="22" t="s">
        <v>10</v>
      </c>
      <c r="G1490" s="22" t="s">
        <v>11</v>
      </c>
      <c r="H1490" s="22" t="s">
        <v>18</v>
      </c>
      <c r="I1490" s="22" t="s">
        <v>264</v>
      </c>
      <c r="J1490" s="22" t="s">
        <v>344</v>
      </c>
      <c r="K1490" s="23" t="s">
        <v>325</v>
      </c>
    </row>
    <row r="1491" spans="1:14" hidden="1" x14ac:dyDescent="0.35">
      <c r="A1491" s="21">
        <v>299283</v>
      </c>
      <c r="B1491" s="22" t="str">
        <f>"3376010506960002"</f>
        <v>3376010506960002</v>
      </c>
      <c r="C1491" s="22" t="str">
        <f t="shared" si="46"/>
        <v>'3376010506960002</v>
      </c>
      <c r="D1491" s="22" t="str">
        <f t="shared" si="47"/>
        <v>tidak ganda</v>
      </c>
      <c r="E1491" s="22" t="s">
        <v>3369</v>
      </c>
      <c r="F1491" s="22" t="s">
        <v>10</v>
      </c>
      <c r="G1491" s="22" t="s">
        <v>11</v>
      </c>
      <c r="H1491" s="22" t="s">
        <v>18</v>
      </c>
      <c r="I1491" s="22" t="s">
        <v>268</v>
      </c>
      <c r="J1491" s="22" t="s">
        <v>277</v>
      </c>
      <c r="K1491" s="23" t="s">
        <v>2762</v>
      </c>
    </row>
    <row r="1492" spans="1:14" hidden="1" x14ac:dyDescent="0.35">
      <c r="A1492" s="21">
        <v>279962</v>
      </c>
      <c r="B1492" s="22" t="str">
        <f>"3376016804900002"</f>
        <v>3376016804900002</v>
      </c>
      <c r="C1492" s="22" t="str">
        <f t="shared" si="46"/>
        <v>'3376016804900002</v>
      </c>
      <c r="D1492" s="22" t="str">
        <f t="shared" si="47"/>
        <v>tidak ganda</v>
      </c>
      <c r="E1492" s="22" t="s">
        <v>3371</v>
      </c>
      <c r="F1492" s="22" t="s">
        <v>10</v>
      </c>
      <c r="G1492" s="22" t="s">
        <v>11</v>
      </c>
      <c r="H1492" s="22" t="s">
        <v>18</v>
      </c>
      <c r="I1492" s="22" t="s">
        <v>268</v>
      </c>
      <c r="J1492" s="22" t="s">
        <v>277</v>
      </c>
      <c r="K1492" s="23" t="s">
        <v>3243</v>
      </c>
    </row>
    <row r="1493" spans="1:14" hidden="1" x14ac:dyDescent="0.35">
      <c r="A1493" s="21">
        <v>244792</v>
      </c>
      <c r="B1493" s="22" t="str">
        <f>"3376024211880002"</f>
        <v>3376024211880002</v>
      </c>
      <c r="C1493" s="22" t="str">
        <f t="shared" si="46"/>
        <v>'3376024211880002</v>
      </c>
      <c r="D1493" s="22" t="str">
        <f t="shared" si="47"/>
        <v>tidak ganda</v>
      </c>
      <c r="E1493" s="22" t="s">
        <v>3373</v>
      </c>
      <c r="F1493" s="22" t="s">
        <v>10</v>
      </c>
      <c r="G1493" s="22" t="s">
        <v>11</v>
      </c>
      <c r="H1493" s="22" t="s">
        <v>18</v>
      </c>
      <c r="I1493" s="22" t="s">
        <v>268</v>
      </c>
      <c r="J1493" s="22" t="s">
        <v>371</v>
      </c>
      <c r="K1493" s="23" t="s">
        <v>372</v>
      </c>
    </row>
    <row r="1494" spans="1:14" hidden="1" x14ac:dyDescent="0.35">
      <c r="A1494" s="21">
        <v>246221</v>
      </c>
      <c r="B1494" s="22" t="str">
        <f>"3376025209060004"</f>
        <v>3376025209060004</v>
      </c>
      <c r="C1494" s="22" t="str">
        <f t="shared" si="46"/>
        <v>'3376025209060004</v>
      </c>
      <c r="D1494" s="22" t="str">
        <f t="shared" si="47"/>
        <v>tidak ganda</v>
      </c>
      <c r="E1494" s="22" t="s">
        <v>3374</v>
      </c>
      <c r="F1494" s="22" t="s">
        <v>10</v>
      </c>
      <c r="G1494" s="22" t="s">
        <v>11</v>
      </c>
      <c r="H1494" s="22" t="s">
        <v>18</v>
      </c>
      <c r="I1494" s="22" t="s">
        <v>268</v>
      </c>
      <c r="J1494" s="22" t="s">
        <v>371</v>
      </c>
      <c r="K1494" s="23" t="s">
        <v>497</v>
      </c>
    </row>
    <row r="1495" spans="1:14" hidden="1" x14ac:dyDescent="0.35">
      <c r="A1495" s="21">
        <v>242385</v>
      </c>
      <c r="B1495" s="22" t="str">
        <f>"3376027112620006"</f>
        <v>3376027112620006</v>
      </c>
      <c r="C1495" s="22" t="str">
        <f t="shared" si="46"/>
        <v>'3376027112620006</v>
      </c>
      <c r="D1495" s="22" t="str">
        <f t="shared" si="47"/>
        <v>tidak ganda</v>
      </c>
      <c r="E1495" s="22" t="s">
        <v>3375</v>
      </c>
      <c r="F1495" s="22" t="s">
        <v>10</v>
      </c>
      <c r="G1495" s="22" t="s">
        <v>11</v>
      </c>
      <c r="H1495" s="22" t="s">
        <v>18</v>
      </c>
      <c r="I1495" s="22" t="s">
        <v>268</v>
      </c>
      <c r="J1495" s="22" t="s">
        <v>371</v>
      </c>
      <c r="K1495" s="23" t="s">
        <v>372</v>
      </c>
    </row>
    <row r="1496" spans="1:14" hidden="1" x14ac:dyDescent="0.35">
      <c r="A1496" s="21">
        <v>317519</v>
      </c>
      <c r="B1496" s="22" t="str">
        <f>"3376035403870001"</f>
        <v>3376035403870001</v>
      </c>
      <c r="C1496" s="22" t="str">
        <f t="shared" si="46"/>
        <v>'3376035403870001</v>
      </c>
      <c r="D1496" s="22" t="str">
        <f t="shared" si="47"/>
        <v>tidak ganda</v>
      </c>
      <c r="E1496" s="22" t="s">
        <v>3377</v>
      </c>
      <c r="F1496" s="22" t="s">
        <v>10</v>
      </c>
      <c r="G1496" s="22" t="s">
        <v>11</v>
      </c>
      <c r="H1496" s="22" t="s">
        <v>18</v>
      </c>
      <c r="I1496" s="22" t="s">
        <v>268</v>
      </c>
      <c r="J1496" s="22" t="s">
        <v>269</v>
      </c>
      <c r="K1496" s="23" t="s">
        <v>1662</v>
      </c>
    </row>
    <row r="1497" spans="1:14" hidden="1" x14ac:dyDescent="0.35">
      <c r="A1497" s="21">
        <v>59754</v>
      </c>
      <c r="B1497" s="22" t="str">
        <f>"3520016702890002"</f>
        <v>3520016702890002</v>
      </c>
      <c r="C1497" s="22" t="str">
        <f t="shared" si="46"/>
        <v>'3520016702890002</v>
      </c>
      <c r="D1497" s="22" t="str">
        <f t="shared" si="47"/>
        <v>tidak ganda</v>
      </c>
      <c r="E1497" s="22" t="s">
        <v>3380</v>
      </c>
      <c r="F1497" s="22" t="s">
        <v>10</v>
      </c>
      <c r="G1497" s="22" t="s">
        <v>11</v>
      </c>
      <c r="H1497" s="22" t="s">
        <v>303</v>
      </c>
      <c r="I1497" s="22" t="s">
        <v>3381</v>
      </c>
      <c r="J1497" s="22" t="s">
        <v>1355</v>
      </c>
      <c r="K1497" s="23" t="s">
        <v>3382</v>
      </c>
    </row>
    <row r="1498" spans="1:14" hidden="1" x14ac:dyDescent="0.35">
      <c r="A1498" s="21">
        <v>897825</v>
      </c>
      <c r="B1498" s="22" t="str">
        <f>"3523110403980001"</f>
        <v>3523110403980001</v>
      </c>
      <c r="C1498" s="22" t="str">
        <f t="shared" si="46"/>
        <v>'3523110403980001</v>
      </c>
      <c r="D1498" s="22" t="str">
        <f t="shared" si="47"/>
        <v>tidak ganda</v>
      </c>
      <c r="E1498" s="22" t="s">
        <v>3383</v>
      </c>
      <c r="F1498" s="22" t="s">
        <v>10</v>
      </c>
      <c r="G1498" s="22" t="s">
        <v>11</v>
      </c>
      <c r="H1498" s="22" t="s">
        <v>303</v>
      </c>
      <c r="I1498" s="22" t="s">
        <v>3384</v>
      </c>
      <c r="J1498" s="22" t="s">
        <v>3385</v>
      </c>
      <c r="K1498" s="23" t="s">
        <v>3386</v>
      </c>
    </row>
    <row r="1499" spans="1:14" hidden="1" x14ac:dyDescent="0.35">
      <c r="A1499" s="21">
        <v>1351712</v>
      </c>
      <c r="B1499" s="22" t="str">
        <f>"3674060303810006"</f>
        <v>3674060303810006</v>
      </c>
      <c r="C1499" s="22" t="str">
        <f t="shared" si="46"/>
        <v>'3674060303810006</v>
      </c>
      <c r="D1499" s="22" t="str">
        <f t="shared" si="47"/>
        <v>tidak ganda</v>
      </c>
      <c r="E1499" s="22" t="s">
        <v>3391</v>
      </c>
      <c r="F1499" s="22" t="s">
        <v>10</v>
      </c>
      <c r="G1499" s="22" t="s">
        <v>11</v>
      </c>
      <c r="H1499" s="22" t="s">
        <v>67</v>
      </c>
      <c r="I1499" s="22" t="s">
        <v>68</v>
      </c>
      <c r="J1499" s="22" t="s">
        <v>2817</v>
      </c>
      <c r="K1499" s="23" t="s">
        <v>3392</v>
      </c>
    </row>
    <row r="1500" spans="1:14" hidden="1" x14ac:dyDescent="0.35">
      <c r="A1500" s="21">
        <v>1351713</v>
      </c>
      <c r="B1500" s="22" t="str">
        <f>"3674064404880014"</f>
        <v>3674064404880014</v>
      </c>
      <c r="C1500" s="22" t="str">
        <f t="shared" si="46"/>
        <v>'3674064404880014</v>
      </c>
      <c r="D1500" s="22" t="str">
        <f t="shared" si="47"/>
        <v>tidak ganda</v>
      </c>
      <c r="E1500" s="22" t="s">
        <v>3393</v>
      </c>
      <c r="F1500" s="22" t="s">
        <v>10</v>
      </c>
      <c r="G1500" s="22" t="s">
        <v>11</v>
      </c>
      <c r="H1500" s="22" t="s">
        <v>67</v>
      </c>
      <c r="I1500" s="22" t="s">
        <v>68</v>
      </c>
      <c r="J1500" s="22" t="s">
        <v>2817</v>
      </c>
      <c r="K1500" s="23" t="s">
        <v>3392</v>
      </c>
    </row>
    <row r="1501" spans="1:14" hidden="1" x14ac:dyDescent="0.35">
      <c r="A1501" s="21">
        <v>1629920</v>
      </c>
      <c r="B1501" s="22" t="str">
        <f>"7372025207830008"</f>
        <v>7372025207830008</v>
      </c>
      <c r="C1501" s="22" t="str">
        <f t="shared" si="46"/>
        <v>'7372025207830008</v>
      </c>
      <c r="D1501" s="22" t="str">
        <f t="shared" si="47"/>
        <v>ganda</v>
      </c>
      <c r="E1501" s="22" t="s">
        <v>3395</v>
      </c>
      <c r="F1501" s="22" t="s">
        <v>10</v>
      </c>
      <c r="G1501" s="22" t="s">
        <v>11</v>
      </c>
      <c r="H1501" s="22" t="s">
        <v>18</v>
      </c>
      <c r="I1501" s="22" t="s">
        <v>19</v>
      </c>
      <c r="J1501" s="22" t="s">
        <v>2575</v>
      </c>
      <c r="K1501" s="23" t="s">
        <v>3379</v>
      </c>
      <c r="L1501" t="e">
        <f>VLOOKUP(B1501,ubah!$B$2:$L$234,4,FALSE)</f>
        <v>#N/A</v>
      </c>
      <c r="M1501" t="e">
        <f>VLOOKUP(B1501,ubah!$B$2:$L$234,5,FALSE)</f>
        <v>#N/A</v>
      </c>
      <c r="N1501" t="e">
        <f>VLOOKUP(B1501,ubah!$B$2:$L$234,6,FALSE)</f>
        <v>#N/A</v>
      </c>
    </row>
    <row r="1502" spans="1:14" hidden="1" x14ac:dyDescent="0.35">
      <c r="A1502" s="21">
        <v>1352175</v>
      </c>
      <c r="B1502" s="22" t="str">
        <f>"7372025207830008"</f>
        <v>7372025207830008</v>
      </c>
      <c r="C1502" s="22" t="str">
        <f t="shared" si="46"/>
        <v>'7372025207830008</v>
      </c>
      <c r="D1502" s="22" t="str">
        <f t="shared" si="47"/>
        <v>ganda</v>
      </c>
      <c r="E1502" s="22" t="s">
        <v>3396</v>
      </c>
      <c r="F1502" s="22" t="s">
        <v>10</v>
      </c>
      <c r="G1502" s="22" t="s">
        <v>57</v>
      </c>
      <c r="H1502" s="22" t="s">
        <v>303</v>
      </c>
      <c r="I1502" s="22" t="s">
        <v>608</v>
      </c>
      <c r="J1502" s="22" t="s">
        <v>609</v>
      </c>
      <c r="K1502" s="23" t="s">
        <v>610</v>
      </c>
    </row>
    <row r="1503" spans="1:14" hidden="1" x14ac:dyDescent="0.35">
      <c r="A1503" s="21">
        <v>1166958</v>
      </c>
      <c r="B1503" s="22" t="str">
        <f>"1217051209900001"</f>
        <v>1217051209900001</v>
      </c>
      <c r="C1503" s="22" t="str">
        <f t="shared" si="46"/>
        <v>'1217051209900001</v>
      </c>
      <c r="D1503" s="22" t="str">
        <f t="shared" si="47"/>
        <v>tidak ganda</v>
      </c>
      <c r="E1503" s="22" t="s">
        <v>3397</v>
      </c>
      <c r="F1503" s="22" t="s">
        <v>10</v>
      </c>
      <c r="G1503" s="22" t="s">
        <v>11</v>
      </c>
      <c r="H1503" s="22" t="s">
        <v>91</v>
      </c>
      <c r="I1503" s="22" t="s">
        <v>650</v>
      </c>
      <c r="J1503" s="22" t="s">
        <v>3398</v>
      </c>
      <c r="K1503" s="23" t="s">
        <v>3399</v>
      </c>
    </row>
    <row r="1504" spans="1:14" hidden="1" x14ac:dyDescent="0.35">
      <c r="A1504" s="21">
        <v>178795</v>
      </c>
      <c r="B1504" s="22" t="str">
        <f>"1303040901880004"</f>
        <v>1303040901880004</v>
      </c>
      <c r="C1504" s="22" t="str">
        <f t="shared" si="46"/>
        <v>'1303040901880004</v>
      </c>
      <c r="D1504" s="22" t="str">
        <f t="shared" si="47"/>
        <v>tidak ganda</v>
      </c>
      <c r="E1504" s="22" t="s">
        <v>3401</v>
      </c>
      <c r="F1504" s="22" t="s">
        <v>10</v>
      </c>
      <c r="G1504" s="22" t="s">
        <v>11</v>
      </c>
      <c r="H1504" s="22" t="s">
        <v>12</v>
      </c>
      <c r="I1504" s="22" t="s">
        <v>3402</v>
      </c>
      <c r="J1504" s="22" t="s">
        <v>3402</v>
      </c>
      <c r="K1504" s="23" t="s">
        <v>3402</v>
      </c>
    </row>
    <row r="1505" spans="1:14" hidden="1" x14ac:dyDescent="0.35">
      <c r="A1505" s="21">
        <v>2323289</v>
      </c>
      <c r="B1505" s="22" t="str">
        <f>"1471090106740001"</f>
        <v>1471090106740001</v>
      </c>
      <c r="C1505" s="22" t="str">
        <f t="shared" si="46"/>
        <v>'1471090106740001</v>
      </c>
      <c r="D1505" s="22" t="str">
        <f t="shared" si="47"/>
        <v>tidak ganda</v>
      </c>
      <c r="E1505" s="22" t="s">
        <v>3403</v>
      </c>
      <c r="F1505" s="22" t="s">
        <v>10</v>
      </c>
      <c r="G1505" s="22" t="s">
        <v>11</v>
      </c>
      <c r="H1505" s="22" t="s">
        <v>18</v>
      </c>
      <c r="I1505" s="22" t="s">
        <v>19</v>
      </c>
      <c r="J1505" s="22" t="s">
        <v>251</v>
      </c>
      <c r="K1505" s="23" t="s">
        <v>3400</v>
      </c>
      <c r="L1505" t="e">
        <f>VLOOKUP(B1505,ubah!$B$2:$L$234,4,FALSE)</f>
        <v>#N/A</v>
      </c>
      <c r="M1505" t="e">
        <f>VLOOKUP(B1505,ubah!$B$2:$L$234,5,FALSE)</f>
        <v>#N/A</v>
      </c>
      <c r="N1505" t="e">
        <f>VLOOKUP(B1505,ubah!$B$2:$L$234,6,FALSE)</f>
        <v>#N/A</v>
      </c>
    </row>
    <row r="1506" spans="1:14" hidden="1" x14ac:dyDescent="0.35">
      <c r="A1506" s="21">
        <v>107706</v>
      </c>
      <c r="B1506" s="22" t="str">
        <f>"1901020707920001"</f>
        <v>1901020707920001</v>
      </c>
      <c r="C1506" s="22" t="str">
        <f t="shared" si="46"/>
        <v>'1901020707920001</v>
      </c>
      <c r="D1506" s="22" t="str">
        <f t="shared" si="47"/>
        <v>tidak ganda</v>
      </c>
      <c r="E1506" s="22" t="s">
        <v>3407</v>
      </c>
      <c r="F1506" s="22" t="s">
        <v>10</v>
      </c>
      <c r="G1506" s="22" t="s">
        <v>11</v>
      </c>
      <c r="H1506" s="22" t="s">
        <v>225</v>
      </c>
      <c r="I1506" s="22" t="s">
        <v>226</v>
      </c>
      <c r="J1506" s="22" t="s">
        <v>3408</v>
      </c>
      <c r="K1506" s="23" t="s">
        <v>3409</v>
      </c>
    </row>
    <row r="1507" spans="1:14" hidden="1" x14ac:dyDescent="0.35">
      <c r="A1507" s="21">
        <v>801323</v>
      </c>
      <c r="B1507" s="22" t="str">
        <f>"3171071103830007"</f>
        <v>3171071103830007</v>
      </c>
      <c r="C1507" s="22" t="str">
        <f t="shared" si="46"/>
        <v>'3171071103830007</v>
      </c>
      <c r="D1507" s="22" t="str">
        <f t="shared" si="47"/>
        <v>tidak ganda</v>
      </c>
      <c r="E1507" s="22" t="s">
        <v>3411</v>
      </c>
      <c r="F1507" s="22" t="s">
        <v>10</v>
      </c>
      <c r="G1507" s="22" t="s">
        <v>11</v>
      </c>
      <c r="H1507" s="22" t="s">
        <v>91</v>
      </c>
      <c r="I1507" s="22" t="s">
        <v>985</v>
      </c>
      <c r="J1507" s="22" t="s">
        <v>3412</v>
      </c>
      <c r="K1507" s="23" t="s">
        <v>3413</v>
      </c>
    </row>
    <row r="1508" spans="1:14" hidden="1" x14ac:dyDescent="0.35">
      <c r="A1508" s="21">
        <v>801324</v>
      </c>
      <c r="B1508" s="22" t="str">
        <f>"3171074909850006"</f>
        <v>3171074909850006</v>
      </c>
      <c r="C1508" s="22" t="str">
        <f t="shared" si="46"/>
        <v>'3171074909850006</v>
      </c>
      <c r="D1508" s="22" t="str">
        <f t="shared" si="47"/>
        <v>tidak ganda</v>
      </c>
      <c r="E1508" s="22" t="s">
        <v>3415</v>
      </c>
      <c r="F1508" s="22" t="s">
        <v>10</v>
      </c>
      <c r="G1508" s="22" t="s">
        <v>11</v>
      </c>
      <c r="H1508" s="22" t="s">
        <v>91</v>
      </c>
      <c r="I1508" s="22" t="s">
        <v>985</v>
      </c>
      <c r="J1508" s="22" t="s">
        <v>3412</v>
      </c>
      <c r="K1508" s="23" t="s">
        <v>3413</v>
      </c>
    </row>
    <row r="1509" spans="1:14" hidden="1" x14ac:dyDescent="0.35">
      <c r="A1509" s="21">
        <v>348719</v>
      </c>
      <c r="B1509" s="22" t="str">
        <f>"3171081804740003"</f>
        <v>3171081804740003</v>
      </c>
      <c r="C1509" s="22" t="str">
        <f t="shared" si="46"/>
        <v>'3171081804740003</v>
      </c>
      <c r="D1509" s="22" t="str">
        <f t="shared" si="47"/>
        <v>tidak ganda</v>
      </c>
      <c r="E1509" s="22" t="s">
        <v>3416</v>
      </c>
      <c r="F1509" s="22" t="s">
        <v>10</v>
      </c>
      <c r="G1509" s="22" t="s">
        <v>11</v>
      </c>
      <c r="H1509" s="22" t="s">
        <v>50</v>
      </c>
      <c r="I1509" s="22" t="s">
        <v>280</v>
      </c>
      <c r="J1509" s="22" t="s">
        <v>2507</v>
      </c>
      <c r="K1509" s="23" t="s">
        <v>3417</v>
      </c>
    </row>
    <row r="1510" spans="1:14" hidden="1" x14ac:dyDescent="0.35">
      <c r="A1510" s="21">
        <v>1084355</v>
      </c>
      <c r="B1510" s="22" t="str">
        <f>"3172010410750009"</f>
        <v>3172010410750009</v>
      </c>
      <c r="C1510" s="22" t="str">
        <f t="shared" si="46"/>
        <v>'3172010410750009</v>
      </c>
      <c r="D1510" s="22" t="str">
        <f t="shared" si="47"/>
        <v>tidak ganda</v>
      </c>
      <c r="E1510" s="22" t="s">
        <v>3419</v>
      </c>
      <c r="F1510" s="22" t="s">
        <v>10</v>
      </c>
      <c r="G1510" s="22" t="s">
        <v>11</v>
      </c>
      <c r="H1510" s="22" t="s">
        <v>50</v>
      </c>
      <c r="I1510" s="22" t="s">
        <v>51</v>
      </c>
      <c r="J1510" s="22" t="s">
        <v>52</v>
      </c>
      <c r="K1510" s="23" t="s">
        <v>52</v>
      </c>
    </row>
    <row r="1511" spans="1:14" hidden="1" x14ac:dyDescent="0.35">
      <c r="A1511" s="21">
        <v>1084354</v>
      </c>
      <c r="B1511" s="22" t="str">
        <f>"3172014712810002"</f>
        <v>3172014712810002</v>
      </c>
      <c r="C1511" s="22" t="str">
        <f t="shared" si="46"/>
        <v>'3172014712810002</v>
      </c>
      <c r="D1511" s="22" t="str">
        <f t="shared" si="47"/>
        <v>tidak ganda</v>
      </c>
      <c r="E1511" s="22" t="s">
        <v>3420</v>
      </c>
      <c r="F1511" s="22" t="s">
        <v>10</v>
      </c>
      <c r="G1511" s="22" t="s">
        <v>11</v>
      </c>
      <c r="H1511" s="22" t="s">
        <v>50</v>
      </c>
      <c r="I1511" s="22" t="s">
        <v>51</v>
      </c>
      <c r="J1511" s="22" t="s">
        <v>52</v>
      </c>
      <c r="K1511" s="23" t="s">
        <v>52</v>
      </c>
    </row>
    <row r="1512" spans="1:14" hidden="1" x14ac:dyDescent="0.35">
      <c r="A1512" s="21">
        <v>752915</v>
      </c>
      <c r="B1512" s="22" t="str">
        <f>"3172020310840008"</f>
        <v>3172020310840008</v>
      </c>
      <c r="C1512" s="22" t="str">
        <f t="shared" si="46"/>
        <v>'3172020310840008</v>
      </c>
      <c r="D1512" s="22" t="str">
        <f t="shared" si="47"/>
        <v>tidak ganda</v>
      </c>
      <c r="E1512" s="22" t="s">
        <v>3421</v>
      </c>
      <c r="F1512" s="22" t="s">
        <v>10</v>
      </c>
      <c r="G1512" s="22" t="s">
        <v>11</v>
      </c>
      <c r="H1512" s="22" t="s">
        <v>50</v>
      </c>
      <c r="I1512" s="22" t="s">
        <v>51</v>
      </c>
      <c r="J1512" s="22" t="s">
        <v>62</v>
      </c>
      <c r="K1512" s="23" t="s">
        <v>3422</v>
      </c>
    </row>
    <row r="1513" spans="1:14" hidden="1" x14ac:dyDescent="0.35">
      <c r="A1513" s="21">
        <v>957991</v>
      </c>
      <c r="B1513" s="22" t="str">
        <f>"3172041101760005"</f>
        <v>3172041101760005</v>
      </c>
      <c r="C1513" s="22" t="str">
        <f t="shared" si="46"/>
        <v>'3172041101760005</v>
      </c>
      <c r="D1513" s="22" t="str">
        <f t="shared" si="47"/>
        <v>tidak ganda</v>
      </c>
      <c r="E1513" s="22" t="s">
        <v>3424</v>
      </c>
      <c r="F1513" s="22" t="s">
        <v>10</v>
      </c>
      <c r="G1513" s="22" t="s">
        <v>11</v>
      </c>
      <c r="H1513" s="22" t="s">
        <v>50</v>
      </c>
      <c r="I1513" s="22" t="s">
        <v>51</v>
      </c>
      <c r="J1513" s="22" t="s">
        <v>78</v>
      </c>
      <c r="K1513" s="23" t="s">
        <v>81</v>
      </c>
    </row>
    <row r="1514" spans="1:14" hidden="1" x14ac:dyDescent="0.35">
      <c r="A1514" s="21">
        <v>1165280</v>
      </c>
      <c r="B1514" s="22" t="str">
        <f>"3172044410610002"</f>
        <v>3172044410610002</v>
      </c>
      <c r="C1514" s="22" t="str">
        <f t="shared" si="46"/>
        <v>'3172044410610002</v>
      </c>
      <c r="D1514" s="22" t="str">
        <f t="shared" si="47"/>
        <v>tidak ganda</v>
      </c>
      <c r="E1514" s="22" t="s">
        <v>3426</v>
      </c>
      <c r="F1514" s="22" t="s">
        <v>10</v>
      </c>
      <c r="G1514" s="22" t="s">
        <v>11</v>
      </c>
      <c r="H1514" s="22" t="s">
        <v>50</v>
      </c>
      <c r="I1514" s="22" t="s">
        <v>51</v>
      </c>
      <c r="J1514" s="22" t="s">
        <v>78</v>
      </c>
      <c r="K1514" s="23" t="s">
        <v>680</v>
      </c>
    </row>
    <row r="1515" spans="1:14" hidden="1" x14ac:dyDescent="0.35">
      <c r="A1515" s="21">
        <v>1251838</v>
      </c>
      <c r="B1515" s="22" t="str">
        <f>"3172045705031003"</f>
        <v>3172045705031003</v>
      </c>
      <c r="C1515" s="22" t="str">
        <f t="shared" si="46"/>
        <v>'3172045705031003</v>
      </c>
      <c r="D1515" s="22" t="str">
        <f t="shared" si="47"/>
        <v>tidak ganda</v>
      </c>
      <c r="E1515" s="22" t="s">
        <v>3427</v>
      </c>
      <c r="F1515" s="22" t="s">
        <v>10</v>
      </c>
      <c r="G1515" s="22" t="s">
        <v>11</v>
      </c>
      <c r="H1515" s="22" t="s">
        <v>50</v>
      </c>
      <c r="I1515" s="22" t="s">
        <v>51</v>
      </c>
      <c r="J1515" s="22" t="s">
        <v>78</v>
      </c>
      <c r="K1515" s="23" t="s">
        <v>79</v>
      </c>
    </row>
    <row r="1516" spans="1:14" hidden="1" x14ac:dyDescent="0.35">
      <c r="A1516" s="21">
        <v>957990</v>
      </c>
      <c r="B1516" s="22" t="str">
        <f>"3172046408800012"</f>
        <v>3172046408800012</v>
      </c>
      <c r="C1516" s="22" t="str">
        <f t="shared" si="46"/>
        <v>'3172046408800012</v>
      </c>
      <c r="D1516" s="22" t="str">
        <f t="shared" si="47"/>
        <v>tidak ganda</v>
      </c>
      <c r="E1516" s="22" t="s">
        <v>3428</v>
      </c>
      <c r="F1516" s="22" t="s">
        <v>10</v>
      </c>
      <c r="G1516" s="22" t="s">
        <v>11</v>
      </c>
      <c r="H1516" s="22" t="s">
        <v>50</v>
      </c>
      <c r="I1516" s="22" t="s">
        <v>51</v>
      </c>
      <c r="J1516" s="22" t="s">
        <v>78</v>
      </c>
      <c r="K1516" s="23" t="s">
        <v>81</v>
      </c>
    </row>
    <row r="1517" spans="1:14" hidden="1" x14ac:dyDescent="0.35">
      <c r="A1517" s="21">
        <v>297225</v>
      </c>
      <c r="B1517" s="22" t="str">
        <f>"3173020602860004"</f>
        <v>3173020602860004</v>
      </c>
      <c r="C1517" s="22" t="str">
        <f t="shared" si="46"/>
        <v>'3173020602860004</v>
      </c>
      <c r="D1517" s="22" t="str">
        <f t="shared" si="47"/>
        <v>tidak ganda</v>
      </c>
      <c r="E1517" s="22" t="s">
        <v>3429</v>
      </c>
      <c r="F1517" s="22" t="s">
        <v>10</v>
      </c>
      <c r="G1517" s="22" t="s">
        <v>11</v>
      </c>
      <c r="H1517" s="22" t="s">
        <v>50</v>
      </c>
      <c r="I1517" s="22" t="s">
        <v>86</v>
      </c>
      <c r="J1517" s="22" t="s">
        <v>205</v>
      </c>
      <c r="K1517" s="23" t="s">
        <v>206</v>
      </c>
    </row>
    <row r="1518" spans="1:14" hidden="1" x14ac:dyDescent="0.35">
      <c r="A1518" s="21">
        <v>2044941</v>
      </c>
      <c r="B1518" s="22" t="str">
        <f>"3174035103820001"</f>
        <v>3174035103820001</v>
      </c>
      <c r="C1518" s="22" t="str">
        <f t="shared" si="46"/>
        <v>'3174035103820001</v>
      </c>
      <c r="D1518" s="22" t="str">
        <f t="shared" si="47"/>
        <v>tidak ganda</v>
      </c>
      <c r="E1518" s="22" t="s">
        <v>3430</v>
      </c>
      <c r="F1518" s="22" t="s">
        <v>10</v>
      </c>
      <c r="G1518" s="22" t="s">
        <v>11</v>
      </c>
      <c r="H1518" s="22" t="s">
        <v>50</v>
      </c>
      <c r="I1518" s="22" t="s">
        <v>58</v>
      </c>
      <c r="J1518" s="22" t="s">
        <v>260</v>
      </c>
      <c r="K1518" s="23" t="s">
        <v>2510</v>
      </c>
    </row>
    <row r="1519" spans="1:14" hidden="1" x14ac:dyDescent="0.35">
      <c r="A1519" s="21">
        <v>988496</v>
      </c>
      <c r="B1519" s="22" t="str">
        <f>"3174051207840001"</f>
        <v>3174051207840001</v>
      </c>
      <c r="C1519" s="22" t="str">
        <f t="shared" si="46"/>
        <v>'3174051207840001</v>
      </c>
      <c r="D1519" s="22" t="str">
        <f t="shared" si="47"/>
        <v>tidak ganda</v>
      </c>
      <c r="E1519" s="22" t="s">
        <v>3431</v>
      </c>
      <c r="F1519" s="22" t="s">
        <v>10</v>
      </c>
      <c r="G1519" s="22" t="s">
        <v>11</v>
      </c>
      <c r="H1519" s="22" t="s">
        <v>50</v>
      </c>
      <c r="I1519" s="22" t="s">
        <v>72</v>
      </c>
      <c r="J1519" s="22" t="s">
        <v>803</v>
      </c>
      <c r="K1519" s="23" t="s">
        <v>804</v>
      </c>
    </row>
    <row r="1520" spans="1:14" hidden="1" x14ac:dyDescent="0.35">
      <c r="A1520" s="21">
        <v>969325</v>
      </c>
      <c r="B1520" s="22" t="str">
        <f>"3175012005840002"</f>
        <v>3175012005840002</v>
      </c>
      <c r="C1520" s="22" t="str">
        <f t="shared" si="46"/>
        <v>'3175012005840002</v>
      </c>
      <c r="D1520" s="22" t="str">
        <f t="shared" si="47"/>
        <v>tidak ganda</v>
      </c>
      <c r="E1520" s="22" t="s">
        <v>3433</v>
      </c>
      <c r="F1520" s="22" t="s">
        <v>10</v>
      </c>
      <c r="G1520" s="22" t="s">
        <v>11</v>
      </c>
      <c r="H1520" s="22" t="s">
        <v>50</v>
      </c>
      <c r="I1520" s="22" t="s">
        <v>58</v>
      </c>
      <c r="J1520" s="22" t="s">
        <v>406</v>
      </c>
      <c r="K1520" s="23" t="s">
        <v>3434</v>
      </c>
    </row>
    <row r="1521" spans="1:14" hidden="1" x14ac:dyDescent="0.35">
      <c r="A1521" s="21">
        <v>2044942</v>
      </c>
      <c r="B1521" s="22" t="str">
        <f>"3175050411760009"</f>
        <v>3175050411760009</v>
      </c>
      <c r="C1521" s="22" t="str">
        <f t="shared" si="46"/>
        <v>'3175050411760009</v>
      </c>
      <c r="D1521" s="22" t="str">
        <f t="shared" si="47"/>
        <v>tidak ganda</v>
      </c>
      <c r="E1521" s="22" t="s">
        <v>3436</v>
      </c>
      <c r="F1521" s="22" t="s">
        <v>10</v>
      </c>
      <c r="G1521" s="22" t="s">
        <v>11</v>
      </c>
      <c r="H1521" s="22" t="s">
        <v>50</v>
      </c>
      <c r="I1521" s="22" t="s">
        <v>58</v>
      </c>
      <c r="J1521" s="22" t="s">
        <v>260</v>
      </c>
      <c r="K1521" s="23" t="s">
        <v>2510</v>
      </c>
    </row>
    <row r="1522" spans="1:14" hidden="1" x14ac:dyDescent="0.35">
      <c r="A1522" s="21">
        <v>4461771</v>
      </c>
      <c r="B1522" s="22" t="str">
        <f>"3205154410960003"</f>
        <v>3205154410960003</v>
      </c>
      <c r="C1522" s="22" t="str">
        <f t="shared" si="46"/>
        <v>'3205154410960003</v>
      </c>
      <c r="D1522" s="22" t="str">
        <f t="shared" si="47"/>
        <v>tidak ganda</v>
      </c>
      <c r="E1522" s="22" t="s">
        <v>3438</v>
      </c>
      <c r="F1522" s="22" t="s">
        <v>10</v>
      </c>
      <c r="G1522" s="22" t="s">
        <v>11</v>
      </c>
      <c r="H1522" s="22" t="s">
        <v>91</v>
      </c>
      <c r="I1522" s="22" t="s">
        <v>1295</v>
      </c>
      <c r="J1522" s="22" t="s">
        <v>3439</v>
      </c>
      <c r="K1522" s="23" t="s">
        <v>3439</v>
      </c>
    </row>
    <row r="1523" spans="1:14" hidden="1" x14ac:dyDescent="0.35">
      <c r="A1523" s="21">
        <v>209672</v>
      </c>
      <c r="B1523" s="22" t="str">
        <f>"3207050504990001"</f>
        <v>3207050504990001</v>
      </c>
      <c r="C1523" s="22" t="str">
        <f t="shared" si="46"/>
        <v>'3207050504990001</v>
      </c>
      <c r="D1523" s="22" t="str">
        <f t="shared" si="47"/>
        <v>tidak ganda</v>
      </c>
      <c r="E1523" s="22" t="s">
        <v>3441</v>
      </c>
      <c r="F1523" s="22" t="s">
        <v>10</v>
      </c>
      <c r="G1523" s="22" t="s">
        <v>11</v>
      </c>
      <c r="H1523" s="22" t="s">
        <v>91</v>
      </c>
      <c r="I1523" s="22" t="s">
        <v>3442</v>
      </c>
      <c r="J1523" s="22" t="s">
        <v>3443</v>
      </c>
      <c r="K1523" s="23" t="s">
        <v>3443</v>
      </c>
    </row>
    <row r="1524" spans="1:14" hidden="1" x14ac:dyDescent="0.35">
      <c r="A1524" s="21">
        <v>209627</v>
      </c>
      <c r="B1524" s="22" t="str">
        <f>"3207055201530001"</f>
        <v>3207055201530001</v>
      </c>
      <c r="C1524" s="22" t="str">
        <f t="shared" si="46"/>
        <v>'3207055201530001</v>
      </c>
      <c r="D1524" s="22" t="str">
        <f t="shared" si="47"/>
        <v>tidak ganda</v>
      </c>
      <c r="E1524" s="22" t="s">
        <v>3444</v>
      </c>
      <c r="F1524" s="22" t="s">
        <v>10</v>
      </c>
      <c r="G1524" s="22" t="s">
        <v>11</v>
      </c>
      <c r="H1524" s="22" t="s">
        <v>91</v>
      </c>
      <c r="I1524" s="22" t="s">
        <v>3442</v>
      </c>
      <c r="J1524" s="22" t="s">
        <v>3443</v>
      </c>
      <c r="K1524" s="23" t="s">
        <v>3443</v>
      </c>
    </row>
    <row r="1525" spans="1:14" hidden="1" x14ac:dyDescent="0.35">
      <c r="A1525" s="21">
        <v>300175</v>
      </c>
      <c r="B1525" s="22" t="str">
        <f>"3207235209970001"</f>
        <v>3207235209970001</v>
      </c>
      <c r="C1525" s="22" t="str">
        <f t="shared" si="46"/>
        <v>'3207235209970001</v>
      </c>
      <c r="D1525" s="22" t="str">
        <f t="shared" si="47"/>
        <v>tidak ganda</v>
      </c>
      <c r="E1525" s="22" t="s">
        <v>3445</v>
      </c>
      <c r="F1525" s="22" t="s">
        <v>10</v>
      </c>
      <c r="G1525" s="22" t="s">
        <v>11</v>
      </c>
      <c r="H1525" s="22" t="s">
        <v>91</v>
      </c>
      <c r="I1525" s="22" t="s">
        <v>754</v>
      </c>
      <c r="J1525" s="22" t="s">
        <v>3446</v>
      </c>
      <c r="K1525" s="23" t="s">
        <v>3447</v>
      </c>
    </row>
    <row r="1526" spans="1:14" hidden="1" x14ac:dyDescent="0.35">
      <c r="A1526" s="21">
        <v>86868</v>
      </c>
      <c r="B1526" s="22" t="str">
        <f>"3208212702930001"</f>
        <v>3208212702930001</v>
      </c>
      <c r="C1526" s="22" t="str">
        <f t="shared" si="46"/>
        <v>'3208212702930001</v>
      </c>
      <c r="D1526" s="22" t="str">
        <f t="shared" si="47"/>
        <v>tidak ganda</v>
      </c>
      <c r="E1526" s="22" t="s">
        <v>3448</v>
      </c>
      <c r="F1526" s="22" t="s">
        <v>10</v>
      </c>
      <c r="G1526" s="22" t="s">
        <v>11</v>
      </c>
      <c r="H1526" s="22" t="s">
        <v>91</v>
      </c>
      <c r="I1526" s="22" t="s">
        <v>109</v>
      </c>
      <c r="J1526" s="22" t="s">
        <v>3449</v>
      </c>
      <c r="K1526" s="23" t="s">
        <v>3450</v>
      </c>
    </row>
    <row r="1527" spans="1:14" hidden="1" x14ac:dyDescent="0.35">
      <c r="A1527" s="21">
        <v>63268</v>
      </c>
      <c r="B1527" s="22" t="str">
        <f>"3212066210940002"</f>
        <v>3212066210940002</v>
      </c>
      <c r="C1527" s="22" t="str">
        <f t="shared" si="46"/>
        <v>'3212066210940002</v>
      </c>
      <c r="D1527" s="22" t="str">
        <f t="shared" si="47"/>
        <v>tidak ganda</v>
      </c>
      <c r="E1527" s="22" t="s">
        <v>3452</v>
      </c>
      <c r="F1527" s="22" t="s">
        <v>10</v>
      </c>
      <c r="G1527" s="22" t="s">
        <v>11</v>
      </c>
      <c r="H1527" s="22" t="s">
        <v>91</v>
      </c>
      <c r="I1527" s="22" t="s">
        <v>114</v>
      </c>
      <c r="J1527" s="22" t="s">
        <v>265</v>
      </c>
      <c r="K1527" s="23" t="s">
        <v>3453</v>
      </c>
    </row>
    <row r="1528" spans="1:14" hidden="1" x14ac:dyDescent="0.35">
      <c r="A1528" s="21">
        <v>1463366</v>
      </c>
      <c r="B1528" s="22" t="str">
        <f>"3216190704820015"</f>
        <v>3216190704820015</v>
      </c>
      <c r="C1528" s="22" t="str">
        <f t="shared" si="46"/>
        <v>'3216190704820015</v>
      </c>
      <c r="D1528" s="22" t="str">
        <f t="shared" si="47"/>
        <v>tidak ganda</v>
      </c>
      <c r="E1528" s="22" t="s">
        <v>3454</v>
      </c>
      <c r="F1528" s="22" t="s">
        <v>10</v>
      </c>
      <c r="G1528" s="22" t="s">
        <v>11</v>
      </c>
      <c r="H1528" s="22" t="s">
        <v>91</v>
      </c>
      <c r="I1528" s="22" t="s">
        <v>92</v>
      </c>
      <c r="J1528" s="22" t="s">
        <v>571</v>
      </c>
      <c r="K1528" s="23" t="s">
        <v>572</v>
      </c>
    </row>
    <row r="1529" spans="1:14" hidden="1" x14ac:dyDescent="0.35">
      <c r="A1529" s="21">
        <v>1463367</v>
      </c>
      <c r="B1529" s="22" t="str">
        <f>"3216196412830006"</f>
        <v>3216196412830006</v>
      </c>
      <c r="C1529" s="22" t="str">
        <f t="shared" si="46"/>
        <v>'3216196412830006</v>
      </c>
      <c r="D1529" s="22" t="str">
        <f t="shared" si="47"/>
        <v>tidak ganda</v>
      </c>
      <c r="E1529" s="22" t="s">
        <v>1124</v>
      </c>
      <c r="F1529" s="22" t="s">
        <v>10</v>
      </c>
      <c r="G1529" s="22" t="s">
        <v>11</v>
      </c>
      <c r="H1529" s="22" t="s">
        <v>91</v>
      </c>
      <c r="I1529" s="22" t="s">
        <v>92</v>
      </c>
      <c r="J1529" s="22" t="s">
        <v>571</v>
      </c>
      <c r="K1529" s="23" t="s">
        <v>572</v>
      </c>
    </row>
    <row r="1530" spans="1:14" hidden="1" x14ac:dyDescent="0.35">
      <c r="A1530" s="21">
        <v>2270151</v>
      </c>
      <c r="B1530" s="22" t="str">
        <f>"3301056507990010"</f>
        <v>3301056507990010</v>
      </c>
      <c r="C1530" s="22" t="str">
        <f t="shared" si="46"/>
        <v>'3301056507990010</v>
      </c>
      <c r="D1530" s="22" t="str">
        <f t="shared" si="47"/>
        <v>tidak ganda</v>
      </c>
      <c r="E1530" s="22" t="s">
        <v>3455</v>
      </c>
      <c r="F1530" s="22" t="s">
        <v>10</v>
      </c>
      <c r="G1530" s="22" t="s">
        <v>11</v>
      </c>
      <c r="H1530" s="22" t="s">
        <v>18</v>
      </c>
      <c r="I1530" s="22" t="s">
        <v>19</v>
      </c>
      <c r="J1530" s="22" t="s">
        <v>251</v>
      </c>
      <c r="K1530" s="23" t="s">
        <v>3344</v>
      </c>
      <c r="L1530" t="e">
        <f>VLOOKUP(B1530,ubah!$B$2:$L$234,4,FALSE)</f>
        <v>#N/A</v>
      </c>
      <c r="M1530" t="e">
        <f>VLOOKUP(B1530,ubah!$B$2:$L$234,5,FALSE)</f>
        <v>#N/A</v>
      </c>
      <c r="N1530" t="e">
        <f>VLOOKUP(B1530,ubah!$B$2:$L$234,6,FALSE)</f>
        <v>#N/A</v>
      </c>
    </row>
    <row r="1531" spans="1:14" hidden="1" x14ac:dyDescent="0.35">
      <c r="A1531" s="21">
        <v>2323464</v>
      </c>
      <c r="B1531" s="22" t="str">
        <f>"3305011005830008"</f>
        <v>3305011005830008</v>
      </c>
      <c r="C1531" s="22" t="str">
        <f t="shared" si="46"/>
        <v>'3305011005830008</v>
      </c>
      <c r="D1531" s="22" t="str">
        <f t="shared" si="47"/>
        <v>tidak ganda</v>
      </c>
      <c r="E1531" s="22" t="s">
        <v>3457</v>
      </c>
      <c r="F1531" s="22" t="s">
        <v>10</v>
      </c>
      <c r="G1531" s="22" t="s">
        <v>11</v>
      </c>
      <c r="H1531" s="22" t="s">
        <v>18</v>
      </c>
      <c r="I1531" s="22" t="s">
        <v>19</v>
      </c>
      <c r="J1531" s="22" t="s">
        <v>251</v>
      </c>
      <c r="K1531" s="23" t="s">
        <v>3400</v>
      </c>
      <c r="L1531" t="e">
        <f>VLOOKUP(B1531,ubah!$B$2:$L$234,4,FALSE)</f>
        <v>#N/A</v>
      </c>
      <c r="M1531" t="e">
        <f>VLOOKUP(B1531,ubah!$B$2:$L$234,5,FALSE)</f>
        <v>#N/A</v>
      </c>
      <c r="N1531" t="e">
        <f>VLOOKUP(B1531,ubah!$B$2:$L$234,6,FALSE)</f>
        <v>#N/A</v>
      </c>
    </row>
    <row r="1532" spans="1:14" hidden="1" x14ac:dyDescent="0.35">
      <c r="A1532" s="21">
        <v>2306245</v>
      </c>
      <c r="B1532" s="22" t="str">
        <f>"3307032612740006"</f>
        <v>3307032612740006</v>
      </c>
      <c r="C1532" s="22" t="str">
        <f t="shared" si="46"/>
        <v>'3307032612740006</v>
      </c>
      <c r="D1532" s="22" t="str">
        <f t="shared" si="47"/>
        <v>tidak ganda</v>
      </c>
      <c r="E1532" s="22" t="s">
        <v>3460</v>
      </c>
      <c r="F1532" s="22" t="s">
        <v>10</v>
      </c>
      <c r="G1532" s="22" t="s">
        <v>11</v>
      </c>
      <c r="H1532" s="22" t="s">
        <v>18</v>
      </c>
      <c r="I1532" s="22" t="s">
        <v>19</v>
      </c>
      <c r="J1532" s="22" t="s">
        <v>251</v>
      </c>
      <c r="K1532" s="23" t="s">
        <v>3410</v>
      </c>
      <c r="L1532" t="e">
        <f>VLOOKUP(B1532,ubah!$B$2:$L$234,4,FALSE)</f>
        <v>#N/A</v>
      </c>
      <c r="M1532" t="e">
        <f>VLOOKUP(B1532,ubah!$B$2:$L$234,5,FALSE)</f>
        <v>#N/A</v>
      </c>
      <c r="N1532" t="e">
        <f>VLOOKUP(B1532,ubah!$B$2:$L$234,6,FALSE)</f>
        <v>#N/A</v>
      </c>
    </row>
    <row r="1533" spans="1:14" hidden="1" x14ac:dyDescent="0.35">
      <c r="A1533" s="21">
        <v>1053732</v>
      </c>
      <c r="B1533" s="22" t="str">
        <f>"3308186508890005"</f>
        <v>3308186508890005</v>
      </c>
      <c r="C1533" s="22" t="str">
        <f t="shared" si="46"/>
        <v>'3308186508890005</v>
      </c>
      <c r="D1533" s="22" t="str">
        <f t="shared" si="47"/>
        <v>tidak ganda</v>
      </c>
      <c r="E1533" s="22" t="s">
        <v>3463</v>
      </c>
      <c r="F1533" s="22" t="s">
        <v>10</v>
      </c>
      <c r="G1533" s="22" t="s">
        <v>11</v>
      </c>
      <c r="H1533" s="22" t="s">
        <v>50</v>
      </c>
      <c r="I1533" s="22" t="s">
        <v>86</v>
      </c>
      <c r="J1533" s="22" t="s">
        <v>1268</v>
      </c>
      <c r="K1533" s="23" t="s">
        <v>3464</v>
      </c>
    </row>
    <row r="1534" spans="1:14" hidden="1" x14ac:dyDescent="0.35">
      <c r="A1534" s="21">
        <v>2298990</v>
      </c>
      <c r="B1534" s="22" t="str">
        <f>"3309041001759008"</f>
        <v>3309041001759008</v>
      </c>
      <c r="C1534" s="22" t="str">
        <f t="shared" si="46"/>
        <v>'3309041001759008</v>
      </c>
      <c r="D1534" s="22" t="str">
        <f t="shared" si="47"/>
        <v>tidak ganda</v>
      </c>
      <c r="E1534" s="22" t="s">
        <v>3465</v>
      </c>
      <c r="F1534" s="22" t="s">
        <v>10</v>
      </c>
      <c r="G1534" s="22" t="s">
        <v>11</v>
      </c>
      <c r="H1534" s="22" t="s">
        <v>18</v>
      </c>
      <c r="I1534" s="22" t="s">
        <v>19</v>
      </c>
      <c r="J1534" s="22" t="s">
        <v>251</v>
      </c>
      <c r="K1534" s="23" t="s">
        <v>3410</v>
      </c>
      <c r="L1534" t="e">
        <f>VLOOKUP(B1534,ubah!$B$2:$L$234,4,FALSE)</f>
        <v>#N/A</v>
      </c>
      <c r="M1534" t="e">
        <f>VLOOKUP(B1534,ubah!$B$2:$L$234,5,FALSE)</f>
        <v>#N/A</v>
      </c>
      <c r="N1534" t="e">
        <f>VLOOKUP(B1534,ubah!$B$2:$L$234,6,FALSE)</f>
        <v>#N/A</v>
      </c>
    </row>
    <row r="1535" spans="1:14" hidden="1" x14ac:dyDescent="0.35">
      <c r="A1535" s="21">
        <v>550266</v>
      </c>
      <c r="B1535" s="22" t="str">
        <f>"3310141302890002"</f>
        <v>3310141302890002</v>
      </c>
      <c r="C1535" s="22" t="str">
        <f t="shared" si="46"/>
        <v>'3310141302890002</v>
      </c>
      <c r="D1535" s="22" t="str">
        <f t="shared" si="47"/>
        <v>tidak ganda</v>
      </c>
      <c r="E1535" s="22" t="s">
        <v>3467</v>
      </c>
      <c r="F1535" s="22" t="s">
        <v>10</v>
      </c>
      <c r="G1535" s="22" t="s">
        <v>11</v>
      </c>
      <c r="H1535" s="22" t="s">
        <v>18</v>
      </c>
      <c r="I1535" s="22" t="s">
        <v>385</v>
      </c>
      <c r="J1535" s="22" t="s">
        <v>694</v>
      </c>
      <c r="K1535" s="23" t="s">
        <v>3468</v>
      </c>
    </row>
    <row r="1536" spans="1:14" hidden="1" x14ac:dyDescent="0.35">
      <c r="A1536" s="21">
        <v>135674</v>
      </c>
      <c r="B1536" s="22" t="str">
        <f>"3313045502990001"</f>
        <v>3313045502990001</v>
      </c>
      <c r="C1536" s="22" t="str">
        <f t="shared" si="46"/>
        <v>'3313045502990001</v>
      </c>
      <c r="D1536" s="22" t="str">
        <f t="shared" si="47"/>
        <v>tidak ganda</v>
      </c>
      <c r="E1536" s="22" t="s">
        <v>3469</v>
      </c>
      <c r="F1536" s="22" t="s">
        <v>10</v>
      </c>
      <c r="G1536" s="22" t="s">
        <v>11</v>
      </c>
      <c r="H1536" s="22" t="s">
        <v>18</v>
      </c>
      <c r="I1536" s="22" t="s">
        <v>1381</v>
      </c>
      <c r="J1536" s="22" t="s">
        <v>3470</v>
      </c>
      <c r="K1536" s="23" t="s">
        <v>1666</v>
      </c>
    </row>
    <row r="1537" spans="1:14" hidden="1" x14ac:dyDescent="0.35">
      <c r="A1537" s="21">
        <v>1114829</v>
      </c>
      <c r="B1537" s="22" t="str">
        <f>"3315134107900023"</f>
        <v>3315134107900023</v>
      </c>
      <c r="C1537" s="22" t="str">
        <f t="shared" si="46"/>
        <v>'3315134107900023</v>
      </c>
      <c r="D1537" s="22" t="str">
        <f t="shared" si="47"/>
        <v>tidak ganda</v>
      </c>
      <c r="E1537" s="22" t="s">
        <v>3471</v>
      </c>
      <c r="F1537" s="22" t="s">
        <v>10</v>
      </c>
      <c r="G1537" s="22" t="s">
        <v>11</v>
      </c>
      <c r="H1537" s="22" t="s">
        <v>303</v>
      </c>
      <c r="I1537" s="22" t="s">
        <v>3472</v>
      </c>
      <c r="J1537" s="22" t="s">
        <v>278</v>
      </c>
      <c r="K1537" s="23" t="s">
        <v>1046</v>
      </c>
    </row>
    <row r="1538" spans="1:14" hidden="1" x14ac:dyDescent="0.35">
      <c r="A1538" s="21">
        <v>2270842</v>
      </c>
      <c r="B1538" s="22" t="str">
        <f>"3326016505790003"</f>
        <v>3326016505790003</v>
      </c>
      <c r="C1538" s="22" t="str">
        <f t="shared" si="46"/>
        <v>'3326016505790003</v>
      </c>
      <c r="D1538" s="22" t="str">
        <f t="shared" si="47"/>
        <v>tidak ganda</v>
      </c>
      <c r="E1538" s="22" t="s">
        <v>3478</v>
      </c>
      <c r="F1538" s="22" t="s">
        <v>10</v>
      </c>
      <c r="G1538" s="22" t="s">
        <v>11</v>
      </c>
      <c r="H1538" s="22" t="s">
        <v>18</v>
      </c>
      <c r="I1538" s="22" t="s">
        <v>19</v>
      </c>
      <c r="J1538" s="22" t="s">
        <v>251</v>
      </c>
      <c r="K1538" s="23" t="s">
        <v>3344</v>
      </c>
      <c r="L1538" t="e">
        <f>VLOOKUP(B1538,ubah!$B$2:$L$234,4,FALSE)</f>
        <v>#N/A</v>
      </c>
      <c r="M1538" t="e">
        <f>VLOOKUP(B1538,ubah!$B$2:$L$234,5,FALSE)</f>
        <v>#N/A</v>
      </c>
      <c r="N1538" t="e">
        <f>VLOOKUP(B1538,ubah!$B$2:$L$234,6,FALSE)</f>
        <v>#N/A</v>
      </c>
    </row>
    <row r="1539" spans="1:14" hidden="1" x14ac:dyDescent="0.35">
      <c r="A1539" s="21">
        <v>2276749</v>
      </c>
      <c r="B1539" s="22" t="str">
        <f>"3327043003920003"</f>
        <v>3327043003920003</v>
      </c>
      <c r="C1539" s="22" t="str">
        <f t="shared" ref="C1539:C1602" si="48">"'"&amp;B1539</f>
        <v>'3327043003920003</v>
      </c>
      <c r="D1539" s="22" t="str">
        <f t="shared" ref="D1539:D1602" si="49">IF(COUNTIF($C:$C,C1539)&gt;1,"ganda","tidak ganda")</f>
        <v>tidak ganda</v>
      </c>
      <c r="E1539" s="22" t="s">
        <v>3481</v>
      </c>
      <c r="F1539" s="22" t="s">
        <v>10</v>
      </c>
      <c r="G1539" s="22" t="s">
        <v>11</v>
      </c>
      <c r="H1539" s="22" t="s">
        <v>18</v>
      </c>
      <c r="I1539" s="22" t="s">
        <v>19</v>
      </c>
      <c r="J1539" s="22" t="s">
        <v>251</v>
      </c>
      <c r="K1539" s="23" t="s">
        <v>252</v>
      </c>
      <c r="L1539" t="e">
        <f>VLOOKUP(B1539,ubah!$B$2:$L$234,4,FALSE)</f>
        <v>#N/A</v>
      </c>
      <c r="M1539" t="e">
        <f>VLOOKUP(B1539,ubah!$B$2:$L$234,5,FALSE)</f>
        <v>#N/A</v>
      </c>
      <c r="N1539" t="e">
        <f>VLOOKUP(B1539,ubah!$B$2:$L$234,6,FALSE)</f>
        <v>#N/A</v>
      </c>
    </row>
    <row r="1540" spans="1:14" hidden="1" x14ac:dyDescent="0.35">
      <c r="A1540" s="21">
        <v>387014</v>
      </c>
      <c r="B1540" s="22" t="str">
        <f>"3328090104770003"</f>
        <v>3328090104770003</v>
      </c>
      <c r="C1540" s="22" t="str">
        <f t="shared" si="48"/>
        <v>'3328090104770003</v>
      </c>
      <c r="D1540" s="22" t="str">
        <f t="shared" si="49"/>
        <v>tidak ganda</v>
      </c>
      <c r="E1540" s="22" t="s">
        <v>3484</v>
      </c>
      <c r="F1540" s="22" t="s">
        <v>10</v>
      </c>
      <c r="G1540" s="22" t="s">
        <v>11</v>
      </c>
      <c r="H1540" s="22" t="s">
        <v>18</v>
      </c>
      <c r="I1540" s="22" t="s">
        <v>268</v>
      </c>
      <c r="J1540" s="22" t="s">
        <v>448</v>
      </c>
      <c r="K1540" s="23" t="s">
        <v>2777</v>
      </c>
    </row>
    <row r="1541" spans="1:14" hidden="1" x14ac:dyDescent="0.35">
      <c r="A1541" s="21">
        <v>228229</v>
      </c>
      <c r="B1541" s="22" t="str">
        <f>"3328090602960001"</f>
        <v>3328090602960001</v>
      </c>
      <c r="C1541" s="22" t="str">
        <f t="shared" si="48"/>
        <v>'3328090602960001</v>
      </c>
      <c r="D1541" s="22" t="str">
        <f t="shared" si="49"/>
        <v>tidak ganda</v>
      </c>
      <c r="E1541" s="22" t="s">
        <v>3485</v>
      </c>
      <c r="F1541" s="22" t="s">
        <v>10</v>
      </c>
      <c r="G1541" s="22" t="s">
        <v>11</v>
      </c>
      <c r="H1541" s="22" t="s">
        <v>18</v>
      </c>
      <c r="I1541" s="22" t="s">
        <v>268</v>
      </c>
      <c r="J1541" s="22" t="s">
        <v>371</v>
      </c>
      <c r="K1541" s="23" t="s">
        <v>2346</v>
      </c>
    </row>
    <row r="1542" spans="1:14" hidden="1" x14ac:dyDescent="0.35">
      <c r="A1542" s="21">
        <v>1166978</v>
      </c>
      <c r="B1542" s="22" t="str">
        <f>"3328095306920003"</f>
        <v>3328095306920003</v>
      </c>
      <c r="C1542" s="22" t="str">
        <f t="shared" si="48"/>
        <v>'3328095306920003</v>
      </c>
      <c r="D1542" s="22" t="str">
        <f t="shared" si="49"/>
        <v>tidak ganda</v>
      </c>
      <c r="E1542" s="22" t="s">
        <v>3486</v>
      </c>
      <c r="F1542" s="22" t="s">
        <v>10</v>
      </c>
      <c r="G1542" s="22" t="s">
        <v>11</v>
      </c>
      <c r="H1542" s="22" t="s">
        <v>91</v>
      </c>
      <c r="I1542" s="22" t="s">
        <v>650</v>
      </c>
      <c r="J1542" s="22" t="s">
        <v>3398</v>
      </c>
      <c r="K1542" s="23" t="s">
        <v>3399</v>
      </c>
    </row>
    <row r="1543" spans="1:14" hidden="1" x14ac:dyDescent="0.35">
      <c r="A1543" s="21">
        <v>1350690</v>
      </c>
      <c r="B1543" s="22" t="str">
        <f>"3328100102920004"</f>
        <v>3328100102920004</v>
      </c>
      <c r="C1543" s="22" t="str">
        <f t="shared" si="48"/>
        <v>'3328100102920004</v>
      </c>
      <c r="D1543" s="22" t="str">
        <f t="shared" si="49"/>
        <v>tidak ganda</v>
      </c>
      <c r="E1543" s="22" t="s">
        <v>3487</v>
      </c>
      <c r="F1543" s="22" t="s">
        <v>10</v>
      </c>
      <c r="G1543" s="22" t="s">
        <v>11</v>
      </c>
      <c r="H1543" s="22" t="s">
        <v>91</v>
      </c>
      <c r="I1543" s="22" t="s">
        <v>92</v>
      </c>
      <c r="J1543" s="22" t="s">
        <v>673</v>
      </c>
      <c r="K1543" s="23" t="s">
        <v>674</v>
      </c>
    </row>
    <row r="1544" spans="1:14" hidden="1" x14ac:dyDescent="0.35">
      <c r="A1544" s="21">
        <v>2239118</v>
      </c>
      <c r="B1544" s="22" t="str">
        <f>"3328100110580002"</f>
        <v>3328100110580002</v>
      </c>
      <c r="C1544" s="22" t="str">
        <f t="shared" si="48"/>
        <v>'3328100110580002</v>
      </c>
      <c r="D1544" s="22" t="str">
        <f t="shared" si="49"/>
        <v>tidak ganda</v>
      </c>
      <c r="E1544" s="22" t="s">
        <v>3489</v>
      </c>
      <c r="F1544" s="22" t="s">
        <v>10</v>
      </c>
      <c r="G1544" s="22" t="s">
        <v>11</v>
      </c>
      <c r="H1544" s="22" t="s">
        <v>18</v>
      </c>
      <c r="I1544" s="22" t="s">
        <v>19</v>
      </c>
      <c r="J1544" s="22" t="s">
        <v>251</v>
      </c>
      <c r="K1544" s="23" t="s">
        <v>3432</v>
      </c>
      <c r="L1544" t="e">
        <f>VLOOKUP(B1544,ubah!$B$2:$L$234,4,FALSE)</f>
        <v>#N/A</v>
      </c>
      <c r="M1544" t="e">
        <f>VLOOKUP(B1544,ubah!$B$2:$L$234,5,FALSE)</f>
        <v>#N/A</v>
      </c>
      <c r="N1544" t="e">
        <f>VLOOKUP(B1544,ubah!$B$2:$L$234,6,FALSE)</f>
        <v>#N/A</v>
      </c>
    </row>
    <row r="1545" spans="1:14" hidden="1" x14ac:dyDescent="0.35">
      <c r="A1545" s="21">
        <v>742747</v>
      </c>
      <c r="B1545" s="22" t="str">
        <f>"3328100307930002"</f>
        <v>3328100307930002</v>
      </c>
      <c r="C1545" s="22" t="str">
        <f t="shared" si="48"/>
        <v>'3328100307930002</v>
      </c>
      <c r="D1545" s="22" t="str">
        <f t="shared" si="49"/>
        <v>tidak ganda</v>
      </c>
      <c r="E1545" s="22" t="s">
        <v>3490</v>
      </c>
      <c r="F1545" s="22" t="s">
        <v>10</v>
      </c>
      <c r="G1545" s="22" t="s">
        <v>11</v>
      </c>
      <c r="H1545" s="22" t="s">
        <v>91</v>
      </c>
      <c r="I1545" s="22" t="s">
        <v>159</v>
      </c>
      <c r="J1545" s="22" t="s">
        <v>3107</v>
      </c>
      <c r="K1545" s="23" t="s">
        <v>3491</v>
      </c>
    </row>
    <row r="1546" spans="1:14" hidden="1" x14ac:dyDescent="0.35">
      <c r="A1546" s="21">
        <v>2248196</v>
      </c>
      <c r="B1546" s="22" t="str">
        <f>"3328100607010002"</f>
        <v>3328100607010002</v>
      </c>
      <c r="C1546" s="22" t="str">
        <f t="shared" si="48"/>
        <v>'3328100607010002</v>
      </c>
      <c r="D1546" s="22" t="str">
        <f t="shared" si="49"/>
        <v>ganda</v>
      </c>
      <c r="E1546" s="22" t="s">
        <v>3492</v>
      </c>
      <c r="F1546" s="22" t="s">
        <v>10</v>
      </c>
      <c r="G1546" s="22" t="s">
        <v>11</v>
      </c>
      <c r="H1546" s="22" t="s">
        <v>18</v>
      </c>
      <c r="I1546" s="22" t="s">
        <v>19</v>
      </c>
      <c r="J1546" s="22" t="s">
        <v>251</v>
      </c>
      <c r="K1546" s="23" t="s">
        <v>3493</v>
      </c>
      <c r="L1546" t="e">
        <f>VLOOKUP(B1546,ubah!$B$2:$L$234,4,FALSE)</f>
        <v>#N/A</v>
      </c>
      <c r="M1546" t="e">
        <f>VLOOKUP(B1546,ubah!$B$2:$L$234,5,FALSE)</f>
        <v>#N/A</v>
      </c>
      <c r="N1546" t="e">
        <f>VLOOKUP(B1546,ubah!$B$2:$L$234,6,FALSE)</f>
        <v>#N/A</v>
      </c>
    </row>
    <row r="1547" spans="1:14" hidden="1" x14ac:dyDescent="0.35">
      <c r="A1547" s="21">
        <v>1350415</v>
      </c>
      <c r="B1547" s="22" t="str">
        <f>"3328100607010002"</f>
        <v>3328100607010002</v>
      </c>
      <c r="C1547" s="22" t="str">
        <f t="shared" si="48"/>
        <v>'3328100607010002</v>
      </c>
      <c r="D1547" s="22" t="str">
        <f t="shared" si="49"/>
        <v>ganda</v>
      </c>
      <c r="E1547" s="22" t="s">
        <v>3492</v>
      </c>
      <c r="F1547" s="22" t="s">
        <v>10</v>
      </c>
      <c r="G1547" s="22" t="s">
        <v>57</v>
      </c>
      <c r="H1547" s="22" t="s">
        <v>303</v>
      </c>
      <c r="I1547" s="22" t="s">
        <v>608</v>
      </c>
      <c r="J1547" s="22" t="s">
        <v>609</v>
      </c>
      <c r="K1547" s="23" t="s">
        <v>610</v>
      </c>
    </row>
    <row r="1548" spans="1:14" hidden="1" x14ac:dyDescent="0.35">
      <c r="A1548" s="21">
        <v>2266130</v>
      </c>
      <c r="B1548" s="22" t="str">
        <f>"3328100705850004"</f>
        <v>3328100705850004</v>
      </c>
      <c r="C1548" s="22" t="str">
        <f t="shared" si="48"/>
        <v>'3328100705850004</v>
      </c>
      <c r="D1548" s="22" t="str">
        <f t="shared" si="49"/>
        <v>tidak ganda</v>
      </c>
      <c r="E1548" s="22" t="s">
        <v>3494</v>
      </c>
      <c r="F1548" s="22" t="s">
        <v>10</v>
      </c>
      <c r="G1548" s="22" t="s">
        <v>11</v>
      </c>
      <c r="H1548" s="22" t="s">
        <v>18</v>
      </c>
      <c r="I1548" s="22" t="s">
        <v>19</v>
      </c>
      <c r="J1548" s="22" t="s">
        <v>251</v>
      </c>
      <c r="K1548" s="23" t="s">
        <v>3344</v>
      </c>
      <c r="L1548" t="e">
        <f>VLOOKUP(B1548,ubah!$B$2:$L$234,4,FALSE)</f>
        <v>#N/A</v>
      </c>
      <c r="M1548" t="e">
        <f>VLOOKUP(B1548,ubah!$B$2:$L$234,5,FALSE)</f>
        <v>#N/A</v>
      </c>
      <c r="N1548" t="e">
        <f>VLOOKUP(B1548,ubah!$B$2:$L$234,6,FALSE)</f>
        <v>#N/A</v>
      </c>
    </row>
    <row r="1549" spans="1:14" hidden="1" x14ac:dyDescent="0.35">
      <c r="A1549" s="21">
        <v>2309929</v>
      </c>
      <c r="B1549" s="22" t="str">
        <f>"3328100804900002"</f>
        <v>3328100804900002</v>
      </c>
      <c r="C1549" s="22" t="str">
        <f t="shared" si="48"/>
        <v>'3328100804900002</v>
      </c>
      <c r="D1549" s="22" t="str">
        <f t="shared" si="49"/>
        <v>tidak ganda</v>
      </c>
      <c r="E1549" s="22" t="s">
        <v>3498</v>
      </c>
      <c r="F1549" s="22" t="s">
        <v>10</v>
      </c>
      <c r="G1549" s="22" t="s">
        <v>11</v>
      </c>
      <c r="H1549" s="22" t="s">
        <v>18</v>
      </c>
      <c r="I1549" s="22" t="s">
        <v>19</v>
      </c>
      <c r="J1549" s="22" t="s">
        <v>251</v>
      </c>
      <c r="K1549" s="23" t="s">
        <v>3414</v>
      </c>
      <c r="L1549" t="e">
        <f>VLOOKUP(B1549,ubah!$B$2:$L$234,4,FALSE)</f>
        <v>#N/A</v>
      </c>
      <c r="M1549" t="e">
        <f>VLOOKUP(B1549,ubah!$B$2:$L$234,5,FALSE)</f>
        <v>#N/A</v>
      </c>
      <c r="N1549" t="e">
        <f>VLOOKUP(B1549,ubah!$B$2:$L$234,6,FALSE)</f>
        <v>#N/A</v>
      </c>
    </row>
    <row r="1550" spans="1:14" hidden="1" x14ac:dyDescent="0.35">
      <c r="A1550" s="21">
        <v>2299215</v>
      </c>
      <c r="B1550" s="22" t="str">
        <f>"3328101002880001"</f>
        <v>3328101002880001</v>
      </c>
      <c r="C1550" s="22" t="str">
        <f t="shared" si="48"/>
        <v>'3328101002880001</v>
      </c>
      <c r="D1550" s="22" t="str">
        <f t="shared" si="49"/>
        <v>tidak ganda</v>
      </c>
      <c r="E1550" s="22" t="s">
        <v>3500</v>
      </c>
      <c r="F1550" s="22" t="s">
        <v>10</v>
      </c>
      <c r="G1550" s="22" t="s">
        <v>11</v>
      </c>
      <c r="H1550" s="22" t="s">
        <v>18</v>
      </c>
      <c r="I1550" s="22" t="s">
        <v>19</v>
      </c>
      <c r="J1550" s="22" t="s">
        <v>251</v>
      </c>
      <c r="K1550" s="23" t="s">
        <v>3410</v>
      </c>
      <c r="L1550" t="e">
        <f>VLOOKUP(B1550,ubah!$B$2:$L$234,4,FALSE)</f>
        <v>#N/A</v>
      </c>
      <c r="M1550" t="e">
        <f>VLOOKUP(B1550,ubah!$B$2:$L$234,5,FALSE)</f>
        <v>#N/A</v>
      </c>
      <c r="N1550" t="e">
        <f>VLOOKUP(B1550,ubah!$B$2:$L$234,6,FALSE)</f>
        <v>#N/A</v>
      </c>
    </row>
    <row r="1551" spans="1:14" hidden="1" x14ac:dyDescent="0.35">
      <c r="A1551" s="21">
        <v>70424</v>
      </c>
      <c r="B1551" s="22" t="str">
        <f>"3328101002920006"</f>
        <v>3328101002920006</v>
      </c>
      <c r="C1551" s="22" t="str">
        <f t="shared" si="48"/>
        <v>'3328101002920006</v>
      </c>
      <c r="D1551" s="22" t="str">
        <f t="shared" si="49"/>
        <v>tidak ganda</v>
      </c>
      <c r="E1551" s="22" t="s">
        <v>3502</v>
      </c>
      <c r="F1551" s="22" t="s">
        <v>10</v>
      </c>
      <c r="G1551" s="22" t="s">
        <v>11</v>
      </c>
      <c r="H1551" s="22" t="s">
        <v>1959</v>
      </c>
      <c r="I1551" s="22" t="s">
        <v>3503</v>
      </c>
      <c r="J1551" s="22" t="s">
        <v>3504</v>
      </c>
      <c r="K1551" s="23" t="s">
        <v>3504</v>
      </c>
    </row>
    <row r="1552" spans="1:14" hidden="1" x14ac:dyDescent="0.35">
      <c r="A1552" s="21">
        <v>2314503</v>
      </c>
      <c r="B1552" s="22" t="str">
        <f>"3328101003600002"</f>
        <v>3328101003600002</v>
      </c>
      <c r="C1552" s="22" t="str">
        <f t="shared" si="48"/>
        <v>'3328101003600002</v>
      </c>
      <c r="D1552" s="22" t="str">
        <f t="shared" si="49"/>
        <v>tidak ganda</v>
      </c>
      <c r="E1552" s="22" t="s">
        <v>3505</v>
      </c>
      <c r="F1552" s="22" t="s">
        <v>10</v>
      </c>
      <c r="G1552" s="22" t="s">
        <v>11</v>
      </c>
      <c r="H1552" s="22" t="s">
        <v>18</v>
      </c>
      <c r="I1552" s="22" t="s">
        <v>19</v>
      </c>
      <c r="J1552" s="22" t="s">
        <v>251</v>
      </c>
      <c r="K1552" s="23" t="s">
        <v>3451</v>
      </c>
      <c r="L1552" t="e">
        <f>VLOOKUP(B1552,ubah!$B$2:$L$234,4,FALSE)</f>
        <v>#N/A</v>
      </c>
      <c r="M1552" t="e">
        <f>VLOOKUP(B1552,ubah!$B$2:$L$234,5,FALSE)</f>
        <v>#N/A</v>
      </c>
      <c r="N1552" t="e">
        <f>VLOOKUP(B1552,ubah!$B$2:$L$234,6,FALSE)</f>
        <v>#N/A</v>
      </c>
    </row>
    <row r="1553" spans="1:14" hidden="1" x14ac:dyDescent="0.35">
      <c r="A1553" s="21">
        <v>2313475</v>
      </c>
      <c r="B1553" s="22" t="str">
        <f>"3328101007960004"</f>
        <v>3328101007960004</v>
      </c>
      <c r="C1553" s="22" t="str">
        <f t="shared" si="48"/>
        <v>'3328101007960004</v>
      </c>
      <c r="D1553" s="22" t="str">
        <f t="shared" si="49"/>
        <v>tidak ganda</v>
      </c>
      <c r="E1553" s="22" t="s">
        <v>3506</v>
      </c>
      <c r="F1553" s="22" t="s">
        <v>10</v>
      </c>
      <c r="G1553" s="22" t="s">
        <v>11</v>
      </c>
      <c r="H1553" s="22" t="s">
        <v>18</v>
      </c>
      <c r="I1553" s="22" t="s">
        <v>19</v>
      </c>
      <c r="J1553" s="22" t="s">
        <v>251</v>
      </c>
      <c r="K1553" s="23" t="s">
        <v>3414</v>
      </c>
      <c r="L1553" t="e">
        <f>VLOOKUP(B1553,ubah!$B$2:$L$234,4,FALSE)</f>
        <v>#N/A</v>
      </c>
      <c r="M1553" t="e">
        <f>VLOOKUP(B1553,ubah!$B$2:$L$234,5,FALSE)</f>
        <v>#N/A</v>
      </c>
      <c r="N1553" t="e">
        <f>VLOOKUP(B1553,ubah!$B$2:$L$234,6,FALSE)</f>
        <v>#N/A</v>
      </c>
    </row>
    <row r="1554" spans="1:14" hidden="1" x14ac:dyDescent="0.35">
      <c r="A1554" s="21">
        <v>2326235</v>
      </c>
      <c r="B1554" s="22" t="str">
        <f>"3328101204890007"</f>
        <v>3328101204890007</v>
      </c>
      <c r="C1554" s="22" t="str">
        <f t="shared" si="48"/>
        <v>'3328101204890007</v>
      </c>
      <c r="D1554" s="22" t="str">
        <f t="shared" si="49"/>
        <v>ganda</v>
      </c>
      <c r="E1554" s="22" t="s">
        <v>3509</v>
      </c>
      <c r="F1554" s="22" t="s">
        <v>10</v>
      </c>
      <c r="G1554" s="22" t="s">
        <v>11</v>
      </c>
      <c r="H1554" s="22" t="s">
        <v>18</v>
      </c>
      <c r="I1554" s="22" t="s">
        <v>19</v>
      </c>
      <c r="J1554" s="22" t="s">
        <v>251</v>
      </c>
      <c r="K1554" s="23" t="s">
        <v>3418</v>
      </c>
      <c r="L1554" t="e">
        <f>VLOOKUP(B1554,ubah!$B$2:$L$234,4,FALSE)</f>
        <v>#N/A</v>
      </c>
      <c r="M1554" t="e">
        <f>VLOOKUP(B1554,ubah!$B$2:$L$234,5,FALSE)</f>
        <v>#N/A</v>
      </c>
      <c r="N1554" t="e">
        <f>VLOOKUP(B1554,ubah!$B$2:$L$234,6,FALSE)</f>
        <v>#N/A</v>
      </c>
    </row>
    <row r="1555" spans="1:14" hidden="1" x14ac:dyDescent="0.35">
      <c r="A1555" s="21">
        <v>2613996</v>
      </c>
      <c r="B1555" s="22" t="str">
        <f>"3328101204890007"</f>
        <v>3328101204890007</v>
      </c>
      <c r="C1555" s="22" t="str">
        <f t="shared" si="48"/>
        <v>'3328101204890007</v>
      </c>
      <c r="D1555" s="22" t="str">
        <f t="shared" si="49"/>
        <v>ganda</v>
      </c>
      <c r="E1555" s="22" t="s">
        <v>3510</v>
      </c>
      <c r="F1555" s="22" t="s">
        <v>10</v>
      </c>
      <c r="G1555" s="22" t="s">
        <v>57</v>
      </c>
      <c r="H1555" s="22" t="s">
        <v>18</v>
      </c>
      <c r="I1555" s="22" t="s">
        <v>1438</v>
      </c>
      <c r="J1555" s="22" t="s">
        <v>3511</v>
      </c>
      <c r="K1555" s="23" t="s">
        <v>3086</v>
      </c>
    </row>
    <row r="1556" spans="1:14" hidden="1" x14ac:dyDescent="0.35">
      <c r="A1556" s="21">
        <v>2244469</v>
      </c>
      <c r="B1556" s="22" t="str">
        <f>"3328101308540001"</f>
        <v>3328101308540001</v>
      </c>
      <c r="C1556" s="22" t="str">
        <f t="shared" si="48"/>
        <v>'3328101308540001</v>
      </c>
      <c r="D1556" s="22" t="str">
        <f t="shared" si="49"/>
        <v>tidak ganda</v>
      </c>
      <c r="E1556" s="22" t="s">
        <v>3514</v>
      </c>
      <c r="F1556" s="22" t="s">
        <v>10</v>
      </c>
      <c r="G1556" s="22" t="s">
        <v>11</v>
      </c>
      <c r="H1556" s="22" t="s">
        <v>18</v>
      </c>
      <c r="I1556" s="22" t="s">
        <v>19</v>
      </c>
      <c r="J1556" s="22" t="s">
        <v>251</v>
      </c>
      <c r="K1556" s="23" t="s">
        <v>3432</v>
      </c>
      <c r="L1556" t="e">
        <f>VLOOKUP(B1556,ubah!$B$2:$L$234,4,FALSE)</f>
        <v>#N/A</v>
      </c>
      <c r="M1556" t="e">
        <f>VLOOKUP(B1556,ubah!$B$2:$L$234,5,FALSE)</f>
        <v>#N/A</v>
      </c>
      <c r="N1556" t="e">
        <f>VLOOKUP(B1556,ubah!$B$2:$L$234,6,FALSE)</f>
        <v>#N/A</v>
      </c>
    </row>
    <row r="1557" spans="1:14" hidden="1" x14ac:dyDescent="0.35">
      <c r="A1557" s="21">
        <v>2265528</v>
      </c>
      <c r="B1557" s="22" t="str">
        <f>"3328101611960002"</f>
        <v>3328101611960002</v>
      </c>
      <c r="C1557" s="22" t="str">
        <f t="shared" si="48"/>
        <v>'3328101611960002</v>
      </c>
      <c r="D1557" s="22" t="str">
        <f t="shared" si="49"/>
        <v>tidak ganda</v>
      </c>
      <c r="E1557" s="22" t="s">
        <v>3517</v>
      </c>
      <c r="F1557" s="22" t="s">
        <v>10</v>
      </c>
      <c r="G1557" s="22" t="s">
        <v>11</v>
      </c>
      <c r="H1557" s="22" t="s">
        <v>18</v>
      </c>
      <c r="I1557" s="22" t="s">
        <v>19</v>
      </c>
      <c r="J1557" s="22" t="s">
        <v>251</v>
      </c>
      <c r="K1557" s="23" t="s">
        <v>3344</v>
      </c>
      <c r="L1557" t="e">
        <f>VLOOKUP(B1557,ubah!$B$2:$L$234,4,FALSE)</f>
        <v>#N/A</v>
      </c>
      <c r="M1557" t="e">
        <f>VLOOKUP(B1557,ubah!$B$2:$L$234,5,FALSE)</f>
        <v>#N/A</v>
      </c>
      <c r="N1557" t="e">
        <f>VLOOKUP(B1557,ubah!$B$2:$L$234,6,FALSE)</f>
        <v>#N/A</v>
      </c>
    </row>
    <row r="1558" spans="1:14" hidden="1" x14ac:dyDescent="0.35">
      <c r="A1558" s="21">
        <v>2317458</v>
      </c>
      <c r="B1558" s="22" t="str">
        <f>"3328101704910002"</f>
        <v>3328101704910002</v>
      </c>
      <c r="C1558" s="22" t="str">
        <f t="shared" si="48"/>
        <v>'3328101704910002</v>
      </c>
      <c r="D1558" s="22" t="str">
        <f t="shared" si="49"/>
        <v>tidak ganda</v>
      </c>
      <c r="E1558" s="22" t="s">
        <v>3519</v>
      </c>
      <c r="F1558" s="22" t="s">
        <v>10</v>
      </c>
      <c r="G1558" s="22" t="s">
        <v>11</v>
      </c>
      <c r="H1558" s="22" t="s">
        <v>18</v>
      </c>
      <c r="I1558" s="22" t="s">
        <v>19</v>
      </c>
      <c r="J1558" s="22" t="s">
        <v>251</v>
      </c>
      <c r="K1558" s="23" t="s">
        <v>3451</v>
      </c>
      <c r="L1558" t="e">
        <f>VLOOKUP(B1558,ubah!$B$2:$L$234,4,FALSE)</f>
        <v>#N/A</v>
      </c>
      <c r="M1558" t="e">
        <f>VLOOKUP(B1558,ubah!$B$2:$L$234,5,FALSE)</f>
        <v>#N/A</v>
      </c>
      <c r="N1558" t="e">
        <f>VLOOKUP(B1558,ubah!$B$2:$L$234,6,FALSE)</f>
        <v>#N/A</v>
      </c>
    </row>
    <row r="1559" spans="1:14" hidden="1" x14ac:dyDescent="0.35">
      <c r="A1559" s="21">
        <v>2321105</v>
      </c>
      <c r="B1559" s="22" t="str">
        <f>"3328101803810004"</f>
        <v>3328101803810004</v>
      </c>
      <c r="C1559" s="22" t="str">
        <f t="shared" si="48"/>
        <v>'3328101803810004</v>
      </c>
      <c r="D1559" s="22" t="str">
        <f t="shared" si="49"/>
        <v>tidak ganda</v>
      </c>
      <c r="E1559" s="22" t="s">
        <v>3526</v>
      </c>
      <c r="F1559" s="22" t="s">
        <v>10</v>
      </c>
      <c r="G1559" s="22" t="s">
        <v>11</v>
      </c>
      <c r="H1559" s="22" t="s">
        <v>18</v>
      </c>
      <c r="I1559" s="22" t="s">
        <v>19</v>
      </c>
      <c r="J1559" s="22" t="s">
        <v>251</v>
      </c>
      <c r="K1559" s="23" t="s">
        <v>3400</v>
      </c>
      <c r="L1559" t="e">
        <f>VLOOKUP(B1559,ubah!$B$2:$L$234,4,FALSE)</f>
        <v>#N/A</v>
      </c>
      <c r="M1559" t="e">
        <f>VLOOKUP(B1559,ubah!$B$2:$L$234,5,FALSE)</f>
        <v>#N/A</v>
      </c>
      <c r="N1559" t="e">
        <f>VLOOKUP(B1559,ubah!$B$2:$L$234,6,FALSE)</f>
        <v>#N/A</v>
      </c>
    </row>
    <row r="1560" spans="1:14" hidden="1" x14ac:dyDescent="0.35">
      <c r="A1560" s="21">
        <v>2321891</v>
      </c>
      <c r="B1560" s="22" t="str">
        <f>"3328101911640005"</f>
        <v>3328101911640005</v>
      </c>
      <c r="C1560" s="22" t="str">
        <f t="shared" si="48"/>
        <v>'3328101911640005</v>
      </c>
      <c r="D1560" s="22" t="str">
        <f t="shared" si="49"/>
        <v>tidak ganda</v>
      </c>
      <c r="E1560" s="22" t="s">
        <v>2850</v>
      </c>
      <c r="F1560" s="22" t="s">
        <v>10</v>
      </c>
      <c r="G1560" s="22" t="s">
        <v>11</v>
      </c>
      <c r="H1560" s="22" t="s">
        <v>18</v>
      </c>
      <c r="I1560" s="22" t="s">
        <v>19</v>
      </c>
      <c r="J1560" s="22" t="s">
        <v>251</v>
      </c>
      <c r="K1560" s="23" t="s">
        <v>3400</v>
      </c>
      <c r="L1560" t="e">
        <f>VLOOKUP(B1560,ubah!$B$2:$L$234,4,FALSE)</f>
        <v>#N/A</v>
      </c>
      <c r="M1560" t="e">
        <f>VLOOKUP(B1560,ubah!$B$2:$L$234,5,FALSE)</f>
        <v>#N/A</v>
      </c>
      <c r="N1560" t="e">
        <f>VLOOKUP(B1560,ubah!$B$2:$L$234,6,FALSE)</f>
        <v>#N/A</v>
      </c>
    </row>
    <row r="1561" spans="1:14" hidden="1" x14ac:dyDescent="0.35">
      <c r="A1561" s="21">
        <v>190824</v>
      </c>
      <c r="B1561" s="22" t="str">
        <f>"3328102003000003"</f>
        <v>3328102003000003</v>
      </c>
      <c r="C1561" s="22" t="str">
        <f t="shared" si="48"/>
        <v>'3328102003000003</v>
      </c>
      <c r="D1561" s="22" t="str">
        <f t="shared" si="49"/>
        <v>tidak ganda</v>
      </c>
      <c r="E1561" s="22" t="s">
        <v>3529</v>
      </c>
      <c r="F1561" s="22" t="s">
        <v>10</v>
      </c>
      <c r="G1561" s="22" t="s">
        <v>11</v>
      </c>
      <c r="H1561" s="22" t="s">
        <v>44</v>
      </c>
      <c r="I1561" s="22" t="s">
        <v>1040</v>
      </c>
      <c r="J1561" s="22" t="s">
        <v>3530</v>
      </c>
      <c r="K1561" s="23" t="s">
        <v>3531</v>
      </c>
    </row>
    <row r="1562" spans="1:14" hidden="1" x14ac:dyDescent="0.35">
      <c r="A1562" s="21">
        <v>2247354</v>
      </c>
      <c r="B1562" s="22" t="str">
        <f>"3328102311030002"</f>
        <v>3328102311030002</v>
      </c>
      <c r="C1562" s="22" t="str">
        <f t="shared" si="48"/>
        <v>'3328102311030002</v>
      </c>
      <c r="D1562" s="22" t="str">
        <f t="shared" si="49"/>
        <v>ganda</v>
      </c>
      <c r="E1562" s="22" t="s">
        <v>3534</v>
      </c>
      <c r="F1562" s="22" t="s">
        <v>10</v>
      </c>
      <c r="G1562" s="22" t="s">
        <v>11</v>
      </c>
      <c r="H1562" s="22" t="s">
        <v>18</v>
      </c>
      <c r="I1562" s="22" t="s">
        <v>19</v>
      </c>
      <c r="J1562" s="22" t="s">
        <v>251</v>
      </c>
      <c r="K1562" s="23" t="s">
        <v>3493</v>
      </c>
      <c r="L1562" t="e">
        <f>VLOOKUP(B1562,ubah!$B$2:$L$234,4,FALSE)</f>
        <v>#N/A</v>
      </c>
      <c r="M1562" t="e">
        <f>VLOOKUP(B1562,ubah!$B$2:$L$234,5,FALSE)</f>
        <v>#N/A</v>
      </c>
      <c r="N1562" t="e">
        <f>VLOOKUP(B1562,ubah!$B$2:$L$234,6,FALSE)</f>
        <v>#N/A</v>
      </c>
    </row>
    <row r="1563" spans="1:14" hidden="1" x14ac:dyDescent="0.35">
      <c r="A1563" s="21">
        <v>1350416</v>
      </c>
      <c r="B1563" s="22" t="str">
        <f>"3328102311030002"</f>
        <v>3328102311030002</v>
      </c>
      <c r="C1563" s="22" t="str">
        <f t="shared" si="48"/>
        <v>'3328102311030002</v>
      </c>
      <c r="D1563" s="22" t="str">
        <f t="shared" si="49"/>
        <v>ganda</v>
      </c>
      <c r="E1563" s="22" t="s">
        <v>3534</v>
      </c>
      <c r="F1563" s="22" t="s">
        <v>10</v>
      </c>
      <c r="G1563" s="22" t="s">
        <v>57</v>
      </c>
      <c r="H1563" s="22" t="s">
        <v>303</v>
      </c>
      <c r="I1563" s="22" t="s">
        <v>608</v>
      </c>
      <c r="J1563" s="22" t="s">
        <v>609</v>
      </c>
      <c r="K1563" s="23" t="s">
        <v>610</v>
      </c>
    </row>
    <row r="1564" spans="1:14" hidden="1" x14ac:dyDescent="0.35">
      <c r="A1564" s="21">
        <v>2276536</v>
      </c>
      <c r="B1564" s="22" t="str">
        <f>"3328102403790005"</f>
        <v>3328102403790005</v>
      </c>
      <c r="C1564" s="22" t="str">
        <f t="shared" si="48"/>
        <v>'3328102403790005</v>
      </c>
      <c r="D1564" s="22" t="str">
        <f t="shared" si="49"/>
        <v>ganda</v>
      </c>
      <c r="E1564" s="22" t="s">
        <v>3535</v>
      </c>
      <c r="F1564" s="22" t="s">
        <v>10</v>
      </c>
      <c r="G1564" s="22" t="s">
        <v>11</v>
      </c>
      <c r="H1564" s="22" t="s">
        <v>18</v>
      </c>
      <c r="I1564" s="22" t="s">
        <v>19</v>
      </c>
      <c r="J1564" s="22" t="s">
        <v>251</v>
      </c>
      <c r="K1564" s="23" t="s">
        <v>252</v>
      </c>
      <c r="L1564" t="e">
        <f>VLOOKUP(B1564,ubah!$B$2:$L$234,4,FALSE)</f>
        <v>#N/A</v>
      </c>
      <c r="M1564" t="e">
        <f>VLOOKUP(B1564,ubah!$B$2:$L$234,5,FALSE)</f>
        <v>#N/A</v>
      </c>
      <c r="N1564" t="e">
        <f>VLOOKUP(B1564,ubah!$B$2:$L$234,6,FALSE)</f>
        <v>#N/A</v>
      </c>
    </row>
    <row r="1565" spans="1:14" hidden="1" x14ac:dyDescent="0.35">
      <c r="A1565" s="21">
        <v>423728</v>
      </c>
      <c r="B1565" s="22" t="str">
        <f>"3328102403790005"</f>
        <v>3328102403790005</v>
      </c>
      <c r="C1565" s="22" t="str">
        <f t="shared" si="48"/>
        <v>'3328102403790005</v>
      </c>
      <c r="D1565" s="22" t="str">
        <f t="shared" si="49"/>
        <v>ganda</v>
      </c>
      <c r="E1565" s="22" t="s">
        <v>3536</v>
      </c>
      <c r="F1565" s="22" t="s">
        <v>10</v>
      </c>
      <c r="G1565" s="22" t="s">
        <v>57</v>
      </c>
      <c r="H1565" s="22" t="s">
        <v>18</v>
      </c>
      <c r="I1565" s="22" t="s">
        <v>268</v>
      </c>
      <c r="J1565" s="22" t="s">
        <v>277</v>
      </c>
      <c r="K1565" s="23" t="s">
        <v>278</v>
      </c>
    </row>
    <row r="1566" spans="1:14" hidden="1" x14ac:dyDescent="0.35">
      <c r="A1566" s="21">
        <v>38644</v>
      </c>
      <c r="B1566" s="22" t="str">
        <f>"3328102505930003"</f>
        <v>3328102505930003</v>
      </c>
      <c r="C1566" s="22" t="str">
        <f t="shared" si="48"/>
        <v>'3328102505930003</v>
      </c>
      <c r="D1566" s="22" t="str">
        <f t="shared" si="49"/>
        <v>tidak ganda</v>
      </c>
      <c r="E1566" s="22" t="s">
        <v>3537</v>
      </c>
      <c r="F1566" s="22" t="s">
        <v>10</v>
      </c>
      <c r="G1566" s="22" t="s">
        <v>11</v>
      </c>
      <c r="H1566" s="22" t="s">
        <v>783</v>
      </c>
      <c r="I1566" s="22" t="s">
        <v>784</v>
      </c>
      <c r="J1566" s="22" t="s">
        <v>3538</v>
      </c>
      <c r="K1566" s="23" t="s">
        <v>3539</v>
      </c>
    </row>
    <row r="1567" spans="1:14" hidden="1" x14ac:dyDescent="0.35">
      <c r="A1567" s="21">
        <v>423967</v>
      </c>
      <c r="B1567" s="22" t="str">
        <f>"3328102710750002"</f>
        <v>3328102710750002</v>
      </c>
      <c r="C1567" s="22" t="str">
        <f t="shared" si="48"/>
        <v>'3328102710750002</v>
      </c>
      <c r="D1567" s="22" t="str">
        <f t="shared" si="49"/>
        <v>tidak ganda</v>
      </c>
      <c r="E1567" s="22" t="s">
        <v>3540</v>
      </c>
      <c r="F1567" s="22" t="s">
        <v>10</v>
      </c>
      <c r="G1567" s="22" t="s">
        <v>11</v>
      </c>
      <c r="H1567" s="22" t="s">
        <v>50</v>
      </c>
      <c r="I1567" s="22" t="s">
        <v>86</v>
      </c>
      <c r="J1567" s="22" t="s">
        <v>925</v>
      </c>
      <c r="K1567" s="23" t="s">
        <v>1929</v>
      </c>
    </row>
    <row r="1568" spans="1:14" hidden="1" x14ac:dyDescent="0.35">
      <c r="A1568" s="21">
        <v>128742</v>
      </c>
      <c r="B1568" s="22" t="str">
        <f>"3328102901930004"</f>
        <v>3328102901930004</v>
      </c>
      <c r="C1568" s="22" t="str">
        <f t="shared" si="48"/>
        <v>'3328102901930004</v>
      </c>
      <c r="D1568" s="22" t="str">
        <f t="shared" si="49"/>
        <v>tidak ganda</v>
      </c>
      <c r="E1568" s="22" t="s">
        <v>3541</v>
      </c>
      <c r="F1568" s="22" t="s">
        <v>10</v>
      </c>
      <c r="G1568" s="22" t="s">
        <v>11</v>
      </c>
      <c r="H1568" s="22" t="s">
        <v>18</v>
      </c>
      <c r="I1568" s="22" t="s">
        <v>298</v>
      </c>
      <c r="J1568" s="22" t="s">
        <v>299</v>
      </c>
      <c r="K1568" s="23" t="s">
        <v>300</v>
      </c>
    </row>
    <row r="1569" spans="1:14" hidden="1" x14ac:dyDescent="0.35">
      <c r="A1569" s="21">
        <v>1617161</v>
      </c>
      <c r="B1569" s="22" t="str">
        <f>"3328103011700001"</f>
        <v>3328103011700001</v>
      </c>
      <c r="C1569" s="22" t="str">
        <f t="shared" si="48"/>
        <v>'3328103011700001</v>
      </c>
      <c r="D1569" s="22" t="str">
        <f t="shared" si="49"/>
        <v>tidak ganda</v>
      </c>
      <c r="E1569" s="22" t="s">
        <v>3542</v>
      </c>
      <c r="F1569" s="22" t="s">
        <v>10</v>
      </c>
      <c r="G1569" s="22" t="s">
        <v>11</v>
      </c>
      <c r="H1569" s="22" t="s">
        <v>50</v>
      </c>
      <c r="I1569" s="22" t="s">
        <v>86</v>
      </c>
      <c r="J1569" s="22" t="s">
        <v>445</v>
      </c>
      <c r="K1569" s="23" t="s">
        <v>1947</v>
      </c>
    </row>
    <row r="1570" spans="1:14" hidden="1" x14ac:dyDescent="0.35">
      <c r="A1570" s="21">
        <v>2240001</v>
      </c>
      <c r="B1570" s="22" t="str">
        <f>"3328104503750006"</f>
        <v>3328104503750006</v>
      </c>
      <c r="C1570" s="22" t="str">
        <f t="shared" si="48"/>
        <v>'3328104503750006</v>
      </c>
      <c r="D1570" s="22" t="str">
        <f t="shared" si="49"/>
        <v>ganda</v>
      </c>
      <c r="E1570" s="22" t="s">
        <v>383</v>
      </c>
      <c r="F1570" s="22" t="s">
        <v>10</v>
      </c>
      <c r="G1570" s="22" t="s">
        <v>11</v>
      </c>
      <c r="H1570" s="22" t="s">
        <v>18</v>
      </c>
      <c r="I1570" s="22" t="s">
        <v>19</v>
      </c>
      <c r="J1570" s="22" t="s">
        <v>251</v>
      </c>
      <c r="K1570" s="23" t="s">
        <v>3432</v>
      </c>
      <c r="L1570" t="e">
        <f>VLOOKUP(B1570,ubah!$B$2:$L$234,4,FALSE)</f>
        <v>#N/A</v>
      </c>
      <c r="M1570" t="e">
        <f>VLOOKUP(B1570,ubah!$B$2:$L$234,5,FALSE)</f>
        <v>#N/A</v>
      </c>
      <c r="N1570" t="e">
        <f>VLOOKUP(B1570,ubah!$B$2:$L$234,6,FALSE)</f>
        <v>#N/A</v>
      </c>
    </row>
    <row r="1571" spans="1:14" hidden="1" x14ac:dyDescent="0.35">
      <c r="A1571" s="21">
        <v>1349041</v>
      </c>
      <c r="B1571" s="22" t="str">
        <f>"3328104503750006"</f>
        <v>3328104503750006</v>
      </c>
      <c r="C1571" s="22" t="str">
        <f t="shared" si="48"/>
        <v>'3328104503750006</v>
      </c>
      <c r="D1571" s="22" t="str">
        <f t="shared" si="49"/>
        <v>ganda</v>
      </c>
      <c r="E1571" s="22" t="s">
        <v>3545</v>
      </c>
      <c r="F1571" s="22" t="s">
        <v>10</v>
      </c>
      <c r="G1571" s="22" t="s">
        <v>57</v>
      </c>
      <c r="H1571" s="22" t="s">
        <v>303</v>
      </c>
      <c r="I1571" s="22" t="s">
        <v>608</v>
      </c>
      <c r="J1571" s="22" t="s">
        <v>609</v>
      </c>
      <c r="K1571" s="23" t="s">
        <v>610</v>
      </c>
    </row>
    <row r="1572" spans="1:14" hidden="1" x14ac:dyDescent="0.35">
      <c r="A1572" s="21">
        <v>761582</v>
      </c>
      <c r="B1572" s="22" t="str">
        <f>"3328104509050002"</f>
        <v>3328104509050002</v>
      </c>
      <c r="C1572" s="22" t="str">
        <f t="shared" si="48"/>
        <v>'3328104509050002</v>
      </c>
      <c r="D1572" s="22" t="str">
        <f t="shared" si="49"/>
        <v>tidak ganda</v>
      </c>
      <c r="E1572" s="22" t="s">
        <v>3547</v>
      </c>
      <c r="F1572" s="22" t="s">
        <v>10</v>
      </c>
      <c r="G1572" s="22" t="s">
        <v>57</v>
      </c>
      <c r="H1572" s="22" t="s">
        <v>379</v>
      </c>
      <c r="I1572" s="22" t="s">
        <v>711</v>
      </c>
      <c r="J1572" s="22" t="s">
        <v>1875</v>
      </c>
      <c r="K1572" s="23" t="s">
        <v>1876</v>
      </c>
    </row>
    <row r="1573" spans="1:14" hidden="1" x14ac:dyDescent="0.35">
      <c r="A1573" s="21">
        <v>2324324</v>
      </c>
      <c r="B1573" s="22" t="str">
        <f>"3328104601950006"</f>
        <v>3328104601950006</v>
      </c>
      <c r="C1573" s="22" t="str">
        <f t="shared" si="48"/>
        <v>'3328104601950006</v>
      </c>
      <c r="D1573" s="22" t="str">
        <f t="shared" si="49"/>
        <v>tidak ganda</v>
      </c>
      <c r="E1573" s="22" t="s">
        <v>3548</v>
      </c>
      <c r="F1573" s="22" t="s">
        <v>10</v>
      </c>
      <c r="G1573" s="22" t="s">
        <v>11</v>
      </c>
      <c r="H1573" s="22" t="s">
        <v>18</v>
      </c>
      <c r="I1573" s="22" t="s">
        <v>19</v>
      </c>
      <c r="J1573" s="22" t="s">
        <v>251</v>
      </c>
      <c r="K1573" s="23" t="s">
        <v>3400</v>
      </c>
      <c r="L1573" t="e">
        <f>VLOOKUP(B1573,ubah!$B$2:$L$234,4,FALSE)</f>
        <v>#N/A</v>
      </c>
      <c r="M1573" t="e">
        <f>VLOOKUP(B1573,ubah!$B$2:$L$234,5,FALSE)</f>
        <v>#N/A</v>
      </c>
      <c r="N1573" t="e">
        <f>VLOOKUP(B1573,ubah!$B$2:$L$234,6,FALSE)</f>
        <v>#N/A</v>
      </c>
    </row>
    <row r="1574" spans="1:14" hidden="1" x14ac:dyDescent="0.35">
      <c r="A1574" s="21">
        <v>2323512</v>
      </c>
      <c r="B1574" s="22" t="str">
        <f>"3328104609550001"</f>
        <v>3328104609550001</v>
      </c>
      <c r="C1574" s="22" t="str">
        <f t="shared" si="48"/>
        <v>'3328104609550001</v>
      </c>
      <c r="D1574" s="22" t="str">
        <f t="shared" si="49"/>
        <v>tidak ganda</v>
      </c>
      <c r="E1574" s="22" t="s">
        <v>3552</v>
      </c>
      <c r="F1574" s="22" t="s">
        <v>10</v>
      </c>
      <c r="G1574" s="22" t="s">
        <v>11</v>
      </c>
      <c r="H1574" s="22" t="s">
        <v>18</v>
      </c>
      <c r="I1574" s="22" t="s">
        <v>19</v>
      </c>
      <c r="J1574" s="22" t="s">
        <v>251</v>
      </c>
      <c r="K1574" s="23" t="s">
        <v>3400</v>
      </c>
      <c r="L1574" t="e">
        <f>VLOOKUP(B1574,ubah!$B$2:$L$234,4,FALSE)</f>
        <v>#N/A</v>
      </c>
      <c r="M1574" t="e">
        <f>VLOOKUP(B1574,ubah!$B$2:$L$234,5,FALSE)</f>
        <v>#N/A</v>
      </c>
      <c r="N1574" t="e">
        <f>VLOOKUP(B1574,ubah!$B$2:$L$234,6,FALSE)</f>
        <v>#N/A</v>
      </c>
    </row>
    <row r="1575" spans="1:14" hidden="1" x14ac:dyDescent="0.35">
      <c r="A1575" s="21">
        <v>2317632</v>
      </c>
      <c r="B1575" s="22" t="str">
        <f>"3328104711830002"</f>
        <v>3328104711830002</v>
      </c>
      <c r="C1575" s="22" t="str">
        <f t="shared" si="48"/>
        <v>'3328104711830002</v>
      </c>
      <c r="D1575" s="22" t="str">
        <f t="shared" si="49"/>
        <v>tidak ganda</v>
      </c>
      <c r="E1575" s="22" t="s">
        <v>3553</v>
      </c>
      <c r="F1575" s="22" t="s">
        <v>10</v>
      </c>
      <c r="G1575" s="22" t="s">
        <v>11</v>
      </c>
      <c r="H1575" s="22" t="s">
        <v>18</v>
      </c>
      <c r="I1575" s="22" t="s">
        <v>19</v>
      </c>
      <c r="J1575" s="22" t="s">
        <v>251</v>
      </c>
      <c r="K1575" s="23" t="s">
        <v>3451</v>
      </c>
      <c r="L1575" t="e">
        <f>VLOOKUP(B1575,ubah!$B$2:$L$234,4,FALSE)</f>
        <v>#N/A</v>
      </c>
      <c r="M1575" t="e">
        <f>VLOOKUP(B1575,ubah!$B$2:$L$234,5,FALSE)</f>
        <v>#N/A</v>
      </c>
      <c r="N1575" t="e">
        <f>VLOOKUP(B1575,ubah!$B$2:$L$234,6,FALSE)</f>
        <v>#N/A</v>
      </c>
    </row>
    <row r="1576" spans="1:14" hidden="1" x14ac:dyDescent="0.35">
      <c r="A1576" s="21">
        <v>2277991</v>
      </c>
      <c r="B1576" s="22" t="str">
        <f>"3328104812920001"</f>
        <v>3328104812920001</v>
      </c>
      <c r="C1576" s="22" t="str">
        <f t="shared" si="48"/>
        <v>'3328104812920001</v>
      </c>
      <c r="D1576" s="22" t="str">
        <f t="shared" si="49"/>
        <v>tidak ganda</v>
      </c>
      <c r="E1576" s="22" t="s">
        <v>3556</v>
      </c>
      <c r="F1576" s="22" t="s">
        <v>10</v>
      </c>
      <c r="G1576" s="22" t="s">
        <v>11</v>
      </c>
      <c r="H1576" s="22" t="s">
        <v>18</v>
      </c>
      <c r="I1576" s="22" t="s">
        <v>19</v>
      </c>
      <c r="J1576" s="22" t="s">
        <v>251</v>
      </c>
      <c r="K1576" s="23" t="s">
        <v>252</v>
      </c>
      <c r="L1576" t="e">
        <f>VLOOKUP(B1576,ubah!$B$2:$L$234,4,FALSE)</f>
        <v>#N/A</v>
      </c>
      <c r="M1576" t="e">
        <f>VLOOKUP(B1576,ubah!$B$2:$L$234,5,FALSE)</f>
        <v>#N/A</v>
      </c>
      <c r="N1576" t="e">
        <f>VLOOKUP(B1576,ubah!$B$2:$L$234,6,FALSE)</f>
        <v>#N/A</v>
      </c>
    </row>
    <row r="1577" spans="1:14" hidden="1" x14ac:dyDescent="0.35">
      <c r="A1577" s="21">
        <v>988495</v>
      </c>
      <c r="B1577" s="22" t="str">
        <f>"3328105004860008"</f>
        <v>3328105004860008</v>
      </c>
      <c r="C1577" s="22" t="str">
        <f t="shared" si="48"/>
        <v>'3328105004860008</v>
      </c>
      <c r="D1577" s="22" t="str">
        <f t="shared" si="49"/>
        <v>tidak ganda</v>
      </c>
      <c r="E1577" s="22" t="s">
        <v>3559</v>
      </c>
      <c r="F1577" s="22" t="s">
        <v>10</v>
      </c>
      <c r="G1577" s="22" t="s">
        <v>11</v>
      </c>
      <c r="H1577" s="22" t="s">
        <v>50</v>
      </c>
      <c r="I1577" s="22" t="s">
        <v>72</v>
      </c>
      <c r="J1577" s="22" t="s">
        <v>803</v>
      </c>
      <c r="K1577" s="23" t="s">
        <v>804</v>
      </c>
    </row>
    <row r="1578" spans="1:14" hidden="1" x14ac:dyDescent="0.35">
      <c r="A1578" s="21">
        <v>2323902</v>
      </c>
      <c r="B1578" s="22" t="str">
        <f>"3328105109840004"</f>
        <v>3328105109840004</v>
      </c>
      <c r="C1578" s="22" t="str">
        <f t="shared" si="48"/>
        <v>'3328105109840004</v>
      </c>
      <c r="D1578" s="22" t="str">
        <f t="shared" si="49"/>
        <v>tidak ganda</v>
      </c>
      <c r="E1578" s="22" t="s">
        <v>3560</v>
      </c>
      <c r="F1578" s="22" t="s">
        <v>10</v>
      </c>
      <c r="G1578" s="22" t="s">
        <v>11</v>
      </c>
      <c r="H1578" s="22" t="s">
        <v>18</v>
      </c>
      <c r="I1578" s="22" t="s">
        <v>19</v>
      </c>
      <c r="J1578" s="22" t="s">
        <v>251</v>
      </c>
      <c r="K1578" s="23" t="s">
        <v>3400</v>
      </c>
      <c r="L1578" t="e">
        <f>VLOOKUP(B1578,ubah!$B$2:$L$234,4,FALSE)</f>
        <v>#N/A</v>
      </c>
      <c r="M1578" t="e">
        <f>VLOOKUP(B1578,ubah!$B$2:$L$234,5,FALSE)</f>
        <v>#N/A</v>
      </c>
      <c r="N1578" t="e">
        <f>VLOOKUP(B1578,ubah!$B$2:$L$234,6,FALSE)</f>
        <v>#N/A</v>
      </c>
    </row>
    <row r="1579" spans="1:14" hidden="1" x14ac:dyDescent="0.35">
      <c r="A1579" s="21">
        <v>2266102</v>
      </c>
      <c r="B1579" s="22" t="str">
        <f>"3328105407850002"</f>
        <v>3328105407850002</v>
      </c>
      <c r="C1579" s="22" t="str">
        <f t="shared" si="48"/>
        <v>'3328105407850002</v>
      </c>
      <c r="D1579" s="22" t="str">
        <f t="shared" si="49"/>
        <v>tidak ganda</v>
      </c>
      <c r="E1579" s="22" t="s">
        <v>3566</v>
      </c>
      <c r="F1579" s="22" t="s">
        <v>10</v>
      </c>
      <c r="G1579" s="22" t="s">
        <v>11</v>
      </c>
      <c r="H1579" s="22" t="s">
        <v>18</v>
      </c>
      <c r="I1579" s="22" t="s">
        <v>19</v>
      </c>
      <c r="J1579" s="22" t="s">
        <v>251</v>
      </c>
      <c r="K1579" s="23" t="s">
        <v>3344</v>
      </c>
      <c r="L1579" t="e">
        <f>VLOOKUP(B1579,ubah!$B$2:$L$234,4,FALSE)</f>
        <v>#N/A</v>
      </c>
      <c r="M1579" t="e">
        <f>VLOOKUP(B1579,ubah!$B$2:$L$234,5,FALSE)</f>
        <v>#N/A</v>
      </c>
      <c r="N1579" t="e">
        <f>VLOOKUP(B1579,ubah!$B$2:$L$234,6,FALSE)</f>
        <v>#N/A</v>
      </c>
    </row>
    <row r="1580" spans="1:14" hidden="1" x14ac:dyDescent="0.35">
      <c r="A1580" s="21">
        <v>2301202</v>
      </c>
      <c r="B1580" s="22" t="str">
        <f>"3328105506990002"</f>
        <v>3328105506990002</v>
      </c>
      <c r="C1580" s="22" t="str">
        <f t="shared" si="48"/>
        <v>'3328105506990002</v>
      </c>
      <c r="D1580" s="22" t="str">
        <f t="shared" si="49"/>
        <v>tidak ganda</v>
      </c>
      <c r="E1580" s="22" t="s">
        <v>3571</v>
      </c>
      <c r="F1580" s="22" t="s">
        <v>10</v>
      </c>
      <c r="G1580" s="22" t="s">
        <v>11</v>
      </c>
      <c r="H1580" s="22" t="s">
        <v>18</v>
      </c>
      <c r="I1580" s="22" t="s">
        <v>19</v>
      </c>
      <c r="J1580" s="22" t="s">
        <v>251</v>
      </c>
      <c r="K1580" s="23" t="s">
        <v>3410</v>
      </c>
      <c r="L1580" t="e">
        <f>VLOOKUP(B1580,ubah!$B$2:$L$234,4,FALSE)</f>
        <v>#N/A</v>
      </c>
      <c r="M1580" t="e">
        <f>VLOOKUP(B1580,ubah!$B$2:$L$234,5,FALSE)</f>
        <v>#N/A</v>
      </c>
      <c r="N1580" t="e">
        <f>VLOOKUP(B1580,ubah!$B$2:$L$234,6,FALSE)</f>
        <v>#N/A</v>
      </c>
    </row>
    <row r="1581" spans="1:14" hidden="1" x14ac:dyDescent="0.35">
      <c r="A1581" s="21">
        <v>2305331</v>
      </c>
      <c r="B1581" s="22" t="str">
        <f>"3328105512030008"</f>
        <v>3328105512030008</v>
      </c>
      <c r="C1581" s="22" t="str">
        <f t="shared" si="48"/>
        <v>'3328105512030008</v>
      </c>
      <c r="D1581" s="22" t="str">
        <f t="shared" si="49"/>
        <v>ganda</v>
      </c>
      <c r="E1581" s="22" t="s">
        <v>3576</v>
      </c>
      <c r="F1581" s="22" t="s">
        <v>10</v>
      </c>
      <c r="G1581" s="22" t="s">
        <v>11</v>
      </c>
      <c r="H1581" s="22" t="s">
        <v>18</v>
      </c>
      <c r="I1581" s="22" t="s">
        <v>19</v>
      </c>
      <c r="J1581" s="22" t="s">
        <v>251</v>
      </c>
      <c r="K1581" s="23" t="s">
        <v>3410</v>
      </c>
      <c r="L1581" t="e">
        <f>VLOOKUP(B1581,ubah!$B$2:$L$234,4,FALSE)</f>
        <v>#N/A</v>
      </c>
      <c r="M1581" t="e">
        <f>VLOOKUP(B1581,ubah!$B$2:$L$234,5,FALSE)</f>
        <v>#N/A</v>
      </c>
      <c r="N1581" t="e">
        <f>VLOOKUP(B1581,ubah!$B$2:$L$234,6,FALSE)</f>
        <v>#N/A</v>
      </c>
    </row>
    <row r="1582" spans="1:14" hidden="1" x14ac:dyDescent="0.35">
      <c r="A1582" s="21">
        <v>761638</v>
      </c>
      <c r="B1582" s="22" t="str">
        <f>"3328105512030008"</f>
        <v>3328105512030008</v>
      </c>
      <c r="C1582" s="22" t="str">
        <f t="shared" si="48"/>
        <v>'3328105512030008</v>
      </c>
      <c r="D1582" s="22" t="str">
        <f t="shared" si="49"/>
        <v>ganda</v>
      </c>
      <c r="E1582" s="22" t="s">
        <v>3577</v>
      </c>
      <c r="F1582" s="22" t="s">
        <v>10</v>
      </c>
      <c r="G1582" s="22" t="s">
        <v>57</v>
      </c>
      <c r="H1582" s="22" t="s">
        <v>379</v>
      </c>
      <c r="I1582" s="22" t="s">
        <v>711</v>
      </c>
      <c r="J1582" s="22" t="s">
        <v>1875</v>
      </c>
      <c r="K1582" s="23" t="s">
        <v>1876</v>
      </c>
    </row>
    <row r="1583" spans="1:14" hidden="1" x14ac:dyDescent="0.35">
      <c r="A1583" s="21">
        <v>969326</v>
      </c>
      <c r="B1583" s="22" t="str">
        <f>"3328105702940001"</f>
        <v>3328105702940001</v>
      </c>
      <c r="C1583" s="22" t="str">
        <f t="shared" si="48"/>
        <v>'3328105702940001</v>
      </c>
      <c r="D1583" s="22" t="str">
        <f t="shared" si="49"/>
        <v>tidak ganda</v>
      </c>
      <c r="E1583" s="22" t="s">
        <v>2608</v>
      </c>
      <c r="F1583" s="22" t="s">
        <v>10</v>
      </c>
      <c r="G1583" s="22" t="s">
        <v>11</v>
      </c>
      <c r="H1583" s="22" t="s">
        <v>50</v>
      </c>
      <c r="I1583" s="22" t="s">
        <v>58</v>
      </c>
      <c r="J1583" s="22" t="s">
        <v>406</v>
      </c>
      <c r="K1583" s="23" t="s">
        <v>3434</v>
      </c>
    </row>
    <row r="1584" spans="1:14" hidden="1" x14ac:dyDescent="0.35">
      <c r="A1584" s="21">
        <v>2323920</v>
      </c>
      <c r="B1584" s="22" t="str">
        <f>"3328105703880004"</f>
        <v>3328105703880004</v>
      </c>
      <c r="C1584" s="22" t="str">
        <f t="shared" si="48"/>
        <v>'3328105703880004</v>
      </c>
      <c r="D1584" s="22" t="str">
        <f t="shared" si="49"/>
        <v>tidak ganda</v>
      </c>
      <c r="E1584" s="22" t="s">
        <v>3579</v>
      </c>
      <c r="F1584" s="22" t="s">
        <v>10</v>
      </c>
      <c r="G1584" s="22" t="s">
        <v>11</v>
      </c>
      <c r="H1584" s="22" t="s">
        <v>18</v>
      </c>
      <c r="I1584" s="22" t="s">
        <v>19</v>
      </c>
      <c r="J1584" s="22" t="s">
        <v>251</v>
      </c>
      <c r="K1584" s="23" t="s">
        <v>3400</v>
      </c>
      <c r="L1584" t="e">
        <f>VLOOKUP(B1584,ubah!$B$2:$L$234,4,FALSE)</f>
        <v>#N/A</v>
      </c>
      <c r="M1584" t="e">
        <f>VLOOKUP(B1584,ubah!$B$2:$L$234,5,FALSE)</f>
        <v>#N/A</v>
      </c>
      <c r="N1584" t="e">
        <f>VLOOKUP(B1584,ubah!$B$2:$L$234,6,FALSE)</f>
        <v>#N/A</v>
      </c>
    </row>
    <row r="1585" spans="1:14" hidden="1" x14ac:dyDescent="0.35">
      <c r="A1585" s="21">
        <v>2297427</v>
      </c>
      <c r="B1585" s="22" t="str">
        <f>"3328105706000001"</f>
        <v>3328105706000001</v>
      </c>
      <c r="C1585" s="22" t="str">
        <f t="shared" si="48"/>
        <v>'3328105706000001</v>
      </c>
      <c r="D1585" s="22" t="str">
        <f t="shared" si="49"/>
        <v>tidak ganda</v>
      </c>
      <c r="E1585" s="22" t="s">
        <v>3580</v>
      </c>
      <c r="F1585" s="22" t="s">
        <v>10</v>
      </c>
      <c r="G1585" s="22" t="s">
        <v>11</v>
      </c>
      <c r="H1585" s="22" t="s">
        <v>18</v>
      </c>
      <c r="I1585" s="22" t="s">
        <v>19</v>
      </c>
      <c r="J1585" s="22" t="s">
        <v>251</v>
      </c>
      <c r="K1585" s="23" t="s">
        <v>3410</v>
      </c>
      <c r="L1585" t="e">
        <f>VLOOKUP(B1585,ubah!$B$2:$L$234,4,FALSE)</f>
        <v>#N/A</v>
      </c>
      <c r="M1585" t="e">
        <f>VLOOKUP(B1585,ubah!$B$2:$L$234,5,FALSE)</f>
        <v>#N/A</v>
      </c>
      <c r="N1585" t="e">
        <f>VLOOKUP(B1585,ubah!$B$2:$L$234,6,FALSE)</f>
        <v>#N/A</v>
      </c>
    </row>
    <row r="1586" spans="1:14" hidden="1" x14ac:dyDescent="0.35">
      <c r="A1586" s="21">
        <v>563476</v>
      </c>
      <c r="B1586" s="22" t="str">
        <f>"3328105812020006"</f>
        <v>3328105812020006</v>
      </c>
      <c r="C1586" s="22" t="str">
        <f t="shared" si="48"/>
        <v>'3328105812020006</v>
      </c>
      <c r="D1586" s="22" t="str">
        <f t="shared" si="49"/>
        <v>tidak ganda</v>
      </c>
      <c r="E1586" s="22" t="s">
        <v>3583</v>
      </c>
      <c r="F1586" s="22" t="s">
        <v>10</v>
      </c>
      <c r="G1586" s="22" t="s">
        <v>11</v>
      </c>
      <c r="H1586" s="22" t="s">
        <v>50</v>
      </c>
      <c r="I1586" s="22" t="s">
        <v>86</v>
      </c>
      <c r="J1586" s="22" t="s">
        <v>1463</v>
      </c>
      <c r="K1586" s="23" t="s">
        <v>3584</v>
      </c>
    </row>
    <row r="1587" spans="1:14" hidden="1" x14ac:dyDescent="0.35">
      <c r="A1587" s="21">
        <v>2279130</v>
      </c>
      <c r="B1587" s="22" t="str">
        <f>"3328105909930002"</f>
        <v>3328105909930002</v>
      </c>
      <c r="C1587" s="22" t="str">
        <f t="shared" si="48"/>
        <v>'3328105909930002</v>
      </c>
      <c r="D1587" s="22" t="str">
        <f t="shared" si="49"/>
        <v>ganda</v>
      </c>
      <c r="E1587" s="22" t="s">
        <v>3585</v>
      </c>
      <c r="F1587" s="22" t="s">
        <v>10</v>
      </c>
      <c r="G1587" s="22" t="s">
        <v>11</v>
      </c>
      <c r="H1587" s="22" t="s">
        <v>18</v>
      </c>
      <c r="I1587" s="22" t="s">
        <v>19</v>
      </c>
      <c r="J1587" s="22" t="s">
        <v>251</v>
      </c>
      <c r="K1587" s="23" t="s">
        <v>252</v>
      </c>
      <c r="L1587" t="e">
        <f>VLOOKUP(B1587,ubah!$B$2:$L$234,4,FALSE)</f>
        <v>#N/A</v>
      </c>
      <c r="M1587" t="e">
        <f>VLOOKUP(B1587,ubah!$B$2:$L$234,5,FALSE)</f>
        <v>#N/A</v>
      </c>
      <c r="N1587" t="e">
        <f>VLOOKUP(B1587,ubah!$B$2:$L$234,6,FALSE)</f>
        <v>#N/A</v>
      </c>
    </row>
    <row r="1588" spans="1:14" hidden="1" x14ac:dyDescent="0.35">
      <c r="A1588" s="21">
        <v>423841</v>
      </c>
      <c r="B1588" s="22" t="str">
        <f>"3328105909930002"</f>
        <v>3328105909930002</v>
      </c>
      <c r="C1588" s="22" t="str">
        <f t="shared" si="48"/>
        <v>'3328105909930002</v>
      </c>
      <c r="D1588" s="22" t="str">
        <f t="shared" si="49"/>
        <v>ganda</v>
      </c>
      <c r="E1588" s="22" t="s">
        <v>3586</v>
      </c>
      <c r="F1588" s="22" t="s">
        <v>10</v>
      </c>
      <c r="G1588" s="22" t="s">
        <v>57</v>
      </c>
      <c r="H1588" s="22" t="s">
        <v>18</v>
      </c>
      <c r="I1588" s="22" t="s">
        <v>268</v>
      </c>
      <c r="J1588" s="22" t="s">
        <v>277</v>
      </c>
      <c r="K1588" s="23" t="s">
        <v>278</v>
      </c>
    </row>
    <row r="1589" spans="1:14" hidden="1" x14ac:dyDescent="0.35">
      <c r="A1589" s="21">
        <v>2315298</v>
      </c>
      <c r="B1589" s="22" t="str">
        <f>"3328106111960001"</f>
        <v>3328106111960001</v>
      </c>
      <c r="C1589" s="22" t="str">
        <f t="shared" si="48"/>
        <v>'3328106111960001</v>
      </c>
      <c r="D1589" s="22" t="str">
        <f t="shared" si="49"/>
        <v>tidak ganda</v>
      </c>
      <c r="E1589" s="22" t="s">
        <v>388</v>
      </c>
      <c r="F1589" s="22" t="s">
        <v>10</v>
      </c>
      <c r="G1589" s="22" t="s">
        <v>11</v>
      </c>
      <c r="H1589" s="22" t="s">
        <v>18</v>
      </c>
      <c r="I1589" s="22" t="s">
        <v>19</v>
      </c>
      <c r="J1589" s="22" t="s">
        <v>251</v>
      </c>
      <c r="K1589" s="23" t="s">
        <v>3451</v>
      </c>
      <c r="L1589" t="e">
        <f>VLOOKUP(B1589,ubah!$B$2:$L$234,4,FALSE)</f>
        <v>#N/A</v>
      </c>
      <c r="M1589" t="e">
        <f>VLOOKUP(B1589,ubah!$B$2:$L$234,5,FALSE)</f>
        <v>#N/A</v>
      </c>
      <c r="N1589" t="e">
        <f>VLOOKUP(B1589,ubah!$B$2:$L$234,6,FALSE)</f>
        <v>#N/A</v>
      </c>
    </row>
    <row r="1590" spans="1:14" hidden="1" x14ac:dyDescent="0.35">
      <c r="A1590" s="21">
        <v>2303803</v>
      </c>
      <c r="B1590" s="22" t="str">
        <f>"3328106206920001"</f>
        <v>3328106206920001</v>
      </c>
      <c r="C1590" s="22" t="str">
        <f t="shared" si="48"/>
        <v>'3328106206920001</v>
      </c>
      <c r="D1590" s="22" t="str">
        <f t="shared" si="49"/>
        <v>ganda</v>
      </c>
      <c r="E1590" s="22" t="s">
        <v>3589</v>
      </c>
      <c r="F1590" s="22" t="s">
        <v>10</v>
      </c>
      <c r="G1590" s="22" t="s">
        <v>11</v>
      </c>
      <c r="H1590" s="22" t="s">
        <v>18</v>
      </c>
      <c r="I1590" s="22" t="s">
        <v>19</v>
      </c>
      <c r="J1590" s="22" t="s">
        <v>251</v>
      </c>
      <c r="K1590" s="23" t="s">
        <v>3410</v>
      </c>
      <c r="L1590" t="e">
        <f>VLOOKUP(B1590,ubah!$B$2:$L$234,4,FALSE)</f>
        <v>#N/A</v>
      </c>
      <c r="M1590" t="e">
        <f>VLOOKUP(B1590,ubah!$B$2:$L$234,5,FALSE)</f>
        <v>#N/A</v>
      </c>
      <c r="N1590" t="e">
        <f>VLOOKUP(B1590,ubah!$B$2:$L$234,6,FALSE)</f>
        <v>#N/A</v>
      </c>
    </row>
    <row r="1591" spans="1:14" hidden="1" x14ac:dyDescent="0.35">
      <c r="A1591" s="21">
        <v>762807</v>
      </c>
      <c r="B1591" s="22" t="str">
        <f>"3328106206920001"</f>
        <v>3328106206920001</v>
      </c>
      <c r="C1591" s="22" t="str">
        <f t="shared" si="48"/>
        <v>'3328106206920001</v>
      </c>
      <c r="D1591" s="22" t="str">
        <f t="shared" si="49"/>
        <v>ganda</v>
      </c>
      <c r="E1591" s="22" t="s">
        <v>3590</v>
      </c>
      <c r="F1591" s="22" t="s">
        <v>10</v>
      </c>
      <c r="G1591" s="22" t="s">
        <v>57</v>
      </c>
      <c r="H1591" s="22" t="s">
        <v>379</v>
      </c>
      <c r="I1591" s="22" t="s">
        <v>711</v>
      </c>
      <c r="J1591" s="22" t="s">
        <v>718</v>
      </c>
      <c r="K1591" s="23" t="s">
        <v>719</v>
      </c>
    </row>
    <row r="1592" spans="1:14" hidden="1" x14ac:dyDescent="0.35">
      <c r="A1592" s="21">
        <v>2266291</v>
      </c>
      <c r="B1592" s="22" t="str">
        <f>"3328106206960005"</f>
        <v>3328106206960005</v>
      </c>
      <c r="C1592" s="22" t="str">
        <f t="shared" si="48"/>
        <v>'3328106206960005</v>
      </c>
      <c r="D1592" s="22" t="str">
        <f t="shared" si="49"/>
        <v>tidak ganda</v>
      </c>
      <c r="E1592" s="22" t="s">
        <v>3591</v>
      </c>
      <c r="F1592" s="22" t="s">
        <v>10</v>
      </c>
      <c r="G1592" s="22" t="s">
        <v>11</v>
      </c>
      <c r="H1592" s="22" t="s">
        <v>18</v>
      </c>
      <c r="I1592" s="22" t="s">
        <v>19</v>
      </c>
      <c r="J1592" s="22" t="s">
        <v>251</v>
      </c>
      <c r="K1592" s="23" t="s">
        <v>3344</v>
      </c>
      <c r="L1592" t="e">
        <f>VLOOKUP(B1592,ubah!$B$2:$L$234,4,FALSE)</f>
        <v>#N/A</v>
      </c>
      <c r="M1592" t="e">
        <f>VLOOKUP(B1592,ubah!$B$2:$L$234,5,FALSE)</f>
        <v>#N/A</v>
      </c>
      <c r="N1592" t="e">
        <f>VLOOKUP(B1592,ubah!$B$2:$L$234,6,FALSE)</f>
        <v>#N/A</v>
      </c>
    </row>
    <row r="1593" spans="1:14" hidden="1" x14ac:dyDescent="0.35">
      <c r="A1593" s="21">
        <v>1527676</v>
      </c>
      <c r="B1593" s="22" t="str">
        <f>"3328106407930002"</f>
        <v>3328106407930002</v>
      </c>
      <c r="C1593" s="22" t="str">
        <f t="shared" si="48"/>
        <v>'3328106407930002</v>
      </c>
      <c r="D1593" s="22" t="str">
        <f t="shared" si="49"/>
        <v>tidak ganda</v>
      </c>
      <c r="E1593" s="22" t="s">
        <v>3592</v>
      </c>
      <c r="F1593" s="22" t="s">
        <v>10</v>
      </c>
      <c r="G1593" s="22" t="s">
        <v>11</v>
      </c>
      <c r="H1593" s="22" t="s">
        <v>18</v>
      </c>
      <c r="I1593" s="22" t="s">
        <v>264</v>
      </c>
      <c r="J1593" s="22" t="s">
        <v>330</v>
      </c>
      <c r="K1593" s="23" t="s">
        <v>1942</v>
      </c>
    </row>
    <row r="1594" spans="1:14" hidden="1" x14ac:dyDescent="0.35">
      <c r="A1594" s="21">
        <v>2270886</v>
      </c>
      <c r="B1594" s="22" t="str">
        <f>"3328106612930001"</f>
        <v>3328106612930001</v>
      </c>
      <c r="C1594" s="22" t="str">
        <f t="shared" si="48"/>
        <v>'3328106612930001</v>
      </c>
      <c r="D1594" s="22" t="str">
        <f t="shared" si="49"/>
        <v>tidak ganda</v>
      </c>
      <c r="E1594" s="22" t="s">
        <v>3594</v>
      </c>
      <c r="F1594" s="22" t="s">
        <v>10</v>
      </c>
      <c r="G1594" s="22" t="s">
        <v>11</v>
      </c>
      <c r="H1594" s="22" t="s">
        <v>18</v>
      </c>
      <c r="I1594" s="22" t="s">
        <v>19</v>
      </c>
      <c r="J1594" s="22" t="s">
        <v>251</v>
      </c>
      <c r="K1594" s="23" t="s">
        <v>3344</v>
      </c>
      <c r="L1594" t="e">
        <f>VLOOKUP(B1594,ubah!$B$2:$L$234,4,FALSE)</f>
        <v>#N/A</v>
      </c>
      <c r="M1594" t="e">
        <f>VLOOKUP(B1594,ubah!$B$2:$L$234,5,FALSE)</f>
        <v>#N/A</v>
      </c>
      <c r="N1594" t="e">
        <f>VLOOKUP(B1594,ubah!$B$2:$L$234,6,FALSE)</f>
        <v>#N/A</v>
      </c>
    </row>
    <row r="1595" spans="1:14" hidden="1" x14ac:dyDescent="0.35">
      <c r="A1595" s="21">
        <v>495846</v>
      </c>
      <c r="B1595" s="22" t="str">
        <f>"3329062212950004"</f>
        <v>3329062212950004</v>
      </c>
      <c r="C1595" s="22" t="str">
        <f t="shared" si="48"/>
        <v>'3329062212950004</v>
      </c>
      <c r="D1595" s="22" t="str">
        <f t="shared" si="49"/>
        <v>tidak ganda</v>
      </c>
      <c r="E1595" s="22" t="s">
        <v>3600</v>
      </c>
      <c r="F1595" s="22" t="s">
        <v>10</v>
      </c>
      <c r="G1595" s="22" t="s">
        <v>11</v>
      </c>
      <c r="H1595" s="22" t="s">
        <v>50</v>
      </c>
      <c r="I1595" s="22" t="s">
        <v>280</v>
      </c>
      <c r="J1595" s="22" t="s">
        <v>455</v>
      </c>
      <c r="K1595" s="23" t="s">
        <v>3601</v>
      </c>
    </row>
    <row r="1596" spans="1:14" hidden="1" x14ac:dyDescent="0.35">
      <c r="A1596" s="21">
        <v>1325545</v>
      </c>
      <c r="B1596" s="22" t="str">
        <f>"3329070909830005"</f>
        <v>3329070909830005</v>
      </c>
      <c r="C1596" s="22" t="str">
        <f t="shared" si="48"/>
        <v>'3329070909830005</v>
      </c>
      <c r="D1596" s="22" t="str">
        <f t="shared" si="49"/>
        <v>tidak ganda</v>
      </c>
      <c r="E1596" s="22" t="s">
        <v>3605</v>
      </c>
      <c r="F1596" s="22" t="s">
        <v>10</v>
      </c>
      <c r="G1596" s="22" t="s">
        <v>11</v>
      </c>
      <c r="H1596" s="22" t="s">
        <v>18</v>
      </c>
      <c r="I1596" s="22" t="s">
        <v>264</v>
      </c>
      <c r="J1596" s="22" t="s">
        <v>265</v>
      </c>
      <c r="K1596" s="23" t="s">
        <v>1878</v>
      </c>
    </row>
    <row r="1597" spans="1:14" hidden="1" x14ac:dyDescent="0.35">
      <c r="A1597" s="21">
        <v>1383115</v>
      </c>
      <c r="B1597" s="22" t="str">
        <f>"3329071010920003"</f>
        <v>3329071010920003</v>
      </c>
      <c r="C1597" s="22" t="str">
        <f t="shared" si="48"/>
        <v>'3329071010920003</v>
      </c>
      <c r="D1597" s="22" t="str">
        <f t="shared" si="49"/>
        <v>tidak ganda</v>
      </c>
      <c r="E1597" s="22" t="s">
        <v>3606</v>
      </c>
      <c r="F1597" s="22" t="s">
        <v>10</v>
      </c>
      <c r="G1597" s="22" t="s">
        <v>11</v>
      </c>
      <c r="H1597" s="22" t="s">
        <v>18</v>
      </c>
      <c r="I1597" s="22" t="s">
        <v>264</v>
      </c>
      <c r="J1597" s="22" t="s">
        <v>265</v>
      </c>
      <c r="K1597" s="23" t="s">
        <v>1628</v>
      </c>
    </row>
    <row r="1598" spans="1:14" hidden="1" x14ac:dyDescent="0.35">
      <c r="A1598" s="21">
        <v>1345259</v>
      </c>
      <c r="B1598" s="22" t="str">
        <f>"3329076904900002"</f>
        <v>3329076904900002</v>
      </c>
      <c r="C1598" s="22" t="str">
        <f t="shared" si="48"/>
        <v>'3329076904900002</v>
      </c>
      <c r="D1598" s="22" t="str">
        <f t="shared" si="49"/>
        <v>tidak ganda</v>
      </c>
      <c r="E1598" s="22" t="s">
        <v>3608</v>
      </c>
      <c r="F1598" s="22" t="s">
        <v>10</v>
      </c>
      <c r="G1598" s="22" t="s">
        <v>11</v>
      </c>
      <c r="H1598" s="22" t="s">
        <v>18</v>
      </c>
      <c r="I1598" s="22" t="s">
        <v>264</v>
      </c>
      <c r="J1598" s="22" t="s">
        <v>265</v>
      </c>
      <c r="K1598" s="23" t="s">
        <v>2007</v>
      </c>
    </row>
    <row r="1599" spans="1:14" hidden="1" x14ac:dyDescent="0.35">
      <c r="A1599" s="21">
        <v>632506</v>
      </c>
      <c r="B1599" s="22" t="str">
        <f>"3329091804810009"</f>
        <v>3329091804810009</v>
      </c>
      <c r="C1599" s="22" t="str">
        <f t="shared" si="48"/>
        <v>'3329091804810009</v>
      </c>
      <c r="D1599" s="22" t="str">
        <f t="shared" si="49"/>
        <v>tidak ganda</v>
      </c>
      <c r="E1599" s="22" t="s">
        <v>3610</v>
      </c>
      <c r="F1599" s="22" t="s">
        <v>10</v>
      </c>
      <c r="G1599" s="22" t="s">
        <v>11</v>
      </c>
      <c r="H1599" s="22" t="s">
        <v>18</v>
      </c>
      <c r="I1599" s="22" t="s">
        <v>264</v>
      </c>
      <c r="J1599" s="22" t="s">
        <v>264</v>
      </c>
      <c r="K1599" s="23" t="s">
        <v>595</v>
      </c>
    </row>
    <row r="1600" spans="1:14" hidden="1" x14ac:dyDescent="0.35">
      <c r="A1600" s="21">
        <v>460125</v>
      </c>
      <c r="B1600" s="22" t="str">
        <f>"3329092005870006"</f>
        <v>3329092005870006</v>
      </c>
      <c r="C1600" s="22" t="str">
        <f t="shared" si="48"/>
        <v>'3329092005870006</v>
      </c>
      <c r="D1600" s="22" t="str">
        <f t="shared" si="49"/>
        <v>tidak ganda</v>
      </c>
      <c r="E1600" s="22" t="s">
        <v>3611</v>
      </c>
      <c r="F1600" s="22" t="s">
        <v>10</v>
      </c>
      <c r="G1600" s="22" t="s">
        <v>11</v>
      </c>
      <c r="H1600" s="22" t="s">
        <v>33</v>
      </c>
      <c r="I1600" s="22" t="s">
        <v>2157</v>
      </c>
      <c r="J1600" s="22" t="s">
        <v>3612</v>
      </c>
      <c r="K1600" s="23" t="s">
        <v>3613</v>
      </c>
    </row>
    <row r="1601" spans="1:14" hidden="1" x14ac:dyDescent="0.35">
      <c r="A1601" s="21">
        <v>1448003</v>
      </c>
      <c r="B1601" s="22" t="str">
        <f>"3329100804920003"</f>
        <v>3329100804920003</v>
      </c>
      <c r="C1601" s="22" t="str">
        <f t="shared" si="48"/>
        <v>'3329100804920003</v>
      </c>
      <c r="D1601" s="22" t="str">
        <f t="shared" si="49"/>
        <v>tidak ganda</v>
      </c>
      <c r="E1601" s="22" t="s">
        <v>3614</v>
      </c>
      <c r="F1601" s="22" t="s">
        <v>10</v>
      </c>
      <c r="G1601" s="22" t="s">
        <v>11</v>
      </c>
      <c r="H1601" s="22" t="s">
        <v>18</v>
      </c>
      <c r="I1601" s="22" t="s">
        <v>264</v>
      </c>
      <c r="J1601" s="22" t="s">
        <v>273</v>
      </c>
      <c r="K1601" s="23" t="s">
        <v>875</v>
      </c>
    </row>
    <row r="1602" spans="1:14" hidden="1" x14ac:dyDescent="0.35">
      <c r="A1602" s="21">
        <v>2327289</v>
      </c>
      <c r="B1602" s="22" t="str">
        <f>"3329105201970004"</f>
        <v>3329105201970004</v>
      </c>
      <c r="C1602" s="22" t="str">
        <f t="shared" si="48"/>
        <v>'3329105201970004</v>
      </c>
      <c r="D1602" s="22" t="str">
        <f t="shared" si="49"/>
        <v>tidak ganda</v>
      </c>
      <c r="E1602" s="22" t="s">
        <v>3616</v>
      </c>
      <c r="F1602" s="22" t="s">
        <v>10</v>
      </c>
      <c r="G1602" s="22" t="s">
        <v>11</v>
      </c>
      <c r="H1602" s="22" t="s">
        <v>18</v>
      </c>
      <c r="I1602" s="22" t="s">
        <v>19</v>
      </c>
      <c r="J1602" s="22" t="s">
        <v>251</v>
      </c>
      <c r="K1602" s="23" t="s">
        <v>3418</v>
      </c>
      <c r="L1602" t="e">
        <f>VLOOKUP(B1602,ubah!$B$2:$L$234,4,FALSE)</f>
        <v>#N/A</v>
      </c>
      <c r="M1602" t="e">
        <f>VLOOKUP(B1602,ubah!$B$2:$L$234,5,FALSE)</f>
        <v>#N/A</v>
      </c>
      <c r="N1602" t="e">
        <f>VLOOKUP(B1602,ubah!$B$2:$L$234,6,FALSE)</f>
        <v>#N/A</v>
      </c>
    </row>
    <row r="1603" spans="1:14" hidden="1" x14ac:dyDescent="0.35">
      <c r="A1603" s="21">
        <v>521118</v>
      </c>
      <c r="B1603" s="22" t="str">
        <f>"3329121010720006"</f>
        <v>3329121010720006</v>
      </c>
      <c r="C1603" s="22" t="str">
        <f t="shared" ref="C1603:C1666" si="50">"'"&amp;B1603</f>
        <v>'3329121010720006</v>
      </c>
      <c r="D1603" s="22" t="str">
        <f t="shared" ref="D1603:D1666" si="51">IF(COUNTIF($C:$C,C1603)&gt;1,"ganda","tidak ganda")</f>
        <v>tidak ganda</v>
      </c>
      <c r="E1603" s="22" t="s">
        <v>3617</v>
      </c>
      <c r="F1603" s="22" t="s">
        <v>10</v>
      </c>
      <c r="G1603" s="22" t="s">
        <v>11</v>
      </c>
      <c r="H1603" s="22" t="s">
        <v>18</v>
      </c>
      <c r="I1603" s="22" t="s">
        <v>264</v>
      </c>
      <c r="J1603" s="22" t="s">
        <v>877</v>
      </c>
      <c r="K1603" s="23" t="s">
        <v>3618</v>
      </c>
    </row>
    <row r="1604" spans="1:14" hidden="1" x14ac:dyDescent="0.35">
      <c r="A1604" s="21">
        <v>513812</v>
      </c>
      <c r="B1604" s="22" t="str">
        <f>"3329126909970005"</f>
        <v>3329126909970005</v>
      </c>
      <c r="C1604" s="22" t="str">
        <f t="shared" si="50"/>
        <v>'3329126909970005</v>
      </c>
      <c r="D1604" s="22" t="str">
        <f t="shared" si="51"/>
        <v>tidak ganda</v>
      </c>
      <c r="E1604" s="22" t="s">
        <v>3619</v>
      </c>
      <c r="F1604" s="22" t="s">
        <v>10</v>
      </c>
      <c r="G1604" s="22" t="s">
        <v>11</v>
      </c>
      <c r="H1604" s="22" t="s">
        <v>18</v>
      </c>
      <c r="I1604" s="22" t="s">
        <v>264</v>
      </c>
      <c r="J1604" s="22" t="s">
        <v>877</v>
      </c>
      <c r="K1604" s="23" t="s">
        <v>1992</v>
      </c>
    </row>
    <row r="1605" spans="1:14" hidden="1" x14ac:dyDescent="0.35">
      <c r="A1605" s="21">
        <v>22002</v>
      </c>
      <c r="B1605" s="22" t="str">
        <f>"3329156912920002"</f>
        <v>3329156912920002</v>
      </c>
      <c r="C1605" s="22" t="str">
        <f t="shared" si="50"/>
        <v>'3329156912920002</v>
      </c>
      <c r="D1605" s="22" t="str">
        <f t="shared" si="51"/>
        <v>tidak ganda</v>
      </c>
      <c r="E1605" s="22" t="s">
        <v>3620</v>
      </c>
      <c r="F1605" s="22" t="s">
        <v>10</v>
      </c>
      <c r="G1605" s="22" t="s">
        <v>11</v>
      </c>
      <c r="H1605" s="22" t="s">
        <v>18</v>
      </c>
      <c r="I1605" s="22" t="s">
        <v>264</v>
      </c>
      <c r="J1605" s="22" t="s">
        <v>330</v>
      </c>
      <c r="K1605" s="23" t="s">
        <v>3621</v>
      </c>
    </row>
    <row r="1606" spans="1:14" hidden="1" x14ac:dyDescent="0.35">
      <c r="A1606" s="21">
        <v>1999202</v>
      </c>
      <c r="B1606" s="22" t="str">
        <f>"3374015410900001"</f>
        <v>3374015410900001</v>
      </c>
      <c r="C1606" s="22" t="str">
        <f t="shared" si="50"/>
        <v>'3374015410900001</v>
      </c>
      <c r="D1606" s="22" t="str">
        <f t="shared" si="51"/>
        <v>tidak ganda</v>
      </c>
      <c r="E1606" s="22" t="s">
        <v>3622</v>
      </c>
      <c r="F1606" s="22" t="s">
        <v>10</v>
      </c>
      <c r="G1606" s="22" t="s">
        <v>11</v>
      </c>
      <c r="H1606" s="22" t="s">
        <v>18</v>
      </c>
      <c r="I1606" s="22" t="s">
        <v>1438</v>
      </c>
      <c r="J1606" s="22" t="s">
        <v>3623</v>
      </c>
      <c r="K1606" s="23" t="s">
        <v>3623</v>
      </c>
    </row>
    <row r="1607" spans="1:14" hidden="1" x14ac:dyDescent="0.35">
      <c r="A1607" s="21">
        <v>2515735</v>
      </c>
      <c r="B1607" s="22" t="str">
        <f>"3374061504910002"</f>
        <v>3374061504910002</v>
      </c>
      <c r="C1607" s="22" t="str">
        <f t="shared" si="50"/>
        <v>'3374061504910002</v>
      </c>
      <c r="D1607" s="22" t="str">
        <f t="shared" si="51"/>
        <v>tidak ganda</v>
      </c>
      <c r="E1607" s="22" t="s">
        <v>3624</v>
      </c>
      <c r="F1607" s="22" t="s">
        <v>10</v>
      </c>
      <c r="G1607" s="22" t="s">
        <v>11</v>
      </c>
      <c r="H1607" s="22" t="s">
        <v>18</v>
      </c>
      <c r="I1607" s="22" t="s">
        <v>1438</v>
      </c>
      <c r="J1607" s="22" t="s">
        <v>2738</v>
      </c>
      <c r="K1607" s="23" t="s">
        <v>2745</v>
      </c>
    </row>
    <row r="1608" spans="1:14" hidden="1" x14ac:dyDescent="0.35">
      <c r="A1608" s="21">
        <v>2515734</v>
      </c>
      <c r="B1608" s="22" t="str">
        <f>"3374066801920007"</f>
        <v>3374066801920007</v>
      </c>
      <c r="C1608" s="22" t="str">
        <f t="shared" si="50"/>
        <v>'3374066801920007</v>
      </c>
      <c r="D1608" s="22" t="str">
        <f t="shared" si="51"/>
        <v>tidak ganda</v>
      </c>
      <c r="E1608" s="22" t="s">
        <v>3626</v>
      </c>
      <c r="F1608" s="22" t="s">
        <v>10</v>
      </c>
      <c r="G1608" s="22" t="s">
        <v>11</v>
      </c>
      <c r="H1608" s="22" t="s">
        <v>18</v>
      </c>
      <c r="I1608" s="22" t="s">
        <v>1438</v>
      </c>
      <c r="J1608" s="22" t="s">
        <v>2738</v>
      </c>
      <c r="K1608" s="23" t="s">
        <v>2745</v>
      </c>
    </row>
    <row r="1609" spans="1:14" hidden="1" x14ac:dyDescent="0.35">
      <c r="A1609" s="21">
        <v>335377</v>
      </c>
      <c r="B1609" s="22" t="str">
        <f>"3376010204850003"</f>
        <v>3376010204850003</v>
      </c>
      <c r="C1609" s="22" t="str">
        <f t="shared" si="50"/>
        <v>'3376010204850003</v>
      </c>
      <c r="D1609" s="22" t="str">
        <f t="shared" si="51"/>
        <v>tidak ganda</v>
      </c>
      <c r="E1609" s="22" t="s">
        <v>3628</v>
      </c>
      <c r="F1609" s="22" t="s">
        <v>10</v>
      </c>
      <c r="G1609" s="22" t="s">
        <v>11</v>
      </c>
      <c r="H1609" s="22" t="s">
        <v>18</v>
      </c>
      <c r="I1609" s="22" t="s">
        <v>268</v>
      </c>
      <c r="J1609" s="22" t="s">
        <v>277</v>
      </c>
      <c r="K1609" s="23" t="s">
        <v>278</v>
      </c>
    </row>
    <row r="1610" spans="1:14" hidden="1" x14ac:dyDescent="0.35">
      <c r="A1610" s="21">
        <v>282820</v>
      </c>
      <c r="B1610" s="22" t="str">
        <f>"3376014605960002"</f>
        <v>3376014605960002</v>
      </c>
      <c r="C1610" s="22" t="str">
        <f t="shared" si="50"/>
        <v>'3376014605960002</v>
      </c>
      <c r="D1610" s="22" t="str">
        <f t="shared" si="51"/>
        <v>tidak ganda</v>
      </c>
      <c r="E1610" s="22" t="s">
        <v>3629</v>
      </c>
      <c r="F1610" s="22" t="s">
        <v>10</v>
      </c>
      <c r="G1610" s="22" t="s">
        <v>11</v>
      </c>
      <c r="H1610" s="22" t="s">
        <v>18</v>
      </c>
      <c r="I1610" s="22" t="s">
        <v>268</v>
      </c>
      <c r="J1610" s="22" t="s">
        <v>277</v>
      </c>
      <c r="K1610" s="23" t="s">
        <v>884</v>
      </c>
    </row>
    <row r="1611" spans="1:14" hidden="1" x14ac:dyDescent="0.35">
      <c r="A1611" s="21">
        <v>282822</v>
      </c>
      <c r="B1611" s="22" t="str">
        <f>"3376016101750002"</f>
        <v>3376016101750002</v>
      </c>
      <c r="C1611" s="22" t="str">
        <f t="shared" si="50"/>
        <v>'3376016101750002</v>
      </c>
      <c r="D1611" s="22" t="str">
        <f t="shared" si="51"/>
        <v>tidak ganda</v>
      </c>
      <c r="E1611" s="22" t="s">
        <v>3630</v>
      </c>
      <c r="F1611" s="22" t="s">
        <v>10</v>
      </c>
      <c r="G1611" s="22" t="s">
        <v>11</v>
      </c>
      <c r="H1611" s="22" t="s">
        <v>18</v>
      </c>
      <c r="I1611" s="22" t="s">
        <v>268</v>
      </c>
      <c r="J1611" s="22" t="s">
        <v>277</v>
      </c>
      <c r="K1611" s="23" t="s">
        <v>884</v>
      </c>
    </row>
    <row r="1612" spans="1:14" hidden="1" x14ac:dyDescent="0.35">
      <c r="A1612" s="21">
        <v>320689</v>
      </c>
      <c r="B1612" s="22" t="str">
        <f>"3376016202990001"</f>
        <v>3376016202990001</v>
      </c>
      <c r="C1612" s="22" t="str">
        <f t="shared" si="50"/>
        <v>'3376016202990001</v>
      </c>
      <c r="D1612" s="22" t="str">
        <f t="shared" si="51"/>
        <v>tidak ganda</v>
      </c>
      <c r="E1612" s="22" t="s">
        <v>3631</v>
      </c>
      <c r="F1612" s="22" t="s">
        <v>10</v>
      </c>
      <c r="G1612" s="22" t="s">
        <v>11</v>
      </c>
      <c r="H1612" s="22" t="s">
        <v>18</v>
      </c>
      <c r="I1612" s="22" t="s">
        <v>268</v>
      </c>
      <c r="J1612" s="22" t="s">
        <v>277</v>
      </c>
      <c r="K1612" s="23" t="s">
        <v>278</v>
      </c>
    </row>
    <row r="1613" spans="1:14" hidden="1" x14ac:dyDescent="0.35">
      <c r="A1613" s="21">
        <v>2299214</v>
      </c>
      <c r="B1613" s="22" t="str">
        <f>"3376024808940002"</f>
        <v>3376024808940002</v>
      </c>
      <c r="C1613" s="22" t="str">
        <f t="shared" si="50"/>
        <v>'3376024808940002</v>
      </c>
      <c r="D1613" s="22" t="str">
        <f t="shared" si="51"/>
        <v>tidak ganda</v>
      </c>
      <c r="E1613" s="22" t="s">
        <v>3632</v>
      </c>
      <c r="F1613" s="22" t="s">
        <v>10</v>
      </c>
      <c r="G1613" s="22" t="s">
        <v>11</v>
      </c>
      <c r="H1613" s="22" t="s">
        <v>18</v>
      </c>
      <c r="I1613" s="22" t="s">
        <v>19</v>
      </c>
      <c r="J1613" s="22" t="s">
        <v>251</v>
      </c>
      <c r="K1613" s="23" t="s">
        <v>3410</v>
      </c>
      <c r="L1613" t="e">
        <f>VLOOKUP(B1613,ubah!$B$2:$L$234,4,FALSE)</f>
        <v>#N/A</v>
      </c>
      <c r="M1613" t="e">
        <f>VLOOKUP(B1613,ubah!$B$2:$L$234,5,FALSE)</f>
        <v>#N/A</v>
      </c>
      <c r="N1613" t="e">
        <f>VLOOKUP(B1613,ubah!$B$2:$L$234,6,FALSE)</f>
        <v>#N/A</v>
      </c>
    </row>
    <row r="1614" spans="1:14" hidden="1" x14ac:dyDescent="0.35">
      <c r="A1614" s="21">
        <v>1119191</v>
      </c>
      <c r="B1614" s="22" t="str">
        <f>"3506171809730003"</f>
        <v>3506171809730003</v>
      </c>
      <c r="C1614" s="22" t="str">
        <f t="shared" si="50"/>
        <v>'3506171809730003</v>
      </c>
      <c r="D1614" s="22" t="str">
        <f t="shared" si="51"/>
        <v>tidak ganda</v>
      </c>
      <c r="E1614" s="22" t="s">
        <v>3634</v>
      </c>
      <c r="F1614" s="22" t="s">
        <v>10</v>
      </c>
      <c r="G1614" s="22" t="s">
        <v>11</v>
      </c>
      <c r="H1614" s="22" t="s">
        <v>303</v>
      </c>
      <c r="I1614" s="22" t="s">
        <v>608</v>
      </c>
      <c r="J1614" s="22" t="s">
        <v>3635</v>
      </c>
      <c r="K1614" s="23" t="s">
        <v>3636</v>
      </c>
    </row>
    <row r="1615" spans="1:14" hidden="1" x14ac:dyDescent="0.35">
      <c r="A1615" s="21">
        <v>1122997</v>
      </c>
      <c r="B1615" s="22" t="str">
        <f>"3513191911730001"</f>
        <v>3513191911730001</v>
      </c>
      <c r="C1615" s="22" t="str">
        <f t="shared" si="50"/>
        <v>'3513191911730001</v>
      </c>
      <c r="D1615" s="22" t="str">
        <f t="shared" si="51"/>
        <v>tidak ganda</v>
      </c>
      <c r="E1615" s="22" t="s">
        <v>3637</v>
      </c>
      <c r="F1615" s="22" t="s">
        <v>10</v>
      </c>
      <c r="G1615" s="22" t="s">
        <v>11</v>
      </c>
      <c r="H1615" s="22" t="s">
        <v>303</v>
      </c>
      <c r="I1615" s="22" t="s">
        <v>3638</v>
      </c>
      <c r="J1615" s="22" t="s">
        <v>3639</v>
      </c>
      <c r="K1615" s="23" t="s">
        <v>3640</v>
      </c>
    </row>
    <row r="1616" spans="1:14" hidden="1" x14ac:dyDescent="0.35">
      <c r="A1616" s="21">
        <v>1122998</v>
      </c>
      <c r="B1616" s="22" t="str">
        <f>"3513196803890004"</f>
        <v>3513196803890004</v>
      </c>
      <c r="C1616" s="22" t="str">
        <f t="shared" si="50"/>
        <v>'3513196803890004</v>
      </c>
      <c r="D1616" s="22" t="str">
        <f t="shared" si="51"/>
        <v>tidak ganda</v>
      </c>
      <c r="E1616" s="22" t="s">
        <v>3641</v>
      </c>
      <c r="F1616" s="22" t="s">
        <v>10</v>
      </c>
      <c r="G1616" s="22" t="s">
        <v>11</v>
      </c>
      <c r="H1616" s="22" t="s">
        <v>303</v>
      </c>
      <c r="I1616" s="22" t="s">
        <v>3638</v>
      </c>
      <c r="J1616" s="22" t="s">
        <v>3639</v>
      </c>
      <c r="K1616" s="23" t="s">
        <v>3640</v>
      </c>
    </row>
    <row r="1617" spans="1:14" hidden="1" x14ac:dyDescent="0.35">
      <c r="A1617" s="21">
        <v>2625264</v>
      </c>
      <c r="B1617" s="22" t="str">
        <f>"3671114512980001"</f>
        <v>3671114512980001</v>
      </c>
      <c r="C1617" s="22" t="str">
        <f t="shared" si="50"/>
        <v>'3671114512980001</v>
      </c>
      <c r="D1617" s="22" t="str">
        <f t="shared" si="51"/>
        <v>tidak ganda</v>
      </c>
      <c r="E1617" s="22" t="s">
        <v>3642</v>
      </c>
      <c r="F1617" s="22" t="s">
        <v>10</v>
      </c>
      <c r="G1617" s="22" t="s">
        <v>11</v>
      </c>
      <c r="H1617" s="22" t="s">
        <v>67</v>
      </c>
      <c r="I1617" s="22" t="s">
        <v>512</v>
      </c>
      <c r="J1617" s="22" t="s">
        <v>3643</v>
      </c>
      <c r="K1617" s="23" t="s">
        <v>3644</v>
      </c>
    </row>
    <row r="1618" spans="1:14" hidden="1" x14ac:dyDescent="0.35">
      <c r="A1618" s="21">
        <v>97661</v>
      </c>
      <c r="B1618" s="22" t="str">
        <f>"5271014102910002"</f>
        <v>5271014102910002</v>
      </c>
      <c r="C1618" s="22" t="str">
        <f t="shared" si="50"/>
        <v>'5271014102910002</v>
      </c>
      <c r="D1618" s="22" t="str">
        <f t="shared" si="51"/>
        <v>tidak ganda</v>
      </c>
      <c r="E1618" s="22" t="s">
        <v>3645</v>
      </c>
      <c r="F1618" s="22" t="s">
        <v>10</v>
      </c>
      <c r="G1618" s="22" t="s">
        <v>11</v>
      </c>
      <c r="H1618" s="22" t="s">
        <v>2820</v>
      </c>
      <c r="I1618" s="22" t="s">
        <v>3646</v>
      </c>
      <c r="J1618" s="22" t="s">
        <v>3647</v>
      </c>
      <c r="K1618" s="23" t="s">
        <v>3648</v>
      </c>
    </row>
    <row r="1619" spans="1:14" hidden="1" x14ac:dyDescent="0.35">
      <c r="A1619" s="21">
        <v>408309</v>
      </c>
      <c r="B1619" s="22" t="str">
        <f>"9171025003880004"</f>
        <v>9171025003880004</v>
      </c>
      <c r="C1619" s="22" t="str">
        <f t="shared" si="50"/>
        <v>'9171025003880004</v>
      </c>
      <c r="D1619" s="22" t="str">
        <f t="shared" si="51"/>
        <v>tidak ganda</v>
      </c>
      <c r="E1619" s="22" t="s">
        <v>3650</v>
      </c>
      <c r="F1619" s="22" t="s">
        <v>10</v>
      </c>
      <c r="G1619" s="22" t="s">
        <v>11</v>
      </c>
      <c r="H1619" s="22" t="s">
        <v>783</v>
      </c>
      <c r="I1619" s="22" t="s">
        <v>1112</v>
      </c>
      <c r="J1619" s="22" t="s">
        <v>3651</v>
      </c>
      <c r="K1619" s="23" t="s">
        <v>3652</v>
      </c>
    </row>
    <row r="1620" spans="1:14" hidden="1" x14ac:dyDescent="0.35">
      <c r="A1620" s="21">
        <v>53067</v>
      </c>
      <c r="B1620" s="22" t="str">
        <f>"1203042307031001"</f>
        <v>1203042307031001</v>
      </c>
      <c r="C1620" s="22" t="str">
        <f t="shared" si="50"/>
        <v>'1203042307031001</v>
      </c>
      <c r="D1620" s="22" t="str">
        <f t="shared" si="51"/>
        <v>tidak ganda</v>
      </c>
      <c r="E1620" s="22" t="s">
        <v>3653</v>
      </c>
      <c r="F1620" s="22" t="s">
        <v>10</v>
      </c>
      <c r="G1620" s="22" t="s">
        <v>11</v>
      </c>
      <c r="H1620" s="22" t="s">
        <v>667</v>
      </c>
      <c r="I1620" s="22" t="s">
        <v>3654</v>
      </c>
      <c r="J1620" s="22" t="s">
        <v>3655</v>
      </c>
      <c r="K1620" s="23" t="s">
        <v>3656</v>
      </c>
    </row>
    <row r="1621" spans="1:14" hidden="1" x14ac:dyDescent="0.35">
      <c r="A1621" s="21">
        <v>2091986</v>
      </c>
      <c r="B1621" s="22" t="str">
        <f>"1301032412970003"</f>
        <v>1301032412970003</v>
      </c>
      <c r="C1621" s="22" t="str">
        <f t="shared" si="50"/>
        <v>'1301032412970003</v>
      </c>
      <c r="D1621" s="22" t="str">
        <f t="shared" si="51"/>
        <v>ganda</v>
      </c>
      <c r="E1621" s="22" t="s">
        <v>3659</v>
      </c>
      <c r="F1621" s="22" t="s">
        <v>10</v>
      </c>
      <c r="G1621" s="22" t="s">
        <v>11</v>
      </c>
      <c r="H1621" s="22" t="s">
        <v>18</v>
      </c>
      <c r="I1621" s="22" t="s">
        <v>19</v>
      </c>
      <c r="J1621" s="22" t="s">
        <v>348</v>
      </c>
      <c r="K1621" s="23" t="s">
        <v>3660</v>
      </c>
      <c r="L1621" t="e">
        <f>VLOOKUP(B1621,ubah!$B$2:$L$234,4,FALSE)</f>
        <v>#N/A</v>
      </c>
      <c r="M1621" t="e">
        <f>VLOOKUP(B1621,ubah!$B$2:$L$234,5,FALSE)</f>
        <v>#N/A</v>
      </c>
      <c r="N1621" t="e">
        <f>VLOOKUP(B1621,ubah!$B$2:$L$234,6,FALSE)</f>
        <v>#N/A</v>
      </c>
    </row>
    <row r="1622" spans="1:14" hidden="1" x14ac:dyDescent="0.35">
      <c r="A1622" s="21">
        <v>423792</v>
      </c>
      <c r="B1622" s="22" t="str">
        <f>"1301032412970003"</f>
        <v>1301032412970003</v>
      </c>
      <c r="C1622" s="22" t="str">
        <f t="shared" si="50"/>
        <v>'1301032412970003</v>
      </c>
      <c r="D1622" s="22" t="str">
        <f t="shared" si="51"/>
        <v>ganda</v>
      </c>
      <c r="E1622" s="22" t="s">
        <v>3661</v>
      </c>
      <c r="F1622" s="22" t="s">
        <v>10</v>
      </c>
      <c r="G1622" s="22" t="s">
        <v>57</v>
      </c>
      <c r="H1622" s="22" t="s">
        <v>18</v>
      </c>
      <c r="I1622" s="22" t="s">
        <v>268</v>
      </c>
      <c r="J1622" s="22" t="s">
        <v>277</v>
      </c>
      <c r="K1622" s="23" t="s">
        <v>278</v>
      </c>
    </row>
    <row r="1623" spans="1:14" hidden="1" x14ac:dyDescent="0.35">
      <c r="A1623" s="21">
        <v>475667</v>
      </c>
      <c r="B1623" s="22" t="str">
        <f>"3171071012961003"</f>
        <v>3171071012961003</v>
      </c>
      <c r="C1623" s="22" t="str">
        <f t="shared" si="50"/>
        <v>'3171071012961003</v>
      </c>
      <c r="D1623" s="22" t="str">
        <f t="shared" si="51"/>
        <v>tidak ganda</v>
      </c>
      <c r="E1623" s="22" t="s">
        <v>3662</v>
      </c>
      <c r="F1623" s="22" t="s">
        <v>10</v>
      </c>
      <c r="G1623" s="22" t="s">
        <v>11</v>
      </c>
      <c r="H1623" s="22" t="s">
        <v>50</v>
      </c>
      <c r="I1623" s="22" t="s">
        <v>280</v>
      </c>
      <c r="J1623" s="22" t="s">
        <v>281</v>
      </c>
      <c r="K1623" s="23" t="s">
        <v>3663</v>
      </c>
    </row>
    <row r="1624" spans="1:14" hidden="1" x14ac:dyDescent="0.35">
      <c r="A1624" s="21">
        <v>1296697</v>
      </c>
      <c r="B1624" s="22" t="str">
        <f>"3172035401710006"</f>
        <v>3172035401710006</v>
      </c>
      <c r="C1624" s="22" t="str">
        <f t="shared" si="50"/>
        <v>'3172035401710006</v>
      </c>
      <c r="D1624" s="22" t="str">
        <f t="shared" si="51"/>
        <v>tidak ganda</v>
      </c>
      <c r="E1624" s="22" t="s">
        <v>3665</v>
      </c>
      <c r="F1624" s="22" t="s">
        <v>10</v>
      </c>
      <c r="G1624" s="22" t="s">
        <v>11</v>
      </c>
      <c r="H1624" s="22" t="s">
        <v>50</v>
      </c>
      <c r="I1624" s="22" t="s">
        <v>51</v>
      </c>
      <c r="J1624" s="22" t="s">
        <v>284</v>
      </c>
      <c r="K1624" s="23" t="s">
        <v>2196</v>
      </c>
    </row>
    <row r="1625" spans="1:14" hidden="1" x14ac:dyDescent="0.35">
      <c r="A1625" s="21">
        <v>1310604</v>
      </c>
      <c r="B1625" s="22" t="str">
        <f>"3172036405920009"</f>
        <v>3172036405920009</v>
      </c>
      <c r="C1625" s="22" t="str">
        <f t="shared" si="50"/>
        <v>'3172036405920009</v>
      </c>
      <c r="D1625" s="22" t="str">
        <f t="shared" si="51"/>
        <v>tidak ganda</v>
      </c>
      <c r="E1625" s="22" t="s">
        <v>3667</v>
      </c>
      <c r="F1625" s="22" t="s">
        <v>10</v>
      </c>
      <c r="G1625" s="22" t="s">
        <v>11</v>
      </c>
      <c r="H1625" s="22" t="s">
        <v>50</v>
      </c>
      <c r="I1625" s="22" t="s">
        <v>51</v>
      </c>
      <c r="J1625" s="22" t="s">
        <v>284</v>
      </c>
      <c r="K1625" s="23" t="s">
        <v>285</v>
      </c>
    </row>
    <row r="1626" spans="1:14" hidden="1" x14ac:dyDescent="0.35">
      <c r="A1626" s="21">
        <v>222709</v>
      </c>
      <c r="B1626" s="22" t="str">
        <f>"3174030212860001"</f>
        <v>3174030212860001</v>
      </c>
      <c r="C1626" s="22" t="str">
        <f t="shared" si="50"/>
        <v>'3174030212860001</v>
      </c>
      <c r="D1626" s="22" t="str">
        <f t="shared" si="51"/>
        <v>tidak ganda</v>
      </c>
      <c r="E1626" s="22" t="s">
        <v>3669</v>
      </c>
      <c r="F1626" s="22" t="s">
        <v>10</v>
      </c>
      <c r="G1626" s="22" t="s">
        <v>11</v>
      </c>
      <c r="H1626" s="22" t="s">
        <v>50</v>
      </c>
      <c r="I1626" s="22" t="s">
        <v>58</v>
      </c>
      <c r="J1626" s="22" t="s">
        <v>2527</v>
      </c>
      <c r="K1626" s="23" t="s">
        <v>3671</v>
      </c>
    </row>
    <row r="1627" spans="1:14" hidden="1" x14ac:dyDescent="0.35">
      <c r="A1627" s="21">
        <v>188728</v>
      </c>
      <c r="B1627" s="22" t="str">
        <f>"3174102002860001"</f>
        <v>3174102002860001</v>
      </c>
      <c r="C1627" s="22" t="str">
        <f t="shared" si="50"/>
        <v>'3174102002860001</v>
      </c>
      <c r="D1627" s="22" t="str">
        <f t="shared" si="51"/>
        <v>tidak ganda</v>
      </c>
      <c r="E1627" s="22" t="s">
        <v>3672</v>
      </c>
      <c r="F1627" s="22" t="s">
        <v>10</v>
      </c>
      <c r="G1627" s="22" t="s">
        <v>11</v>
      </c>
      <c r="H1627" s="22" t="s">
        <v>12</v>
      </c>
      <c r="I1627" s="22" t="s">
        <v>3673</v>
      </c>
      <c r="J1627" s="22" t="s">
        <v>3674</v>
      </c>
      <c r="K1627" s="23" t="s">
        <v>3675</v>
      </c>
    </row>
    <row r="1628" spans="1:14" hidden="1" x14ac:dyDescent="0.35">
      <c r="A1628" s="21">
        <v>678355</v>
      </c>
      <c r="B1628" s="22" t="str">
        <f>"3209224810900005"</f>
        <v>3209224810900005</v>
      </c>
      <c r="C1628" s="22" t="str">
        <f t="shared" si="50"/>
        <v>'3209224810900005</v>
      </c>
      <c r="D1628" s="22" t="str">
        <f t="shared" si="51"/>
        <v>tidak ganda</v>
      </c>
      <c r="E1628" s="22" t="s">
        <v>3681</v>
      </c>
      <c r="F1628" s="22" t="s">
        <v>10</v>
      </c>
      <c r="G1628" s="22" t="s">
        <v>11</v>
      </c>
      <c r="H1628" s="22" t="s">
        <v>91</v>
      </c>
      <c r="I1628" s="22" t="s">
        <v>985</v>
      </c>
      <c r="J1628" s="22" t="s">
        <v>3682</v>
      </c>
      <c r="K1628" s="23" t="s">
        <v>3682</v>
      </c>
    </row>
    <row r="1629" spans="1:14" hidden="1" x14ac:dyDescent="0.35">
      <c r="A1629" s="21">
        <v>28971</v>
      </c>
      <c r="B1629" s="22" t="str">
        <f>"3210081411870081"</f>
        <v>3210081411870081</v>
      </c>
      <c r="C1629" s="22" t="str">
        <f t="shared" si="50"/>
        <v>'3210081411870081</v>
      </c>
      <c r="D1629" s="22" t="str">
        <f t="shared" si="51"/>
        <v>tidak ganda</v>
      </c>
      <c r="E1629" s="22" t="s">
        <v>3684</v>
      </c>
      <c r="F1629" s="22" t="s">
        <v>10</v>
      </c>
      <c r="G1629" s="22" t="s">
        <v>11</v>
      </c>
      <c r="H1629" s="22" t="s">
        <v>91</v>
      </c>
      <c r="I1629" s="22" t="s">
        <v>631</v>
      </c>
      <c r="J1629" s="22" t="s">
        <v>3685</v>
      </c>
      <c r="K1629" s="23" t="s">
        <v>3686</v>
      </c>
    </row>
    <row r="1630" spans="1:14" hidden="1" x14ac:dyDescent="0.35">
      <c r="A1630" s="21">
        <v>1283349</v>
      </c>
      <c r="B1630" s="22" t="str">
        <f>"3215043011970001"</f>
        <v>3215043011970001</v>
      </c>
      <c r="C1630" s="22" t="str">
        <f t="shared" si="50"/>
        <v>'3215043011970001</v>
      </c>
      <c r="D1630" s="22" t="str">
        <f t="shared" si="51"/>
        <v>tidak ganda</v>
      </c>
      <c r="E1630" s="22" t="s">
        <v>3689</v>
      </c>
      <c r="F1630" s="22" t="s">
        <v>10</v>
      </c>
      <c r="G1630" s="22" t="s">
        <v>11</v>
      </c>
      <c r="H1630" s="22" t="s">
        <v>91</v>
      </c>
      <c r="I1630" s="22" t="s">
        <v>320</v>
      </c>
      <c r="J1630" s="22" t="s">
        <v>3690</v>
      </c>
      <c r="K1630" s="23" t="s">
        <v>3691</v>
      </c>
    </row>
    <row r="1631" spans="1:14" hidden="1" x14ac:dyDescent="0.35">
      <c r="A1631" s="21">
        <v>2181159</v>
      </c>
      <c r="B1631" s="22" t="str">
        <f>"3216071109830007"</f>
        <v>3216071109830007</v>
      </c>
      <c r="C1631" s="22" t="str">
        <f t="shared" si="50"/>
        <v>'3216071109830007</v>
      </c>
      <c r="D1631" s="22" t="str">
        <f t="shared" si="51"/>
        <v>tidak ganda</v>
      </c>
      <c r="E1631" s="22" t="s">
        <v>3692</v>
      </c>
      <c r="F1631" s="22" t="s">
        <v>10</v>
      </c>
      <c r="G1631" s="22" t="s">
        <v>11</v>
      </c>
      <c r="H1631" s="22" t="s">
        <v>91</v>
      </c>
      <c r="I1631" s="22" t="s">
        <v>92</v>
      </c>
      <c r="J1631" s="22" t="s">
        <v>287</v>
      </c>
      <c r="K1631" s="23" t="s">
        <v>3234</v>
      </c>
    </row>
    <row r="1632" spans="1:14" hidden="1" x14ac:dyDescent="0.35">
      <c r="A1632" s="21">
        <v>1725642</v>
      </c>
      <c r="B1632" s="22" t="str">
        <f>"3216082609790001"</f>
        <v>3216082609790001</v>
      </c>
      <c r="C1632" s="22" t="str">
        <f t="shared" si="50"/>
        <v>'3216082609790001</v>
      </c>
      <c r="D1632" s="22" t="str">
        <f t="shared" si="51"/>
        <v>tidak ganda</v>
      </c>
      <c r="E1632" s="22" t="s">
        <v>3693</v>
      </c>
      <c r="F1632" s="22" t="s">
        <v>10</v>
      </c>
      <c r="G1632" s="22" t="s">
        <v>11</v>
      </c>
      <c r="H1632" s="22" t="s">
        <v>91</v>
      </c>
      <c r="I1632" s="22" t="s">
        <v>92</v>
      </c>
      <c r="J1632" s="22" t="s">
        <v>105</v>
      </c>
      <c r="K1632" s="23" t="s">
        <v>3694</v>
      </c>
    </row>
    <row r="1633" spans="1:14" hidden="1" x14ac:dyDescent="0.35">
      <c r="A1633" s="21">
        <v>1725643</v>
      </c>
      <c r="B1633" s="22" t="str">
        <f>"3216086210810003"</f>
        <v>3216086210810003</v>
      </c>
      <c r="C1633" s="22" t="str">
        <f t="shared" si="50"/>
        <v>'3216086210810003</v>
      </c>
      <c r="D1633" s="22" t="str">
        <f t="shared" si="51"/>
        <v>tidak ganda</v>
      </c>
      <c r="E1633" s="22" t="s">
        <v>3697</v>
      </c>
      <c r="F1633" s="22" t="s">
        <v>10</v>
      </c>
      <c r="G1633" s="22" t="s">
        <v>11</v>
      </c>
      <c r="H1633" s="22" t="s">
        <v>91</v>
      </c>
      <c r="I1633" s="22" t="s">
        <v>92</v>
      </c>
      <c r="J1633" s="22" t="s">
        <v>105</v>
      </c>
      <c r="K1633" s="23" t="s">
        <v>3694</v>
      </c>
    </row>
    <row r="1634" spans="1:14" hidden="1" x14ac:dyDescent="0.35">
      <c r="A1634" s="21">
        <v>454062</v>
      </c>
      <c r="B1634" s="22" t="str">
        <f>"3216160203950004"</f>
        <v>3216160203950004</v>
      </c>
      <c r="C1634" s="22" t="str">
        <f t="shared" si="50"/>
        <v>'3216160203950004</v>
      </c>
      <c r="D1634" s="22" t="str">
        <f t="shared" si="51"/>
        <v>tidak ganda</v>
      </c>
      <c r="E1634" s="22" t="s">
        <v>3699</v>
      </c>
      <c r="F1634" s="22" t="s">
        <v>10</v>
      </c>
      <c r="G1634" s="22" t="s">
        <v>11</v>
      </c>
      <c r="H1634" s="22" t="s">
        <v>91</v>
      </c>
      <c r="I1634" s="22" t="s">
        <v>92</v>
      </c>
      <c r="J1634" s="22" t="s">
        <v>3700</v>
      </c>
      <c r="K1634" s="23" t="s">
        <v>3701</v>
      </c>
    </row>
    <row r="1635" spans="1:14" hidden="1" x14ac:dyDescent="0.35">
      <c r="A1635" s="21">
        <v>1206986</v>
      </c>
      <c r="B1635" s="22" t="str">
        <f>"3216175207840005"</f>
        <v>3216175207840005</v>
      </c>
      <c r="C1635" s="22" t="str">
        <f t="shared" si="50"/>
        <v>'3216175207840005</v>
      </c>
      <c r="D1635" s="22" t="str">
        <f t="shared" si="51"/>
        <v>tidak ganda</v>
      </c>
      <c r="E1635" s="22" t="s">
        <v>3702</v>
      </c>
      <c r="F1635" s="22" t="s">
        <v>10</v>
      </c>
      <c r="G1635" s="22" t="s">
        <v>11</v>
      </c>
      <c r="H1635" s="22" t="s">
        <v>91</v>
      </c>
      <c r="I1635" s="22" t="s">
        <v>92</v>
      </c>
      <c r="J1635" s="22" t="s">
        <v>3703</v>
      </c>
      <c r="K1635" s="23" t="s">
        <v>3704</v>
      </c>
    </row>
    <row r="1636" spans="1:14" hidden="1" x14ac:dyDescent="0.35">
      <c r="A1636" s="21">
        <v>61912</v>
      </c>
      <c r="B1636" s="22" t="str">
        <f>"3275031207820053"</f>
        <v>3275031207820053</v>
      </c>
      <c r="C1636" s="22" t="str">
        <f t="shared" si="50"/>
        <v>'3275031207820053</v>
      </c>
      <c r="D1636" s="22" t="str">
        <f t="shared" si="51"/>
        <v>tidak ganda</v>
      </c>
      <c r="E1636" s="22" t="s">
        <v>3706</v>
      </c>
      <c r="F1636" s="22" t="s">
        <v>10</v>
      </c>
      <c r="G1636" s="22" t="s">
        <v>11</v>
      </c>
      <c r="H1636" s="22" t="s">
        <v>91</v>
      </c>
      <c r="I1636" s="22" t="s">
        <v>159</v>
      </c>
      <c r="J1636" s="22" t="s">
        <v>1828</v>
      </c>
      <c r="K1636" s="23" t="s">
        <v>3707</v>
      </c>
    </row>
    <row r="1637" spans="1:14" hidden="1" x14ac:dyDescent="0.35">
      <c r="A1637" s="21">
        <v>2134796</v>
      </c>
      <c r="B1637" s="22" t="str">
        <f>"3275055909990014"</f>
        <v>3275055909990014</v>
      </c>
      <c r="C1637" s="22" t="str">
        <f t="shared" si="50"/>
        <v>'3275055909990014</v>
      </c>
      <c r="D1637" s="22" t="str">
        <f t="shared" si="51"/>
        <v>tidak ganda</v>
      </c>
      <c r="E1637" s="22" t="s">
        <v>3708</v>
      </c>
      <c r="F1637" s="22" t="s">
        <v>10</v>
      </c>
      <c r="G1637" s="22" t="s">
        <v>11</v>
      </c>
      <c r="H1637" s="22" t="s">
        <v>18</v>
      </c>
      <c r="I1637" s="22" t="s">
        <v>19</v>
      </c>
      <c r="J1637" s="22" t="s">
        <v>348</v>
      </c>
      <c r="K1637" s="23" t="s">
        <v>3677</v>
      </c>
      <c r="L1637" t="e">
        <f>VLOOKUP(B1637,ubah!$B$2:$L$234,4,FALSE)</f>
        <v>#N/A</v>
      </c>
      <c r="M1637" t="e">
        <f>VLOOKUP(B1637,ubah!$B$2:$L$234,5,FALSE)</f>
        <v>#N/A</v>
      </c>
      <c r="N1637" t="e">
        <f>VLOOKUP(B1637,ubah!$B$2:$L$234,6,FALSE)</f>
        <v>#N/A</v>
      </c>
    </row>
    <row r="1638" spans="1:14" hidden="1" x14ac:dyDescent="0.35">
      <c r="A1638" s="21">
        <v>198447</v>
      </c>
      <c r="B1638" s="22" t="str">
        <f>"3276020306810021"</f>
        <v>3276020306810021</v>
      </c>
      <c r="C1638" s="22" t="str">
        <f t="shared" si="50"/>
        <v>'3276020306810021</v>
      </c>
      <c r="D1638" s="22" t="str">
        <f t="shared" si="51"/>
        <v>tidak ganda</v>
      </c>
      <c r="E1638" s="22" t="s">
        <v>3710</v>
      </c>
      <c r="F1638" s="22" t="s">
        <v>10</v>
      </c>
      <c r="G1638" s="22" t="s">
        <v>11</v>
      </c>
      <c r="H1638" s="22" t="s">
        <v>91</v>
      </c>
      <c r="I1638" s="22" t="s">
        <v>903</v>
      </c>
      <c r="J1638" s="22" t="s">
        <v>915</v>
      </c>
      <c r="K1638" s="23" t="s">
        <v>1410</v>
      </c>
    </row>
    <row r="1639" spans="1:14" hidden="1" x14ac:dyDescent="0.35">
      <c r="A1639" s="21">
        <v>2160243</v>
      </c>
      <c r="B1639" s="22" t="str">
        <f>"3301102901880003"</f>
        <v>3301102901880003</v>
      </c>
      <c r="C1639" s="22" t="str">
        <f t="shared" si="50"/>
        <v>'3301102901880003</v>
      </c>
      <c r="D1639" s="22" t="str">
        <f t="shared" si="51"/>
        <v>tidak ganda</v>
      </c>
      <c r="E1639" s="22" t="s">
        <v>3712</v>
      </c>
      <c r="F1639" s="22" t="s">
        <v>10</v>
      </c>
      <c r="G1639" s="22" t="s">
        <v>11</v>
      </c>
      <c r="H1639" s="22" t="s">
        <v>18</v>
      </c>
      <c r="I1639" s="22" t="s">
        <v>19</v>
      </c>
      <c r="J1639" s="22" t="s">
        <v>348</v>
      </c>
      <c r="K1639" s="23" t="s">
        <v>3696</v>
      </c>
      <c r="L1639" t="e">
        <f>VLOOKUP(B1639,ubah!$B$2:$L$234,4,FALSE)</f>
        <v>#N/A</v>
      </c>
      <c r="M1639" t="e">
        <f>VLOOKUP(B1639,ubah!$B$2:$L$234,5,FALSE)</f>
        <v>#N/A</v>
      </c>
      <c r="N1639" t="e">
        <f>VLOOKUP(B1639,ubah!$B$2:$L$234,6,FALSE)</f>
        <v>#N/A</v>
      </c>
    </row>
    <row r="1640" spans="1:14" hidden="1" x14ac:dyDescent="0.35">
      <c r="A1640" s="21">
        <v>276897</v>
      </c>
      <c r="B1640" s="22" t="str">
        <f>"3305202312920001"</f>
        <v>3305202312920001</v>
      </c>
      <c r="C1640" s="22" t="str">
        <f t="shared" si="50"/>
        <v>'3305202312920001</v>
      </c>
      <c r="D1640" s="22" t="str">
        <f t="shared" si="51"/>
        <v>tidak ganda</v>
      </c>
      <c r="E1640" s="22" t="s">
        <v>3715</v>
      </c>
      <c r="F1640" s="22" t="s">
        <v>10</v>
      </c>
      <c r="G1640" s="22" t="s">
        <v>11</v>
      </c>
      <c r="H1640" s="22" t="s">
        <v>18</v>
      </c>
      <c r="I1640" s="22" t="s">
        <v>268</v>
      </c>
      <c r="J1640" s="22" t="s">
        <v>277</v>
      </c>
      <c r="K1640" s="23" t="s">
        <v>3326</v>
      </c>
    </row>
    <row r="1641" spans="1:14" hidden="1" x14ac:dyDescent="0.35">
      <c r="A1641" s="21">
        <v>2377104</v>
      </c>
      <c r="B1641" s="22" t="str">
        <f>"3325056604900001"</f>
        <v>3325056604900001</v>
      </c>
      <c r="C1641" s="22" t="str">
        <f t="shared" si="50"/>
        <v>'3325056604900001</v>
      </c>
      <c r="D1641" s="22" t="str">
        <f t="shared" si="51"/>
        <v>tidak ganda</v>
      </c>
      <c r="E1641" s="22" t="s">
        <v>3117</v>
      </c>
      <c r="F1641" s="22" t="s">
        <v>10</v>
      </c>
      <c r="G1641" s="22" t="s">
        <v>11</v>
      </c>
      <c r="H1641" s="22" t="s">
        <v>18</v>
      </c>
      <c r="I1641" s="22" t="s">
        <v>19</v>
      </c>
      <c r="J1641" s="22" t="s">
        <v>348</v>
      </c>
      <c r="K1641" s="23" t="s">
        <v>348</v>
      </c>
      <c r="L1641" t="e">
        <f>VLOOKUP(B1641,ubah!$B$2:$L$234,4,FALSE)</f>
        <v>#N/A</v>
      </c>
      <c r="M1641" t="e">
        <f>VLOOKUP(B1641,ubah!$B$2:$L$234,5,FALSE)</f>
        <v>#N/A</v>
      </c>
      <c r="N1641" t="e">
        <f>VLOOKUP(B1641,ubah!$B$2:$L$234,6,FALSE)</f>
        <v>#N/A</v>
      </c>
    </row>
    <row r="1642" spans="1:14" hidden="1" x14ac:dyDescent="0.35">
      <c r="A1642" s="21">
        <v>1191471</v>
      </c>
      <c r="B1642" s="22" t="str">
        <f>"3326115307990001"</f>
        <v>3326115307990001</v>
      </c>
      <c r="C1642" s="22" t="str">
        <f t="shared" si="50"/>
        <v>'3326115307990001</v>
      </c>
      <c r="D1642" s="22" t="str">
        <f t="shared" si="51"/>
        <v>tidak ganda</v>
      </c>
      <c r="E1642" s="22" t="s">
        <v>3716</v>
      </c>
      <c r="F1642" s="22" t="s">
        <v>10</v>
      </c>
      <c r="G1642" s="22" t="s">
        <v>11</v>
      </c>
      <c r="H1642" s="22" t="s">
        <v>18</v>
      </c>
      <c r="I1642" s="22" t="s">
        <v>195</v>
      </c>
      <c r="J1642" s="22" t="s">
        <v>906</v>
      </c>
      <c r="K1642" s="23" t="s">
        <v>3717</v>
      </c>
    </row>
    <row r="1643" spans="1:14" hidden="1" x14ac:dyDescent="0.35">
      <c r="A1643" s="21">
        <v>293062</v>
      </c>
      <c r="B1643" s="22" t="str">
        <f>"3327125505790009"</f>
        <v>3327125505790009</v>
      </c>
      <c r="C1643" s="22" t="str">
        <f t="shared" si="50"/>
        <v>'3327125505790009</v>
      </c>
      <c r="D1643" s="22" t="str">
        <f t="shared" si="51"/>
        <v>tidak ganda</v>
      </c>
      <c r="E1643" s="22" t="s">
        <v>3719</v>
      </c>
      <c r="F1643" s="22" t="s">
        <v>10</v>
      </c>
      <c r="G1643" s="22" t="s">
        <v>11</v>
      </c>
      <c r="H1643" s="22" t="s">
        <v>18</v>
      </c>
      <c r="I1643" s="22" t="s">
        <v>268</v>
      </c>
      <c r="J1643" s="22" t="s">
        <v>277</v>
      </c>
      <c r="K1643" s="23" t="s">
        <v>2762</v>
      </c>
    </row>
    <row r="1644" spans="1:14" hidden="1" x14ac:dyDescent="0.35">
      <c r="A1644" s="21">
        <v>253428</v>
      </c>
      <c r="B1644" s="22" t="str">
        <f>"3328040504880003"</f>
        <v>3328040504880003</v>
      </c>
      <c r="C1644" s="22" t="str">
        <f t="shared" si="50"/>
        <v>'3328040504880003</v>
      </c>
      <c r="D1644" s="22" t="str">
        <f t="shared" si="51"/>
        <v>tidak ganda</v>
      </c>
      <c r="E1644" s="22" t="s">
        <v>3720</v>
      </c>
      <c r="F1644" s="22" t="s">
        <v>10</v>
      </c>
      <c r="G1644" s="22" t="s">
        <v>11</v>
      </c>
      <c r="H1644" s="22" t="s">
        <v>18</v>
      </c>
      <c r="I1644" s="22" t="s">
        <v>268</v>
      </c>
      <c r="J1644" s="22" t="s">
        <v>371</v>
      </c>
      <c r="K1644" s="23" t="s">
        <v>497</v>
      </c>
    </row>
    <row r="1645" spans="1:14" hidden="1" x14ac:dyDescent="0.35">
      <c r="A1645" s="21">
        <v>1351109</v>
      </c>
      <c r="B1645" s="22" t="str">
        <f>"3328102802050002"</f>
        <v>3328102802050002</v>
      </c>
      <c r="C1645" s="22" t="str">
        <f t="shared" si="50"/>
        <v>'3328102802050002</v>
      </c>
      <c r="D1645" s="22" t="str">
        <f t="shared" si="51"/>
        <v>tidak ganda</v>
      </c>
      <c r="E1645" s="22" t="s">
        <v>3724</v>
      </c>
      <c r="F1645" s="22" t="s">
        <v>10</v>
      </c>
      <c r="G1645" s="22" t="s">
        <v>57</v>
      </c>
      <c r="H1645" s="22" t="s">
        <v>303</v>
      </c>
      <c r="I1645" s="22" t="s">
        <v>608</v>
      </c>
      <c r="J1645" s="22" t="s">
        <v>609</v>
      </c>
      <c r="K1645" s="23" t="s">
        <v>610</v>
      </c>
    </row>
    <row r="1646" spans="1:14" hidden="1" x14ac:dyDescent="0.35">
      <c r="A1646" s="21">
        <v>709166</v>
      </c>
      <c r="B1646" s="22" t="str">
        <f>"3328110101660013"</f>
        <v>3328110101660013</v>
      </c>
      <c r="C1646" s="22" t="str">
        <f t="shared" si="50"/>
        <v>'3328110101660013</v>
      </c>
      <c r="D1646" s="22" t="str">
        <f t="shared" si="51"/>
        <v>tidak ganda</v>
      </c>
      <c r="E1646" s="22" t="s">
        <v>3725</v>
      </c>
      <c r="F1646" s="22" t="s">
        <v>10</v>
      </c>
      <c r="G1646" s="22" t="s">
        <v>11</v>
      </c>
      <c r="H1646" s="22" t="s">
        <v>18</v>
      </c>
      <c r="I1646" s="22" t="s">
        <v>264</v>
      </c>
      <c r="J1646" s="22" t="s">
        <v>248</v>
      </c>
      <c r="K1646" s="23" t="s">
        <v>1630</v>
      </c>
    </row>
    <row r="1647" spans="1:14" hidden="1" x14ac:dyDescent="0.35">
      <c r="A1647" s="21">
        <v>2112682</v>
      </c>
      <c r="B1647" s="22" t="str">
        <f>"3328110107040076"</f>
        <v>3328110107040076</v>
      </c>
      <c r="C1647" s="22" t="str">
        <f t="shared" si="50"/>
        <v>'3328110107040076</v>
      </c>
      <c r="D1647" s="22" t="str">
        <f t="shared" si="51"/>
        <v>ganda</v>
      </c>
      <c r="E1647" s="22" t="s">
        <v>3728</v>
      </c>
      <c r="F1647" s="22" t="s">
        <v>10</v>
      </c>
      <c r="G1647" s="22" t="s">
        <v>11</v>
      </c>
      <c r="H1647" s="22" t="s">
        <v>18</v>
      </c>
      <c r="I1647" s="22" t="s">
        <v>19</v>
      </c>
      <c r="J1647" s="22" t="s">
        <v>348</v>
      </c>
      <c r="K1647" s="23" t="s">
        <v>1777</v>
      </c>
      <c r="L1647" t="e">
        <f>VLOOKUP(B1647,ubah!$B$2:$L$234,4,FALSE)</f>
        <v>#N/A</v>
      </c>
      <c r="M1647" t="e">
        <f>VLOOKUP(B1647,ubah!$B$2:$L$234,5,FALSE)</f>
        <v>#N/A</v>
      </c>
      <c r="N1647" t="e">
        <f>VLOOKUP(B1647,ubah!$B$2:$L$234,6,FALSE)</f>
        <v>#N/A</v>
      </c>
    </row>
    <row r="1648" spans="1:14" hidden="1" x14ac:dyDescent="0.35">
      <c r="A1648" s="21">
        <v>1351105</v>
      </c>
      <c r="B1648" s="22" t="str">
        <f>"3328110107040076"</f>
        <v>3328110107040076</v>
      </c>
      <c r="C1648" s="22" t="str">
        <f t="shared" si="50"/>
        <v>'3328110107040076</v>
      </c>
      <c r="D1648" s="22" t="str">
        <f t="shared" si="51"/>
        <v>ganda</v>
      </c>
      <c r="E1648" s="22" t="s">
        <v>3728</v>
      </c>
      <c r="F1648" s="22" t="s">
        <v>10</v>
      </c>
      <c r="G1648" s="22" t="s">
        <v>57</v>
      </c>
      <c r="H1648" s="22" t="s">
        <v>303</v>
      </c>
      <c r="I1648" s="22" t="s">
        <v>608</v>
      </c>
      <c r="J1648" s="22" t="s">
        <v>609</v>
      </c>
      <c r="K1648" s="23" t="s">
        <v>610</v>
      </c>
    </row>
    <row r="1649" spans="1:14" hidden="1" x14ac:dyDescent="0.35">
      <c r="A1649" s="21">
        <v>2146663</v>
      </c>
      <c r="B1649" s="22" t="str">
        <f>"3328110109040008"</f>
        <v>3328110109040008</v>
      </c>
      <c r="C1649" s="22" t="str">
        <f t="shared" si="50"/>
        <v>'3328110109040008</v>
      </c>
      <c r="D1649" s="22" t="str">
        <f t="shared" si="51"/>
        <v>ganda</v>
      </c>
      <c r="E1649" s="22" t="s">
        <v>3729</v>
      </c>
      <c r="F1649" s="22" t="s">
        <v>10</v>
      </c>
      <c r="G1649" s="22" t="s">
        <v>11</v>
      </c>
      <c r="H1649" s="22" t="s">
        <v>18</v>
      </c>
      <c r="I1649" s="22" t="s">
        <v>19</v>
      </c>
      <c r="J1649" s="22" t="s">
        <v>348</v>
      </c>
      <c r="K1649" s="23" t="s">
        <v>3730</v>
      </c>
      <c r="L1649" t="e">
        <f>VLOOKUP(B1649,ubah!$B$2:$L$234,4,FALSE)</f>
        <v>#N/A</v>
      </c>
      <c r="M1649" t="e">
        <f>VLOOKUP(B1649,ubah!$B$2:$L$234,5,FALSE)</f>
        <v>#N/A</v>
      </c>
      <c r="N1649" t="e">
        <f>VLOOKUP(B1649,ubah!$B$2:$L$234,6,FALSE)</f>
        <v>#N/A</v>
      </c>
    </row>
    <row r="1650" spans="1:14" hidden="1" x14ac:dyDescent="0.35">
      <c r="A1650" s="21">
        <v>1351100</v>
      </c>
      <c r="B1650" s="22" t="str">
        <f>"3328110109040008"</f>
        <v>3328110109040008</v>
      </c>
      <c r="C1650" s="22" t="str">
        <f t="shared" si="50"/>
        <v>'3328110109040008</v>
      </c>
      <c r="D1650" s="22" t="str">
        <f t="shared" si="51"/>
        <v>ganda</v>
      </c>
      <c r="E1650" s="22" t="s">
        <v>3729</v>
      </c>
      <c r="F1650" s="22" t="s">
        <v>10</v>
      </c>
      <c r="G1650" s="22" t="s">
        <v>57</v>
      </c>
      <c r="H1650" s="22" t="s">
        <v>303</v>
      </c>
      <c r="I1650" s="22" t="s">
        <v>608</v>
      </c>
      <c r="J1650" s="22" t="s">
        <v>609</v>
      </c>
      <c r="K1650" s="23" t="s">
        <v>610</v>
      </c>
    </row>
    <row r="1651" spans="1:14" hidden="1" x14ac:dyDescent="0.35">
      <c r="A1651" s="21">
        <v>1349027</v>
      </c>
      <c r="B1651" s="22" t="str">
        <f>"3328110211060002"</f>
        <v>3328110211060002</v>
      </c>
      <c r="C1651" s="22" t="str">
        <f t="shared" si="50"/>
        <v>'3328110211060002</v>
      </c>
      <c r="D1651" s="22" t="str">
        <f t="shared" si="51"/>
        <v>tidak ganda</v>
      </c>
      <c r="E1651" s="22" t="s">
        <v>3731</v>
      </c>
      <c r="F1651" s="22" t="s">
        <v>10</v>
      </c>
      <c r="G1651" s="22" t="s">
        <v>57</v>
      </c>
      <c r="H1651" s="22" t="s">
        <v>303</v>
      </c>
      <c r="I1651" s="22" t="s">
        <v>608</v>
      </c>
      <c r="J1651" s="22" t="s">
        <v>609</v>
      </c>
      <c r="K1651" s="23" t="s">
        <v>610</v>
      </c>
    </row>
    <row r="1652" spans="1:14" hidden="1" x14ac:dyDescent="0.35">
      <c r="A1652" s="21">
        <v>2380965</v>
      </c>
      <c r="B1652" s="22" t="str">
        <f>"3328110501870013"</f>
        <v>3328110501870013</v>
      </c>
      <c r="C1652" s="22" t="str">
        <f t="shared" si="50"/>
        <v>'3328110501870013</v>
      </c>
      <c r="D1652" s="22" t="str">
        <f t="shared" si="51"/>
        <v>ganda</v>
      </c>
      <c r="E1652" s="22" t="s">
        <v>3732</v>
      </c>
      <c r="F1652" s="22" t="s">
        <v>10</v>
      </c>
      <c r="G1652" s="22" t="s">
        <v>11</v>
      </c>
      <c r="H1652" s="22" t="s">
        <v>18</v>
      </c>
      <c r="I1652" s="22" t="s">
        <v>19</v>
      </c>
      <c r="J1652" s="22" t="s">
        <v>348</v>
      </c>
      <c r="K1652" s="23" t="s">
        <v>348</v>
      </c>
      <c r="L1652" t="e">
        <f>VLOOKUP(B1652,ubah!$B$2:$L$234,4,FALSE)</f>
        <v>#N/A</v>
      </c>
      <c r="M1652" t="e">
        <f>VLOOKUP(B1652,ubah!$B$2:$L$234,5,FALSE)</f>
        <v>#N/A</v>
      </c>
      <c r="N1652" t="e">
        <f>VLOOKUP(B1652,ubah!$B$2:$L$234,6,FALSE)</f>
        <v>#N/A</v>
      </c>
    </row>
    <row r="1653" spans="1:14" hidden="1" x14ac:dyDescent="0.35">
      <c r="A1653" s="21">
        <v>2613999</v>
      </c>
      <c r="B1653" s="22" t="str">
        <f>"3328110501870013"</f>
        <v>3328110501870013</v>
      </c>
      <c r="C1653" s="22" t="str">
        <f t="shared" si="50"/>
        <v>'3328110501870013</v>
      </c>
      <c r="D1653" s="22" t="str">
        <f t="shared" si="51"/>
        <v>ganda</v>
      </c>
      <c r="E1653" s="22" t="s">
        <v>3733</v>
      </c>
      <c r="F1653" s="22" t="s">
        <v>10</v>
      </c>
      <c r="G1653" s="22" t="s">
        <v>57</v>
      </c>
      <c r="H1653" s="22" t="s">
        <v>18</v>
      </c>
      <c r="I1653" s="22" t="s">
        <v>1438</v>
      </c>
      <c r="J1653" s="22" t="s">
        <v>3511</v>
      </c>
      <c r="K1653" s="23" t="s">
        <v>3086</v>
      </c>
    </row>
    <row r="1654" spans="1:14" hidden="1" x14ac:dyDescent="0.35">
      <c r="A1654" s="21">
        <v>989582</v>
      </c>
      <c r="B1654" s="22" t="str">
        <f>"3328110502920003"</f>
        <v>3328110502920003</v>
      </c>
      <c r="C1654" s="22" t="str">
        <f t="shared" si="50"/>
        <v>'3328110502920003</v>
      </c>
      <c r="D1654" s="22" t="str">
        <f t="shared" si="51"/>
        <v>tidak ganda</v>
      </c>
      <c r="E1654" s="22" t="s">
        <v>3734</v>
      </c>
      <c r="F1654" s="22" t="s">
        <v>10</v>
      </c>
      <c r="G1654" s="22" t="s">
        <v>11</v>
      </c>
      <c r="H1654" s="22" t="s">
        <v>50</v>
      </c>
      <c r="I1654" s="22" t="s">
        <v>58</v>
      </c>
      <c r="J1654" s="22" t="s">
        <v>406</v>
      </c>
      <c r="K1654" s="23" t="s">
        <v>545</v>
      </c>
    </row>
    <row r="1655" spans="1:14" hidden="1" x14ac:dyDescent="0.35">
      <c r="A1655" s="21">
        <v>2048187</v>
      </c>
      <c r="B1655" s="22" t="str">
        <f>"3328110503910007"</f>
        <v>3328110503910007</v>
      </c>
      <c r="C1655" s="22" t="str">
        <f t="shared" si="50"/>
        <v>'3328110503910007</v>
      </c>
      <c r="D1655" s="22" t="str">
        <f t="shared" si="51"/>
        <v>tidak ganda</v>
      </c>
      <c r="E1655" s="22" t="s">
        <v>3735</v>
      </c>
      <c r="F1655" s="22" t="s">
        <v>10</v>
      </c>
      <c r="G1655" s="22" t="s">
        <v>11</v>
      </c>
      <c r="H1655" s="22" t="s">
        <v>18</v>
      </c>
      <c r="I1655" s="22" t="s">
        <v>19</v>
      </c>
      <c r="J1655" s="22" t="s">
        <v>348</v>
      </c>
      <c r="K1655" s="23" t="s">
        <v>3670</v>
      </c>
      <c r="L1655" t="e">
        <f>VLOOKUP(B1655,ubah!$B$2:$L$234,4,FALSE)</f>
        <v>#N/A</v>
      </c>
      <c r="M1655" t="e">
        <f>VLOOKUP(B1655,ubah!$B$2:$L$234,5,FALSE)</f>
        <v>#N/A</v>
      </c>
      <c r="N1655" t="e">
        <f>VLOOKUP(B1655,ubah!$B$2:$L$234,6,FALSE)</f>
        <v>#N/A</v>
      </c>
    </row>
    <row r="1656" spans="1:14" hidden="1" x14ac:dyDescent="0.35">
      <c r="A1656" s="21">
        <v>2161778</v>
      </c>
      <c r="B1656" s="22" t="str">
        <f>"3328110504860001"</f>
        <v>3328110504860001</v>
      </c>
      <c r="C1656" s="22" t="str">
        <f t="shared" si="50"/>
        <v>'3328110504860001</v>
      </c>
      <c r="D1656" s="22" t="str">
        <f t="shared" si="51"/>
        <v>tidak ganda</v>
      </c>
      <c r="E1656" s="22" t="s">
        <v>3737</v>
      </c>
      <c r="F1656" s="22" t="s">
        <v>10</v>
      </c>
      <c r="G1656" s="22" t="s">
        <v>11</v>
      </c>
      <c r="H1656" s="22" t="s">
        <v>18</v>
      </c>
      <c r="I1656" s="22" t="s">
        <v>19</v>
      </c>
      <c r="J1656" s="22" t="s">
        <v>348</v>
      </c>
      <c r="K1656" s="23" t="s">
        <v>3696</v>
      </c>
      <c r="L1656" t="e">
        <f>VLOOKUP(B1656,ubah!$B$2:$L$234,4,FALSE)</f>
        <v>#N/A</v>
      </c>
      <c r="M1656" t="e">
        <f>VLOOKUP(B1656,ubah!$B$2:$L$234,5,FALSE)</f>
        <v>#N/A</v>
      </c>
      <c r="N1656" t="e">
        <f>VLOOKUP(B1656,ubah!$B$2:$L$234,6,FALSE)</f>
        <v>#N/A</v>
      </c>
    </row>
    <row r="1657" spans="1:14" hidden="1" x14ac:dyDescent="0.35">
      <c r="A1657" s="21">
        <v>2137588</v>
      </c>
      <c r="B1657" s="22" t="str">
        <f>"3328110506950009"</f>
        <v>3328110506950009</v>
      </c>
      <c r="C1657" s="22" t="str">
        <f t="shared" si="50"/>
        <v>'3328110506950009</v>
      </c>
      <c r="D1657" s="22" t="str">
        <f t="shared" si="51"/>
        <v>tidak ganda</v>
      </c>
      <c r="E1657" s="22" t="s">
        <v>3738</v>
      </c>
      <c r="F1657" s="22" t="s">
        <v>10</v>
      </c>
      <c r="G1657" s="22" t="s">
        <v>11</v>
      </c>
      <c r="H1657" s="22" t="s">
        <v>18</v>
      </c>
      <c r="I1657" s="22" t="s">
        <v>19</v>
      </c>
      <c r="J1657" s="22" t="s">
        <v>348</v>
      </c>
      <c r="K1657" s="23" t="s">
        <v>3677</v>
      </c>
      <c r="L1657" t="e">
        <f>VLOOKUP(B1657,ubah!$B$2:$L$234,4,FALSE)</f>
        <v>#N/A</v>
      </c>
      <c r="M1657" t="e">
        <f>VLOOKUP(B1657,ubah!$B$2:$L$234,5,FALSE)</f>
        <v>#N/A</v>
      </c>
      <c r="N1657" t="e">
        <f>VLOOKUP(B1657,ubah!$B$2:$L$234,6,FALSE)</f>
        <v>#N/A</v>
      </c>
    </row>
    <row r="1658" spans="1:14" hidden="1" x14ac:dyDescent="0.35">
      <c r="A1658" s="21">
        <v>1351090</v>
      </c>
      <c r="B1658" s="22" t="str">
        <f>"3328110510050009"</f>
        <v>3328110510050009</v>
      </c>
      <c r="C1658" s="22" t="str">
        <f t="shared" si="50"/>
        <v>'3328110510050009</v>
      </c>
      <c r="D1658" s="22" t="str">
        <f t="shared" si="51"/>
        <v>tidak ganda</v>
      </c>
      <c r="E1658" s="22" t="s">
        <v>3743</v>
      </c>
      <c r="F1658" s="22" t="s">
        <v>10</v>
      </c>
      <c r="G1658" s="22" t="s">
        <v>57</v>
      </c>
      <c r="H1658" s="22" t="s">
        <v>303</v>
      </c>
      <c r="I1658" s="22" t="s">
        <v>608</v>
      </c>
      <c r="J1658" s="22" t="s">
        <v>609</v>
      </c>
      <c r="K1658" s="23" t="s">
        <v>610</v>
      </c>
    </row>
    <row r="1659" spans="1:14" hidden="1" x14ac:dyDescent="0.35">
      <c r="A1659" s="21">
        <v>18145</v>
      </c>
      <c r="B1659" s="22" t="str">
        <f>"3328110712970006"</f>
        <v>3328110712970006</v>
      </c>
      <c r="C1659" s="22" t="str">
        <f t="shared" si="50"/>
        <v>'3328110712970006</v>
      </c>
      <c r="D1659" s="22" t="str">
        <f t="shared" si="51"/>
        <v>tidak ganda</v>
      </c>
      <c r="E1659" s="22" t="s">
        <v>3744</v>
      </c>
      <c r="F1659" s="22" t="s">
        <v>10</v>
      </c>
      <c r="G1659" s="22" t="s">
        <v>11</v>
      </c>
      <c r="H1659" s="22" t="s">
        <v>2545</v>
      </c>
      <c r="I1659" s="22" t="s">
        <v>3745</v>
      </c>
      <c r="J1659" s="22" t="s">
        <v>3746</v>
      </c>
      <c r="K1659" s="23" t="s">
        <v>3747</v>
      </c>
    </row>
    <row r="1660" spans="1:14" hidden="1" x14ac:dyDescent="0.35">
      <c r="A1660" s="21">
        <v>359283</v>
      </c>
      <c r="B1660" s="22" t="str">
        <f>"3328110805860007"</f>
        <v>3328110805860007</v>
      </c>
      <c r="C1660" s="22" t="str">
        <f t="shared" si="50"/>
        <v>'3328110805860007</v>
      </c>
      <c r="D1660" s="22" t="str">
        <f t="shared" si="51"/>
        <v>tidak ganda</v>
      </c>
      <c r="E1660" s="22" t="s">
        <v>3748</v>
      </c>
      <c r="F1660" s="22" t="s">
        <v>10</v>
      </c>
      <c r="G1660" s="22" t="s">
        <v>11</v>
      </c>
      <c r="H1660" s="22" t="s">
        <v>91</v>
      </c>
      <c r="I1660" s="22" t="s">
        <v>92</v>
      </c>
      <c r="J1660" s="22" t="s">
        <v>105</v>
      </c>
      <c r="K1660" s="23" t="s">
        <v>106</v>
      </c>
    </row>
    <row r="1661" spans="1:14" hidden="1" x14ac:dyDescent="0.35">
      <c r="A1661" s="21">
        <v>215622</v>
      </c>
      <c r="B1661" s="22" t="str">
        <f>"3328110806800017"</f>
        <v>3328110806800017</v>
      </c>
      <c r="C1661" s="22" t="str">
        <f t="shared" si="50"/>
        <v>'3328110806800017</v>
      </c>
      <c r="D1661" s="22" t="str">
        <f t="shared" si="51"/>
        <v>tidak ganda</v>
      </c>
      <c r="E1661" s="22" t="s">
        <v>3750</v>
      </c>
      <c r="F1661" s="22" t="s">
        <v>10</v>
      </c>
      <c r="G1661" s="22" t="s">
        <v>11</v>
      </c>
      <c r="H1661" s="22" t="s">
        <v>18</v>
      </c>
      <c r="I1661" s="22" t="s">
        <v>268</v>
      </c>
      <c r="J1661" s="22" t="s">
        <v>371</v>
      </c>
      <c r="K1661" s="23" t="s">
        <v>2772</v>
      </c>
    </row>
    <row r="1662" spans="1:14" hidden="1" x14ac:dyDescent="0.35">
      <c r="A1662" s="21">
        <v>2234046</v>
      </c>
      <c r="B1662" s="22" t="str">
        <f>"3328110806890012"</f>
        <v>3328110806890012</v>
      </c>
      <c r="C1662" s="22" t="str">
        <f t="shared" si="50"/>
        <v>'3328110806890012</v>
      </c>
      <c r="D1662" s="22" t="str">
        <f t="shared" si="51"/>
        <v>tidak ganda</v>
      </c>
      <c r="E1662" s="22" t="s">
        <v>3751</v>
      </c>
      <c r="F1662" s="22" t="s">
        <v>10</v>
      </c>
      <c r="G1662" s="22" t="s">
        <v>11</v>
      </c>
      <c r="H1662" s="22" t="s">
        <v>18</v>
      </c>
      <c r="I1662" s="22" t="s">
        <v>19</v>
      </c>
      <c r="J1662" s="22" t="s">
        <v>348</v>
      </c>
      <c r="K1662" s="23" t="s">
        <v>459</v>
      </c>
      <c r="L1662" t="e">
        <f>VLOOKUP(B1662,ubah!$B$2:$L$234,4,FALSE)</f>
        <v>#N/A</v>
      </c>
      <c r="M1662" t="e">
        <f>VLOOKUP(B1662,ubah!$B$2:$L$234,5,FALSE)</f>
        <v>#N/A</v>
      </c>
      <c r="N1662" t="e">
        <f>VLOOKUP(B1662,ubah!$B$2:$L$234,6,FALSE)</f>
        <v>#N/A</v>
      </c>
    </row>
    <row r="1663" spans="1:14" hidden="1" x14ac:dyDescent="0.35">
      <c r="A1663" s="21">
        <v>678356</v>
      </c>
      <c r="B1663" s="22" t="str">
        <f>"3328110906870005"</f>
        <v>3328110906870005</v>
      </c>
      <c r="C1663" s="22" t="str">
        <f t="shared" si="50"/>
        <v>'3328110906870005</v>
      </c>
      <c r="D1663" s="22" t="str">
        <f t="shared" si="51"/>
        <v>tidak ganda</v>
      </c>
      <c r="E1663" s="22" t="s">
        <v>3752</v>
      </c>
      <c r="F1663" s="22" t="s">
        <v>10</v>
      </c>
      <c r="G1663" s="22" t="s">
        <v>11</v>
      </c>
      <c r="H1663" s="22" t="s">
        <v>91</v>
      </c>
      <c r="I1663" s="22" t="s">
        <v>985</v>
      </c>
      <c r="J1663" s="22" t="s">
        <v>3682</v>
      </c>
      <c r="K1663" s="23" t="s">
        <v>3682</v>
      </c>
    </row>
    <row r="1664" spans="1:14" hidden="1" x14ac:dyDescent="0.35">
      <c r="A1664" s="21">
        <v>1351089</v>
      </c>
      <c r="B1664" s="22" t="str">
        <f>"3328111002040004"</f>
        <v>3328111002040004</v>
      </c>
      <c r="C1664" s="22" t="str">
        <f t="shared" si="50"/>
        <v>'3328111002040004</v>
      </c>
      <c r="D1664" s="22" t="str">
        <f t="shared" si="51"/>
        <v>tidak ganda</v>
      </c>
      <c r="E1664" s="22" t="s">
        <v>3754</v>
      </c>
      <c r="F1664" s="22" t="s">
        <v>10</v>
      </c>
      <c r="G1664" s="22" t="s">
        <v>57</v>
      </c>
      <c r="H1664" s="22" t="s">
        <v>303</v>
      </c>
      <c r="I1664" s="22" t="s">
        <v>608</v>
      </c>
      <c r="J1664" s="22" t="s">
        <v>609</v>
      </c>
      <c r="K1664" s="23" t="s">
        <v>610</v>
      </c>
    </row>
    <row r="1665" spans="1:14" hidden="1" x14ac:dyDescent="0.35">
      <c r="A1665" s="21">
        <v>2179952</v>
      </c>
      <c r="B1665" s="22" t="str">
        <f>"3328111005880003"</f>
        <v>3328111005880003</v>
      </c>
      <c r="C1665" s="22" t="str">
        <f t="shared" si="50"/>
        <v>'3328111005880003</v>
      </c>
      <c r="D1665" s="22" t="str">
        <f t="shared" si="51"/>
        <v>tidak ganda</v>
      </c>
      <c r="E1665" s="22" t="s">
        <v>3755</v>
      </c>
      <c r="F1665" s="22" t="s">
        <v>10</v>
      </c>
      <c r="G1665" s="22" t="s">
        <v>11</v>
      </c>
      <c r="H1665" s="22" t="s">
        <v>18</v>
      </c>
      <c r="I1665" s="22" t="s">
        <v>19</v>
      </c>
      <c r="J1665" s="22" t="s">
        <v>348</v>
      </c>
      <c r="K1665" s="23" t="s">
        <v>3666</v>
      </c>
      <c r="L1665" t="e">
        <f>VLOOKUP(B1665,ubah!$B$2:$L$234,4,FALSE)</f>
        <v>#N/A</v>
      </c>
      <c r="M1665" t="e">
        <f>VLOOKUP(B1665,ubah!$B$2:$L$234,5,FALSE)</f>
        <v>#N/A</v>
      </c>
      <c r="N1665" t="e">
        <f>VLOOKUP(B1665,ubah!$B$2:$L$234,6,FALSE)</f>
        <v>#N/A</v>
      </c>
    </row>
    <row r="1666" spans="1:14" hidden="1" x14ac:dyDescent="0.35">
      <c r="A1666" s="21">
        <v>2115605</v>
      </c>
      <c r="B1666" s="22" t="str">
        <f>"3328111006040002"</f>
        <v>3328111006040002</v>
      </c>
      <c r="C1666" s="22" t="str">
        <f t="shared" si="50"/>
        <v>'3328111006040002</v>
      </c>
      <c r="D1666" s="22" t="str">
        <f t="shared" si="51"/>
        <v>tidak ganda</v>
      </c>
      <c r="E1666" s="22" t="s">
        <v>3756</v>
      </c>
      <c r="F1666" s="22" t="s">
        <v>10</v>
      </c>
      <c r="G1666" s="22" t="s">
        <v>11</v>
      </c>
      <c r="H1666" s="22" t="s">
        <v>18</v>
      </c>
      <c r="I1666" s="22" t="s">
        <v>19</v>
      </c>
      <c r="J1666" s="22" t="s">
        <v>348</v>
      </c>
      <c r="K1666" s="23" t="s">
        <v>1777</v>
      </c>
      <c r="L1666" t="e">
        <f>VLOOKUP(B1666,ubah!$B$2:$L$234,4,FALSE)</f>
        <v>#N/A</v>
      </c>
      <c r="M1666" t="e">
        <f>VLOOKUP(B1666,ubah!$B$2:$L$234,5,FALSE)</f>
        <v>#N/A</v>
      </c>
      <c r="N1666" t="e">
        <f>VLOOKUP(B1666,ubah!$B$2:$L$234,6,FALSE)</f>
        <v>#N/A</v>
      </c>
    </row>
    <row r="1667" spans="1:14" hidden="1" x14ac:dyDescent="0.35">
      <c r="A1667" s="21">
        <v>282219</v>
      </c>
      <c r="B1667" s="22" t="str">
        <f>"3328111006960008"</f>
        <v>3328111006960008</v>
      </c>
      <c r="C1667" s="22" t="str">
        <f t="shared" ref="C1667:C1730" si="52">"'"&amp;B1667</f>
        <v>'3328111006960008</v>
      </c>
      <c r="D1667" s="22" t="str">
        <f t="shared" ref="D1667:D1730" si="53">IF(COUNTIF($C:$C,C1667)&gt;1,"ganda","tidak ganda")</f>
        <v>tidak ganda</v>
      </c>
      <c r="E1667" s="22" t="s">
        <v>3758</v>
      </c>
      <c r="F1667" s="22" t="s">
        <v>10</v>
      </c>
      <c r="G1667" s="22" t="s">
        <v>11</v>
      </c>
      <c r="H1667" s="22" t="s">
        <v>18</v>
      </c>
      <c r="I1667" s="22" t="s">
        <v>268</v>
      </c>
      <c r="J1667" s="22" t="s">
        <v>277</v>
      </c>
      <c r="K1667" s="23" t="s">
        <v>884</v>
      </c>
    </row>
    <row r="1668" spans="1:14" hidden="1" x14ac:dyDescent="0.35">
      <c r="A1668" s="21">
        <v>2662103</v>
      </c>
      <c r="B1668" s="22" t="str">
        <f>"3328111008870010"</f>
        <v>3328111008870010</v>
      </c>
      <c r="C1668" s="22" t="str">
        <f t="shared" si="52"/>
        <v>'3328111008870010</v>
      </c>
      <c r="D1668" s="22" t="str">
        <f t="shared" si="53"/>
        <v>tidak ganda</v>
      </c>
      <c r="E1668" s="22" t="s">
        <v>3759</v>
      </c>
      <c r="F1668" s="22" t="s">
        <v>10</v>
      </c>
      <c r="G1668" s="22" t="s">
        <v>57</v>
      </c>
      <c r="H1668" s="22" t="s">
        <v>18</v>
      </c>
      <c r="I1668" s="22" t="s">
        <v>199</v>
      </c>
      <c r="J1668" s="22" t="s">
        <v>208</v>
      </c>
      <c r="K1668" s="23" t="s">
        <v>209</v>
      </c>
    </row>
    <row r="1669" spans="1:14" hidden="1" x14ac:dyDescent="0.35">
      <c r="A1669" s="21">
        <v>1351111</v>
      </c>
      <c r="B1669" s="22" t="str">
        <f>"3328111105060002"</f>
        <v>3328111105060002</v>
      </c>
      <c r="C1669" s="22" t="str">
        <f t="shared" si="52"/>
        <v>'3328111105060002</v>
      </c>
      <c r="D1669" s="22" t="str">
        <f t="shared" si="53"/>
        <v>tidak ganda</v>
      </c>
      <c r="E1669" s="22" t="s">
        <v>3760</v>
      </c>
      <c r="F1669" s="22" t="s">
        <v>10</v>
      </c>
      <c r="G1669" s="22" t="s">
        <v>57</v>
      </c>
      <c r="H1669" s="22" t="s">
        <v>303</v>
      </c>
      <c r="I1669" s="22" t="s">
        <v>608</v>
      </c>
      <c r="J1669" s="22" t="s">
        <v>609</v>
      </c>
      <c r="K1669" s="23" t="s">
        <v>610</v>
      </c>
    </row>
    <row r="1670" spans="1:14" hidden="1" x14ac:dyDescent="0.35">
      <c r="A1670" s="21">
        <v>323569</v>
      </c>
      <c r="B1670" s="22" t="str">
        <f>"3328111105940004"</f>
        <v>3328111105940004</v>
      </c>
      <c r="C1670" s="22" t="str">
        <f t="shared" si="52"/>
        <v>'3328111105940004</v>
      </c>
      <c r="D1670" s="22" t="str">
        <f t="shared" si="53"/>
        <v>tidak ganda</v>
      </c>
      <c r="E1670" s="22" t="s">
        <v>3761</v>
      </c>
      <c r="F1670" s="22" t="s">
        <v>10</v>
      </c>
      <c r="G1670" s="22" t="s">
        <v>11</v>
      </c>
      <c r="H1670" s="22" t="s">
        <v>18</v>
      </c>
      <c r="I1670" s="22" t="s">
        <v>268</v>
      </c>
      <c r="J1670" s="22" t="s">
        <v>277</v>
      </c>
      <c r="K1670" s="23" t="s">
        <v>278</v>
      </c>
    </row>
    <row r="1671" spans="1:14" hidden="1" x14ac:dyDescent="0.35">
      <c r="A1671" s="21">
        <v>2021806</v>
      </c>
      <c r="B1671" s="22" t="str">
        <f>"3328111110910015"</f>
        <v>3328111110910015</v>
      </c>
      <c r="C1671" s="22" t="str">
        <f t="shared" si="52"/>
        <v>'3328111110910015</v>
      </c>
      <c r="D1671" s="22" t="str">
        <f t="shared" si="53"/>
        <v>ganda</v>
      </c>
      <c r="E1671" s="22" t="s">
        <v>3766</v>
      </c>
      <c r="F1671" s="22" t="s">
        <v>10</v>
      </c>
      <c r="G1671" s="22" t="s">
        <v>11</v>
      </c>
      <c r="H1671" s="22" t="s">
        <v>18</v>
      </c>
      <c r="I1671" s="22" t="s">
        <v>19</v>
      </c>
      <c r="J1671" s="22" t="s">
        <v>348</v>
      </c>
      <c r="K1671" s="23" t="s">
        <v>349</v>
      </c>
      <c r="L1671" t="e">
        <f>VLOOKUP(B1671,ubah!$B$2:$L$234,4,FALSE)</f>
        <v>#N/A</v>
      </c>
      <c r="M1671" t="e">
        <f>VLOOKUP(B1671,ubah!$B$2:$L$234,5,FALSE)</f>
        <v>#N/A</v>
      </c>
      <c r="N1671" t="e">
        <f>VLOOKUP(B1671,ubah!$B$2:$L$234,6,FALSE)</f>
        <v>#N/A</v>
      </c>
    </row>
    <row r="1672" spans="1:14" hidden="1" x14ac:dyDescent="0.35">
      <c r="A1672" s="21">
        <v>2613991</v>
      </c>
      <c r="B1672" s="22" t="str">
        <f>"3328111110910015"</f>
        <v>3328111110910015</v>
      </c>
      <c r="C1672" s="22" t="str">
        <f t="shared" si="52"/>
        <v>'3328111110910015</v>
      </c>
      <c r="D1672" s="22" t="str">
        <f t="shared" si="53"/>
        <v>ganda</v>
      </c>
      <c r="E1672" s="22" t="s">
        <v>3767</v>
      </c>
      <c r="F1672" s="22" t="s">
        <v>10</v>
      </c>
      <c r="G1672" s="22" t="s">
        <v>57</v>
      </c>
      <c r="H1672" s="22" t="s">
        <v>18</v>
      </c>
      <c r="I1672" s="22" t="s">
        <v>1438</v>
      </c>
      <c r="J1672" s="22" t="s">
        <v>3511</v>
      </c>
      <c r="K1672" s="23" t="s">
        <v>3086</v>
      </c>
    </row>
    <row r="1673" spans="1:14" hidden="1" x14ac:dyDescent="0.35">
      <c r="A1673" s="21">
        <v>2095130</v>
      </c>
      <c r="B1673" s="22" t="str">
        <f>"3328111205030006"</f>
        <v>3328111205030006</v>
      </c>
      <c r="C1673" s="22" t="str">
        <f t="shared" si="52"/>
        <v>'3328111205030006</v>
      </c>
      <c r="D1673" s="22" t="str">
        <f t="shared" si="53"/>
        <v>ganda</v>
      </c>
      <c r="E1673" s="22" t="s">
        <v>3768</v>
      </c>
      <c r="F1673" s="22" t="s">
        <v>10</v>
      </c>
      <c r="G1673" s="22" t="s">
        <v>11</v>
      </c>
      <c r="H1673" s="22" t="s">
        <v>18</v>
      </c>
      <c r="I1673" s="22" t="s">
        <v>19</v>
      </c>
      <c r="J1673" s="22" t="s">
        <v>348</v>
      </c>
      <c r="K1673" s="23" t="s">
        <v>3660</v>
      </c>
      <c r="L1673" t="e">
        <f>VLOOKUP(B1673,ubah!$B$2:$L$234,4,FALSE)</f>
        <v>#N/A</v>
      </c>
      <c r="M1673" t="e">
        <f>VLOOKUP(B1673,ubah!$B$2:$L$234,5,FALSE)</f>
        <v>#N/A</v>
      </c>
      <c r="N1673" t="e">
        <f>VLOOKUP(B1673,ubah!$B$2:$L$234,6,FALSE)</f>
        <v>#N/A</v>
      </c>
    </row>
    <row r="1674" spans="1:14" hidden="1" x14ac:dyDescent="0.35">
      <c r="A1674" s="21">
        <v>1351116</v>
      </c>
      <c r="B1674" s="22" t="str">
        <f>"3328111205030006"</f>
        <v>3328111205030006</v>
      </c>
      <c r="C1674" s="22" t="str">
        <f t="shared" si="52"/>
        <v>'3328111205030006</v>
      </c>
      <c r="D1674" s="22" t="str">
        <f t="shared" si="53"/>
        <v>ganda</v>
      </c>
      <c r="E1674" s="22" t="s">
        <v>3768</v>
      </c>
      <c r="F1674" s="22" t="s">
        <v>10</v>
      </c>
      <c r="G1674" s="22" t="s">
        <v>57</v>
      </c>
      <c r="H1674" s="22" t="s">
        <v>303</v>
      </c>
      <c r="I1674" s="22" t="s">
        <v>608</v>
      </c>
      <c r="J1674" s="22" t="s">
        <v>609</v>
      </c>
      <c r="K1674" s="23" t="s">
        <v>610</v>
      </c>
    </row>
    <row r="1675" spans="1:14" hidden="1" x14ac:dyDescent="0.35">
      <c r="A1675" s="21">
        <v>2135017</v>
      </c>
      <c r="B1675" s="22" t="str">
        <f>"3328111208760008"</f>
        <v>3328111208760008</v>
      </c>
      <c r="C1675" s="22" t="str">
        <f t="shared" si="52"/>
        <v>'3328111208760008</v>
      </c>
      <c r="D1675" s="22" t="str">
        <f t="shared" si="53"/>
        <v>tidak ganda</v>
      </c>
      <c r="E1675" s="22" t="s">
        <v>3769</v>
      </c>
      <c r="F1675" s="22" t="s">
        <v>10</v>
      </c>
      <c r="G1675" s="22" t="s">
        <v>11</v>
      </c>
      <c r="H1675" s="22" t="s">
        <v>18</v>
      </c>
      <c r="I1675" s="22" t="s">
        <v>19</v>
      </c>
      <c r="J1675" s="22" t="s">
        <v>348</v>
      </c>
      <c r="K1675" s="23" t="s">
        <v>3677</v>
      </c>
      <c r="L1675" t="e">
        <f>VLOOKUP(B1675,ubah!$B$2:$L$234,4,FALSE)</f>
        <v>#N/A</v>
      </c>
      <c r="M1675" t="e">
        <f>VLOOKUP(B1675,ubah!$B$2:$L$234,5,FALSE)</f>
        <v>#N/A</v>
      </c>
      <c r="N1675" t="e">
        <f>VLOOKUP(B1675,ubah!$B$2:$L$234,6,FALSE)</f>
        <v>#N/A</v>
      </c>
    </row>
    <row r="1676" spans="1:14" hidden="1" x14ac:dyDescent="0.35">
      <c r="A1676" s="21">
        <v>1375923</v>
      </c>
      <c r="B1676" s="22" t="str">
        <f>"3328111310910002"</f>
        <v>3328111310910002</v>
      </c>
      <c r="C1676" s="22" t="str">
        <f t="shared" si="52"/>
        <v>'3328111310910002</v>
      </c>
      <c r="D1676" s="22" t="str">
        <f t="shared" si="53"/>
        <v>tidak ganda</v>
      </c>
      <c r="E1676" s="22" t="s">
        <v>3771</v>
      </c>
      <c r="F1676" s="22" t="s">
        <v>10</v>
      </c>
      <c r="G1676" s="22" t="s">
        <v>11</v>
      </c>
      <c r="H1676" s="22" t="s">
        <v>67</v>
      </c>
      <c r="I1676" s="22" t="s">
        <v>890</v>
      </c>
      <c r="J1676" s="22" t="s">
        <v>3772</v>
      </c>
      <c r="K1676" s="23" t="s">
        <v>3773</v>
      </c>
    </row>
    <row r="1677" spans="1:14" hidden="1" x14ac:dyDescent="0.35">
      <c r="A1677" s="21">
        <v>2114824</v>
      </c>
      <c r="B1677" s="22" t="str">
        <f>"3328111311040003"</f>
        <v>3328111311040003</v>
      </c>
      <c r="C1677" s="22" t="str">
        <f t="shared" si="52"/>
        <v>'3328111311040003</v>
      </c>
      <c r="D1677" s="22" t="str">
        <f t="shared" si="53"/>
        <v>ganda</v>
      </c>
      <c r="E1677" s="22" t="s">
        <v>3774</v>
      </c>
      <c r="F1677" s="22" t="s">
        <v>10</v>
      </c>
      <c r="G1677" s="22" t="s">
        <v>11</v>
      </c>
      <c r="H1677" s="22" t="s">
        <v>18</v>
      </c>
      <c r="I1677" s="22" t="s">
        <v>19</v>
      </c>
      <c r="J1677" s="22" t="s">
        <v>348</v>
      </c>
      <c r="K1677" s="23" t="s">
        <v>1777</v>
      </c>
      <c r="L1677" t="e">
        <f>VLOOKUP(B1677,ubah!$B$2:$L$234,4,FALSE)</f>
        <v>#N/A</v>
      </c>
      <c r="M1677" t="e">
        <f>VLOOKUP(B1677,ubah!$B$2:$L$234,5,FALSE)</f>
        <v>#N/A</v>
      </c>
      <c r="N1677" t="e">
        <f>VLOOKUP(B1677,ubah!$B$2:$L$234,6,FALSE)</f>
        <v>#N/A</v>
      </c>
    </row>
    <row r="1678" spans="1:14" hidden="1" x14ac:dyDescent="0.35">
      <c r="A1678" s="21">
        <v>763972</v>
      </c>
      <c r="B1678" s="22" t="str">
        <f>"3328111311040003"</f>
        <v>3328111311040003</v>
      </c>
      <c r="C1678" s="22" t="str">
        <f t="shared" si="52"/>
        <v>'3328111311040003</v>
      </c>
      <c r="D1678" s="22" t="str">
        <f t="shared" si="53"/>
        <v>ganda</v>
      </c>
      <c r="E1678" s="22" t="s">
        <v>3775</v>
      </c>
      <c r="F1678" s="22" t="s">
        <v>10</v>
      </c>
      <c r="G1678" s="22" t="s">
        <v>57</v>
      </c>
      <c r="H1678" s="22" t="s">
        <v>379</v>
      </c>
      <c r="I1678" s="22" t="s">
        <v>711</v>
      </c>
      <c r="J1678" s="22" t="s">
        <v>718</v>
      </c>
      <c r="K1678" s="23" t="s">
        <v>3776</v>
      </c>
    </row>
    <row r="1679" spans="1:14" hidden="1" x14ac:dyDescent="0.35">
      <c r="A1679" s="21">
        <v>2110848</v>
      </c>
      <c r="B1679" s="22" t="str">
        <f>"3328111401010007"</f>
        <v>3328111401010007</v>
      </c>
      <c r="C1679" s="22" t="str">
        <f t="shared" si="52"/>
        <v>'3328111401010007</v>
      </c>
      <c r="D1679" s="22" t="str">
        <f t="shared" si="53"/>
        <v>ganda</v>
      </c>
      <c r="E1679" s="22" t="s">
        <v>3777</v>
      </c>
      <c r="F1679" s="22" t="s">
        <v>10</v>
      </c>
      <c r="G1679" s="22" t="s">
        <v>11</v>
      </c>
      <c r="H1679" s="22" t="s">
        <v>18</v>
      </c>
      <c r="I1679" s="22" t="s">
        <v>19</v>
      </c>
      <c r="J1679" s="22" t="s">
        <v>348</v>
      </c>
      <c r="K1679" s="23" t="s">
        <v>1777</v>
      </c>
      <c r="L1679" t="e">
        <f>VLOOKUP(B1679,ubah!$B$2:$L$234,4,FALSE)</f>
        <v>#N/A</v>
      </c>
      <c r="M1679" t="e">
        <f>VLOOKUP(B1679,ubah!$B$2:$L$234,5,FALSE)</f>
        <v>#N/A</v>
      </c>
      <c r="N1679" t="e">
        <f>VLOOKUP(B1679,ubah!$B$2:$L$234,6,FALSE)</f>
        <v>#N/A</v>
      </c>
    </row>
    <row r="1680" spans="1:14" hidden="1" x14ac:dyDescent="0.35">
      <c r="A1680" s="21">
        <v>1351103</v>
      </c>
      <c r="B1680" s="22" t="str">
        <f>"3328111401010007"</f>
        <v>3328111401010007</v>
      </c>
      <c r="C1680" s="22" t="str">
        <f t="shared" si="52"/>
        <v>'3328111401010007</v>
      </c>
      <c r="D1680" s="22" t="str">
        <f t="shared" si="53"/>
        <v>ganda</v>
      </c>
      <c r="E1680" s="22" t="s">
        <v>3777</v>
      </c>
      <c r="F1680" s="22" t="s">
        <v>10</v>
      </c>
      <c r="G1680" s="22" t="s">
        <v>57</v>
      </c>
      <c r="H1680" s="22" t="s">
        <v>303</v>
      </c>
      <c r="I1680" s="22" t="s">
        <v>608</v>
      </c>
      <c r="J1680" s="22" t="s">
        <v>609</v>
      </c>
      <c r="K1680" s="23" t="s">
        <v>610</v>
      </c>
    </row>
    <row r="1681" spans="1:14" hidden="1" x14ac:dyDescent="0.35">
      <c r="A1681" s="21">
        <v>2111365</v>
      </c>
      <c r="B1681" s="22" t="str">
        <f>"3328111405040005"</f>
        <v>3328111405040005</v>
      </c>
      <c r="C1681" s="22" t="str">
        <f t="shared" si="52"/>
        <v>'3328111405040005</v>
      </c>
      <c r="D1681" s="22" t="str">
        <f t="shared" si="53"/>
        <v>ganda</v>
      </c>
      <c r="E1681" s="22" t="s">
        <v>3778</v>
      </c>
      <c r="F1681" s="22" t="s">
        <v>10</v>
      </c>
      <c r="G1681" s="22" t="s">
        <v>11</v>
      </c>
      <c r="H1681" s="22" t="s">
        <v>18</v>
      </c>
      <c r="I1681" s="22" t="s">
        <v>19</v>
      </c>
      <c r="J1681" s="22" t="s">
        <v>348</v>
      </c>
      <c r="K1681" s="23" t="s">
        <v>1777</v>
      </c>
      <c r="L1681" t="e">
        <f>VLOOKUP(B1681,ubah!$B$2:$L$234,4,FALSE)</f>
        <v>#N/A</v>
      </c>
      <c r="M1681" t="e">
        <f>VLOOKUP(B1681,ubah!$B$2:$L$234,5,FALSE)</f>
        <v>#N/A</v>
      </c>
      <c r="N1681" t="e">
        <f>VLOOKUP(B1681,ubah!$B$2:$L$234,6,FALSE)</f>
        <v>#N/A</v>
      </c>
    </row>
    <row r="1682" spans="1:14" hidden="1" x14ac:dyDescent="0.35">
      <c r="A1682" s="21">
        <v>1351104</v>
      </c>
      <c r="B1682" s="22" t="str">
        <f>"3328111405040005"</f>
        <v>3328111405040005</v>
      </c>
      <c r="C1682" s="22" t="str">
        <f t="shared" si="52"/>
        <v>'3328111405040005</v>
      </c>
      <c r="D1682" s="22" t="str">
        <f t="shared" si="53"/>
        <v>ganda</v>
      </c>
      <c r="E1682" s="22" t="s">
        <v>3778</v>
      </c>
      <c r="F1682" s="22" t="s">
        <v>10</v>
      </c>
      <c r="G1682" s="22" t="s">
        <v>57</v>
      </c>
      <c r="H1682" s="22" t="s">
        <v>303</v>
      </c>
      <c r="I1682" s="22" t="s">
        <v>608</v>
      </c>
      <c r="J1682" s="22" t="s">
        <v>609</v>
      </c>
      <c r="K1682" s="23" t="s">
        <v>610</v>
      </c>
    </row>
    <row r="1683" spans="1:14" hidden="1" x14ac:dyDescent="0.35">
      <c r="A1683" s="21">
        <v>1351112</v>
      </c>
      <c r="B1683" s="22" t="str">
        <f>"3328111405990006"</f>
        <v>3328111405990006</v>
      </c>
      <c r="C1683" s="22" t="str">
        <f t="shared" si="52"/>
        <v>'3328111405990006</v>
      </c>
      <c r="D1683" s="22" t="str">
        <f t="shared" si="53"/>
        <v>tidak ganda</v>
      </c>
      <c r="E1683" s="22" t="s">
        <v>3780</v>
      </c>
      <c r="F1683" s="22" t="s">
        <v>10</v>
      </c>
      <c r="G1683" s="22" t="s">
        <v>57</v>
      </c>
      <c r="H1683" s="22" t="s">
        <v>303</v>
      </c>
      <c r="I1683" s="22" t="s">
        <v>608</v>
      </c>
      <c r="J1683" s="22" t="s">
        <v>609</v>
      </c>
      <c r="K1683" s="23" t="s">
        <v>610</v>
      </c>
    </row>
    <row r="1684" spans="1:14" hidden="1" x14ac:dyDescent="0.35">
      <c r="A1684" s="21">
        <v>1289844</v>
      </c>
      <c r="B1684" s="22" t="str">
        <f>"3328111410920003"</f>
        <v>3328111410920003</v>
      </c>
      <c r="C1684" s="22" t="str">
        <f t="shared" si="52"/>
        <v>'3328111410920003</v>
      </c>
      <c r="D1684" s="22" t="str">
        <f t="shared" si="53"/>
        <v>tidak ganda</v>
      </c>
      <c r="E1684" s="22" t="s">
        <v>3781</v>
      </c>
      <c r="F1684" s="22" t="s">
        <v>10</v>
      </c>
      <c r="G1684" s="22" t="s">
        <v>11</v>
      </c>
      <c r="H1684" s="22" t="s">
        <v>91</v>
      </c>
      <c r="I1684" s="22" t="s">
        <v>159</v>
      </c>
      <c r="J1684" s="22" t="s">
        <v>3107</v>
      </c>
      <c r="K1684" s="23" t="s">
        <v>3107</v>
      </c>
    </row>
    <row r="1685" spans="1:14" hidden="1" x14ac:dyDescent="0.35">
      <c r="A1685" s="21">
        <v>2124895</v>
      </c>
      <c r="B1685" s="22" t="str">
        <f>"3328111412850001"</f>
        <v>3328111412850001</v>
      </c>
      <c r="C1685" s="22" t="str">
        <f t="shared" si="52"/>
        <v>'3328111412850001</v>
      </c>
      <c r="D1685" s="22" t="str">
        <f t="shared" si="53"/>
        <v>tidak ganda</v>
      </c>
      <c r="E1685" s="22" t="s">
        <v>744</v>
      </c>
      <c r="F1685" s="22" t="s">
        <v>10</v>
      </c>
      <c r="G1685" s="22" t="s">
        <v>11</v>
      </c>
      <c r="H1685" s="22" t="s">
        <v>18</v>
      </c>
      <c r="I1685" s="22" t="s">
        <v>19</v>
      </c>
      <c r="J1685" s="22" t="s">
        <v>348</v>
      </c>
      <c r="K1685" s="23" t="s">
        <v>1644</v>
      </c>
      <c r="L1685" t="e">
        <f>VLOOKUP(B1685,ubah!$B$2:$L$234,4,FALSE)</f>
        <v>#N/A</v>
      </c>
      <c r="M1685" t="e">
        <f>VLOOKUP(B1685,ubah!$B$2:$L$234,5,FALSE)</f>
        <v>#N/A</v>
      </c>
      <c r="N1685" t="e">
        <f>VLOOKUP(B1685,ubah!$B$2:$L$234,6,FALSE)</f>
        <v>#N/A</v>
      </c>
    </row>
    <row r="1686" spans="1:14" hidden="1" x14ac:dyDescent="0.35">
      <c r="A1686" s="21">
        <v>2379169</v>
      </c>
      <c r="B1686" s="22" t="str">
        <f>"3328111501980007"</f>
        <v>3328111501980007</v>
      </c>
      <c r="C1686" s="22" t="str">
        <f t="shared" si="52"/>
        <v>'3328111501980007</v>
      </c>
      <c r="D1686" s="22" t="str">
        <f t="shared" si="53"/>
        <v>ganda</v>
      </c>
      <c r="E1686" s="22" t="s">
        <v>3788</v>
      </c>
      <c r="F1686" s="22" t="s">
        <v>10</v>
      </c>
      <c r="G1686" s="22" t="s">
        <v>11</v>
      </c>
      <c r="H1686" s="22" t="s">
        <v>18</v>
      </c>
      <c r="I1686" s="22" t="s">
        <v>19</v>
      </c>
      <c r="J1686" s="22" t="s">
        <v>348</v>
      </c>
      <c r="K1686" s="23" t="s">
        <v>348</v>
      </c>
      <c r="L1686" t="e">
        <f>VLOOKUP(B1686,ubah!$B$2:$L$234,4,FALSE)</f>
        <v>#N/A</v>
      </c>
      <c r="M1686" t="e">
        <f>VLOOKUP(B1686,ubah!$B$2:$L$234,5,FALSE)</f>
        <v>#N/A</v>
      </c>
      <c r="N1686" t="e">
        <f>VLOOKUP(B1686,ubah!$B$2:$L$234,6,FALSE)</f>
        <v>#N/A</v>
      </c>
    </row>
    <row r="1687" spans="1:14" hidden="1" x14ac:dyDescent="0.35">
      <c r="A1687" s="21">
        <v>423840</v>
      </c>
      <c r="B1687" s="22" t="str">
        <f>"3328111501980007"</f>
        <v>3328111501980007</v>
      </c>
      <c r="C1687" s="22" t="str">
        <f t="shared" si="52"/>
        <v>'3328111501980007</v>
      </c>
      <c r="D1687" s="22" t="str">
        <f t="shared" si="53"/>
        <v>ganda</v>
      </c>
      <c r="E1687" s="22" t="s">
        <v>3789</v>
      </c>
      <c r="F1687" s="22" t="s">
        <v>10</v>
      </c>
      <c r="G1687" s="22" t="s">
        <v>57</v>
      </c>
      <c r="H1687" s="22" t="s">
        <v>18</v>
      </c>
      <c r="I1687" s="22" t="s">
        <v>268</v>
      </c>
      <c r="J1687" s="22" t="s">
        <v>277</v>
      </c>
      <c r="K1687" s="23" t="s">
        <v>278</v>
      </c>
    </row>
    <row r="1688" spans="1:14" hidden="1" x14ac:dyDescent="0.35">
      <c r="A1688" s="21">
        <v>2154770</v>
      </c>
      <c r="B1688" s="22" t="str">
        <f>"3328111504710011"</f>
        <v>3328111504710011</v>
      </c>
      <c r="C1688" s="22" t="str">
        <f t="shared" si="52"/>
        <v>'3328111504710011</v>
      </c>
      <c r="D1688" s="22" t="str">
        <f t="shared" si="53"/>
        <v>tidak ganda</v>
      </c>
      <c r="E1688" s="22" t="s">
        <v>1190</v>
      </c>
      <c r="F1688" s="22" t="s">
        <v>10</v>
      </c>
      <c r="G1688" s="22" t="s">
        <v>11</v>
      </c>
      <c r="H1688" s="22" t="s">
        <v>18</v>
      </c>
      <c r="I1688" s="22" t="s">
        <v>19</v>
      </c>
      <c r="J1688" s="22" t="s">
        <v>348</v>
      </c>
      <c r="K1688" s="23" t="s">
        <v>3688</v>
      </c>
      <c r="L1688" t="e">
        <f>VLOOKUP(B1688,ubah!$B$2:$L$234,4,FALSE)</f>
        <v>#N/A</v>
      </c>
      <c r="M1688" t="e">
        <f>VLOOKUP(B1688,ubah!$B$2:$L$234,5,FALSE)</f>
        <v>#N/A</v>
      </c>
      <c r="N1688" t="e">
        <f>VLOOKUP(B1688,ubah!$B$2:$L$234,6,FALSE)</f>
        <v>#N/A</v>
      </c>
    </row>
    <row r="1689" spans="1:14" hidden="1" x14ac:dyDescent="0.35">
      <c r="A1689" s="21">
        <v>2119123</v>
      </c>
      <c r="B1689" s="22" t="str">
        <f>"3328111507870018"</f>
        <v>3328111507870018</v>
      </c>
      <c r="C1689" s="22" t="str">
        <f t="shared" si="52"/>
        <v>'3328111507870018</v>
      </c>
      <c r="D1689" s="22" t="str">
        <f t="shared" si="53"/>
        <v>ganda</v>
      </c>
      <c r="E1689" s="22" t="s">
        <v>3791</v>
      </c>
      <c r="F1689" s="22" t="s">
        <v>10</v>
      </c>
      <c r="G1689" s="22" t="s">
        <v>11</v>
      </c>
      <c r="H1689" s="22" t="s">
        <v>18</v>
      </c>
      <c r="I1689" s="22" t="s">
        <v>19</v>
      </c>
      <c r="J1689" s="22" t="s">
        <v>348</v>
      </c>
      <c r="K1689" s="23" t="s">
        <v>1777</v>
      </c>
      <c r="L1689" t="e">
        <f>VLOOKUP(B1689,ubah!$B$2:$L$234,4,FALSE)</f>
        <v>#N/A</v>
      </c>
      <c r="M1689" t="e">
        <f>VLOOKUP(B1689,ubah!$B$2:$L$234,5,FALSE)</f>
        <v>#N/A</v>
      </c>
      <c r="N1689" t="e">
        <f>VLOOKUP(B1689,ubah!$B$2:$L$234,6,FALSE)</f>
        <v>#N/A</v>
      </c>
    </row>
    <row r="1690" spans="1:14" hidden="1" x14ac:dyDescent="0.35">
      <c r="A1690" s="21">
        <v>423863</v>
      </c>
      <c r="B1690" s="22" t="str">
        <f>"3328111507870018"</f>
        <v>3328111507870018</v>
      </c>
      <c r="C1690" s="22" t="str">
        <f t="shared" si="52"/>
        <v>'3328111507870018</v>
      </c>
      <c r="D1690" s="22" t="str">
        <f t="shared" si="53"/>
        <v>ganda</v>
      </c>
      <c r="E1690" s="22" t="s">
        <v>3792</v>
      </c>
      <c r="F1690" s="22" t="s">
        <v>10</v>
      </c>
      <c r="G1690" s="22" t="s">
        <v>57</v>
      </c>
      <c r="H1690" s="22" t="s">
        <v>18</v>
      </c>
      <c r="I1690" s="22" t="s">
        <v>268</v>
      </c>
      <c r="J1690" s="22" t="s">
        <v>277</v>
      </c>
      <c r="K1690" s="23" t="s">
        <v>278</v>
      </c>
    </row>
    <row r="1691" spans="1:14" hidden="1" x14ac:dyDescent="0.35">
      <c r="A1691" s="21">
        <v>1291111</v>
      </c>
      <c r="B1691" s="22" t="str">
        <f>"3328111601780009"</f>
        <v>3328111601780009</v>
      </c>
      <c r="C1691" s="22" t="str">
        <f t="shared" si="52"/>
        <v>'3328111601780009</v>
      </c>
      <c r="D1691" s="22" t="str">
        <f t="shared" si="53"/>
        <v>tidak ganda</v>
      </c>
      <c r="E1691" s="22" t="s">
        <v>2314</v>
      </c>
      <c r="F1691" s="22" t="s">
        <v>10</v>
      </c>
      <c r="G1691" s="22" t="s">
        <v>11</v>
      </c>
      <c r="H1691" s="22" t="s">
        <v>91</v>
      </c>
      <c r="I1691" s="22" t="s">
        <v>92</v>
      </c>
      <c r="J1691" s="22" t="s">
        <v>571</v>
      </c>
      <c r="K1691" s="23" t="s">
        <v>3309</v>
      </c>
    </row>
    <row r="1692" spans="1:14" hidden="1" x14ac:dyDescent="0.35">
      <c r="A1692" s="21">
        <v>2136037</v>
      </c>
      <c r="B1692" s="22" t="str">
        <f>"3328111603870008"</f>
        <v>3328111603870008</v>
      </c>
      <c r="C1692" s="22" t="str">
        <f t="shared" si="52"/>
        <v>'3328111603870008</v>
      </c>
      <c r="D1692" s="22" t="str">
        <f t="shared" si="53"/>
        <v>tidak ganda</v>
      </c>
      <c r="E1692" s="22" t="s">
        <v>3793</v>
      </c>
      <c r="F1692" s="22" t="s">
        <v>10</v>
      </c>
      <c r="G1692" s="22" t="s">
        <v>11</v>
      </c>
      <c r="H1692" s="22" t="s">
        <v>18</v>
      </c>
      <c r="I1692" s="22" t="s">
        <v>19</v>
      </c>
      <c r="J1692" s="22" t="s">
        <v>348</v>
      </c>
      <c r="K1692" s="23" t="s">
        <v>3677</v>
      </c>
      <c r="L1692" t="e">
        <f>VLOOKUP(B1692,ubah!$B$2:$L$234,4,FALSE)</f>
        <v>#N/A</v>
      </c>
      <c r="M1692" t="e">
        <f>VLOOKUP(B1692,ubah!$B$2:$L$234,5,FALSE)</f>
        <v>#N/A</v>
      </c>
      <c r="N1692" t="e">
        <f>VLOOKUP(B1692,ubah!$B$2:$L$234,6,FALSE)</f>
        <v>#N/A</v>
      </c>
    </row>
    <row r="1693" spans="1:14" hidden="1" x14ac:dyDescent="0.35">
      <c r="A1693" s="21">
        <v>209303</v>
      </c>
      <c r="B1693" s="22" t="str">
        <f>"3328111605820010"</f>
        <v>3328111605820010</v>
      </c>
      <c r="C1693" s="22" t="str">
        <f t="shared" si="52"/>
        <v>'3328111605820010</v>
      </c>
      <c r="D1693" s="22" t="str">
        <f t="shared" si="53"/>
        <v>tidak ganda</v>
      </c>
      <c r="E1693" s="22" t="s">
        <v>3794</v>
      </c>
      <c r="F1693" s="22" t="s">
        <v>10</v>
      </c>
      <c r="G1693" s="22" t="s">
        <v>11</v>
      </c>
      <c r="H1693" s="22" t="s">
        <v>18</v>
      </c>
      <c r="I1693" s="22" t="s">
        <v>268</v>
      </c>
      <c r="J1693" s="22" t="s">
        <v>371</v>
      </c>
      <c r="K1693" s="23" t="s">
        <v>2772</v>
      </c>
    </row>
    <row r="1694" spans="1:14" hidden="1" x14ac:dyDescent="0.35">
      <c r="A1694" s="21">
        <v>2125200</v>
      </c>
      <c r="B1694" s="22" t="str">
        <f>"3328111612040007"</f>
        <v>3328111612040007</v>
      </c>
      <c r="C1694" s="22" t="str">
        <f t="shared" si="52"/>
        <v>'3328111612040007</v>
      </c>
      <c r="D1694" s="22" t="str">
        <f t="shared" si="53"/>
        <v>ganda</v>
      </c>
      <c r="E1694" s="22" t="s">
        <v>3796</v>
      </c>
      <c r="F1694" s="22" t="s">
        <v>10</v>
      </c>
      <c r="G1694" s="22" t="s">
        <v>11</v>
      </c>
      <c r="H1694" s="22" t="s">
        <v>18</v>
      </c>
      <c r="I1694" s="22" t="s">
        <v>19</v>
      </c>
      <c r="J1694" s="22" t="s">
        <v>348</v>
      </c>
      <c r="K1694" s="23" t="s">
        <v>1644</v>
      </c>
      <c r="L1694" t="e">
        <f>VLOOKUP(B1694,ubah!$B$2:$L$234,4,FALSE)</f>
        <v>#N/A</v>
      </c>
      <c r="M1694" t="e">
        <f>VLOOKUP(B1694,ubah!$B$2:$L$234,5,FALSE)</f>
        <v>#N/A</v>
      </c>
      <c r="N1694" t="e">
        <f>VLOOKUP(B1694,ubah!$B$2:$L$234,6,FALSE)</f>
        <v>#N/A</v>
      </c>
    </row>
    <row r="1695" spans="1:14" hidden="1" x14ac:dyDescent="0.35">
      <c r="A1695" s="21">
        <v>1351095</v>
      </c>
      <c r="B1695" s="22" t="str">
        <f>"3328111612040007"</f>
        <v>3328111612040007</v>
      </c>
      <c r="C1695" s="22" t="str">
        <f t="shared" si="52"/>
        <v>'3328111612040007</v>
      </c>
      <c r="D1695" s="22" t="str">
        <f t="shared" si="53"/>
        <v>ganda</v>
      </c>
      <c r="E1695" s="22" t="s">
        <v>3796</v>
      </c>
      <c r="F1695" s="22" t="s">
        <v>10</v>
      </c>
      <c r="G1695" s="22" t="s">
        <v>57</v>
      </c>
      <c r="H1695" s="22" t="s">
        <v>303</v>
      </c>
      <c r="I1695" s="22" t="s">
        <v>608</v>
      </c>
      <c r="J1695" s="22" t="s">
        <v>609</v>
      </c>
      <c r="K1695" s="23" t="s">
        <v>610</v>
      </c>
    </row>
    <row r="1696" spans="1:14" hidden="1" x14ac:dyDescent="0.35">
      <c r="A1696" s="21">
        <v>967158</v>
      </c>
      <c r="B1696" s="22" t="str">
        <f>"3328112002900004"</f>
        <v>3328112002900004</v>
      </c>
      <c r="C1696" s="22" t="str">
        <f t="shared" si="52"/>
        <v>'3328112002900004</v>
      </c>
      <c r="D1696" s="22" t="str">
        <f t="shared" si="53"/>
        <v>tidak ganda</v>
      </c>
      <c r="E1696" s="22" t="s">
        <v>3803</v>
      </c>
      <c r="F1696" s="22" t="s">
        <v>10</v>
      </c>
      <c r="G1696" s="22" t="s">
        <v>11</v>
      </c>
      <c r="H1696" s="22" t="s">
        <v>303</v>
      </c>
      <c r="I1696" s="22" t="s">
        <v>1584</v>
      </c>
      <c r="J1696" s="22" t="s">
        <v>3587</v>
      </c>
      <c r="K1696" s="23" t="s">
        <v>3588</v>
      </c>
    </row>
    <row r="1697" spans="1:14" hidden="1" x14ac:dyDescent="0.35">
      <c r="A1697" s="21">
        <v>1351113</v>
      </c>
      <c r="B1697" s="22" t="str">
        <f>"3328112006040008"</f>
        <v>3328112006040008</v>
      </c>
      <c r="C1697" s="22" t="str">
        <f t="shared" si="52"/>
        <v>'3328112006040008</v>
      </c>
      <c r="D1697" s="22" t="str">
        <f t="shared" si="53"/>
        <v>tidak ganda</v>
      </c>
      <c r="E1697" s="22" t="s">
        <v>3805</v>
      </c>
      <c r="F1697" s="22" t="s">
        <v>10</v>
      </c>
      <c r="G1697" s="22" t="s">
        <v>57</v>
      </c>
      <c r="H1697" s="22" t="s">
        <v>303</v>
      </c>
      <c r="I1697" s="22" t="s">
        <v>608</v>
      </c>
      <c r="J1697" s="22" t="s">
        <v>609</v>
      </c>
      <c r="K1697" s="23" t="s">
        <v>610</v>
      </c>
    </row>
    <row r="1698" spans="1:14" hidden="1" x14ac:dyDescent="0.35">
      <c r="A1698" s="21">
        <v>416497</v>
      </c>
      <c r="B1698" s="22" t="str">
        <f>"3328112201060005"</f>
        <v>3328112201060005</v>
      </c>
      <c r="C1698" s="22" t="str">
        <f t="shared" si="52"/>
        <v>'3328112201060005</v>
      </c>
      <c r="D1698" s="22" t="str">
        <f t="shared" si="53"/>
        <v>tidak ganda</v>
      </c>
      <c r="E1698" s="22" t="s">
        <v>3806</v>
      </c>
      <c r="F1698" s="22" t="s">
        <v>10</v>
      </c>
      <c r="G1698" s="22" t="s">
        <v>11</v>
      </c>
      <c r="H1698" s="22" t="s">
        <v>18</v>
      </c>
      <c r="I1698" s="22" t="s">
        <v>268</v>
      </c>
      <c r="J1698" s="22" t="s">
        <v>448</v>
      </c>
      <c r="K1698" s="23" t="s">
        <v>888</v>
      </c>
    </row>
    <row r="1699" spans="1:14" hidden="1" x14ac:dyDescent="0.35">
      <c r="A1699" s="21">
        <v>2092276</v>
      </c>
      <c r="B1699" s="22" t="str">
        <f>"3328112204030004"</f>
        <v>3328112204030004</v>
      </c>
      <c r="C1699" s="22" t="str">
        <f t="shared" si="52"/>
        <v>'3328112204030004</v>
      </c>
      <c r="D1699" s="22" t="str">
        <f t="shared" si="53"/>
        <v>ganda</v>
      </c>
      <c r="E1699" s="22" t="s">
        <v>3809</v>
      </c>
      <c r="F1699" s="22" t="s">
        <v>10</v>
      </c>
      <c r="G1699" s="22" t="s">
        <v>11</v>
      </c>
      <c r="H1699" s="22" t="s">
        <v>18</v>
      </c>
      <c r="I1699" s="22" t="s">
        <v>19</v>
      </c>
      <c r="J1699" s="22" t="s">
        <v>348</v>
      </c>
      <c r="K1699" s="23" t="s">
        <v>3660</v>
      </c>
      <c r="L1699" t="e">
        <f>VLOOKUP(B1699,ubah!$B$2:$L$234,4,FALSE)</f>
        <v>#N/A</v>
      </c>
      <c r="M1699" t="e">
        <f>VLOOKUP(B1699,ubah!$B$2:$L$234,5,FALSE)</f>
        <v>#N/A</v>
      </c>
      <c r="N1699" t="e">
        <f>VLOOKUP(B1699,ubah!$B$2:$L$234,6,FALSE)</f>
        <v>#N/A</v>
      </c>
    </row>
    <row r="1700" spans="1:14" hidden="1" x14ac:dyDescent="0.35">
      <c r="A1700" s="21">
        <v>1351087</v>
      </c>
      <c r="B1700" s="22" t="str">
        <f>"3328112204030004"</f>
        <v>3328112204030004</v>
      </c>
      <c r="C1700" s="22" t="str">
        <f t="shared" si="52"/>
        <v>'3328112204030004</v>
      </c>
      <c r="D1700" s="22" t="str">
        <f t="shared" si="53"/>
        <v>ganda</v>
      </c>
      <c r="E1700" s="22" t="s">
        <v>3809</v>
      </c>
      <c r="F1700" s="22" t="s">
        <v>10</v>
      </c>
      <c r="G1700" s="22" t="s">
        <v>57</v>
      </c>
      <c r="H1700" s="22" t="s">
        <v>303</v>
      </c>
      <c r="I1700" s="22" t="s">
        <v>608</v>
      </c>
      <c r="J1700" s="22" t="s">
        <v>609</v>
      </c>
      <c r="K1700" s="23" t="s">
        <v>610</v>
      </c>
    </row>
    <row r="1701" spans="1:14" hidden="1" x14ac:dyDescent="0.35">
      <c r="A1701" s="21">
        <v>1351101</v>
      </c>
      <c r="B1701" s="22" t="str">
        <f>"3328112302040003"</f>
        <v>3328112302040003</v>
      </c>
      <c r="C1701" s="22" t="str">
        <f t="shared" si="52"/>
        <v>'3328112302040003</v>
      </c>
      <c r="D1701" s="22" t="str">
        <f t="shared" si="53"/>
        <v>tidak ganda</v>
      </c>
      <c r="E1701" s="22" t="s">
        <v>3810</v>
      </c>
      <c r="F1701" s="22" t="s">
        <v>10</v>
      </c>
      <c r="G1701" s="22" t="s">
        <v>57</v>
      </c>
      <c r="H1701" s="22" t="s">
        <v>303</v>
      </c>
      <c r="I1701" s="22" t="s">
        <v>608</v>
      </c>
      <c r="J1701" s="22" t="s">
        <v>609</v>
      </c>
      <c r="K1701" s="23" t="s">
        <v>610</v>
      </c>
    </row>
    <row r="1702" spans="1:14" hidden="1" x14ac:dyDescent="0.35">
      <c r="A1702" s="21">
        <v>2113385</v>
      </c>
      <c r="B1702" s="22" t="str">
        <f>"3328112308860006"</f>
        <v>3328112308860006</v>
      </c>
      <c r="C1702" s="22" t="str">
        <f t="shared" si="52"/>
        <v>'3328112308860006</v>
      </c>
      <c r="D1702" s="22" t="str">
        <f t="shared" si="53"/>
        <v>tidak ganda</v>
      </c>
      <c r="E1702" s="22" t="s">
        <v>3811</v>
      </c>
      <c r="F1702" s="22" t="s">
        <v>10</v>
      </c>
      <c r="G1702" s="22" t="s">
        <v>11</v>
      </c>
      <c r="H1702" s="22" t="s">
        <v>18</v>
      </c>
      <c r="I1702" s="22" t="s">
        <v>19</v>
      </c>
      <c r="J1702" s="22" t="s">
        <v>348</v>
      </c>
      <c r="K1702" s="23" t="s">
        <v>1777</v>
      </c>
      <c r="L1702" t="e">
        <f>VLOOKUP(B1702,ubah!$B$2:$L$234,4,FALSE)</f>
        <v>#N/A</v>
      </c>
      <c r="M1702" t="e">
        <f>VLOOKUP(B1702,ubah!$B$2:$L$234,5,FALSE)</f>
        <v>#N/A</v>
      </c>
      <c r="N1702" t="e">
        <f>VLOOKUP(B1702,ubah!$B$2:$L$234,6,FALSE)</f>
        <v>#N/A</v>
      </c>
    </row>
    <row r="1703" spans="1:14" hidden="1" x14ac:dyDescent="0.35">
      <c r="A1703" s="21">
        <v>2373994</v>
      </c>
      <c r="B1703" s="22" t="str">
        <f>"3328112311900007"</f>
        <v>3328112311900007</v>
      </c>
      <c r="C1703" s="22" t="str">
        <f t="shared" si="52"/>
        <v>'3328112311900007</v>
      </c>
      <c r="D1703" s="22" t="str">
        <f t="shared" si="53"/>
        <v>tidak ganda</v>
      </c>
      <c r="E1703" s="22" t="s">
        <v>3814</v>
      </c>
      <c r="F1703" s="22" t="s">
        <v>10</v>
      </c>
      <c r="G1703" s="22" t="s">
        <v>11</v>
      </c>
      <c r="H1703" s="22" t="s">
        <v>18</v>
      </c>
      <c r="I1703" s="22" t="s">
        <v>19</v>
      </c>
      <c r="J1703" s="22" t="s">
        <v>348</v>
      </c>
      <c r="K1703" s="23" t="s">
        <v>348</v>
      </c>
      <c r="L1703" t="e">
        <f>VLOOKUP(B1703,ubah!$B$2:$L$234,4,FALSE)</f>
        <v>#N/A</v>
      </c>
      <c r="M1703" t="e">
        <f>VLOOKUP(B1703,ubah!$B$2:$L$234,5,FALSE)</f>
        <v>#N/A</v>
      </c>
      <c r="N1703" t="e">
        <f>VLOOKUP(B1703,ubah!$B$2:$L$234,6,FALSE)</f>
        <v>#N/A</v>
      </c>
    </row>
    <row r="1704" spans="1:14" hidden="1" x14ac:dyDescent="0.35">
      <c r="A1704" s="21">
        <v>2168540</v>
      </c>
      <c r="B1704" s="22" t="str">
        <f>"3328112405020005"</f>
        <v>3328112405020005</v>
      </c>
      <c r="C1704" s="22" t="str">
        <f t="shared" si="52"/>
        <v>'3328112405020005</v>
      </c>
      <c r="D1704" s="22" t="str">
        <f t="shared" si="53"/>
        <v>ganda</v>
      </c>
      <c r="E1704" s="22" t="s">
        <v>3817</v>
      </c>
      <c r="F1704" s="22" t="s">
        <v>10</v>
      </c>
      <c r="G1704" s="22" t="s">
        <v>11</v>
      </c>
      <c r="H1704" s="22" t="s">
        <v>18</v>
      </c>
      <c r="I1704" s="22" t="s">
        <v>19</v>
      </c>
      <c r="J1704" s="22" t="s">
        <v>348</v>
      </c>
      <c r="K1704" s="23" t="s">
        <v>3723</v>
      </c>
      <c r="L1704" t="e">
        <f>VLOOKUP(B1704,ubah!$B$2:$L$234,4,FALSE)</f>
        <v>#N/A</v>
      </c>
      <c r="M1704" t="e">
        <f>VLOOKUP(B1704,ubah!$B$2:$L$234,5,FALSE)</f>
        <v>#N/A</v>
      </c>
      <c r="N1704" t="e">
        <f>VLOOKUP(B1704,ubah!$B$2:$L$234,6,FALSE)</f>
        <v>#N/A</v>
      </c>
    </row>
    <row r="1705" spans="1:14" hidden="1" x14ac:dyDescent="0.35">
      <c r="A1705" s="21">
        <v>1351107</v>
      </c>
      <c r="B1705" s="22" t="str">
        <f>"3328112405020005"</f>
        <v>3328112405020005</v>
      </c>
      <c r="C1705" s="22" t="str">
        <f t="shared" si="52"/>
        <v>'3328112405020005</v>
      </c>
      <c r="D1705" s="22" t="str">
        <f t="shared" si="53"/>
        <v>ganda</v>
      </c>
      <c r="E1705" s="22" t="s">
        <v>3818</v>
      </c>
      <c r="F1705" s="22" t="s">
        <v>10</v>
      </c>
      <c r="G1705" s="22" t="s">
        <v>57</v>
      </c>
      <c r="H1705" s="22" t="s">
        <v>303</v>
      </c>
      <c r="I1705" s="22" t="s">
        <v>608</v>
      </c>
      <c r="J1705" s="22" t="s">
        <v>609</v>
      </c>
      <c r="K1705" s="23" t="s">
        <v>610</v>
      </c>
    </row>
    <row r="1706" spans="1:14" hidden="1" x14ac:dyDescent="0.35">
      <c r="A1706" s="21">
        <v>460232</v>
      </c>
      <c r="B1706" s="22" t="str">
        <f>"3328112405990005"</f>
        <v>3328112405990005</v>
      </c>
      <c r="C1706" s="22" t="str">
        <f t="shared" si="52"/>
        <v>'3328112405990005</v>
      </c>
      <c r="D1706" s="22" t="str">
        <f t="shared" si="53"/>
        <v>tidak ganda</v>
      </c>
      <c r="E1706" s="22" t="s">
        <v>3819</v>
      </c>
      <c r="F1706" s="22" t="s">
        <v>10</v>
      </c>
      <c r="G1706" s="22" t="s">
        <v>11</v>
      </c>
      <c r="H1706" s="22" t="s">
        <v>91</v>
      </c>
      <c r="I1706" s="22" t="s">
        <v>438</v>
      </c>
      <c r="J1706" s="22" t="s">
        <v>760</v>
      </c>
      <c r="K1706" s="23" t="s">
        <v>3820</v>
      </c>
    </row>
    <row r="1707" spans="1:14" hidden="1" x14ac:dyDescent="0.35">
      <c r="A1707" s="21">
        <v>1351098</v>
      </c>
      <c r="B1707" s="22" t="str">
        <f>"3328112508050002"</f>
        <v>3328112508050002</v>
      </c>
      <c r="C1707" s="22" t="str">
        <f t="shared" si="52"/>
        <v>'3328112508050002</v>
      </c>
      <c r="D1707" s="22" t="str">
        <f t="shared" si="53"/>
        <v>tidak ganda</v>
      </c>
      <c r="E1707" s="22" t="s">
        <v>3821</v>
      </c>
      <c r="F1707" s="22" t="s">
        <v>10</v>
      </c>
      <c r="G1707" s="22" t="s">
        <v>57</v>
      </c>
      <c r="H1707" s="22" t="s">
        <v>303</v>
      </c>
      <c r="I1707" s="22" t="s">
        <v>608</v>
      </c>
      <c r="J1707" s="22" t="s">
        <v>609</v>
      </c>
      <c r="K1707" s="23" t="s">
        <v>610</v>
      </c>
    </row>
    <row r="1708" spans="1:14" hidden="1" x14ac:dyDescent="0.35">
      <c r="A1708" s="21">
        <v>219387</v>
      </c>
      <c r="B1708" s="22" t="str">
        <f>"3328112511830005"</f>
        <v>3328112511830005</v>
      </c>
      <c r="C1708" s="22" t="str">
        <f t="shared" si="52"/>
        <v>'3328112511830005</v>
      </c>
      <c r="D1708" s="22" t="str">
        <f t="shared" si="53"/>
        <v>tidak ganda</v>
      </c>
      <c r="E1708" s="22" t="s">
        <v>3822</v>
      </c>
      <c r="F1708" s="22" t="s">
        <v>10</v>
      </c>
      <c r="G1708" s="22" t="s">
        <v>11</v>
      </c>
      <c r="H1708" s="22" t="s">
        <v>50</v>
      </c>
      <c r="I1708" s="22" t="s">
        <v>51</v>
      </c>
      <c r="J1708" s="22" t="s">
        <v>52</v>
      </c>
      <c r="K1708" s="23" t="s">
        <v>3823</v>
      </c>
    </row>
    <row r="1709" spans="1:14" hidden="1" x14ac:dyDescent="0.35">
      <c r="A1709" s="21">
        <v>1351088</v>
      </c>
      <c r="B1709" s="22" t="str">
        <f>"3328112602060002"</f>
        <v>3328112602060002</v>
      </c>
      <c r="C1709" s="22" t="str">
        <f t="shared" si="52"/>
        <v>'3328112602060002</v>
      </c>
      <c r="D1709" s="22" t="str">
        <f t="shared" si="53"/>
        <v>tidak ganda</v>
      </c>
      <c r="E1709" s="22" t="s">
        <v>3825</v>
      </c>
      <c r="F1709" s="22" t="s">
        <v>10</v>
      </c>
      <c r="G1709" s="22" t="s">
        <v>57</v>
      </c>
      <c r="H1709" s="22" t="s">
        <v>303</v>
      </c>
      <c r="I1709" s="22" t="s">
        <v>608</v>
      </c>
      <c r="J1709" s="22" t="s">
        <v>609</v>
      </c>
      <c r="K1709" s="23" t="s">
        <v>610</v>
      </c>
    </row>
    <row r="1710" spans="1:14" hidden="1" x14ac:dyDescent="0.35">
      <c r="A1710" s="21">
        <v>246867</v>
      </c>
      <c r="B1710" s="22" t="str">
        <f>"3328112606820007"</f>
        <v>3328112606820007</v>
      </c>
      <c r="C1710" s="22" t="str">
        <f t="shared" si="52"/>
        <v>'3328112606820007</v>
      </c>
      <c r="D1710" s="22" t="str">
        <f t="shared" si="53"/>
        <v>tidak ganda</v>
      </c>
      <c r="E1710" s="22" t="s">
        <v>3826</v>
      </c>
      <c r="F1710" s="22" t="s">
        <v>10</v>
      </c>
      <c r="G1710" s="22" t="s">
        <v>11</v>
      </c>
      <c r="H1710" s="22" t="s">
        <v>18</v>
      </c>
      <c r="I1710" s="22" t="s">
        <v>268</v>
      </c>
      <c r="J1710" s="22" t="s">
        <v>371</v>
      </c>
      <c r="K1710" s="23" t="s">
        <v>497</v>
      </c>
    </row>
    <row r="1711" spans="1:14" hidden="1" x14ac:dyDescent="0.35">
      <c r="A1711" s="21">
        <v>2233854</v>
      </c>
      <c r="B1711" s="22" t="str">
        <f>"3328112703990015"</f>
        <v>3328112703990015</v>
      </c>
      <c r="C1711" s="22" t="str">
        <f t="shared" si="52"/>
        <v>'3328112703990015</v>
      </c>
      <c r="D1711" s="22" t="str">
        <f t="shared" si="53"/>
        <v>tidak ganda</v>
      </c>
      <c r="E1711" s="22" t="s">
        <v>3827</v>
      </c>
      <c r="F1711" s="22" t="s">
        <v>10</v>
      </c>
      <c r="G1711" s="22" t="s">
        <v>11</v>
      </c>
      <c r="H1711" s="22" t="s">
        <v>18</v>
      </c>
      <c r="I1711" s="22" t="s">
        <v>19</v>
      </c>
      <c r="J1711" s="22" t="s">
        <v>348</v>
      </c>
      <c r="K1711" s="23" t="s">
        <v>459</v>
      </c>
      <c r="L1711" t="e">
        <f>VLOOKUP(B1711,ubah!$B$2:$L$234,4,FALSE)</f>
        <v>#N/A</v>
      </c>
      <c r="M1711" t="e">
        <f>VLOOKUP(B1711,ubah!$B$2:$L$234,5,FALSE)</f>
        <v>#N/A</v>
      </c>
      <c r="N1711" t="e">
        <f>VLOOKUP(B1711,ubah!$B$2:$L$234,6,FALSE)</f>
        <v>#N/A</v>
      </c>
    </row>
    <row r="1712" spans="1:14" hidden="1" x14ac:dyDescent="0.35">
      <c r="A1712" s="21">
        <v>308934</v>
      </c>
      <c r="B1712" s="22" t="str">
        <f>"3328112707960001"</f>
        <v>3328112707960001</v>
      </c>
      <c r="C1712" s="22" t="str">
        <f t="shared" si="52"/>
        <v>'3328112707960001</v>
      </c>
      <c r="D1712" s="22" t="str">
        <f t="shared" si="53"/>
        <v>tidak ganda</v>
      </c>
      <c r="E1712" s="22" t="s">
        <v>1030</v>
      </c>
      <c r="F1712" s="22" t="s">
        <v>10</v>
      </c>
      <c r="G1712" s="22" t="s">
        <v>11</v>
      </c>
      <c r="H1712" s="22" t="s">
        <v>50</v>
      </c>
      <c r="I1712" s="22" t="s">
        <v>58</v>
      </c>
      <c r="J1712" s="22" t="s">
        <v>2527</v>
      </c>
      <c r="K1712" s="23" t="s">
        <v>2528</v>
      </c>
    </row>
    <row r="1713" spans="1:14" hidden="1" x14ac:dyDescent="0.35">
      <c r="A1713" s="21">
        <v>2170113</v>
      </c>
      <c r="B1713" s="22" t="str">
        <f>"3328112712030004"</f>
        <v>3328112712030004</v>
      </c>
      <c r="C1713" s="22" t="str">
        <f t="shared" si="52"/>
        <v>'3328112712030004</v>
      </c>
      <c r="D1713" s="22" t="str">
        <f t="shared" si="53"/>
        <v>ganda</v>
      </c>
      <c r="E1713" s="22" t="s">
        <v>3829</v>
      </c>
      <c r="F1713" s="22" t="s">
        <v>10</v>
      </c>
      <c r="G1713" s="22" t="s">
        <v>11</v>
      </c>
      <c r="H1713" s="22" t="s">
        <v>18</v>
      </c>
      <c r="I1713" s="22" t="s">
        <v>19</v>
      </c>
      <c r="J1713" s="22" t="s">
        <v>348</v>
      </c>
      <c r="K1713" s="23" t="s">
        <v>3723</v>
      </c>
      <c r="L1713" t="e">
        <f>VLOOKUP(B1713,ubah!$B$2:$L$234,4,FALSE)</f>
        <v>#N/A</v>
      </c>
      <c r="M1713" t="e">
        <f>VLOOKUP(B1713,ubah!$B$2:$L$234,5,FALSE)</f>
        <v>#N/A</v>
      </c>
      <c r="N1713" t="e">
        <f>VLOOKUP(B1713,ubah!$B$2:$L$234,6,FALSE)</f>
        <v>#N/A</v>
      </c>
    </row>
    <row r="1714" spans="1:14" hidden="1" x14ac:dyDescent="0.35">
      <c r="A1714" s="21">
        <v>1351108</v>
      </c>
      <c r="B1714" s="22" t="str">
        <f>"3328112712030004"</f>
        <v>3328112712030004</v>
      </c>
      <c r="C1714" s="22" t="str">
        <f t="shared" si="52"/>
        <v>'3328112712030004</v>
      </c>
      <c r="D1714" s="22" t="str">
        <f t="shared" si="53"/>
        <v>ganda</v>
      </c>
      <c r="E1714" s="22" t="s">
        <v>3829</v>
      </c>
      <c r="F1714" s="22" t="s">
        <v>10</v>
      </c>
      <c r="G1714" s="22" t="s">
        <v>57</v>
      </c>
      <c r="H1714" s="22" t="s">
        <v>303</v>
      </c>
      <c r="I1714" s="22" t="s">
        <v>608</v>
      </c>
      <c r="J1714" s="22" t="s">
        <v>609</v>
      </c>
      <c r="K1714" s="23" t="s">
        <v>610</v>
      </c>
    </row>
    <row r="1715" spans="1:14" hidden="1" x14ac:dyDescent="0.35">
      <c r="A1715" s="21">
        <v>1351114</v>
      </c>
      <c r="B1715" s="22" t="str">
        <f>"3328112809060009"</f>
        <v>3328112809060009</v>
      </c>
      <c r="C1715" s="22" t="str">
        <f t="shared" si="52"/>
        <v>'3328112809060009</v>
      </c>
      <c r="D1715" s="22" t="str">
        <f t="shared" si="53"/>
        <v>tidak ganda</v>
      </c>
      <c r="E1715" s="22" t="s">
        <v>3831</v>
      </c>
      <c r="F1715" s="22" t="s">
        <v>10</v>
      </c>
      <c r="G1715" s="22" t="s">
        <v>57</v>
      </c>
      <c r="H1715" s="22" t="s">
        <v>303</v>
      </c>
      <c r="I1715" s="22" t="s">
        <v>608</v>
      </c>
      <c r="J1715" s="22" t="s">
        <v>609</v>
      </c>
      <c r="K1715" s="23" t="s">
        <v>610</v>
      </c>
    </row>
    <row r="1716" spans="1:14" hidden="1" x14ac:dyDescent="0.35">
      <c r="A1716" s="21">
        <v>2086753</v>
      </c>
      <c r="B1716" s="22" t="str">
        <f>"3328112905050010"</f>
        <v>3328112905050010</v>
      </c>
      <c r="C1716" s="22" t="str">
        <f t="shared" si="52"/>
        <v>'3328112905050010</v>
      </c>
      <c r="D1716" s="22" t="str">
        <f t="shared" si="53"/>
        <v>ganda</v>
      </c>
      <c r="E1716" s="22" t="s">
        <v>3832</v>
      </c>
      <c r="F1716" s="22" t="s">
        <v>10</v>
      </c>
      <c r="G1716" s="22" t="s">
        <v>11</v>
      </c>
      <c r="H1716" s="22" t="s">
        <v>18</v>
      </c>
      <c r="I1716" s="22" t="s">
        <v>19</v>
      </c>
      <c r="J1716" s="22" t="s">
        <v>348</v>
      </c>
      <c r="K1716" s="23" t="s">
        <v>3679</v>
      </c>
      <c r="L1716" t="e">
        <f>VLOOKUP(B1716,ubah!$B$2:$L$234,4,FALSE)</f>
        <v>#N/A</v>
      </c>
      <c r="M1716" t="e">
        <f>VLOOKUP(B1716,ubah!$B$2:$L$234,5,FALSE)</f>
        <v>#N/A</v>
      </c>
      <c r="N1716" t="e">
        <f>VLOOKUP(B1716,ubah!$B$2:$L$234,6,FALSE)</f>
        <v>#N/A</v>
      </c>
    </row>
    <row r="1717" spans="1:14" hidden="1" x14ac:dyDescent="0.35">
      <c r="A1717" s="21">
        <v>1351102</v>
      </c>
      <c r="B1717" s="22" t="str">
        <f>"3328112905050010"</f>
        <v>3328112905050010</v>
      </c>
      <c r="C1717" s="22" t="str">
        <f t="shared" si="52"/>
        <v>'3328112905050010</v>
      </c>
      <c r="D1717" s="22" t="str">
        <f t="shared" si="53"/>
        <v>ganda</v>
      </c>
      <c r="E1717" s="22" t="s">
        <v>3832</v>
      </c>
      <c r="F1717" s="22" t="s">
        <v>10</v>
      </c>
      <c r="G1717" s="22" t="s">
        <v>57</v>
      </c>
      <c r="H1717" s="22" t="s">
        <v>303</v>
      </c>
      <c r="I1717" s="22" t="s">
        <v>608</v>
      </c>
      <c r="J1717" s="22" t="s">
        <v>609</v>
      </c>
      <c r="K1717" s="23" t="s">
        <v>610</v>
      </c>
    </row>
    <row r="1718" spans="1:14" hidden="1" x14ac:dyDescent="0.35">
      <c r="A1718" s="21">
        <v>2124857</v>
      </c>
      <c r="B1718" s="22" t="str">
        <f>"3328112909040010"</f>
        <v>3328112909040010</v>
      </c>
      <c r="C1718" s="22" t="str">
        <f t="shared" si="52"/>
        <v>'3328112909040010</v>
      </c>
      <c r="D1718" s="22" t="str">
        <f t="shared" si="53"/>
        <v>ganda</v>
      </c>
      <c r="E1718" s="22" t="s">
        <v>3833</v>
      </c>
      <c r="F1718" s="22" t="s">
        <v>10</v>
      </c>
      <c r="G1718" s="22" t="s">
        <v>11</v>
      </c>
      <c r="H1718" s="22" t="s">
        <v>18</v>
      </c>
      <c r="I1718" s="22" t="s">
        <v>19</v>
      </c>
      <c r="J1718" s="22" t="s">
        <v>348</v>
      </c>
      <c r="K1718" s="23" t="s">
        <v>1644</v>
      </c>
      <c r="L1718" t="e">
        <f>VLOOKUP(B1718,ubah!$B$2:$L$234,4,FALSE)</f>
        <v>#N/A</v>
      </c>
      <c r="M1718" t="e">
        <f>VLOOKUP(B1718,ubah!$B$2:$L$234,5,FALSE)</f>
        <v>#N/A</v>
      </c>
      <c r="N1718" t="e">
        <f>VLOOKUP(B1718,ubah!$B$2:$L$234,6,FALSE)</f>
        <v>#N/A</v>
      </c>
    </row>
    <row r="1719" spans="1:14" hidden="1" x14ac:dyDescent="0.35">
      <c r="A1719" s="21">
        <v>1351096</v>
      </c>
      <c r="B1719" s="22" t="str">
        <f>"3328112909040010"</f>
        <v>3328112909040010</v>
      </c>
      <c r="C1719" s="22" t="str">
        <f t="shared" si="52"/>
        <v>'3328112909040010</v>
      </c>
      <c r="D1719" s="22" t="str">
        <f t="shared" si="53"/>
        <v>ganda</v>
      </c>
      <c r="E1719" s="22" t="s">
        <v>3833</v>
      </c>
      <c r="F1719" s="22" t="s">
        <v>10</v>
      </c>
      <c r="G1719" s="22" t="s">
        <v>57</v>
      </c>
      <c r="H1719" s="22" t="s">
        <v>303</v>
      </c>
      <c r="I1719" s="22" t="s">
        <v>608</v>
      </c>
      <c r="J1719" s="22" t="s">
        <v>609</v>
      </c>
      <c r="K1719" s="23" t="s">
        <v>610</v>
      </c>
    </row>
    <row r="1720" spans="1:14" hidden="1" x14ac:dyDescent="0.35">
      <c r="A1720" s="21">
        <v>282218</v>
      </c>
      <c r="B1720" s="22" t="str">
        <f>"3328113008860002"</f>
        <v>3328113008860002</v>
      </c>
      <c r="C1720" s="22" t="str">
        <f t="shared" si="52"/>
        <v>'3328113008860002</v>
      </c>
      <c r="D1720" s="22" t="str">
        <f t="shared" si="53"/>
        <v>tidak ganda</v>
      </c>
      <c r="E1720" s="22" t="s">
        <v>3834</v>
      </c>
      <c r="F1720" s="22" t="s">
        <v>10</v>
      </c>
      <c r="G1720" s="22" t="s">
        <v>11</v>
      </c>
      <c r="H1720" s="22" t="s">
        <v>18</v>
      </c>
      <c r="I1720" s="22" t="s">
        <v>268</v>
      </c>
      <c r="J1720" s="22" t="s">
        <v>277</v>
      </c>
      <c r="K1720" s="23" t="s">
        <v>884</v>
      </c>
    </row>
    <row r="1721" spans="1:14" hidden="1" x14ac:dyDescent="0.35">
      <c r="A1721" s="21">
        <v>2169862</v>
      </c>
      <c r="B1721" s="22" t="str">
        <f>"3328113108050010"</f>
        <v>3328113108050010</v>
      </c>
      <c r="C1721" s="22" t="str">
        <f t="shared" si="52"/>
        <v>'3328113108050010</v>
      </c>
      <c r="D1721" s="22" t="str">
        <f t="shared" si="53"/>
        <v>ganda</v>
      </c>
      <c r="E1721" s="22" t="s">
        <v>3836</v>
      </c>
      <c r="F1721" s="22" t="s">
        <v>10</v>
      </c>
      <c r="G1721" s="22" t="s">
        <v>11</v>
      </c>
      <c r="H1721" s="22" t="s">
        <v>18</v>
      </c>
      <c r="I1721" s="22" t="s">
        <v>19</v>
      </c>
      <c r="J1721" s="22" t="s">
        <v>348</v>
      </c>
      <c r="K1721" s="23" t="s">
        <v>3723</v>
      </c>
      <c r="L1721" t="e">
        <f>VLOOKUP(B1721,ubah!$B$2:$L$234,4,FALSE)</f>
        <v>#N/A</v>
      </c>
      <c r="M1721" t="e">
        <f>VLOOKUP(B1721,ubah!$B$2:$L$234,5,FALSE)</f>
        <v>#N/A</v>
      </c>
      <c r="N1721" t="e">
        <f>VLOOKUP(B1721,ubah!$B$2:$L$234,6,FALSE)</f>
        <v>#N/A</v>
      </c>
    </row>
    <row r="1722" spans="1:14" hidden="1" x14ac:dyDescent="0.35">
      <c r="A1722" s="21">
        <v>1351110</v>
      </c>
      <c r="B1722" s="22" t="str">
        <f>"3328113108050010"</f>
        <v>3328113108050010</v>
      </c>
      <c r="C1722" s="22" t="str">
        <f t="shared" si="52"/>
        <v>'3328113108050010</v>
      </c>
      <c r="D1722" s="22" t="str">
        <f t="shared" si="53"/>
        <v>ganda</v>
      </c>
      <c r="E1722" s="22" t="s">
        <v>3836</v>
      </c>
      <c r="F1722" s="22" t="s">
        <v>10</v>
      </c>
      <c r="G1722" s="22" t="s">
        <v>57</v>
      </c>
      <c r="H1722" s="22" t="s">
        <v>303</v>
      </c>
      <c r="I1722" s="22" t="s">
        <v>608</v>
      </c>
      <c r="J1722" s="22" t="s">
        <v>609</v>
      </c>
      <c r="K1722" s="23" t="s">
        <v>610</v>
      </c>
    </row>
    <row r="1723" spans="1:14" hidden="1" x14ac:dyDescent="0.35">
      <c r="A1723" s="21">
        <v>982554</v>
      </c>
      <c r="B1723" s="22" t="str">
        <f>"3328113112760053"</f>
        <v>3328113112760053</v>
      </c>
      <c r="C1723" s="22" t="str">
        <f t="shared" si="52"/>
        <v>'3328113112760053</v>
      </c>
      <c r="D1723" s="22" t="str">
        <f t="shared" si="53"/>
        <v>tidak ganda</v>
      </c>
      <c r="E1723" s="22" t="s">
        <v>3837</v>
      </c>
      <c r="F1723" s="22" t="s">
        <v>10</v>
      </c>
      <c r="G1723" s="22" t="s">
        <v>11</v>
      </c>
      <c r="H1723" s="22" t="s">
        <v>50</v>
      </c>
      <c r="I1723" s="22" t="s">
        <v>51</v>
      </c>
      <c r="J1723" s="22" t="s">
        <v>78</v>
      </c>
      <c r="K1723" s="23" t="s">
        <v>81</v>
      </c>
    </row>
    <row r="1724" spans="1:14" hidden="1" x14ac:dyDescent="0.35">
      <c r="A1724" s="21">
        <v>2083054</v>
      </c>
      <c r="B1724" s="22" t="str">
        <f>"3328114101020008"</f>
        <v>3328114101020008</v>
      </c>
      <c r="C1724" s="22" t="str">
        <f t="shared" si="52"/>
        <v>'3328114101020008</v>
      </c>
      <c r="D1724" s="22" t="str">
        <f t="shared" si="53"/>
        <v>ganda</v>
      </c>
      <c r="E1724" s="22" t="s">
        <v>3838</v>
      </c>
      <c r="F1724" s="22" t="s">
        <v>10</v>
      </c>
      <c r="G1724" s="22" t="s">
        <v>11</v>
      </c>
      <c r="H1724" s="22" t="s">
        <v>18</v>
      </c>
      <c r="I1724" s="22" t="s">
        <v>19</v>
      </c>
      <c r="J1724" s="22" t="s">
        <v>348</v>
      </c>
      <c r="K1724" s="23" t="s">
        <v>3679</v>
      </c>
      <c r="L1724" t="e">
        <f>VLOOKUP(B1724,ubah!$B$2:$L$234,4,FALSE)</f>
        <v>#N/A</v>
      </c>
      <c r="M1724" t="e">
        <f>VLOOKUP(B1724,ubah!$B$2:$L$234,5,FALSE)</f>
        <v>#N/A</v>
      </c>
      <c r="N1724" t="e">
        <f>VLOOKUP(B1724,ubah!$B$2:$L$234,6,FALSE)</f>
        <v>#N/A</v>
      </c>
    </row>
    <row r="1725" spans="1:14" hidden="1" x14ac:dyDescent="0.35">
      <c r="A1725" s="21">
        <v>423845</v>
      </c>
      <c r="B1725" s="22" t="str">
        <f>"3328114101020008"</f>
        <v>3328114101020008</v>
      </c>
      <c r="C1725" s="22" t="str">
        <f t="shared" si="52"/>
        <v>'3328114101020008</v>
      </c>
      <c r="D1725" s="22" t="str">
        <f t="shared" si="53"/>
        <v>ganda</v>
      </c>
      <c r="E1725" s="22" t="s">
        <v>3839</v>
      </c>
      <c r="F1725" s="22" t="s">
        <v>10</v>
      </c>
      <c r="G1725" s="22" t="s">
        <v>57</v>
      </c>
      <c r="H1725" s="22" t="s">
        <v>18</v>
      </c>
      <c r="I1725" s="22" t="s">
        <v>268</v>
      </c>
      <c r="J1725" s="22" t="s">
        <v>277</v>
      </c>
      <c r="K1725" s="23" t="s">
        <v>278</v>
      </c>
    </row>
    <row r="1726" spans="1:14" hidden="1" x14ac:dyDescent="0.35">
      <c r="A1726" s="21">
        <v>1352167</v>
      </c>
      <c r="B1726" s="22" t="str">
        <f>"3328114102070003"</f>
        <v>3328114102070003</v>
      </c>
      <c r="C1726" s="22" t="str">
        <f t="shared" si="52"/>
        <v>'3328114102070003</v>
      </c>
      <c r="D1726" s="22" t="str">
        <f t="shared" si="53"/>
        <v>tidak ganda</v>
      </c>
      <c r="E1726" s="22" t="s">
        <v>3841</v>
      </c>
      <c r="F1726" s="22" t="s">
        <v>10</v>
      </c>
      <c r="G1726" s="22" t="s">
        <v>57</v>
      </c>
      <c r="H1726" s="22" t="s">
        <v>303</v>
      </c>
      <c r="I1726" s="22" t="s">
        <v>608</v>
      </c>
      <c r="J1726" s="22" t="s">
        <v>609</v>
      </c>
      <c r="K1726" s="23" t="s">
        <v>610</v>
      </c>
    </row>
    <row r="1727" spans="1:14" hidden="1" x14ac:dyDescent="0.35">
      <c r="A1727" s="21">
        <v>2154664</v>
      </c>
      <c r="B1727" s="22" t="str">
        <f>"3328114207820004"</f>
        <v>3328114207820004</v>
      </c>
      <c r="C1727" s="22" t="str">
        <f t="shared" si="52"/>
        <v>'3328114207820004</v>
      </c>
      <c r="D1727" s="22" t="str">
        <f t="shared" si="53"/>
        <v>tidak ganda</v>
      </c>
      <c r="E1727" s="22" t="s">
        <v>3842</v>
      </c>
      <c r="F1727" s="22" t="s">
        <v>10</v>
      </c>
      <c r="G1727" s="22" t="s">
        <v>11</v>
      </c>
      <c r="H1727" s="22" t="s">
        <v>18</v>
      </c>
      <c r="I1727" s="22" t="s">
        <v>19</v>
      </c>
      <c r="J1727" s="22" t="s">
        <v>348</v>
      </c>
      <c r="K1727" s="23" t="s">
        <v>3688</v>
      </c>
      <c r="L1727" t="e">
        <f>VLOOKUP(B1727,ubah!$B$2:$L$234,4,FALSE)</f>
        <v>#N/A</v>
      </c>
      <c r="M1727" t="e">
        <f>VLOOKUP(B1727,ubah!$B$2:$L$234,5,FALSE)</f>
        <v>#N/A</v>
      </c>
      <c r="N1727" t="e">
        <f>VLOOKUP(B1727,ubah!$B$2:$L$234,6,FALSE)</f>
        <v>#N/A</v>
      </c>
    </row>
    <row r="1728" spans="1:14" hidden="1" x14ac:dyDescent="0.35">
      <c r="A1728" s="21">
        <v>1880676</v>
      </c>
      <c r="B1728" s="22" t="str">
        <f>"3328114305880004"</f>
        <v>3328114305880004</v>
      </c>
      <c r="C1728" s="22" t="str">
        <f t="shared" si="52"/>
        <v>'3328114305880004</v>
      </c>
      <c r="D1728" s="22" t="str">
        <f t="shared" si="53"/>
        <v>tidak ganda</v>
      </c>
      <c r="E1728" s="22" t="s">
        <v>3844</v>
      </c>
      <c r="F1728" s="22" t="s">
        <v>10</v>
      </c>
      <c r="G1728" s="22" t="s">
        <v>11</v>
      </c>
      <c r="H1728" s="22" t="s">
        <v>67</v>
      </c>
      <c r="I1728" s="22" t="s">
        <v>68</v>
      </c>
      <c r="J1728" s="22" t="s">
        <v>2924</v>
      </c>
      <c r="K1728" s="23" t="s">
        <v>3845</v>
      </c>
    </row>
    <row r="1729" spans="1:14" hidden="1" x14ac:dyDescent="0.35">
      <c r="A1729" s="21">
        <v>342350</v>
      </c>
      <c r="B1729" s="22" t="str">
        <f>"3328114401030003"</f>
        <v>3328114401030003</v>
      </c>
      <c r="C1729" s="22" t="str">
        <f t="shared" si="52"/>
        <v>'3328114401030003</v>
      </c>
      <c r="D1729" s="22" t="str">
        <f t="shared" si="53"/>
        <v>tidak ganda</v>
      </c>
      <c r="E1729" s="22" t="s">
        <v>3847</v>
      </c>
      <c r="F1729" s="22" t="s">
        <v>10</v>
      </c>
      <c r="G1729" s="22" t="s">
        <v>11</v>
      </c>
      <c r="H1729" s="22" t="s">
        <v>379</v>
      </c>
      <c r="I1729" s="22" t="s">
        <v>380</v>
      </c>
      <c r="J1729" s="22" t="s">
        <v>3848</v>
      </c>
      <c r="K1729" s="23" t="s">
        <v>3849</v>
      </c>
    </row>
    <row r="1730" spans="1:14" hidden="1" x14ac:dyDescent="0.35">
      <c r="A1730" s="21">
        <v>2136036</v>
      </c>
      <c r="B1730" s="22" t="str">
        <f>"3328114511880007"</f>
        <v>3328114511880007</v>
      </c>
      <c r="C1730" s="22" t="str">
        <f t="shared" si="52"/>
        <v>'3328114511880007</v>
      </c>
      <c r="D1730" s="22" t="str">
        <f t="shared" si="53"/>
        <v>tidak ganda</v>
      </c>
      <c r="E1730" s="22" t="s">
        <v>3851</v>
      </c>
      <c r="F1730" s="22" t="s">
        <v>10</v>
      </c>
      <c r="G1730" s="22" t="s">
        <v>11</v>
      </c>
      <c r="H1730" s="22" t="s">
        <v>18</v>
      </c>
      <c r="I1730" s="22" t="s">
        <v>19</v>
      </c>
      <c r="J1730" s="22" t="s">
        <v>348</v>
      </c>
      <c r="K1730" s="23" t="s">
        <v>3677</v>
      </c>
      <c r="L1730" t="e">
        <f>VLOOKUP(B1730,ubah!$B$2:$L$234,4,FALSE)</f>
        <v>#N/A</v>
      </c>
      <c r="M1730" t="e">
        <f>VLOOKUP(B1730,ubah!$B$2:$L$234,5,FALSE)</f>
        <v>#N/A</v>
      </c>
      <c r="N1730" t="e">
        <f>VLOOKUP(B1730,ubah!$B$2:$L$234,6,FALSE)</f>
        <v>#N/A</v>
      </c>
    </row>
    <row r="1731" spans="1:14" hidden="1" x14ac:dyDescent="0.35">
      <c r="A1731" s="21">
        <v>188872</v>
      </c>
      <c r="B1731" s="22" t="str">
        <f>"3328114608950006"</f>
        <v>3328114608950006</v>
      </c>
      <c r="C1731" s="22" t="str">
        <f t="shared" ref="C1731:C1794" si="54">"'"&amp;B1731</f>
        <v>'3328114608950006</v>
      </c>
      <c r="D1731" s="22" t="str">
        <f t="shared" ref="D1731:D1794" si="55">IF(COUNTIF($C:$C,C1731)&gt;1,"ganda","tidak ganda")</f>
        <v>tidak ganda</v>
      </c>
      <c r="E1731" s="22" t="s">
        <v>3852</v>
      </c>
      <c r="F1731" s="22" t="s">
        <v>10</v>
      </c>
      <c r="G1731" s="22" t="s">
        <v>11</v>
      </c>
      <c r="H1731" s="22" t="s">
        <v>12</v>
      </c>
      <c r="I1731" s="22" t="s">
        <v>3673</v>
      </c>
      <c r="J1731" s="22" t="s">
        <v>3674</v>
      </c>
      <c r="K1731" s="23" t="s">
        <v>3675</v>
      </c>
    </row>
    <row r="1732" spans="1:14" hidden="1" x14ac:dyDescent="0.35">
      <c r="A1732" s="21">
        <v>2378836</v>
      </c>
      <c r="B1732" s="22" t="str">
        <f>"3328114612990003"</f>
        <v>3328114612990003</v>
      </c>
      <c r="C1732" s="22" t="str">
        <f t="shared" si="54"/>
        <v>'3328114612990003</v>
      </c>
      <c r="D1732" s="22" t="str">
        <f t="shared" si="55"/>
        <v>tidak ganda</v>
      </c>
      <c r="E1732" s="22" t="s">
        <v>3854</v>
      </c>
      <c r="F1732" s="22" t="s">
        <v>10</v>
      </c>
      <c r="G1732" s="22" t="s">
        <v>11</v>
      </c>
      <c r="H1732" s="22" t="s">
        <v>18</v>
      </c>
      <c r="I1732" s="22" t="s">
        <v>19</v>
      </c>
      <c r="J1732" s="22" t="s">
        <v>348</v>
      </c>
      <c r="K1732" s="23" t="s">
        <v>348</v>
      </c>
      <c r="L1732" t="e">
        <f>VLOOKUP(B1732,ubah!$B$2:$L$234,4,FALSE)</f>
        <v>#N/A</v>
      </c>
      <c r="M1732" t="e">
        <f>VLOOKUP(B1732,ubah!$B$2:$L$234,5,FALSE)</f>
        <v>#N/A</v>
      </c>
      <c r="N1732" t="e">
        <f>VLOOKUP(B1732,ubah!$B$2:$L$234,6,FALSE)</f>
        <v>#N/A</v>
      </c>
    </row>
    <row r="1733" spans="1:14" hidden="1" x14ac:dyDescent="0.35">
      <c r="A1733" s="21">
        <v>2154083</v>
      </c>
      <c r="B1733" s="22" t="str">
        <f>"3328114612990007"</f>
        <v>3328114612990007</v>
      </c>
      <c r="C1733" s="22" t="str">
        <f t="shared" si="54"/>
        <v>'3328114612990007</v>
      </c>
      <c r="D1733" s="22" t="str">
        <f t="shared" si="55"/>
        <v>tidak ganda</v>
      </c>
      <c r="E1733" s="22" t="s">
        <v>3856</v>
      </c>
      <c r="F1733" s="22" t="s">
        <v>10</v>
      </c>
      <c r="G1733" s="22" t="s">
        <v>11</v>
      </c>
      <c r="H1733" s="22" t="s">
        <v>18</v>
      </c>
      <c r="I1733" s="22" t="s">
        <v>19</v>
      </c>
      <c r="J1733" s="22" t="s">
        <v>348</v>
      </c>
      <c r="K1733" s="23" t="s">
        <v>3688</v>
      </c>
      <c r="L1733" t="e">
        <f>VLOOKUP(B1733,ubah!$B$2:$L$234,4,FALSE)</f>
        <v>#N/A</v>
      </c>
      <c r="M1733" t="e">
        <f>VLOOKUP(B1733,ubah!$B$2:$L$234,5,FALSE)</f>
        <v>#N/A</v>
      </c>
      <c r="N1733" t="e">
        <f>VLOOKUP(B1733,ubah!$B$2:$L$234,6,FALSE)</f>
        <v>#N/A</v>
      </c>
    </row>
    <row r="1734" spans="1:14" hidden="1" x14ac:dyDescent="0.35">
      <c r="A1734" s="21">
        <v>2219957</v>
      </c>
      <c r="B1734" s="22" t="str">
        <f>"3328114701000003"</f>
        <v>3328114701000003</v>
      </c>
      <c r="C1734" s="22" t="str">
        <f t="shared" si="54"/>
        <v>'3328114701000003</v>
      </c>
      <c r="D1734" s="22" t="str">
        <f t="shared" si="55"/>
        <v>tidak ganda</v>
      </c>
      <c r="E1734" s="22" t="s">
        <v>3860</v>
      </c>
      <c r="F1734" s="22" t="s">
        <v>10</v>
      </c>
      <c r="G1734" s="22" t="s">
        <v>11</v>
      </c>
      <c r="H1734" s="22" t="s">
        <v>18</v>
      </c>
      <c r="I1734" s="22" t="s">
        <v>19</v>
      </c>
      <c r="J1734" s="22" t="s">
        <v>348</v>
      </c>
      <c r="K1734" s="23" t="s">
        <v>3861</v>
      </c>
      <c r="L1734" t="e">
        <f>VLOOKUP(B1734,ubah!$B$2:$L$234,4,FALSE)</f>
        <v>#N/A</v>
      </c>
      <c r="M1734" t="e">
        <f>VLOOKUP(B1734,ubah!$B$2:$L$234,5,FALSE)</f>
        <v>#N/A</v>
      </c>
      <c r="N1734" t="e">
        <f>VLOOKUP(B1734,ubah!$B$2:$L$234,6,FALSE)</f>
        <v>#N/A</v>
      </c>
    </row>
    <row r="1735" spans="1:14" hidden="1" x14ac:dyDescent="0.35">
      <c r="A1735" s="21">
        <v>2167894</v>
      </c>
      <c r="B1735" s="22" t="str">
        <f>"3328114702940003"</f>
        <v>3328114702940003</v>
      </c>
      <c r="C1735" s="22" t="str">
        <f t="shared" si="54"/>
        <v>'3328114702940003</v>
      </c>
      <c r="D1735" s="22" t="str">
        <f t="shared" si="55"/>
        <v>tidak ganda</v>
      </c>
      <c r="E1735" s="22" t="s">
        <v>3863</v>
      </c>
      <c r="F1735" s="22" t="s">
        <v>10</v>
      </c>
      <c r="G1735" s="22" t="s">
        <v>11</v>
      </c>
      <c r="H1735" s="22" t="s">
        <v>18</v>
      </c>
      <c r="I1735" s="22" t="s">
        <v>19</v>
      </c>
      <c r="J1735" s="22" t="s">
        <v>348</v>
      </c>
      <c r="K1735" s="23" t="s">
        <v>3683</v>
      </c>
      <c r="L1735" t="e">
        <f>VLOOKUP(B1735,ubah!$B$2:$L$234,4,FALSE)</f>
        <v>#N/A</v>
      </c>
      <c r="M1735" t="e">
        <f>VLOOKUP(B1735,ubah!$B$2:$L$234,5,FALSE)</f>
        <v>#N/A</v>
      </c>
      <c r="N1735" t="e">
        <f>VLOOKUP(B1735,ubah!$B$2:$L$234,6,FALSE)</f>
        <v>#N/A</v>
      </c>
    </row>
    <row r="1736" spans="1:14" hidden="1" x14ac:dyDescent="0.35">
      <c r="A1736" s="21">
        <v>2234754</v>
      </c>
      <c r="B1736" s="22" t="str">
        <f>"3328114911910005"</f>
        <v>3328114911910005</v>
      </c>
      <c r="C1736" s="22" t="str">
        <f t="shared" si="54"/>
        <v>'3328114911910005</v>
      </c>
      <c r="D1736" s="22" t="str">
        <f t="shared" si="55"/>
        <v>tidak ganda</v>
      </c>
      <c r="E1736" s="22" t="s">
        <v>3866</v>
      </c>
      <c r="F1736" s="22" t="s">
        <v>10</v>
      </c>
      <c r="G1736" s="22" t="s">
        <v>11</v>
      </c>
      <c r="H1736" s="22" t="s">
        <v>18</v>
      </c>
      <c r="I1736" s="22" t="s">
        <v>19</v>
      </c>
      <c r="J1736" s="22" t="s">
        <v>348</v>
      </c>
      <c r="K1736" s="23" t="s">
        <v>459</v>
      </c>
      <c r="L1736" t="e">
        <f>VLOOKUP(B1736,ubah!$B$2:$L$234,4,FALSE)</f>
        <v>#N/A</v>
      </c>
      <c r="M1736" t="e">
        <f>VLOOKUP(B1736,ubah!$B$2:$L$234,5,FALSE)</f>
        <v>#N/A</v>
      </c>
      <c r="N1736" t="e">
        <f>VLOOKUP(B1736,ubah!$B$2:$L$234,6,FALSE)</f>
        <v>#N/A</v>
      </c>
    </row>
    <row r="1737" spans="1:14" hidden="1" x14ac:dyDescent="0.35">
      <c r="A1737" s="21">
        <v>2160242</v>
      </c>
      <c r="B1737" s="22" t="str">
        <f>"3328115103870004"</f>
        <v>3328115103870004</v>
      </c>
      <c r="C1737" s="22" t="str">
        <f t="shared" si="54"/>
        <v>'3328115103870004</v>
      </c>
      <c r="D1737" s="22" t="str">
        <f t="shared" si="55"/>
        <v>tidak ganda</v>
      </c>
      <c r="E1737" s="22" t="s">
        <v>3867</v>
      </c>
      <c r="F1737" s="22" t="s">
        <v>10</v>
      </c>
      <c r="G1737" s="22" t="s">
        <v>11</v>
      </c>
      <c r="H1737" s="22" t="s">
        <v>18</v>
      </c>
      <c r="I1737" s="22" t="s">
        <v>19</v>
      </c>
      <c r="J1737" s="22" t="s">
        <v>348</v>
      </c>
      <c r="K1737" s="23" t="s">
        <v>3696</v>
      </c>
      <c r="L1737" t="e">
        <f>VLOOKUP(B1737,ubah!$B$2:$L$234,4,FALSE)</f>
        <v>#N/A</v>
      </c>
      <c r="M1737" t="e">
        <f>VLOOKUP(B1737,ubah!$B$2:$L$234,5,FALSE)</f>
        <v>#N/A</v>
      </c>
      <c r="N1737" t="e">
        <f>VLOOKUP(B1737,ubah!$B$2:$L$234,6,FALSE)</f>
        <v>#N/A</v>
      </c>
    </row>
    <row r="1738" spans="1:14" hidden="1" x14ac:dyDescent="0.35">
      <c r="A1738" s="21">
        <v>2161777</v>
      </c>
      <c r="B1738" s="22" t="str">
        <f>"3328115210870007"</f>
        <v>3328115210870007</v>
      </c>
      <c r="C1738" s="22" t="str">
        <f t="shared" si="54"/>
        <v>'3328115210870007</v>
      </c>
      <c r="D1738" s="22" t="str">
        <f t="shared" si="55"/>
        <v>tidak ganda</v>
      </c>
      <c r="E1738" s="22" t="s">
        <v>3870</v>
      </c>
      <c r="F1738" s="22" t="s">
        <v>10</v>
      </c>
      <c r="G1738" s="22" t="s">
        <v>11</v>
      </c>
      <c r="H1738" s="22" t="s">
        <v>18</v>
      </c>
      <c r="I1738" s="22" t="s">
        <v>19</v>
      </c>
      <c r="J1738" s="22" t="s">
        <v>348</v>
      </c>
      <c r="K1738" s="23" t="s">
        <v>3696</v>
      </c>
      <c r="L1738" t="e">
        <f>VLOOKUP(B1738,ubah!$B$2:$L$234,4,FALSE)</f>
        <v>#N/A</v>
      </c>
      <c r="M1738" t="e">
        <f>VLOOKUP(B1738,ubah!$B$2:$L$234,5,FALSE)</f>
        <v>#N/A</v>
      </c>
      <c r="N1738" t="e">
        <f>VLOOKUP(B1738,ubah!$B$2:$L$234,6,FALSE)</f>
        <v>#N/A</v>
      </c>
    </row>
    <row r="1739" spans="1:14" hidden="1" x14ac:dyDescent="0.35">
      <c r="A1739" s="21">
        <v>2174326</v>
      </c>
      <c r="B1739" s="22" t="str">
        <f>"3328115304780001"</f>
        <v>3328115304780001</v>
      </c>
      <c r="C1739" s="22" t="str">
        <f t="shared" si="54"/>
        <v>'3328115304780001</v>
      </c>
      <c r="D1739" s="22" t="str">
        <f t="shared" si="55"/>
        <v>tidak ganda</v>
      </c>
      <c r="E1739" s="22" t="s">
        <v>3871</v>
      </c>
      <c r="F1739" s="22" t="s">
        <v>10</v>
      </c>
      <c r="G1739" s="22" t="s">
        <v>11</v>
      </c>
      <c r="H1739" s="22" t="s">
        <v>18</v>
      </c>
      <c r="I1739" s="22" t="s">
        <v>19</v>
      </c>
      <c r="J1739" s="22" t="s">
        <v>348</v>
      </c>
      <c r="K1739" s="23" t="s">
        <v>3872</v>
      </c>
      <c r="L1739" t="e">
        <f>VLOOKUP(B1739,ubah!$B$2:$L$234,4,FALSE)</f>
        <v>#N/A</v>
      </c>
      <c r="M1739" t="e">
        <f>VLOOKUP(B1739,ubah!$B$2:$L$234,5,FALSE)</f>
        <v>#N/A</v>
      </c>
      <c r="N1739" t="e">
        <f>VLOOKUP(B1739,ubah!$B$2:$L$234,6,FALSE)</f>
        <v>#N/A</v>
      </c>
    </row>
    <row r="1740" spans="1:14" hidden="1" x14ac:dyDescent="0.35">
      <c r="A1740" s="21">
        <v>2099575</v>
      </c>
      <c r="B1740" s="22" t="str">
        <f>"3328115305040008"</f>
        <v>3328115305040008</v>
      </c>
      <c r="C1740" s="22" t="str">
        <f t="shared" si="54"/>
        <v>'3328115305040008</v>
      </c>
      <c r="D1740" s="22" t="str">
        <f t="shared" si="55"/>
        <v>ganda</v>
      </c>
      <c r="E1740" s="22" t="s">
        <v>3874</v>
      </c>
      <c r="F1740" s="22" t="s">
        <v>10</v>
      </c>
      <c r="G1740" s="22" t="s">
        <v>11</v>
      </c>
      <c r="H1740" s="22" t="s">
        <v>18</v>
      </c>
      <c r="I1740" s="22" t="s">
        <v>19</v>
      </c>
      <c r="J1740" s="22" t="s">
        <v>348</v>
      </c>
      <c r="K1740" s="23" t="s">
        <v>3727</v>
      </c>
      <c r="L1740" t="e">
        <f>VLOOKUP(B1740,ubah!$B$2:$L$234,4,FALSE)</f>
        <v>#N/A</v>
      </c>
      <c r="M1740" t="e">
        <f>VLOOKUP(B1740,ubah!$B$2:$L$234,5,FALSE)</f>
        <v>#N/A</v>
      </c>
      <c r="N1740" t="e">
        <f>VLOOKUP(B1740,ubah!$B$2:$L$234,6,FALSE)</f>
        <v>#N/A</v>
      </c>
    </row>
    <row r="1741" spans="1:14" hidden="1" x14ac:dyDescent="0.35">
      <c r="A1741" s="21">
        <v>762542</v>
      </c>
      <c r="B1741" s="22" t="str">
        <f>"3328115305040008"</f>
        <v>3328115305040008</v>
      </c>
      <c r="C1741" s="22" t="str">
        <f t="shared" si="54"/>
        <v>'3328115305040008</v>
      </c>
      <c r="D1741" s="22" t="str">
        <f t="shared" si="55"/>
        <v>ganda</v>
      </c>
      <c r="E1741" s="22" t="s">
        <v>3875</v>
      </c>
      <c r="F1741" s="22" t="s">
        <v>10</v>
      </c>
      <c r="G1741" s="22" t="s">
        <v>57</v>
      </c>
      <c r="H1741" s="22" t="s">
        <v>379</v>
      </c>
      <c r="I1741" s="22" t="s">
        <v>711</v>
      </c>
      <c r="J1741" s="22" t="s">
        <v>718</v>
      </c>
      <c r="K1741" s="23" t="s">
        <v>719</v>
      </c>
    </row>
    <row r="1742" spans="1:14" hidden="1" x14ac:dyDescent="0.35">
      <c r="A1742" s="21">
        <v>2381283</v>
      </c>
      <c r="B1742" s="22" t="str">
        <f>"3328115405980004"</f>
        <v>3328115405980004</v>
      </c>
      <c r="C1742" s="22" t="str">
        <f t="shared" si="54"/>
        <v>'3328115405980004</v>
      </c>
      <c r="D1742" s="22" t="str">
        <f t="shared" si="55"/>
        <v>tidak ganda</v>
      </c>
      <c r="E1742" s="22" t="s">
        <v>3876</v>
      </c>
      <c r="F1742" s="22" t="s">
        <v>10</v>
      </c>
      <c r="G1742" s="22" t="s">
        <v>11</v>
      </c>
      <c r="H1742" s="22" t="s">
        <v>18</v>
      </c>
      <c r="I1742" s="22" t="s">
        <v>19</v>
      </c>
      <c r="J1742" s="22" t="s">
        <v>348</v>
      </c>
      <c r="K1742" s="23" t="s">
        <v>348</v>
      </c>
      <c r="L1742" t="e">
        <f>VLOOKUP(B1742,ubah!$B$2:$L$234,4,FALSE)</f>
        <v>#N/A</v>
      </c>
      <c r="M1742" t="e">
        <f>VLOOKUP(B1742,ubah!$B$2:$L$234,5,FALSE)</f>
        <v>#N/A</v>
      </c>
      <c r="N1742" t="e">
        <f>VLOOKUP(B1742,ubah!$B$2:$L$234,6,FALSE)</f>
        <v>#N/A</v>
      </c>
    </row>
    <row r="1743" spans="1:14" hidden="1" x14ac:dyDescent="0.35">
      <c r="A1743" s="21">
        <v>2115887</v>
      </c>
      <c r="B1743" s="22" t="str">
        <f>"3328115512960004"</f>
        <v>3328115512960004</v>
      </c>
      <c r="C1743" s="22" t="str">
        <f t="shared" si="54"/>
        <v>'3328115512960004</v>
      </c>
      <c r="D1743" s="22" t="str">
        <f t="shared" si="55"/>
        <v>tidak ganda</v>
      </c>
      <c r="E1743" s="22" t="s">
        <v>3878</v>
      </c>
      <c r="F1743" s="22" t="s">
        <v>10</v>
      </c>
      <c r="G1743" s="22" t="s">
        <v>11</v>
      </c>
      <c r="H1743" s="22" t="s">
        <v>18</v>
      </c>
      <c r="I1743" s="22" t="s">
        <v>19</v>
      </c>
      <c r="J1743" s="22" t="s">
        <v>348</v>
      </c>
      <c r="K1743" s="23" t="s">
        <v>1777</v>
      </c>
      <c r="L1743" t="e">
        <f>VLOOKUP(B1743,ubah!$B$2:$L$234,4,FALSE)</f>
        <v>#N/A</v>
      </c>
      <c r="M1743" t="e">
        <f>VLOOKUP(B1743,ubah!$B$2:$L$234,5,FALSE)</f>
        <v>#N/A</v>
      </c>
      <c r="N1743" t="e">
        <f>VLOOKUP(B1743,ubah!$B$2:$L$234,6,FALSE)</f>
        <v>#N/A</v>
      </c>
    </row>
    <row r="1744" spans="1:14" hidden="1" x14ac:dyDescent="0.35">
      <c r="A1744" s="21">
        <v>198446</v>
      </c>
      <c r="B1744" s="22" t="str">
        <f>"3328115609870004"</f>
        <v>3328115609870004</v>
      </c>
      <c r="C1744" s="22" t="str">
        <f t="shared" si="54"/>
        <v>'3328115609870004</v>
      </c>
      <c r="D1744" s="22" t="str">
        <f t="shared" si="55"/>
        <v>tidak ganda</v>
      </c>
      <c r="E1744" s="22" t="s">
        <v>3881</v>
      </c>
      <c r="F1744" s="22" t="s">
        <v>10</v>
      </c>
      <c r="G1744" s="22" t="s">
        <v>11</v>
      </c>
      <c r="H1744" s="22" t="s">
        <v>91</v>
      </c>
      <c r="I1744" s="22" t="s">
        <v>903</v>
      </c>
      <c r="J1744" s="22" t="s">
        <v>915</v>
      </c>
      <c r="K1744" s="23" t="s">
        <v>1410</v>
      </c>
    </row>
    <row r="1745" spans="1:14" hidden="1" x14ac:dyDescent="0.35">
      <c r="A1745" s="21">
        <v>213156</v>
      </c>
      <c r="B1745" s="22" t="str">
        <f>"3328115703060002"</f>
        <v>3328115703060002</v>
      </c>
      <c r="C1745" s="22" t="str">
        <f t="shared" si="54"/>
        <v>'3328115703060002</v>
      </c>
      <c r="D1745" s="22" t="str">
        <f t="shared" si="55"/>
        <v>tidak ganda</v>
      </c>
      <c r="E1745" s="22" t="s">
        <v>3882</v>
      </c>
      <c r="F1745" s="22" t="s">
        <v>10</v>
      </c>
      <c r="G1745" s="22" t="s">
        <v>11</v>
      </c>
      <c r="H1745" s="22" t="s">
        <v>18</v>
      </c>
      <c r="I1745" s="22" t="s">
        <v>268</v>
      </c>
      <c r="J1745" s="22" t="s">
        <v>371</v>
      </c>
      <c r="K1745" s="23" t="s">
        <v>2772</v>
      </c>
    </row>
    <row r="1746" spans="1:14" hidden="1" x14ac:dyDescent="0.35">
      <c r="A1746" s="21">
        <v>2104732</v>
      </c>
      <c r="B1746" s="22" t="str">
        <f>"3328115704010004"</f>
        <v>3328115704010004</v>
      </c>
      <c r="C1746" s="22" t="str">
        <f t="shared" si="54"/>
        <v>'3328115704010004</v>
      </c>
      <c r="D1746" s="22" t="str">
        <f t="shared" si="55"/>
        <v>ganda</v>
      </c>
      <c r="E1746" s="22" t="s">
        <v>3883</v>
      </c>
      <c r="F1746" s="22" t="s">
        <v>10</v>
      </c>
      <c r="G1746" s="22" t="s">
        <v>11</v>
      </c>
      <c r="H1746" s="22" t="s">
        <v>18</v>
      </c>
      <c r="I1746" s="22" t="s">
        <v>19</v>
      </c>
      <c r="J1746" s="22" t="s">
        <v>348</v>
      </c>
      <c r="K1746" s="23" t="s">
        <v>3668</v>
      </c>
      <c r="L1746" t="e">
        <f>VLOOKUP(B1746,ubah!$B$2:$L$234,4,FALSE)</f>
        <v>#N/A</v>
      </c>
      <c r="M1746" t="e">
        <f>VLOOKUP(B1746,ubah!$B$2:$L$234,5,FALSE)</f>
        <v>#N/A</v>
      </c>
      <c r="N1746" t="e">
        <f>VLOOKUP(B1746,ubah!$B$2:$L$234,6,FALSE)</f>
        <v>#N/A</v>
      </c>
    </row>
    <row r="1747" spans="1:14" hidden="1" x14ac:dyDescent="0.35">
      <c r="A1747" s="21">
        <v>762385</v>
      </c>
      <c r="B1747" s="22" t="str">
        <f>"3328115704010004"</f>
        <v>3328115704010004</v>
      </c>
      <c r="C1747" s="22" t="str">
        <f t="shared" si="54"/>
        <v>'3328115704010004</v>
      </c>
      <c r="D1747" s="22" t="str">
        <f t="shared" si="55"/>
        <v>ganda</v>
      </c>
      <c r="E1747" s="22" t="s">
        <v>3884</v>
      </c>
      <c r="F1747" s="22" t="s">
        <v>10</v>
      </c>
      <c r="G1747" s="22" t="s">
        <v>57</v>
      </c>
      <c r="H1747" s="22" t="s">
        <v>379</v>
      </c>
      <c r="I1747" s="22" t="s">
        <v>711</v>
      </c>
      <c r="J1747" s="22" t="s">
        <v>718</v>
      </c>
      <c r="K1747" s="23" t="s">
        <v>719</v>
      </c>
    </row>
    <row r="1748" spans="1:14" hidden="1" x14ac:dyDescent="0.35">
      <c r="A1748" s="21">
        <v>1684993</v>
      </c>
      <c r="B1748" s="22" t="str">
        <f>"3328115901060005"</f>
        <v>3328115901060005</v>
      </c>
      <c r="C1748" s="22" t="str">
        <f t="shared" si="54"/>
        <v>'3328115901060005</v>
      </c>
      <c r="D1748" s="22" t="str">
        <f t="shared" si="55"/>
        <v>tidak ganda</v>
      </c>
      <c r="E1748" s="22" t="s">
        <v>3885</v>
      </c>
      <c r="F1748" s="22" t="s">
        <v>10</v>
      </c>
      <c r="G1748" s="22" t="s">
        <v>57</v>
      </c>
      <c r="H1748" s="22" t="s">
        <v>18</v>
      </c>
      <c r="I1748" s="22" t="s">
        <v>184</v>
      </c>
      <c r="J1748" s="22" t="s">
        <v>1085</v>
      </c>
      <c r="K1748" s="23" t="s">
        <v>1086</v>
      </c>
    </row>
    <row r="1749" spans="1:14" hidden="1" x14ac:dyDescent="0.35">
      <c r="A1749" s="21">
        <v>2112333</v>
      </c>
      <c r="B1749" s="22" t="str">
        <f>"3328115905020006"</f>
        <v>3328115905020006</v>
      </c>
      <c r="C1749" s="22" t="str">
        <f t="shared" si="54"/>
        <v>'3328115905020006</v>
      </c>
      <c r="D1749" s="22" t="str">
        <f t="shared" si="55"/>
        <v>ganda</v>
      </c>
      <c r="E1749" s="22" t="s">
        <v>3886</v>
      </c>
      <c r="F1749" s="22" t="s">
        <v>10</v>
      </c>
      <c r="G1749" s="22" t="s">
        <v>11</v>
      </c>
      <c r="H1749" s="22" t="s">
        <v>18</v>
      </c>
      <c r="I1749" s="22" t="s">
        <v>19</v>
      </c>
      <c r="J1749" s="22" t="s">
        <v>348</v>
      </c>
      <c r="K1749" s="23" t="s">
        <v>1777</v>
      </c>
      <c r="L1749" t="e">
        <f>VLOOKUP(B1749,ubah!$B$2:$L$234,4,FALSE)</f>
        <v>#N/A</v>
      </c>
      <c r="M1749" t="e">
        <f>VLOOKUP(B1749,ubah!$B$2:$L$234,5,FALSE)</f>
        <v>#N/A</v>
      </c>
      <c r="N1749" t="e">
        <f>VLOOKUP(B1749,ubah!$B$2:$L$234,6,FALSE)</f>
        <v>#N/A</v>
      </c>
    </row>
    <row r="1750" spans="1:14" hidden="1" x14ac:dyDescent="0.35">
      <c r="A1750" s="21">
        <v>1352872</v>
      </c>
      <c r="B1750" s="22" t="str">
        <f>"3328115905020006"</f>
        <v>3328115905020006</v>
      </c>
      <c r="C1750" s="22" t="str">
        <f t="shared" si="54"/>
        <v>'3328115905020006</v>
      </c>
      <c r="D1750" s="22" t="str">
        <f t="shared" si="55"/>
        <v>ganda</v>
      </c>
      <c r="E1750" s="22" t="s">
        <v>3886</v>
      </c>
      <c r="F1750" s="22" t="s">
        <v>10</v>
      </c>
      <c r="G1750" s="22" t="s">
        <v>57</v>
      </c>
      <c r="H1750" s="22" t="s">
        <v>303</v>
      </c>
      <c r="I1750" s="22" t="s">
        <v>608</v>
      </c>
      <c r="J1750" s="22" t="s">
        <v>609</v>
      </c>
      <c r="K1750" s="23" t="s">
        <v>610</v>
      </c>
    </row>
    <row r="1751" spans="1:14" hidden="1" x14ac:dyDescent="0.35">
      <c r="A1751" s="21">
        <v>1369520</v>
      </c>
      <c r="B1751" s="22" t="str">
        <f>"3328116510050011"</f>
        <v>3328116510050011</v>
      </c>
      <c r="C1751" s="22" t="str">
        <f t="shared" si="54"/>
        <v>'3328116510050011</v>
      </c>
      <c r="D1751" s="22" t="str">
        <f t="shared" si="55"/>
        <v>tidak ganda</v>
      </c>
      <c r="E1751" s="22" t="s">
        <v>3893</v>
      </c>
      <c r="F1751" s="22" t="s">
        <v>10</v>
      </c>
      <c r="G1751" s="22" t="s">
        <v>11</v>
      </c>
      <c r="H1751" s="22" t="s">
        <v>91</v>
      </c>
      <c r="I1751" s="22" t="s">
        <v>159</v>
      </c>
      <c r="J1751" s="22" t="s">
        <v>160</v>
      </c>
      <c r="K1751" s="23" t="s">
        <v>161</v>
      </c>
    </row>
    <row r="1752" spans="1:14" hidden="1" x14ac:dyDescent="0.35">
      <c r="A1752" s="21">
        <v>388869</v>
      </c>
      <c r="B1752" s="22" t="str">
        <f>"3328116705050008"</f>
        <v>3328116705050008</v>
      </c>
      <c r="C1752" s="22" t="str">
        <f t="shared" si="54"/>
        <v>'3328116705050008</v>
      </c>
      <c r="D1752" s="22" t="str">
        <f t="shared" si="55"/>
        <v>tidak ganda</v>
      </c>
      <c r="E1752" s="22" t="s">
        <v>3896</v>
      </c>
      <c r="F1752" s="22" t="s">
        <v>10</v>
      </c>
      <c r="G1752" s="22" t="s">
        <v>11</v>
      </c>
      <c r="H1752" s="22" t="s">
        <v>18</v>
      </c>
      <c r="I1752" s="22" t="s">
        <v>268</v>
      </c>
      <c r="J1752" s="22" t="s">
        <v>448</v>
      </c>
      <c r="K1752" s="23" t="s">
        <v>3897</v>
      </c>
    </row>
    <row r="1753" spans="1:14" hidden="1" x14ac:dyDescent="0.35">
      <c r="A1753" s="21">
        <v>416498</v>
      </c>
      <c r="B1753" s="22" t="str">
        <f>"3328116706820006"</f>
        <v>3328116706820006</v>
      </c>
      <c r="C1753" s="22" t="str">
        <f t="shared" si="54"/>
        <v>'3328116706820006</v>
      </c>
      <c r="D1753" s="22" t="str">
        <f t="shared" si="55"/>
        <v>tidak ganda</v>
      </c>
      <c r="E1753" s="22" t="s">
        <v>3899</v>
      </c>
      <c r="F1753" s="22" t="s">
        <v>10</v>
      </c>
      <c r="G1753" s="22" t="s">
        <v>11</v>
      </c>
      <c r="H1753" s="22" t="s">
        <v>18</v>
      </c>
      <c r="I1753" s="22" t="s">
        <v>268</v>
      </c>
      <c r="J1753" s="22" t="s">
        <v>448</v>
      </c>
      <c r="K1753" s="23" t="s">
        <v>888</v>
      </c>
    </row>
    <row r="1754" spans="1:14" hidden="1" x14ac:dyDescent="0.35">
      <c r="A1754" s="21">
        <v>2038010</v>
      </c>
      <c r="B1754" s="22" t="str">
        <f>"3328116708990008"</f>
        <v>3328116708990008</v>
      </c>
      <c r="C1754" s="22" t="str">
        <f t="shared" si="54"/>
        <v>'3328116708990008</v>
      </c>
      <c r="D1754" s="22" t="str">
        <f t="shared" si="55"/>
        <v>tidak ganda</v>
      </c>
      <c r="E1754" s="22" t="s">
        <v>3900</v>
      </c>
      <c r="F1754" s="22" t="s">
        <v>10</v>
      </c>
      <c r="G1754" s="22" t="s">
        <v>11</v>
      </c>
      <c r="H1754" s="22" t="s">
        <v>18</v>
      </c>
      <c r="I1754" s="22" t="s">
        <v>19</v>
      </c>
      <c r="J1754" s="22" t="s">
        <v>348</v>
      </c>
      <c r="K1754" s="23" t="s">
        <v>3721</v>
      </c>
      <c r="L1754" t="e">
        <f>VLOOKUP(B1754,ubah!$B$2:$L$234,4,FALSE)</f>
        <v>#N/A</v>
      </c>
      <c r="M1754" t="e">
        <f>VLOOKUP(B1754,ubah!$B$2:$L$234,5,FALSE)</f>
        <v>#N/A</v>
      </c>
      <c r="N1754" t="e">
        <f>VLOOKUP(B1754,ubah!$B$2:$L$234,6,FALSE)</f>
        <v>#N/A</v>
      </c>
    </row>
    <row r="1755" spans="1:14" hidden="1" x14ac:dyDescent="0.35">
      <c r="A1755" s="21">
        <v>2021308</v>
      </c>
      <c r="B1755" s="22" t="str">
        <f>"3328116710020002"</f>
        <v>3328116710020002</v>
      </c>
      <c r="C1755" s="22" t="str">
        <f t="shared" si="54"/>
        <v>'3328116710020002</v>
      </c>
      <c r="D1755" s="22" t="str">
        <f t="shared" si="55"/>
        <v>ganda</v>
      </c>
      <c r="E1755" s="22" t="s">
        <v>3903</v>
      </c>
      <c r="F1755" s="22" t="s">
        <v>10</v>
      </c>
      <c r="G1755" s="22" t="s">
        <v>11</v>
      </c>
      <c r="H1755" s="22" t="s">
        <v>18</v>
      </c>
      <c r="I1755" s="22" t="s">
        <v>19</v>
      </c>
      <c r="J1755" s="22" t="s">
        <v>348</v>
      </c>
      <c r="K1755" s="23" t="s">
        <v>349</v>
      </c>
      <c r="L1755" t="e">
        <f>VLOOKUP(B1755,ubah!$B$2:$L$234,4,FALSE)</f>
        <v>#N/A</v>
      </c>
      <c r="M1755" t="e">
        <f>VLOOKUP(B1755,ubah!$B$2:$L$234,5,FALSE)</f>
        <v>#N/A</v>
      </c>
      <c r="N1755" t="e">
        <f>VLOOKUP(B1755,ubah!$B$2:$L$234,6,FALSE)</f>
        <v>#N/A</v>
      </c>
    </row>
    <row r="1756" spans="1:14" hidden="1" x14ac:dyDescent="0.35">
      <c r="A1756" s="21">
        <v>1862483</v>
      </c>
      <c r="B1756" s="22" t="str">
        <f>"3328116710020002"</f>
        <v>3328116710020002</v>
      </c>
      <c r="C1756" s="22" t="str">
        <f t="shared" si="54"/>
        <v>'3328116710020002</v>
      </c>
      <c r="D1756" s="22" t="str">
        <f t="shared" si="55"/>
        <v>ganda</v>
      </c>
      <c r="E1756" s="22" t="s">
        <v>3903</v>
      </c>
      <c r="F1756" s="22" t="s">
        <v>10</v>
      </c>
      <c r="G1756" s="22" t="s">
        <v>57</v>
      </c>
      <c r="H1756" s="22" t="s">
        <v>18</v>
      </c>
      <c r="I1756" s="22" t="s">
        <v>733</v>
      </c>
      <c r="J1756" s="22" t="s">
        <v>733</v>
      </c>
      <c r="K1756" s="23" t="s">
        <v>734</v>
      </c>
    </row>
    <row r="1757" spans="1:14" hidden="1" x14ac:dyDescent="0.35">
      <c r="A1757" s="21">
        <v>2048679</v>
      </c>
      <c r="B1757" s="22" t="str">
        <f>"3328116809790001"</f>
        <v>3328116809790001</v>
      </c>
      <c r="C1757" s="22" t="str">
        <f t="shared" si="54"/>
        <v>'3328116809790001</v>
      </c>
      <c r="D1757" s="22" t="str">
        <f t="shared" si="55"/>
        <v>tidak ganda</v>
      </c>
      <c r="E1757" s="22" t="s">
        <v>3904</v>
      </c>
      <c r="F1757" s="22" t="s">
        <v>10</v>
      </c>
      <c r="G1757" s="22" t="s">
        <v>11</v>
      </c>
      <c r="H1757" s="22" t="s">
        <v>18</v>
      </c>
      <c r="I1757" s="22" t="s">
        <v>19</v>
      </c>
      <c r="J1757" s="22" t="s">
        <v>348</v>
      </c>
      <c r="K1757" s="23" t="s">
        <v>3670</v>
      </c>
      <c r="L1757" t="e">
        <f>VLOOKUP(B1757,ubah!$B$2:$L$234,4,FALSE)</f>
        <v>#N/A</v>
      </c>
      <c r="M1757" t="e">
        <f>VLOOKUP(B1757,ubah!$B$2:$L$234,5,FALSE)</f>
        <v>#N/A</v>
      </c>
      <c r="N1757" t="e">
        <f>VLOOKUP(B1757,ubah!$B$2:$L$234,6,FALSE)</f>
        <v>#N/A</v>
      </c>
    </row>
    <row r="1758" spans="1:14" hidden="1" x14ac:dyDescent="0.35">
      <c r="A1758" s="21">
        <v>530729</v>
      </c>
      <c r="B1758" s="22" t="str">
        <f>"3328116906980003"</f>
        <v>3328116906980003</v>
      </c>
      <c r="C1758" s="22" t="str">
        <f t="shared" si="54"/>
        <v>'3328116906980003</v>
      </c>
      <c r="D1758" s="22" t="str">
        <f t="shared" si="55"/>
        <v>tidak ganda</v>
      </c>
      <c r="E1758" s="22" t="s">
        <v>3907</v>
      </c>
      <c r="F1758" s="22" t="s">
        <v>10</v>
      </c>
      <c r="G1758" s="22" t="s">
        <v>11</v>
      </c>
      <c r="H1758" s="22" t="s">
        <v>67</v>
      </c>
      <c r="I1758" s="22" t="s">
        <v>791</v>
      </c>
      <c r="J1758" s="22" t="s">
        <v>1796</v>
      </c>
      <c r="K1758" s="23" t="s">
        <v>3908</v>
      </c>
    </row>
    <row r="1759" spans="1:14" hidden="1" x14ac:dyDescent="0.35">
      <c r="A1759" s="21">
        <v>2135014</v>
      </c>
      <c r="B1759" s="22" t="str">
        <f>"3328117012850008"</f>
        <v>3328117012850008</v>
      </c>
      <c r="C1759" s="22" t="str">
        <f t="shared" si="54"/>
        <v>'3328117012850008</v>
      </c>
      <c r="D1759" s="22" t="str">
        <f t="shared" si="55"/>
        <v>tidak ganda</v>
      </c>
      <c r="E1759" s="22" t="s">
        <v>3909</v>
      </c>
      <c r="F1759" s="22" t="s">
        <v>10</v>
      </c>
      <c r="G1759" s="22" t="s">
        <v>11</v>
      </c>
      <c r="H1759" s="22" t="s">
        <v>18</v>
      </c>
      <c r="I1759" s="22" t="s">
        <v>19</v>
      </c>
      <c r="J1759" s="22" t="s">
        <v>348</v>
      </c>
      <c r="K1759" s="23" t="s">
        <v>3677</v>
      </c>
      <c r="L1759" t="e">
        <f>VLOOKUP(B1759,ubah!$B$2:$L$234,4,FALSE)</f>
        <v>#N/A</v>
      </c>
      <c r="M1759" t="e">
        <f>VLOOKUP(B1759,ubah!$B$2:$L$234,5,FALSE)</f>
        <v>#N/A</v>
      </c>
      <c r="N1759" t="e">
        <f>VLOOKUP(B1759,ubah!$B$2:$L$234,6,FALSE)</f>
        <v>#N/A</v>
      </c>
    </row>
    <row r="1760" spans="1:14" hidden="1" x14ac:dyDescent="0.35">
      <c r="A1760" s="21">
        <v>2153105</v>
      </c>
      <c r="B1760" s="22" t="str">
        <f>"3328117103990007"</f>
        <v>3328117103990007</v>
      </c>
      <c r="C1760" s="22" t="str">
        <f t="shared" si="54"/>
        <v>'3328117103990007</v>
      </c>
      <c r="D1760" s="22" t="str">
        <f t="shared" si="55"/>
        <v>tidak ganda</v>
      </c>
      <c r="E1760" s="22" t="s">
        <v>3910</v>
      </c>
      <c r="F1760" s="22" t="s">
        <v>10</v>
      </c>
      <c r="G1760" s="22" t="s">
        <v>11</v>
      </c>
      <c r="H1760" s="22" t="s">
        <v>18</v>
      </c>
      <c r="I1760" s="22" t="s">
        <v>19</v>
      </c>
      <c r="J1760" s="22" t="s">
        <v>348</v>
      </c>
      <c r="K1760" s="23" t="s">
        <v>3688</v>
      </c>
      <c r="L1760" t="e">
        <f>VLOOKUP(B1760,ubah!$B$2:$L$234,4,FALSE)</f>
        <v>#N/A</v>
      </c>
      <c r="M1760" t="e">
        <f>VLOOKUP(B1760,ubah!$B$2:$L$234,5,FALSE)</f>
        <v>#N/A</v>
      </c>
      <c r="N1760" t="e">
        <f>VLOOKUP(B1760,ubah!$B$2:$L$234,6,FALSE)</f>
        <v>#N/A</v>
      </c>
    </row>
    <row r="1761" spans="1:14" hidden="1" x14ac:dyDescent="0.35">
      <c r="A1761" s="21">
        <v>2374620</v>
      </c>
      <c r="B1761" s="22" t="str">
        <f>"3328117108880008"</f>
        <v>3328117108880008</v>
      </c>
      <c r="C1761" s="22" t="str">
        <f t="shared" si="54"/>
        <v>'3328117108880008</v>
      </c>
      <c r="D1761" s="22" t="str">
        <f t="shared" si="55"/>
        <v>ganda</v>
      </c>
      <c r="E1761" s="22" t="s">
        <v>3912</v>
      </c>
      <c r="F1761" s="22" t="s">
        <v>10</v>
      </c>
      <c r="G1761" s="22" t="s">
        <v>11</v>
      </c>
      <c r="H1761" s="22" t="s">
        <v>18</v>
      </c>
      <c r="I1761" s="22" t="s">
        <v>19</v>
      </c>
      <c r="J1761" s="22" t="s">
        <v>348</v>
      </c>
      <c r="K1761" s="23" t="s">
        <v>348</v>
      </c>
      <c r="L1761" t="e">
        <f>VLOOKUP(B1761,ubah!$B$2:$L$234,4,FALSE)</f>
        <v>#N/A</v>
      </c>
      <c r="M1761" t="e">
        <f>VLOOKUP(B1761,ubah!$B$2:$L$234,5,FALSE)</f>
        <v>#N/A</v>
      </c>
      <c r="N1761" t="e">
        <f>VLOOKUP(B1761,ubah!$B$2:$L$234,6,FALSE)</f>
        <v>#N/A</v>
      </c>
    </row>
    <row r="1762" spans="1:14" hidden="1" x14ac:dyDescent="0.35">
      <c r="A1762" s="21">
        <v>423753</v>
      </c>
      <c r="B1762" s="22" t="str">
        <f>"3328117108880008"</f>
        <v>3328117108880008</v>
      </c>
      <c r="C1762" s="22" t="str">
        <f t="shared" si="54"/>
        <v>'3328117108880008</v>
      </c>
      <c r="D1762" s="22" t="str">
        <f t="shared" si="55"/>
        <v>ganda</v>
      </c>
      <c r="E1762" s="22" t="s">
        <v>3913</v>
      </c>
      <c r="F1762" s="22" t="s">
        <v>10</v>
      </c>
      <c r="G1762" s="22" t="s">
        <v>57</v>
      </c>
      <c r="H1762" s="22" t="s">
        <v>18</v>
      </c>
      <c r="I1762" s="22" t="s">
        <v>268</v>
      </c>
      <c r="J1762" s="22" t="s">
        <v>277</v>
      </c>
      <c r="K1762" s="23" t="s">
        <v>278</v>
      </c>
    </row>
    <row r="1763" spans="1:14" hidden="1" x14ac:dyDescent="0.35">
      <c r="A1763" s="21">
        <v>2117676</v>
      </c>
      <c r="B1763" s="22" t="str">
        <f>"3328120102860005"</f>
        <v>3328120102860005</v>
      </c>
      <c r="C1763" s="22" t="str">
        <f t="shared" si="54"/>
        <v>'3328120102860005</v>
      </c>
      <c r="D1763" s="22" t="str">
        <f t="shared" si="55"/>
        <v>ganda</v>
      </c>
      <c r="E1763" s="22" t="s">
        <v>3914</v>
      </c>
      <c r="F1763" s="22" t="s">
        <v>10</v>
      </c>
      <c r="G1763" s="22" t="s">
        <v>11</v>
      </c>
      <c r="H1763" s="22" t="s">
        <v>18</v>
      </c>
      <c r="I1763" s="22" t="s">
        <v>19</v>
      </c>
      <c r="J1763" s="22" t="s">
        <v>348</v>
      </c>
      <c r="K1763" s="23" t="s">
        <v>1777</v>
      </c>
      <c r="L1763" t="e">
        <f>VLOOKUP(B1763,ubah!$B$2:$L$234,4,FALSE)</f>
        <v>#N/A</v>
      </c>
      <c r="M1763" t="e">
        <f>VLOOKUP(B1763,ubah!$B$2:$L$234,5,FALSE)</f>
        <v>#N/A</v>
      </c>
      <c r="N1763" t="e">
        <f>VLOOKUP(B1763,ubah!$B$2:$L$234,6,FALSE)</f>
        <v>#N/A</v>
      </c>
    </row>
    <row r="1764" spans="1:14" hidden="1" x14ac:dyDescent="0.35">
      <c r="A1764" s="21">
        <v>423783</v>
      </c>
      <c r="B1764" s="22" t="str">
        <f>"3328120102860005"</f>
        <v>3328120102860005</v>
      </c>
      <c r="C1764" s="22" t="str">
        <f t="shared" si="54"/>
        <v>'3328120102860005</v>
      </c>
      <c r="D1764" s="22" t="str">
        <f t="shared" si="55"/>
        <v>ganda</v>
      </c>
      <c r="E1764" s="22" t="s">
        <v>3915</v>
      </c>
      <c r="F1764" s="22" t="s">
        <v>10</v>
      </c>
      <c r="G1764" s="22" t="s">
        <v>57</v>
      </c>
      <c r="H1764" s="22" t="s">
        <v>18</v>
      </c>
      <c r="I1764" s="22" t="s">
        <v>268</v>
      </c>
      <c r="J1764" s="22" t="s">
        <v>277</v>
      </c>
      <c r="K1764" s="23" t="s">
        <v>278</v>
      </c>
    </row>
    <row r="1765" spans="1:14" hidden="1" x14ac:dyDescent="0.35">
      <c r="A1765" s="21">
        <v>2117675</v>
      </c>
      <c r="B1765" s="22" t="str">
        <f>"3328124505870014"</f>
        <v>3328124505870014</v>
      </c>
      <c r="C1765" s="22" t="str">
        <f t="shared" si="54"/>
        <v>'3328124505870014</v>
      </c>
      <c r="D1765" s="22" t="str">
        <f t="shared" si="55"/>
        <v>ganda</v>
      </c>
      <c r="E1765" s="22" t="s">
        <v>3916</v>
      </c>
      <c r="F1765" s="22" t="s">
        <v>10</v>
      </c>
      <c r="G1765" s="22" t="s">
        <v>11</v>
      </c>
      <c r="H1765" s="22" t="s">
        <v>18</v>
      </c>
      <c r="I1765" s="22" t="s">
        <v>19</v>
      </c>
      <c r="J1765" s="22" t="s">
        <v>348</v>
      </c>
      <c r="K1765" s="23" t="s">
        <v>1777</v>
      </c>
      <c r="L1765" t="e">
        <f>VLOOKUP(B1765,ubah!$B$2:$L$234,4,FALSE)</f>
        <v>#N/A</v>
      </c>
      <c r="M1765" t="e">
        <f>VLOOKUP(B1765,ubah!$B$2:$L$234,5,FALSE)</f>
        <v>#N/A</v>
      </c>
      <c r="N1765" t="e">
        <f>VLOOKUP(B1765,ubah!$B$2:$L$234,6,FALSE)</f>
        <v>#N/A</v>
      </c>
    </row>
    <row r="1766" spans="1:14" hidden="1" x14ac:dyDescent="0.35">
      <c r="A1766" s="21">
        <v>423877</v>
      </c>
      <c r="B1766" s="22" t="str">
        <f>"3328124505870014"</f>
        <v>3328124505870014</v>
      </c>
      <c r="C1766" s="22" t="str">
        <f t="shared" si="54"/>
        <v>'3328124505870014</v>
      </c>
      <c r="D1766" s="22" t="str">
        <f t="shared" si="55"/>
        <v>ganda</v>
      </c>
      <c r="E1766" s="22" t="s">
        <v>3917</v>
      </c>
      <c r="F1766" s="22" t="s">
        <v>10</v>
      </c>
      <c r="G1766" s="22" t="s">
        <v>57</v>
      </c>
      <c r="H1766" s="22" t="s">
        <v>18</v>
      </c>
      <c r="I1766" s="22" t="s">
        <v>268</v>
      </c>
      <c r="J1766" s="22" t="s">
        <v>277</v>
      </c>
      <c r="K1766" s="23" t="s">
        <v>278</v>
      </c>
    </row>
    <row r="1767" spans="1:14" hidden="1" x14ac:dyDescent="0.35">
      <c r="A1767" s="21">
        <v>2152255</v>
      </c>
      <c r="B1767" s="22" t="str">
        <f>"3328130412010005"</f>
        <v>3328130412010005</v>
      </c>
      <c r="C1767" s="22" t="str">
        <f t="shared" si="54"/>
        <v>'3328130412010005</v>
      </c>
      <c r="D1767" s="22" t="str">
        <f t="shared" si="55"/>
        <v>tidak ganda</v>
      </c>
      <c r="E1767" s="22" t="s">
        <v>3918</v>
      </c>
      <c r="F1767" s="22" t="s">
        <v>10</v>
      </c>
      <c r="G1767" s="22" t="s">
        <v>11</v>
      </c>
      <c r="H1767" s="22" t="s">
        <v>18</v>
      </c>
      <c r="I1767" s="22" t="s">
        <v>19</v>
      </c>
      <c r="J1767" s="22" t="s">
        <v>348</v>
      </c>
      <c r="K1767" s="23" t="s">
        <v>3688</v>
      </c>
      <c r="L1767" t="e">
        <f>VLOOKUP(B1767,ubah!$B$2:$L$234,4,FALSE)</f>
        <v>#N/A</v>
      </c>
      <c r="M1767" t="e">
        <f>VLOOKUP(B1767,ubah!$B$2:$L$234,5,FALSE)</f>
        <v>#N/A</v>
      </c>
      <c r="N1767" t="e">
        <f>VLOOKUP(B1767,ubah!$B$2:$L$234,6,FALSE)</f>
        <v>#N/A</v>
      </c>
    </row>
    <row r="1768" spans="1:14" hidden="1" x14ac:dyDescent="0.35">
      <c r="A1768" s="21">
        <v>2152384</v>
      </c>
      <c r="B1768" s="22" t="str">
        <f>"3328134810830003"</f>
        <v>3328134810830003</v>
      </c>
      <c r="C1768" s="22" t="str">
        <f t="shared" si="54"/>
        <v>'3328134810830003</v>
      </c>
      <c r="D1768" s="22" t="str">
        <f t="shared" si="55"/>
        <v>tidak ganda</v>
      </c>
      <c r="E1768" s="22" t="s">
        <v>3921</v>
      </c>
      <c r="F1768" s="22" t="s">
        <v>10</v>
      </c>
      <c r="G1768" s="22" t="s">
        <v>11</v>
      </c>
      <c r="H1768" s="22" t="s">
        <v>18</v>
      </c>
      <c r="I1768" s="22" t="s">
        <v>19</v>
      </c>
      <c r="J1768" s="22" t="s">
        <v>348</v>
      </c>
      <c r="K1768" s="23" t="s">
        <v>3688</v>
      </c>
      <c r="L1768" t="e">
        <f>VLOOKUP(B1768,ubah!$B$2:$L$234,4,FALSE)</f>
        <v>#N/A</v>
      </c>
      <c r="M1768" t="e">
        <f>VLOOKUP(B1768,ubah!$B$2:$L$234,5,FALSE)</f>
        <v>#N/A</v>
      </c>
      <c r="N1768" t="e">
        <f>VLOOKUP(B1768,ubah!$B$2:$L$234,6,FALSE)</f>
        <v>#N/A</v>
      </c>
    </row>
    <row r="1769" spans="1:14" hidden="1" x14ac:dyDescent="0.35">
      <c r="A1769" s="21">
        <v>215624</v>
      </c>
      <c r="B1769" s="22" t="str">
        <f>"3328137004840004"</f>
        <v>3328137004840004</v>
      </c>
      <c r="C1769" s="22" t="str">
        <f t="shared" si="54"/>
        <v>'3328137004840004</v>
      </c>
      <c r="D1769" s="22" t="str">
        <f t="shared" si="55"/>
        <v>tidak ganda</v>
      </c>
      <c r="E1769" s="22" t="s">
        <v>3923</v>
      </c>
      <c r="F1769" s="22" t="s">
        <v>10</v>
      </c>
      <c r="G1769" s="22" t="s">
        <v>11</v>
      </c>
      <c r="H1769" s="22" t="s">
        <v>18</v>
      </c>
      <c r="I1769" s="22" t="s">
        <v>268</v>
      </c>
      <c r="J1769" s="22" t="s">
        <v>371</v>
      </c>
      <c r="K1769" s="23" t="s">
        <v>2772</v>
      </c>
    </row>
    <row r="1770" spans="1:14" hidden="1" x14ac:dyDescent="0.35">
      <c r="A1770" s="21">
        <v>1361780</v>
      </c>
      <c r="B1770" s="22" t="str">
        <f>"3329036308990002"</f>
        <v>3329036308990002</v>
      </c>
      <c r="C1770" s="22" t="str">
        <f t="shared" si="54"/>
        <v>'3329036308990002</v>
      </c>
      <c r="D1770" s="22" t="str">
        <f t="shared" si="55"/>
        <v>tidak ganda</v>
      </c>
      <c r="E1770" s="22" t="s">
        <v>3925</v>
      </c>
      <c r="F1770" s="22" t="s">
        <v>10</v>
      </c>
      <c r="G1770" s="22" t="s">
        <v>11</v>
      </c>
      <c r="H1770" s="22" t="s">
        <v>18</v>
      </c>
      <c r="I1770" s="22" t="s">
        <v>264</v>
      </c>
      <c r="J1770" s="22" t="s">
        <v>461</v>
      </c>
      <c r="K1770" s="23" t="s">
        <v>461</v>
      </c>
    </row>
    <row r="1771" spans="1:14" hidden="1" x14ac:dyDescent="0.35">
      <c r="A1771" s="21">
        <v>1439996</v>
      </c>
      <c r="B1771" s="22" t="str">
        <f>"3329055901880001"</f>
        <v>3329055901880001</v>
      </c>
      <c r="C1771" s="22" t="str">
        <f t="shared" si="54"/>
        <v>'3329055901880001</v>
      </c>
      <c r="D1771" s="22" t="str">
        <f t="shared" si="55"/>
        <v>tidak ganda</v>
      </c>
      <c r="E1771" s="22" t="s">
        <v>3927</v>
      </c>
      <c r="F1771" s="22" t="s">
        <v>10</v>
      </c>
      <c r="G1771" s="22" t="s">
        <v>11</v>
      </c>
      <c r="H1771" s="22" t="s">
        <v>18</v>
      </c>
      <c r="I1771" s="22" t="s">
        <v>264</v>
      </c>
      <c r="J1771" s="22" t="s">
        <v>289</v>
      </c>
      <c r="K1771" s="23" t="s">
        <v>3928</v>
      </c>
    </row>
    <row r="1772" spans="1:14" hidden="1" x14ac:dyDescent="0.35">
      <c r="A1772" s="21">
        <v>1381246</v>
      </c>
      <c r="B1772" s="22" t="str">
        <f>"3329070805850004"</f>
        <v>3329070805850004</v>
      </c>
      <c r="C1772" s="22" t="str">
        <f t="shared" si="54"/>
        <v>'3329070805850004</v>
      </c>
      <c r="D1772" s="22" t="str">
        <f t="shared" si="55"/>
        <v>tidak ganda</v>
      </c>
      <c r="E1772" s="22" t="s">
        <v>3930</v>
      </c>
      <c r="F1772" s="22" t="s">
        <v>10</v>
      </c>
      <c r="G1772" s="22" t="s">
        <v>11</v>
      </c>
      <c r="H1772" s="22" t="s">
        <v>18</v>
      </c>
      <c r="I1772" s="22" t="s">
        <v>264</v>
      </c>
      <c r="J1772" s="22" t="s">
        <v>265</v>
      </c>
      <c r="K1772" s="23" t="s">
        <v>1628</v>
      </c>
    </row>
    <row r="1773" spans="1:14" hidden="1" x14ac:dyDescent="0.35">
      <c r="A1773" s="21">
        <v>2235059</v>
      </c>
      <c r="B1773" s="22" t="str">
        <f>"3329070809990002"</f>
        <v>3329070809990002</v>
      </c>
      <c r="C1773" s="22" t="str">
        <f t="shared" si="54"/>
        <v>'3329070809990002</v>
      </c>
      <c r="D1773" s="22" t="str">
        <f t="shared" si="55"/>
        <v>tidak ganda</v>
      </c>
      <c r="E1773" s="22" t="s">
        <v>3932</v>
      </c>
      <c r="F1773" s="22" t="s">
        <v>10</v>
      </c>
      <c r="G1773" s="22" t="s">
        <v>11</v>
      </c>
      <c r="H1773" s="22" t="s">
        <v>18</v>
      </c>
      <c r="I1773" s="22" t="s">
        <v>19</v>
      </c>
      <c r="J1773" s="22" t="s">
        <v>348</v>
      </c>
      <c r="K1773" s="23" t="s">
        <v>459</v>
      </c>
      <c r="L1773" t="e">
        <f>VLOOKUP(B1773,ubah!$B$2:$L$234,4,FALSE)</f>
        <v>#N/A</v>
      </c>
      <c r="M1773" t="e">
        <f>VLOOKUP(B1773,ubah!$B$2:$L$234,5,FALSE)</f>
        <v>#N/A</v>
      </c>
      <c r="N1773" t="e">
        <f>VLOOKUP(B1773,ubah!$B$2:$L$234,6,FALSE)</f>
        <v>#N/A</v>
      </c>
    </row>
    <row r="1774" spans="1:14" hidden="1" x14ac:dyDescent="0.35">
      <c r="A1774" s="21">
        <v>1284480</v>
      </c>
      <c r="B1774" s="22" t="str">
        <f>"3329071006640002"</f>
        <v>3329071006640002</v>
      </c>
      <c r="C1774" s="22" t="str">
        <f t="shared" si="54"/>
        <v>'3329071006640002</v>
      </c>
      <c r="D1774" s="22" t="str">
        <f t="shared" si="55"/>
        <v>tidak ganda</v>
      </c>
      <c r="E1774" s="22" t="s">
        <v>3092</v>
      </c>
      <c r="F1774" s="22" t="s">
        <v>10</v>
      </c>
      <c r="G1774" s="22" t="s">
        <v>11</v>
      </c>
      <c r="H1774" s="22" t="s">
        <v>18</v>
      </c>
      <c r="I1774" s="22" t="s">
        <v>264</v>
      </c>
      <c r="J1774" s="22" t="s">
        <v>265</v>
      </c>
      <c r="K1774" s="23" t="s">
        <v>1598</v>
      </c>
    </row>
    <row r="1775" spans="1:14" hidden="1" x14ac:dyDescent="0.35">
      <c r="A1775" s="21">
        <v>2055679</v>
      </c>
      <c r="B1775" s="22" t="str">
        <f>"3329071306510001"</f>
        <v>3329071306510001</v>
      </c>
      <c r="C1775" s="22" t="str">
        <f t="shared" si="54"/>
        <v>'3329071306510001</v>
      </c>
      <c r="D1775" s="22" t="str">
        <f t="shared" si="55"/>
        <v>tidak ganda</v>
      </c>
      <c r="E1775" s="22" t="s">
        <v>3934</v>
      </c>
      <c r="F1775" s="22" t="s">
        <v>10</v>
      </c>
      <c r="G1775" s="22" t="s">
        <v>11</v>
      </c>
      <c r="H1775" s="22" t="s">
        <v>18</v>
      </c>
      <c r="I1775" s="22" t="s">
        <v>19</v>
      </c>
      <c r="J1775" s="22" t="s">
        <v>348</v>
      </c>
      <c r="K1775" s="23" t="s">
        <v>3658</v>
      </c>
      <c r="L1775" t="e">
        <f>VLOOKUP(B1775,ubah!$B$2:$L$234,4,FALSE)</f>
        <v>#N/A</v>
      </c>
      <c r="M1775" t="e">
        <f>VLOOKUP(B1775,ubah!$B$2:$L$234,5,FALSE)</f>
        <v>#N/A</v>
      </c>
      <c r="N1775" t="e">
        <f>VLOOKUP(B1775,ubah!$B$2:$L$234,6,FALSE)</f>
        <v>#N/A</v>
      </c>
    </row>
    <row r="1776" spans="1:14" hidden="1" x14ac:dyDescent="0.35">
      <c r="A1776" s="21">
        <v>1284481</v>
      </c>
      <c r="B1776" s="22" t="str">
        <f>"3329074107670057"</f>
        <v>3329074107670057</v>
      </c>
      <c r="C1776" s="22" t="str">
        <f t="shared" si="54"/>
        <v>'3329074107670057</v>
      </c>
      <c r="D1776" s="22" t="str">
        <f t="shared" si="55"/>
        <v>tidak ganda</v>
      </c>
      <c r="E1776" s="22" t="s">
        <v>1143</v>
      </c>
      <c r="F1776" s="22" t="s">
        <v>10</v>
      </c>
      <c r="G1776" s="22" t="s">
        <v>11</v>
      </c>
      <c r="H1776" s="22" t="s">
        <v>18</v>
      </c>
      <c r="I1776" s="22" t="s">
        <v>264</v>
      </c>
      <c r="J1776" s="22" t="s">
        <v>265</v>
      </c>
      <c r="K1776" s="23" t="s">
        <v>1598</v>
      </c>
    </row>
    <row r="1777" spans="1:14" hidden="1" x14ac:dyDescent="0.35">
      <c r="A1777" s="21">
        <v>2055678</v>
      </c>
      <c r="B1777" s="22" t="str">
        <f>"3329075405550002"</f>
        <v>3329075405550002</v>
      </c>
      <c r="C1777" s="22" t="str">
        <f t="shared" si="54"/>
        <v>'3329075405550002</v>
      </c>
      <c r="D1777" s="22" t="str">
        <f t="shared" si="55"/>
        <v>tidak ganda</v>
      </c>
      <c r="E1777" s="22" t="s">
        <v>3937</v>
      </c>
      <c r="F1777" s="22" t="s">
        <v>10</v>
      </c>
      <c r="G1777" s="22" t="s">
        <v>11</v>
      </c>
      <c r="H1777" s="22" t="s">
        <v>18</v>
      </c>
      <c r="I1777" s="22" t="s">
        <v>19</v>
      </c>
      <c r="J1777" s="22" t="s">
        <v>348</v>
      </c>
      <c r="K1777" s="23" t="s">
        <v>3658</v>
      </c>
      <c r="L1777" t="e">
        <f>VLOOKUP(B1777,ubah!$B$2:$L$234,4,FALSE)</f>
        <v>#N/A</v>
      </c>
      <c r="M1777" t="e">
        <f>VLOOKUP(B1777,ubah!$B$2:$L$234,5,FALSE)</f>
        <v>#N/A</v>
      </c>
      <c r="N1777" t="e">
        <f>VLOOKUP(B1777,ubah!$B$2:$L$234,6,FALSE)</f>
        <v>#N/A</v>
      </c>
    </row>
    <row r="1778" spans="1:14" hidden="1" x14ac:dyDescent="0.35">
      <c r="A1778" s="21">
        <v>1284760</v>
      </c>
      <c r="B1778" s="22" t="str">
        <f>"3329076508870001"</f>
        <v>3329076508870001</v>
      </c>
      <c r="C1778" s="22" t="str">
        <f t="shared" si="54"/>
        <v>'3329076508870001</v>
      </c>
      <c r="D1778" s="22" t="str">
        <f t="shared" si="55"/>
        <v>tidak ganda</v>
      </c>
      <c r="E1778" s="22" t="s">
        <v>3938</v>
      </c>
      <c r="F1778" s="22" t="s">
        <v>10</v>
      </c>
      <c r="G1778" s="22" t="s">
        <v>11</v>
      </c>
      <c r="H1778" s="22" t="s">
        <v>18</v>
      </c>
      <c r="I1778" s="22" t="s">
        <v>264</v>
      </c>
      <c r="J1778" s="22" t="s">
        <v>265</v>
      </c>
      <c r="K1778" s="23" t="s">
        <v>1598</v>
      </c>
    </row>
    <row r="1779" spans="1:14" hidden="1" x14ac:dyDescent="0.35">
      <c r="A1779" s="21">
        <v>2234807</v>
      </c>
      <c r="B1779" s="22" t="str">
        <f>"3329083012790006"</f>
        <v>3329083012790006</v>
      </c>
      <c r="C1779" s="22" t="str">
        <f t="shared" si="54"/>
        <v>'3329083012790006</v>
      </c>
      <c r="D1779" s="22" t="str">
        <f t="shared" si="55"/>
        <v>tidak ganda</v>
      </c>
      <c r="E1779" s="22" t="s">
        <v>3940</v>
      </c>
      <c r="F1779" s="22" t="s">
        <v>10</v>
      </c>
      <c r="G1779" s="22" t="s">
        <v>11</v>
      </c>
      <c r="H1779" s="22" t="s">
        <v>18</v>
      </c>
      <c r="I1779" s="22" t="s">
        <v>19</v>
      </c>
      <c r="J1779" s="22" t="s">
        <v>348</v>
      </c>
      <c r="K1779" s="23" t="s">
        <v>459</v>
      </c>
      <c r="L1779" t="e">
        <f>VLOOKUP(B1779,ubah!$B$2:$L$234,4,FALSE)</f>
        <v>#N/A</v>
      </c>
      <c r="M1779" t="e">
        <f>VLOOKUP(B1779,ubah!$B$2:$L$234,5,FALSE)</f>
        <v>#N/A</v>
      </c>
      <c r="N1779" t="e">
        <f>VLOOKUP(B1779,ubah!$B$2:$L$234,6,FALSE)</f>
        <v>#N/A</v>
      </c>
    </row>
    <row r="1780" spans="1:14" hidden="1" x14ac:dyDescent="0.35">
      <c r="A1780" s="21">
        <v>959946</v>
      </c>
      <c r="B1780" s="22" t="str">
        <f>"3329093112810008"</f>
        <v>3329093112810008</v>
      </c>
      <c r="C1780" s="22" t="str">
        <f t="shared" si="54"/>
        <v>'3329093112810008</v>
      </c>
      <c r="D1780" s="22" t="str">
        <f t="shared" si="55"/>
        <v>tidak ganda</v>
      </c>
      <c r="E1780" s="22" t="s">
        <v>3945</v>
      </c>
      <c r="F1780" s="22" t="s">
        <v>10</v>
      </c>
      <c r="G1780" s="22" t="s">
        <v>11</v>
      </c>
      <c r="H1780" s="22" t="s">
        <v>18</v>
      </c>
      <c r="I1780" s="22" t="s">
        <v>264</v>
      </c>
      <c r="J1780" s="22" t="s">
        <v>264</v>
      </c>
      <c r="K1780" s="23" t="s">
        <v>2074</v>
      </c>
    </row>
    <row r="1781" spans="1:14" hidden="1" x14ac:dyDescent="0.35">
      <c r="A1781" s="21">
        <v>837615</v>
      </c>
      <c r="B1781" s="22" t="str">
        <f>"3329094603980001"</f>
        <v>3329094603980001</v>
      </c>
      <c r="C1781" s="22" t="str">
        <f t="shared" si="54"/>
        <v>'3329094603980001</v>
      </c>
      <c r="D1781" s="22" t="str">
        <f t="shared" si="55"/>
        <v>tidak ganda</v>
      </c>
      <c r="E1781" s="22" t="s">
        <v>3947</v>
      </c>
      <c r="F1781" s="22" t="s">
        <v>10</v>
      </c>
      <c r="G1781" s="22" t="s">
        <v>11</v>
      </c>
      <c r="H1781" s="22" t="s">
        <v>18</v>
      </c>
      <c r="I1781" s="22" t="s">
        <v>264</v>
      </c>
      <c r="J1781" s="22" t="s">
        <v>264</v>
      </c>
      <c r="K1781" s="23" t="s">
        <v>264</v>
      </c>
    </row>
    <row r="1782" spans="1:14" hidden="1" x14ac:dyDescent="0.35">
      <c r="A1782" s="21">
        <v>2383044</v>
      </c>
      <c r="B1782" s="22" t="str">
        <f>"3329106106950003"</f>
        <v>3329106106950003</v>
      </c>
      <c r="C1782" s="22" t="str">
        <f t="shared" si="54"/>
        <v>'3329106106950003</v>
      </c>
      <c r="D1782" s="22" t="str">
        <f t="shared" si="55"/>
        <v>tidak ganda</v>
      </c>
      <c r="E1782" s="22" t="s">
        <v>3948</v>
      </c>
      <c r="F1782" s="22" t="s">
        <v>10</v>
      </c>
      <c r="G1782" s="22" t="s">
        <v>11</v>
      </c>
      <c r="H1782" s="22" t="s">
        <v>18</v>
      </c>
      <c r="I1782" s="22" t="s">
        <v>19</v>
      </c>
      <c r="J1782" s="22" t="s">
        <v>348</v>
      </c>
      <c r="K1782" s="23" t="s">
        <v>348</v>
      </c>
      <c r="L1782" t="e">
        <f>VLOOKUP(B1782,ubah!$B$2:$L$234,4,FALSE)</f>
        <v>#N/A</v>
      </c>
      <c r="M1782" t="e">
        <f>VLOOKUP(B1782,ubah!$B$2:$L$234,5,FALSE)</f>
        <v>#N/A</v>
      </c>
      <c r="N1782" t="e">
        <f>VLOOKUP(B1782,ubah!$B$2:$L$234,6,FALSE)</f>
        <v>#N/A</v>
      </c>
    </row>
    <row r="1783" spans="1:14" hidden="1" x14ac:dyDescent="0.35">
      <c r="A1783" s="21">
        <v>557697</v>
      </c>
      <c r="B1783" s="22" t="str">
        <f>"3329120702810008"</f>
        <v>3329120702810008</v>
      </c>
      <c r="C1783" s="22" t="str">
        <f t="shared" si="54"/>
        <v>'3329120702810008</v>
      </c>
      <c r="D1783" s="22" t="str">
        <f t="shared" si="55"/>
        <v>tidak ganda</v>
      </c>
      <c r="E1783" s="22" t="s">
        <v>3949</v>
      </c>
      <c r="F1783" s="22" t="s">
        <v>10</v>
      </c>
      <c r="G1783" s="22" t="s">
        <v>11</v>
      </c>
      <c r="H1783" s="22" t="s">
        <v>18</v>
      </c>
      <c r="I1783" s="22" t="s">
        <v>264</v>
      </c>
      <c r="J1783" s="22" t="s">
        <v>877</v>
      </c>
      <c r="K1783" s="23" t="s">
        <v>3950</v>
      </c>
    </row>
    <row r="1784" spans="1:14" hidden="1" x14ac:dyDescent="0.35">
      <c r="A1784" s="21">
        <v>2231293</v>
      </c>
      <c r="B1784" s="22" t="str">
        <f>"3329142808930001"</f>
        <v>3329142808930001</v>
      </c>
      <c r="C1784" s="22" t="str">
        <f t="shared" si="54"/>
        <v>'3329142808930001</v>
      </c>
      <c r="D1784" s="22" t="str">
        <f t="shared" si="55"/>
        <v>tidak ganda</v>
      </c>
      <c r="E1784" s="22" t="s">
        <v>3952</v>
      </c>
      <c r="F1784" s="22" t="s">
        <v>10</v>
      </c>
      <c r="G1784" s="22" t="s">
        <v>11</v>
      </c>
      <c r="H1784" s="22" t="s">
        <v>18</v>
      </c>
      <c r="I1784" s="22" t="s">
        <v>19</v>
      </c>
      <c r="J1784" s="22" t="s">
        <v>348</v>
      </c>
      <c r="K1784" s="23" t="s">
        <v>459</v>
      </c>
      <c r="L1784" t="e">
        <f>VLOOKUP(B1784,ubah!$B$2:$L$234,4,FALSE)</f>
        <v>#N/A</v>
      </c>
      <c r="M1784" t="e">
        <f>VLOOKUP(B1784,ubah!$B$2:$L$234,5,FALSE)</f>
        <v>#N/A</v>
      </c>
      <c r="N1784" t="e">
        <f>VLOOKUP(B1784,ubah!$B$2:$L$234,6,FALSE)</f>
        <v>#N/A</v>
      </c>
    </row>
    <row r="1785" spans="1:14" hidden="1" x14ac:dyDescent="0.35">
      <c r="A1785" s="21">
        <v>397492</v>
      </c>
      <c r="B1785" s="22" t="str">
        <f>"3329145410980005"</f>
        <v>3329145410980005</v>
      </c>
      <c r="C1785" s="22" t="str">
        <f t="shared" si="54"/>
        <v>'3329145410980005</v>
      </c>
      <c r="D1785" s="22" t="str">
        <f t="shared" si="55"/>
        <v>tidak ganda</v>
      </c>
      <c r="E1785" s="22" t="s">
        <v>3954</v>
      </c>
      <c r="F1785" s="22" t="s">
        <v>10</v>
      </c>
      <c r="G1785" s="22" t="s">
        <v>11</v>
      </c>
      <c r="H1785" s="22" t="s">
        <v>18</v>
      </c>
      <c r="I1785" s="22" t="s">
        <v>264</v>
      </c>
      <c r="J1785" s="22" t="s">
        <v>477</v>
      </c>
      <c r="K1785" s="23" t="s">
        <v>3955</v>
      </c>
    </row>
    <row r="1786" spans="1:14" hidden="1" x14ac:dyDescent="0.35">
      <c r="A1786" s="21">
        <v>2378622</v>
      </c>
      <c r="B1786" s="22" t="str">
        <f>"3329145906840004"</f>
        <v>3329145906840004</v>
      </c>
      <c r="C1786" s="22" t="str">
        <f t="shared" si="54"/>
        <v>'3329145906840004</v>
      </c>
      <c r="D1786" s="22" t="str">
        <f t="shared" si="55"/>
        <v>tidak ganda</v>
      </c>
      <c r="E1786" s="22" t="s">
        <v>3956</v>
      </c>
      <c r="F1786" s="22" t="s">
        <v>10</v>
      </c>
      <c r="G1786" s="22" t="s">
        <v>11</v>
      </c>
      <c r="H1786" s="22" t="s">
        <v>18</v>
      </c>
      <c r="I1786" s="22" t="s">
        <v>19</v>
      </c>
      <c r="J1786" s="22" t="s">
        <v>348</v>
      </c>
      <c r="K1786" s="23" t="s">
        <v>348</v>
      </c>
      <c r="L1786" t="e">
        <f>VLOOKUP(B1786,ubah!$B$2:$L$234,4,FALSE)</f>
        <v>#N/A</v>
      </c>
      <c r="M1786" t="e">
        <f>VLOOKUP(B1786,ubah!$B$2:$L$234,5,FALSE)</f>
        <v>#N/A</v>
      </c>
      <c r="N1786" t="e">
        <f>VLOOKUP(B1786,ubah!$B$2:$L$234,6,FALSE)</f>
        <v>#N/A</v>
      </c>
    </row>
    <row r="1787" spans="1:14" hidden="1" x14ac:dyDescent="0.35">
      <c r="A1787" s="21">
        <v>726844</v>
      </c>
      <c r="B1787" s="22" t="str">
        <f>"3329150603950003"</f>
        <v>3329150603950003</v>
      </c>
      <c r="C1787" s="22" t="str">
        <f t="shared" si="54"/>
        <v>'3329150603950003</v>
      </c>
      <c r="D1787" s="22" t="str">
        <f t="shared" si="55"/>
        <v>tidak ganda</v>
      </c>
      <c r="E1787" s="22" t="s">
        <v>3960</v>
      </c>
      <c r="F1787" s="22" t="s">
        <v>10</v>
      </c>
      <c r="G1787" s="22" t="s">
        <v>11</v>
      </c>
      <c r="H1787" s="22" t="s">
        <v>18</v>
      </c>
      <c r="I1787" s="22" t="s">
        <v>264</v>
      </c>
      <c r="J1787" s="22" t="s">
        <v>330</v>
      </c>
      <c r="K1787" s="23" t="s">
        <v>2093</v>
      </c>
    </row>
    <row r="1788" spans="1:14" x14ac:dyDescent="0.35">
      <c r="A1788" s="13">
        <v>2152819</v>
      </c>
      <c r="B1788" s="14" t="str">
        <f>"3329150707900003"</f>
        <v>3329150707900003</v>
      </c>
      <c r="C1788" s="14" t="str">
        <f t="shared" si="54"/>
        <v>'3329150707900003</v>
      </c>
      <c r="D1788" s="14" t="str">
        <f t="shared" si="55"/>
        <v>tidak ganda</v>
      </c>
      <c r="E1788" s="14" t="s">
        <v>3961</v>
      </c>
      <c r="F1788" s="14" t="s">
        <v>10</v>
      </c>
      <c r="G1788" s="14" t="s">
        <v>11</v>
      </c>
      <c r="H1788" s="14" t="s">
        <v>18</v>
      </c>
      <c r="I1788" s="14" t="s">
        <v>19</v>
      </c>
      <c r="J1788" s="14" t="s">
        <v>348</v>
      </c>
      <c r="K1788" s="15" t="s">
        <v>3688</v>
      </c>
      <c r="L1788" s="16" t="str">
        <f>VLOOKUP(B1788,ubah!$B$2:$L$234,4,FALSE)</f>
        <v>Reguler</v>
      </c>
      <c r="M1788" s="16" t="str">
        <f>VLOOKUP(B1788,ubah!$B$2:$L$234,5,FALSE)</f>
        <v>JAWA TENGAH</v>
      </c>
      <c r="N1788" s="16" t="str">
        <f>VLOOKUP(B1788,ubah!$B$2:$L$234,6,FALSE)</f>
        <v>BREBES</v>
      </c>
    </row>
    <row r="1789" spans="1:14" hidden="1" x14ac:dyDescent="0.35">
      <c r="A1789" s="21">
        <v>1552148</v>
      </c>
      <c r="B1789" s="22" t="str">
        <f>"3329151105940002"</f>
        <v>3329151105940002</v>
      </c>
      <c r="C1789" s="22" t="str">
        <f t="shared" si="54"/>
        <v>'3329151105940002</v>
      </c>
      <c r="D1789" s="22" t="str">
        <f t="shared" si="55"/>
        <v>tidak ganda</v>
      </c>
      <c r="E1789" s="22" t="s">
        <v>3963</v>
      </c>
      <c r="F1789" s="22" t="s">
        <v>10</v>
      </c>
      <c r="G1789" s="22" t="s">
        <v>11</v>
      </c>
      <c r="H1789" s="22" t="s">
        <v>18</v>
      </c>
      <c r="I1789" s="22" t="s">
        <v>264</v>
      </c>
      <c r="J1789" s="22" t="s">
        <v>330</v>
      </c>
      <c r="K1789" s="23" t="s">
        <v>331</v>
      </c>
    </row>
    <row r="1790" spans="1:14" hidden="1" x14ac:dyDescent="0.35">
      <c r="A1790" s="21">
        <v>718465</v>
      </c>
      <c r="B1790" s="22" t="str">
        <f>"3329155407860009"</f>
        <v>3329155407860009</v>
      </c>
      <c r="C1790" s="22" t="str">
        <f t="shared" si="54"/>
        <v>'3329155407860009</v>
      </c>
      <c r="D1790" s="22" t="str">
        <f t="shared" si="55"/>
        <v>tidak ganda</v>
      </c>
      <c r="E1790" s="22" t="s">
        <v>3965</v>
      </c>
      <c r="F1790" s="22" t="s">
        <v>10</v>
      </c>
      <c r="G1790" s="22" t="s">
        <v>11</v>
      </c>
      <c r="H1790" s="22" t="s">
        <v>18</v>
      </c>
      <c r="I1790" s="22" t="s">
        <v>264</v>
      </c>
      <c r="J1790" s="22" t="s">
        <v>330</v>
      </c>
      <c r="K1790" s="23" t="s">
        <v>2093</v>
      </c>
    </row>
    <row r="1791" spans="1:14" hidden="1" x14ac:dyDescent="0.35">
      <c r="A1791" s="21">
        <v>293063</v>
      </c>
      <c r="B1791" s="22" t="str">
        <f>"3376011410810002"</f>
        <v>3376011410810002</v>
      </c>
      <c r="C1791" s="22" t="str">
        <f t="shared" si="54"/>
        <v>'3376011410810002</v>
      </c>
      <c r="D1791" s="22" t="str">
        <f t="shared" si="55"/>
        <v>tidak ganda</v>
      </c>
      <c r="E1791" s="22" t="s">
        <v>1370</v>
      </c>
      <c r="F1791" s="22" t="s">
        <v>10</v>
      </c>
      <c r="G1791" s="22" t="s">
        <v>11</v>
      </c>
      <c r="H1791" s="22" t="s">
        <v>18</v>
      </c>
      <c r="I1791" s="22" t="s">
        <v>268</v>
      </c>
      <c r="J1791" s="22" t="s">
        <v>277</v>
      </c>
      <c r="K1791" s="23" t="s">
        <v>2762</v>
      </c>
    </row>
    <row r="1792" spans="1:14" hidden="1" x14ac:dyDescent="0.35">
      <c r="A1792" s="21">
        <v>301990</v>
      </c>
      <c r="B1792" s="22" t="str">
        <f>"3376011602740001"</f>
        <v>3376011602740001</v>
      </c>
      <c r="C1792" s="22" t="str">
        <f t="shared" si="54"/>
        <v>'3376011602740001</v>
      </c>
      <c r="D1792" s="22" t="str">
        <f t="shared" si="55"/>
        <v>tidak ganda</v>
      </c>
      <c r="E1792" s="22" t="s">
        <v>3968</v>
      </c>
      <c r="F1792" s="22" t="s">
        <v>10</v>
      </c>
      <c r="G1792" s="22" t="s">
        <v>11</v>
      </c>
      <c r="H1792" s="22" t="s">
        <v>18</v>
      </c>
      <c r="I1792" s="22" t="s">
        <v>268</v>
      </c>
      <c r="J1792" s="22" t="s">
        <v>277</v>
      </c>
      <c r="K1792" s="23" t="s">
        <v>2762</v>
      </c>
    </row>
    <row r="1793" spans="1:11" hidden="1" x14ac:dyDescent="0.35">
      <c r="A1793" s="21">
        <v>323570</v>
      </c>
      <c r="B1793" s="22" t="str">
        <f>"3376016005930002"</f>
        <v>3376016005930002</v>
      </c>
      <c r="C1793" s="22" t="str">
        <f t="shared" si="54"/>
        <v>'3376016005930002</v>
      </c>
      <c r="D1793" s="22" t="str">
        <f t="shared" si="55"/>
        <v>tidak ganda</v>
      </c>
      <c r="E1793" s="22" t="s">
        <v>3969</v>
      </c>
      <c r="F1793" s="22" t="s">
        <v>10</v>
      </c>
      <c r="G1793" s="22" t="s">
        <v>11</v>
      </c>
      <c r="H1793" s="22" t="s">
        <v>18</v>
      </c>
      <c r="I1793" s="22" t="s">
        <v>268</v>
      </c>
      <c r="J1793" s="22" t="s">
        <v>277</v>
      </c>
      <c r="K1793" s="23" t="s">
        <v>278</v>
      </c>
    </row>
    <row r="1794" spans="1:11" hidden="1" x14ac:dyDescent="0.35">
      <c r="A1794" s="21">
        <v>301991</v>
      </c>
      <c r="B1794" s="22" t="str">
        <f>"3376016512750001"</f>
        <v>3376016512750001</v>
      </c>
      <c r="C1794" s="22" t="str">
        <f t="shared" si="54"/>
        <v>'3376016512750001</v>
      </c>
      <c r="D1794" s="22" t="str">
        <f t="shared" si="55"/>
        <v>tidak ganda</v>
      </c>
      <c r="E1794" s="22" t="s">
        <v>3971</v>
      </c>
      <c r="F1794" s="22" t="s">
        <v>10</v>
      </c>
      <c r="G1794" s="22" t="s">
        <v>11</v>
      </c>
      <c r="H1794" s="22" t="s">
        <v>18</v>
      </c>
      <c r="I1794" s="22" t="s">
        <v>268</v>
      </c>
      <c r="J1794" s="22" t="s">
        <v>277</v>
      </c>
      <c r="K1794" s="23" t="s">
        <v>2762</v>
      </c>
    </row>
    <row r="1795" spans="1:11" hidden="1" x14ac:dyDescent="0.35">
      <c r="A1795" s="21">
        <v>308226</v>
      </c>
      <c r="B1795" s="22" t="str">
        <f>"3376021905980001"</f>
        <v>3376021905980001</v>
      </c>
      <c r="C1795" s="22" t="str">
        <f t="shared" ref="C1795:C1858" si="56">"'"&amp;B1795</f>
        <v>'3376021905980001</v>
      </c>
      <c r="D1795" s="22" t="str">
        <f t="shared" ref="D1795:D1858" si="57">IF(COUNTIF($C:$C,C1795)&gt;1,"ganda","tidak ganda")</f>
        <v>tidak ganda</v>
      </c>
      <c r="E1795" s="22" t="s">
        <v>3972</v>
      </c>
      <c r="F1795" s="22" t="s">
        <v>10</v>
      </c>
      <c r="G1795" s="22" t="s">
        <v>11</v>
      </c>
      <c r="H1795" s="22" t="s">
        <v>18</v>
      </c>
      <c r="I1795" s="22" t="s">
        <v>268</v>
      </c>
      <c r="J1795" s="22" t="s">
        <v>269</v>
      </c>
      <c r="K1795" s="23" t="s">
        <v>1398</v>
      </c>
    </row>
    <row r="1796" spans="1:11" hidden="1" x14ac:dyDescent="0.35">
      <c r="A1796" s="21">
        <v>237254</v>
      </c>
      <c r="B1796" s="22" t="str">
        <f>"3376022206900002"</f>
        <v>3376022206900002</v>
      </c>
      <c r="C1796" s="22" t="str">
        <f t="shared" si="56"/>
        <v>'3376022206900002</v>
      </c>
      <c r="D1796" s="22" t="str">
        <f t="shared" si="57"/>
        <v>tidak ganda</v>
      </c>
      <c r="E1796" s="22" t="s">
        <v>3974</v>
      </c>
      <c r="F1796" s="22" t="s">
        <v>10</v>
      </c>
      <c r="G1796" s="22" t="s">
        <v>11</v>
      </c>
      <c r="H1796" s="22" t="s">
        <v>18</v>
      </c>
      <c r="I1796" s="22" t="s">
        <v>268</v>
      </c>
      <c r="J1796" s="22" t="s">
        <v>371</v>
      </c>
      <c r="K1796" s="23" t="s">
        <v>372</v>
      </c>
    </row>
    <row r="1797" spans="1:11" hidden="1" x14ac:dyDescent="0.35">
      <c r="A1797" s="21">
        <v>217227</v>
      </c>
      <c r="B1797" s="22" t="str">
        <f>"3376025507000003"</f>
        <v>3376025507000003</v>
      </c>
      <c r="C1797" s="22" t="str">
        <f t="shared" si="56"/>
        <v>'3376025507000003</v>
      </c>
      <c r="D1797" s="22" t="str">
        <f t="shared" si="57"/>
        <v>tidak ganda</v>
      </c>
      <c r="E1797" s="22" t="s">
        <v>3975</v>
      </c>
      <c r="F1797" s="22" t="s">
        <v>10</v>
      </c>
      <c r="G1797" s="22" t="s">
        <v>11</v>
      </c>
      <c r="H1797" s="22" t="s">
        <v>18</v>
      </c>
      <c r="I1797" s="22" t="s">
        <v>268</v>
      </c>
      <c r="J1797" s="22" t="s">
        <v>371</v>
      </c>
      <c r="K1797" s="23" t="s">
        <v>2772</v>
      </c>
    </row>
    <row r="1798" spans="1:11" hidden="1" x14ac:dyDescent="0.35">
      <c r="A1798" s="21">
        <v>366862</v>
      </c>
      <c r="B1798" s="22" t="str">
        <f>"3376030510940001"</f>
        <v>3376030510940001</v>
      </c>
      <c r="C1798" s="22" t="str">
        <f t="shared" si="56"/>
        <v>'3376030510940001</v>
      </c>
      <c r="D1798" s="22" t="str">
        <f t="shared" si="57"/>
        <v>tidak ganda</v>
      </c>
      <c r="E1798" s="22" t="s">
        <v>3976</v>
      </c>
      <c r="F1798" s="22" t="s">
        <v>10</v>
      </c>
      <c r="G1798" s="22" t="s">
        <v>11</v>
      </c>
      <c r="H1798" s="22" t="s">
        <v>18</v>
      </c>
      <c r="I1798" s="22" t="s">
        <v>268</v>
      </c>
      <c r="J1798" s="22" t="s">
        <v>269</v>
      </c>
      <c r="K1798" s="23" t="s">
        <v>996</v>
      </c>
    </row>
    <row r="1799" spans="1:11" hidden="1" x14ac:dyDescent="0.35">
      <c r="A1799" s="21">
        <v>342783</v>
      </c>
      <c r="B1799" s="22" t="str">
        <f>"3376031202910001"</f>
        <v>3376031202910001</v>
      </c>
      <c r="C1799" s="22" t="str">
        <f t="shared" si="56"/>
        <v>'3376031202910001</v>
      </c>
      <c r="D1799" s="22" t="str">
        <f t="shared" si="57"/>
        <v>tidak ganda</v>
      </c>
      <c r="E1799" s="22" t="s">
        <v>3977</v>
      </c>
      <c r="F1799" s="22" t="s">
        <v>10</v>
      </c>
      <c r="G1799" s="22" t="s">
        <v>11</v>
      </c>
      <c r="H1799" s="22" t="s">
        <v>18</v>
      </c>
      <c r="I1799" s="22" t="s">
        <v>268</v>
      </c>
      <c r="J1799" s="22" t="s">
        <v>269</v>
      </c>
      <c r="K1799" s="23" t="s">
        <v>3978</v>
      </c>
    </row>
    <row r="1800" spans="1:11" hidden="1" x14ac:dyDescent="0.35">
      <c r="A1800" s="21">
        <v>407838</v>
      </c>
      <c r="B1800" s="22" t="str">
        <f>"3376041804940001"</f>
        <v>3376041804940001</v>
      </c>
      <c r="C1800" s="22" t="str">
        <f t="shared" si="56"/>
        <v>'3376041804940001</v>
      </c>
      <c r="D1800" s="22" t="str">
        <f t="shared" si="57"/>
        <v>tidak ganda</v>
      </c>
      <c r="E1800" s="22" t="s">
        <v>3979</v>
      </c>
      <c r="F1800" s="22" t="s">
        <v>10</v>
      </c>
      <c r="G1800" s="22" t="s">
        <v>11</v>
      </c>
      <c r="H1800" s="22" t="s">
        <v>18</v>
      </c>
      <c r="I1800" s="22" t="s">
        <v>268</v>
      </c>
      <c r="J1800" s="22" t="s">
        <v>448</v>
      </c>
      <c r="K1800" s="23" t="s">
        <v>448</v>
      </c>
    </row>
    <row r="1801" spans="1:11" hidden="1" x14ac:dyDescent="0.35">
      <c r="A1801" s="21">
        <v>407837</v>
      </c>
      <c r="B1801" s="22" t="str">
        <f>"3376044712950001"</f>
        <v>3376044712950001</v>
      </c>
      <c r="C1801" s="22" t="str">
        <f t="shared" si="56"/>
        <v>'3376044712950001</v>
      </c>
      <c r="D1801" s="22" t="str">
        <f t="shared" si="57"/>
        <v>tidak ganda</v>
      </c>
      <c r="E1801" s="22" t="s">
        <v>3980</v>
      </c>
      <c r="F1801" s="22" t="s">
        <v>10</v>
      </c>
      <c r="G1801" s="22" t="s">
        <v>11</v>
      </c>
      <c r="H1801" s="22" t="s">
        <v>18</v>
      </c>
      <c r="I1801" s="22" t="s">
        <v>268</v>
      </c>
      <c r="J1801" s="22" t="s">
        <v>448</v>
      </c>
      <c r="K1801" s="23" t="s">
        <v>448</v>
      </c>
    </row>
    <row r="1802" spans="1:11" hidden="1" x14ac:dyDescent="0.35">
      <c r="A1802" s="21">
        <v>575769</v>
      </c>
      <c r="B1802" s="22" t="str">
        <f>"3526184205970002"</f>
        <v>3526184205970002</v>
      </c>
      <c r="C1802" s="22" t="str">
        <f t="shared" si="56"/>
        <v>'3526184205970002</v>
      </c>
      <c r="D1802" s="22" t="str">
        <f t="shared" si="57"/>
        <v>tidak ganda</v>
      </c>
      <c r="E1802" s="22" t="s">
        <v>3981</v>
      </c>
      <c r="F1802" s="22" t="s">
        <v>10</v>
      </c>
      <c r="G1802" s="22" t="s">
        <v>11</v>
      </c>
      <c r="H1802" s="22" t="s">
        <v>303</v>
      </c>
      <c r="I1802" s="22" t="s">
        <v>1676</v>
      </c>
      <c r="J1802" s="22" t="s">
        <v>3982</v>
      </c>
      <c r="K1802" s="23" t="s">
        <v>3983</v>
      </c>
    </row>
    <row r="1803" spans="1:11" hidden="1" x14ac:dyDescent="0.35">
      <c r="A1803" s="21">
        <v>2315668</v>
      </c>
      <c r="B1803" s="22" t="str">
        <f>"3603121203660003"</f>
        <v>3603121203660003</v>
      </c>
      <c r="C1803" s="22" t="str">
        <f t="shared" si="56"/>
        <v>'3603121203660003</v>
      </c>
      <c r="D1803" s="22" t="str">
        <f t="shared" si="57"/>
        <v>tidak ganda</v>
      </c>
      <c r="E1803" s="22" t="s">
        <v>3984</v>
      </c>
      <c r="F1803" s="22" t="s">
        <v>10</v>
      </c>
      <c r="G1803" s="22" t="s">
        <v>11</v>
      </c>
      <c r="H1803" s="22" t="s">
        <v>67</v>
      </c>
      <c r="I1803" s="22" t="s">
        <v>791</v>
      </c>
      <c r="J1803" s="22" t="s">
        <v>792</v>
      </c>
      <c r="K1803" s="23" t="s">
        <v>793</v>
      </c>
    </row>
    <row r="1804" spans="1:11" hidden="1" x14ac:dyDescent="0.35">
      <c r="A1804" s="21">
        <v>2315605</v>
      </c>
      <c r="B1804" s="22" t="str">
        <f>"3603122801880006"</f>
        <v>3603122801880006</v>
      </c>
      <c r="C1804" s="22" t="str">
        <f t="shared" si="56"/>
        <v>'3603122801880006</v>
      </c>
      <c r="D1804" s="22" t="str">
        <f t="shared" si="57"/>
        <v>tidak ganda</v>
      </c>
      <c r="E1804" s="22" t="s">
        <v>3986</v>
      </c>
      <c r="F1804" s="22" t="s">
        <v>10</v>
      </c>
      <c r="G1804" s="22" t="s">
        <v>11</v>
      </c>
      <c r="H1804" s="22" t="s">
        <v>67</v>
      </c>
      <c r="I1804" s="22" t="s">
        <v>791</v>
      </c>
      <c r="J1804" s="22" t="s">
        <v>792</v>
      </c>
      <c r="K1804" s="23" t="s">
        <v>793</v>
      </c>
    </row>
    <row r="1805" spans="1:11" hidden="1" x14ac:dyDescent="0.35">
      <c r="A1805" s="21">
        <v>2315667</v>
      </c>
      <c r="B1805" s="22" t="str">
        <f>"3603124904710003"</f>
        <v>3603124904710003</v>
      </c>
      <c r="C1805" s="22" t="str">
        <f t="shared" si="56"/>
        <v>'3603124904710003</v>
      </c>
      <c r="D1805" s="22" t="str">
        <f t="shared" si="57"/>
        <v>tidak ganda</v>
      </c>
      <c r="E1805" s="22" t="s">
        <v>3988</v>
      </c>
      <c r="F1805" s="22" t="s">
        <v>10</v>
      </c>
      <c r="G1805" s="22" t="s">
        <v>11</v>
      </c>
      <c r="H1805" s="22" t="s">
        <v>67</v>
      </c>
      <c r="I1805" s="22" t="s">
        <v>791</v>
      </c>
      <c r="J1805" s="22" t="s">
        <v>792</v>
      </c>
      <c r="K1805" s="23" t="s">
        <v>793</v>
      </c>
    </row>
    <row r="1806" spans="1:11" hidden="1" x14ac:dyDescent="0.35">
      <c r="A1806" s="21">
        <v>1711023</v>
      </c>
      <c r="B1806" s="22" t="str">
        <f>"3671060708910010"</f>
        <v>3671060708910010</v>
      </c>
      <c r="C1806" s="22" t="str">
        <f t="shared" si="56"/>
        <v>'3671060708910010</v>
      </c>
      <c r="D1806" s="22" t="str">
        <f t="shared" si="57"/>
        <v>tidak ganda</v>
      </c>
      <c r="E1806" s="22" t="s">
        <v>3989</v>
      </c>
      <c r="F1806" s="22" t="s">
        <v>10</v>
      </c>
      <c r="G1806" s="22" t="s">
        <v>11</v>
      </c>
      <c r="H1806" s="22" t="s">
        <v>67</v>
      </c>
      <c r="I1806" s="22" t="s">
        <v>512</v>
      </c>
      <c r="J1806" s="22" t="s">
        <v>513</v>
      </c>
      <c r="K1806" s="23" t="s">
        <v>3990</v>
      </c>
    </row>
    <row r="1807" spans="1:11" hidden="1" x14ac:dyDescent="0.35">
      <c r="A1807" s="21">
        <v>784054</v>
      </c>
      <c r="B1807" s="22" t="str">
        <f>"3674040112030006"</f>
        <v>3674040112030006</v>
      </c>
      <c r="C1807" s="22" t="str">
        <f t="shared" si="56"/>
        <v>'3674040112030006</v>
      </c>
      <c r="D1807" s="22" t="str">
        <f t="shared" si="57"/>
        <v>tidak ganda</v>
      </c>
      <c r="E1807" s="22" t="s">
        <v>3992</v>
      </c>
      <c r="F1807" s="22" t="s">
        <v>10</v>
      </c>
      <c r="G1807" s="22" t="s">
        <v>11</v>
      </c>
      <c r="H1807" s="22" t="s">
        <v>50</v>
      </c>
      <c r="I1807" s="22" t="s">
        <v>72</v>
      </c>
      <c r="J1807" s="22" t="s">
        <v>1093</v>
      </c>
      <c r="K1807" s="23" t="s">
        <v>3993</v>
      </c>
    </row>
    <row r="1808" spans="1:11" hidden="1" x14ac:dyDescent="0.35">
      <c r="A1808" s="21">
        <v>216265</v>
      </c>
      <c r="B1808" s="22" t="str">
        <f>"6207082308810001"</f>
        <v>6207082308810001</v>
      </c>
      <c r="C1808" s="22" t="str">
        <f t="shared" si="56"/>
        <v>'6207082308810001</v>
      </c>
      <c r="D1808" s="22" t="str">
        <f t="shared" si="57"/>
        <v>tidak ganda</v>
      </c>
      <c r="E1808" s="22" t="s">
        <v>3994</v>
      </c>
      <c r="F1808" s="22" t="s">
        <v>10</v>
      </c>
      <c r="G1808" s="22" t="s">
        <v>11</v>
      </c>
      <c r="H1808" s="22" t="s">
        <v>521</v>
      </c>
      <c r="I1808" s="22" t="s">
        <v>1449</v>
      </c>
      <c r="J1808" s="22" t="s">
        <v>3995</v>
      </c>
      <c r="K1808" s="23" t="s">
        <v>3996</v>
      </c>
    </row>
    <row r="1809" spans="1:14" hidden="1" x14ac:dyDescent="0.35">
      <c r="A1809" s="21">
        <v>873809</v>
      </c>
      <c r="B1809" s="22" t="str">
        <f>"1611033008900002"</f>
        <v>1611033008900002</v>
      </c>
      <c r="C1809" s="22" t="str">
        <f t="shared" si="56"/>
        <v>'1611033008900002</v>
      </c>
      <c r="D1809" s="22" t="str">
        <f t="shared" si="57"/>
        <v>tidak ganda</v>
      </c>
      <c r="E1809" s="22" t="s">
        <v>3998</v>
      </c>
      <c r="F1809" s="22" t="s">
        <v>10</v>
      </c>
      <c r="G1809" s="22" t="s">
        <v>11</v>
      </c>
      <c r="H1809" s="22" t="s">
        <v>91</v>
      </c>
      <c r="I1809" s="22" t="s">
        <v>114</v>
      </c>
      <c r="J1809" s="22" t="s">
        <v>3246</v>
      </c>
      <c r="K1809" s="23" t="s">
        <v>3247</v>
      </c>
    </row>
    <row r="1810" spans="1:14" hidden="1" x14ac:dyDescent="0.35">
      <c r="A1810" s="21">
        <v>814001</v>
      </c>
      <c r="B1810" s="22" t="str">
        <f>"1871074601700001"</f>
        <v>1871074601700001</v>
      </c>
      <c r="C1810" s="22" t="str">
        <f t="shared" si="56"/>
        <v>'1871074601700001</v>
      </c>
      <c r="D1810" s="22" t="str">
        <f t="shared" si="57"/>
        <v>tidak ganda</v>
      </c>
      <c r="E1810" s="22" t="s">
        <v>4000</v>
      </c>
      <c r="F1810" s="22" t="s">
        <v>10</v>
      </c>
      <c r="G1810" s="22" t="s">
        <v>11</v>
      </c>
      <c r="H1810" s="22" t="s">
        <v>44</v>
      </c>
      <c r="I1810" s="22" t="s">
        <v>1594</v>
      </c>
      <c r="J1810" s="22" t="s">
        <v>4001</v>
      </c>
      <c r="K1810" s="23" t="s">
        <v>4002</v>
      </c>
    </row>
    <row r="1811" spans="1:14" hidden="1" x14ac:dyDescent="0.35">
      <c r="A1811" s="21">
        <v>75769</v>
      </c>
      <c r="B1811" s="22" t="str">
        <f>"3171025009830006"</f>
        <v>3171025009830006</v>
      </c>
      <c r="C1811" s="22" t="str">
        <f t="shared" si="56"/>
        <v>'3171025009830006</v>
      </c>
      <c r="D1811" s="22" t="str">
        <f t="shared" si="57"/>
        <v>tidak ganda</v>
      </c>
      <c r="E1811" s="22" t="s">
        <v>401</v>
      </c>
      <c r="F1811" s="22" t="s">
        <v>10</v>
      </c>
      <c r="G1811" s="22" t="s">
        <v>11</v>
      </c>
      <c r="H1811" s="22" t="s">
        <v>50</v>
      </c>
      <c r="I1811" s="22" t="s">
        <v>280</v>
      </c>
      <c r="J1811" s="22" t="s">
        <v>455</v>
      </c>
      <c r="K1811" s="23" t="s">
        <v>456</v>
      </c>
    </row>
    <row r="1812" spans="1:14" hidden="1" x14ac:dyDescent="0.35">
      <c r="A1812" s="21">
        <v>75606</v>
      </c>
      <c r="B1812" s="22" t="str">
        <f>"3171025410060002"</f>
        <v>3171025410060002</v>
      </c>
      <c r="C1812" s="22" t="str">
        <f t="shared" si="56"/>
        <v>'3171025410060002</v>
      </c>
      <c r="D1812" s="22" t="str">
        <f t="shared" si="57"/>
        <v>tidak ganda</v>
      </c>
      <c r="E1812" s="22" t="s">
        <v>4005</v>
      </c>
      <c r="F1812" s="22" t="s">
        <v>10</v>
      </c>
      <c r="G1812" s="22" t="s">
        <v>11</v>
      </c>
      <c r="H1812" s="22" t="s">
        <v>50</v>
      </c>
      <c r="I1812" s="22" t="s">
        <v>280</v>
      </c>
      <c r="J1812" s="22" t="s">
        <v>455</v>
      </c>
      <c r="K1812" s="23" t="s">
        <v>456</v>
      </c>
    </row>
    <row r="1813" spans="1:14" hidden="1" x14ac:dyDescent="0.35">
      <c r="A1813" s="21">
        <v>2459171</v>
      </c>
      <c r="B1813" s="22" t="str">
        <f>"3171082108790001"</f>
        <v>3171082108790001</v>
      </c>
      <c r="C1813" s="22" t="str">
        <f t="shared" si="56"/>
        <v>'3171082108790001</v>
      </c>
      <c r="D1813" s="22" t="str">
        <f t="shared" si="57"/>
        <v>ganda</v>
      </c>
      <c r="E1813" s="22" t="s">
        <v>4007</v>
      </c>
      <c r="F1813" s="22" t="s">
        <v>10</v>
      </c>
      <c r="G1813" s="22" t="s">
        <v>11</v>
      </c>
      <c r="H1813" s="22" t="s">
        <v>18</v>
      </c>
      <c r="I1813" s="22" t="s">
        <v>19</v>
      </c>
      <c r="J1813" s="22" t="s">
        <v>3354</v>
      </c>
      <c r="K1813" s="23" t="s">
        <v>4008</v>
      </c>
      <c r="L1813" t="e">
        <f>VLOOKUP(B1813,ubah!$B$2:$L$234,4,FALSE)</f>
        <v>#N/A</v>
      </c>
      <c r="M1813" t="e">
        <f>VLOOKUP(B1813,ubah!$B$2:$L$234,5,FALSE)</f>
        <v>#N/A</v>
      </c>
      <c r="N1813" t="e">
        <f>VLOOKUP(B1813,ubah!$B$2:$L$234,6,FALSE)</f>
        <v>#N/A</v>
      </c>
    </row>
    <row r="1814" spans="1:14" hidden="1" x14ac:dyDescent="0.35">
      <c r="A1814" s="21">
        <v>2416977</v>
      </c>
      <c r="B1814" s="22" t="str">
        <f>"3171082108790001"</f>
        <v>3171082108790001</v>
      </c>
      <c r="C1814" s="22" t="str">
        <f t="shared" si="56"/>
        <v>'3171082108790001</v>
      </c>
      <c r="D1814" s="22" t="str">
        <f t="shared" si="57"/>
        <v>ganda</v>
      </c>
      <c r="E1814" s="22" t="s">
        <v>4009</v>
      </c>
      <c r="F1814" s="22" t="s">
        <v>10</v>
      </c>
      <c r="G1814" s="22" t="s">
        <v>57</v>
      </c>
      <c r="H1814" s="22" t="s">
        <v>50</v>
      </c>
      <c r="I1814" s="22" t="s">
        <v>58</v>
      </c>
      <c r="J1814" s="22" t="s">
        <v>59</v>
      </c>
      <c r="K1814" s="23" t="s">
        <v>60</v>
      </c>
    </row>
    <row r="1815" spans="1:14" hidden="1" x14ac:dyDescent="0.35">
      <c r="A1815" s="21">
        <v>208646</v>
      </c>
      <c r="B1815" s="22" t="str">
        <f>"3172041703840002"</f>
        <v>3172041703840002</v>
      </c>
      <c r="C1815" s="22" t="str">
        <f t="shared" si="56"/>
        <v>'3172041703840002</v>
      </c>
      <c r="D1815" s="22" t="str">
        <f t="shared" si="57"/>
        <v>tidak ganda</v>
      </c>
      <c r="E1815" s="22" t="s">
        <v>4010</v>
      </c>
      <c r="F1815" s="22" t="s">
        <v>10</v>
      </c>
      <c r="G1815" s="22" t="s">
        <v>11</v>
      </c>
      <c r="H1815" s="22" t="s">
        <v>50</v>
      </c>
      <c r="I1815" s="22" t="s">
        <v>51</v>
      </c>
      <c r="J1815" s="22" t="s">
        <v>78</v>
      </c>
      <c r="K1815" s="23" t="s">
        <v>436</v>
      </c>
    </row>
    <row r="1816" spans="1:14" hidden="1" x14ac:dyDescent="0.35">
      <c r="A1816" s="21">
        <v>957867</v>
      </c>
      <c r="B1816" s="22" t="str">
        <f>"3172046810760021"</f>
        <v>3172046810760021</v>
      </c>
      <c r="C1816" s="22" t="str">
        <f t="shared" si="56"/>
        <v>'3172046810760021</v>
      </c>
      <c r="D1816" s="22" t="str">
        <f t="shared" si="57"/>
        <v>tidak ganda</v>
      </c>
      <c r="E1816" s="22" t="s">
        <v>2870</v>
      </c>
      <c r="F1816" s="22" t="s">
        <v>10</v>
      </c>
      <c r="G1816" s="22" t="s">
        <v>11</v>
      </c>
      <c r="H1816" s="22" t="s">
        <v>50</v>
      </c>
      <c r="I1816" s="22" t="s">
        <v>51</v>
      </c>
      <c r="J1816" s="22" t="s">
        <v>78</v>
      </c>
      <c r="K1816" s="23" t="s">
        <v>81</v>
      </c>
    </row>
    <row r="1817" spans="1:14" hidden="1" x14ac:dyDescent="0.35">
      <c r="A1817" s="21">
        <v>287709</v>
      </c>
      <c r="B1817" s="22" t="str">
        <f>"3173021111780005"</f>
        <v>3173021111780005</v>
      </c>
      <c r="C1817" s="22" t="str">
        <f t="shared" si="56"/>
        <v>'3173021111780005</v>
      </c>
      <c r="D1817" s="22" t="str">
        <f t="shared" si="57"/>
        <v>tidak ganda</v>
      </c>
      <c r="E1817" s="22" t="s">
        <v>4013</v>
      </c>
      <c r="F1817" s="22" t="s">
        <v>10</v>
      </c>
      <c r="G1817" s="22" t="s">
        <v>11</v>
      </c>
      <c r="H1817" s="22" t="s">
        <v>50</v>
      </c>
      <c r="I1817" s="22" t="s">
        <v>86</v>
      </c>
      <c r="J1817" s="22" t="s">
        <v>205</v>
      </c>
      <c r="K1817" s="23" t="s">
        <v>2635</v>
      </c>
    </row>
    <row r="1818" spans="1:14" hidden="1" x14ac:dyDescent="0.35">
      <c r="A1818" s="21">
        <v>287710</v>
      </c>
      <c r="B1818" s="22" t="str">
        <f>"3173024501061001"</f>
        <v>3173024501061001</v>
      </c>
      <c r="C1818" s="22" t="str">
        <f t="shared" si="56"/>
        <v>'3173024501061001</v>
      </c>
      <c r="D1818" s="22" t="str">
        <f t="shared" si="57"/>
        <v>tidak ganda</v>
      </c>
      <c r="E1818" s="22" t="s">
        <v>4015</v>
      </c>
      <c r="F1818" s="22" t="s">
        <v>10</v>
      </c>
      <c r="G1818" s="22" t="s">
        <v>11</v>
      </c>
      <c r="H1818" s="22" t="s">
        <v>50</v>
      </c>
      <c r="I1818" s="22" t="s">
        <v>86</v>
      </c>
      <c r="J1818" s="22" t="s">
        <v>205</v>
      </c>
      <c r="K1818" s="23" t="s">
        <v>2635</v>
      </c>
    </row>
    <row r="1819" spans="1:14" hidden="1" x14ac:dyDescent="0.35">
      <c r="A1819" s="21">
        <v>287708</v>
      </c>
      <c r="B1819" s="22" t="str">
        <f>"3173025101820008"</f>
        <v>3173025101820008</v>
      </c>
      <c r="C1819" s="22" t="str">
        <f t="shared" si="56"/>
        <v>'3173025101820008</v>
      </c>
      <c r="D1819" s="22" t="str">
        <f t="shared" si="57"/>
        <v>tidak ganda</v>
      </c>
      <c r="E1819" s="22" t="s">
        <v>4016</v>
      </c>
      <c r="F1819" s="22" t="s">
        <v>10</v>
      </c>
      <c r="G1819" s="22" t="s">
        <v>11</v>
      </c>
      <c r="H1819" s="22" t="s">
        <v>50</v>
      </c>
      <c r="I1819" s="22" t="s">
        <v>86</v>
      </c>
      <c r="J1819" s="22" t="s">
        <v>205</v>
      </c>
      <c r="K1819" s="23" t="s">
        <v>2635</v>
      </c>
    </row>
    <row r="1820" spans="1:14" hidden="1" x14ac:dyDescent="0.35">
      <c r="A1820" s="21">
        <v>1941953</v>
      </c>
      <c r="B1820" s="22" t="str">
        <f>"3173040708820012"</f>
        <v>3173040708820012</v>
      </c>
      <c r="C1820" s="22" t="str">
        <f t="shared" si="56"/>
        <v>'3173040708820012</v>
      </c>
      <c r="D1820" s="22" t="str">
        <f t="shared" si="57"/>
        <v>tidak ganda</v>
      </c>
      <c r="E1820" s="22" t="s">
        <v>4017</v>
      </c>
      <c r="F1820" s="22" t="s">
        <v>10</v>
      </c>
      <c r="G1820" s="22" t="s">
        <v>11</v>
      </c>
      <c r="H1820" s="22" t="s">
        <v>67</v>
      </c>
      <c r="I1820" s="22" t="s">
        <v>375</v>
      </c>
      <c r="J1820" s="22" t="s">
        <v>4018</v>
      </c>
      <c r="K1820" s="23" t="s">
        <v>4019</v>
      </c>
    </row>
    <row r="1821" spans="1:14" hidden="1" x14ac:dyDescent="0.35">
      <c r="A1821" s="21">
        <v>813193</v>
      </c>
      <c r="B1821" s="22" t="str">
        <f>"3174041605690010"</f>
        <v>3174041605690010</v>
      </c>
      <c r="C1821" s="22" t="str">
        <f t="shared" si="56"/>
        <v>'3174041605690010</v>
      </c>
      <c r="D1821" s="22" t="str">
        <f t="shared" si="57"/>
        <v>tidak ganda</v>
      </c>
      <c r="E1821" s="22" t="s">
        <v>4020</v>
      </c>
      <c r="F1821" s="22" t="s">
        <v>10</v>
      </c>
      <c r="G1821" s="22" t="s">
        <v>11</v>
      </c>
      <c r="H1821" s="22" t="s">
        <v>50</v>
      </c>
      <c r="I1821" s="22" t="s">
        <v>72</v>
      </c>
      <c r="J1821" s="22" t="s">
        <v>73</v>
      </c>
      <c r="K1821" s="23" t="s">
        <v>74</v>
      </c>
    </row>
    <row r="1822" spans="1:14" hidden="1" x14ac:dyDescent="0.35">
      <c r="A1822" s="21">
        <v>878725</v>
      </c>
      <c r="B1822" s="22" t="str">
        <f>"3174051211640007"</f>
        <v>3174051211640007</v>
      </c>
      <c r="C1822" s="22" t="str">
        <f t="shared" si="56"/>
        <v>'3174051211640007</v>
      </c>
      <c r="D1822" s="22" t="str">
        <f t="shared" si="57"/>
        <v>tidak ganda</v>
      </c>
      <c r="E1822" s="22" t="s">
        <v>4023</v>
      </c>
      <c r="F1822" s="22" t="s">
        <v>10</v>
      </c>
      <c r="G1822" s="22" t="s">
        <v>11</v>
      </c>
      <c r="H1822" s="22" t="s">
        <v>50</v>
      </c>
      <c r="I1822" s="22" t="s">
        <v>72</v>
      </c>
      <c r="J1822" s="22" t="s">
        <v>803</v>
      </c>
      <c r="K1822" s="23" t="s">
        <v>2866</v>
      </c>
    </row>
    <row r="1823" spans="1:14" hidden="1" x14ac:dyDescent="0.35">
      <c r="A1823" s="21">
        <v>2337056</v>
      </c>
      <c r="B1823" s="22" t="str">
        <f>"3216020806820018"</f>
        <v>3216020806820018</v>
      </c>
      <c r="C1823" s="22" t="str">
        <f t="shared" si="56"/>
        <v>'3216020806820018</v>
      </c>
      <c r="D1823" s="22" t="str">
        <f t="shared" si="57"/>
        <v>tidak ganda</v>
      </c>
      <c r="E1823" s="22" t="s">
        <v>4024</v>
      </c>
      <c r="F1823" s="22" t="s">
        <v>10</v>
      </c>
      <c r="G1823" s="22" t="s">
        <v>11</v>
      </c>
      <c r="H1823" s="22" t="s">
        <v>91</v>
      </c>
      <c r="I1823" s="22" t="s">
        <v>92</v>
      </c>
      <c r="J1823" s="22" t="s">
        <v>93</v>
      </c>
      <c r="K1823" s="23" t="s">
        <v>4025</v>
      </c>
    </row>
    <row r="1824" spans="1:14" hidden="1" x14ac:dyDescent="0.35">
      <c r="A1824" s="21">
        <v>2337055</v>
      </c>
      <c r="B1824" s="22" t="str">
        <f>"3216025910840005"</f>
        <v>3216025910840005</v>
      </c>
      <c r="C1824" s="22" t="str">
        <f t="shared" si="56"/>
        <v>'3216025910840005</v>
      </c>
      <c r="D1824" s="22" t="str">
        <f t="shared" si="57"/>
        <v>tidak ganda</v>
      </c>
      <c r="E1824" s="22" t="s">
        <v>4027</v>
      </c>
      <c r="F1824" s="22" t="s">
        <v>10</v>
      </c>
      <c r="G1824" s="22" t="s">
        <v>11</v>
      </c>
      <c r="H1824" s="22" t="s">
        <v>91</v>
      </c>
      <c r="I1824" s="22" t="s">
        <v>92</v>
      </c>
      <c r="J1824" s="22" t="s">
        <v>93</v>
      </c>
      <c r="K1824" s="23" t="s">
        <v>4025</v>
      </c>
    </row>
    <row r="1825" spans="1:14" hidden="1" x14ac:dyDescent="0.35">
      <c r="A1825" s="21">
        <v>359292</v>
      </c>
      <c r="B1825" s="22" t="str">
        <f>"3216081206710016"</f>
        <v>3216081206710016</v>
      </c>
      <c r="C1825" s="22" t="str">
        <f t="shared" si="56"/>
        <v>'3216081206710016</v>
      </c>
      <c r="D1825" s="22" t="str">
        <f t="shared" si="57"/>
        <v>tidak ganda</v>
      </c>
      <c r="E1825" s="22" t="s">
        <v>4028</v>
      </c>
      <c r="F1825" s="22" t="s">
        <v>10</v>
      </c>
      <c r="G1825" s="22" t="s">
        <v>11</v>
      </c>
      <c r="H1825" s="22" t="s">
        <v>2889</v>
      </c>
      <c r="I1825" s="22" t="s">
        <v>4029</v>
      </c>
      <c r="J1825" s="22" t="s">
        <v>4030</v>
      </c>
      <c r="K1825" s="23" t="s">
        <v>4031</v>
      </c>
    </row>
    <row r="1826" spans="1:14" hidden="1" x14ac:dyDescent="0.35">
      <c r="A1826" s="21">
        <v>1544437</v>
      </c>
      <c r="B1826" s="22" t="str">
        <f>"3216094206690006"</f>
        <v>3216094206690006</v>
      </c>
      <c r="C1826" s="22" t="str">
        <f t="shared" si="56"/>
        <v>'3216094206690006</v>
      </c>
      <c r="D1826" s="22" t="str">
        <f t="shared" si="57"/>
        <v>tidak ganda</v>
      </c>
      <c r="E1826" s="22" t="s">
        <v>4032</v>
      </c>
      <c r="F1826" s="22" t="s">
        <v>10</v>
      </c>
      <c r="G1826" s="22" t="s">
        <v>11</v>
      </c>
      <c r="H1826" s="22" t="s">
        <v>91</v>
      </c>
      <c r="I1826" s="22" t="s">
        <v>92</v>
      </c>
      <c r="J1826" s="22" t="s">
        <v>128</v>
      </c>
      <c r="K1826" s="23" t="s">
        <v>2066</v>
      </c>
    </row>
    <row r="1827" spans="1:14" hidden="1" x14ac:dyDescent="0.35">
      <c r="A1827" s="21">
        <v>2137738</v>
      </c>
      <c r="B1827" s="22" t="str">
        <f>"3216221112930004"</f>
        <v>3216221112930004</v>
      </c>
      <c r="C1827" s="22" t="str">
        <f t="shared" si="56"/>
        <v>'3216221112930004</v>
      </c>
      <c r="D1827" s="22" t="str">
        <f t="shared" si="57"/>
        <v>tidak ganda</v>
      </c>
      <c r="E1827" s="22" t="s">
        <v>4034</v>
      </c>
      <c r="F1827" s="22" t="s">
        <v>10</v>
      </c>
      <c r="G1827" s="22" t="s">
        <v>11</v>
      </c>
      <c r="H1827" s="22" t="s">
        <v>91</v>
      </c>
      <c r="I1827" s="22" t="s">
        <v>92</v>
      </c>
      <c r="J1827" s="22" t="s">
        <v>4035</v>
      </c>
      <c r="K1827" s="23" t="s">
        <v>4036</v>
      </c>
    </row>
    <row r="1828" spans="1:14" hidden="1" x14ac:dyDescent="0.35">
      <c r="A1828" s="21">
        <v>683371</v>
      </c>
      <c r="B1828" s="22" t="str">
        <f>"3217070606650019"</f>
        <v>3217070606650019</v>
      </c>
      <c r="C1828" s="22" t="str">
        <f t="shared" si="56"/>
        <v>'3217070606650019</v>
      </c>
      <c r="D1828" s="22" t="str">
        <f t="shared" si="57"/>
        <v>tidak ganda</v>
      </c>
      <c r="E1828" s="22" t="s">
        <v>4037</v>
      </c>
      <c r="F1828" s="22" t="s">
        <v>10</v>
      </c>
      <c r="G1828" s="22" t="s">
        <v>11</v>
      </c>
      <c r="H1828" s="22" t="s">
        <v>91</v>
      </c>
      <c r="I1828" s="22" t="s">
        <v>137</v>
      </c>
      <c r="J1828" s="22" t="s">
        <v>4038</v>
      </c>
      <c r="K1828" s="23" t="s">
        <v>4039</v>
      </c>
    </row>
    <row r="1829" spans="1:14" hidden="1" x14ac:dyDescent="0.35">
      <c r="A1829" s="21">
        <v>1948262</v>
      </c>
      <c r="B1829" s="22" t="str">
        <f>"3273151006600005"</f>
        <v>3273151006600005</v>
      </c>
      <c r="C1829" s="22" t="str">
        <f t="shared" si="56"/>
        <v>'3273151006600005</v>
      </c>
      <c r="D1829" s="22" t="str">
        <f t="shared" si="57"/>
        <v>tidak ganda</v>
      </c>
      <c r="E1829" s="22" t="s">
        <v>4041</v>
      </c>
      <c r="F1829" s="22" t="s">
        <v>10</v>
      </c>
      <c r="G1829" s="22" t="s">
        <v>11</v>
      </c>
      <c r="H1829" s="22" t="s">
        <v>91</v>
      </c>
      <c r="I1829" s="22" t="s">
        <v>149</v>
      </c>
      <c r="J1829" s="22" t="s">
        <v>4042</v>
      </c>
      <c r="K1829" s="23" t="s">
        <v>4043</v>
      </c>
    </row>
    <row r="1830" spans="1:14" hidden="1" x14ac:dyDescent="0.35">
      <c r="A1830" s="21">
        <v>1435645</v>
      </c>
      <c r="B1830" s="22" t="str">
        <f>"3275041902780013"</f>
        <v>3275041902780013</v>
      </c>
      <c r="C1830" s="22" t="str">
        <f t="shared" si="56"/>
        <v>'3275041902780013</v>
      </c>
      <c r="D1830" s="22" t="str">
        <f t="shared" si="57"/>
        <v>tidak ganda</v>
      </c>
      <c r="E1830" s="22" t="s">
        <v>4045</v>
      </c>
      <c r="F1830" s="22" t="s">
        <v>10</v>
      </c>
      <c r="G1830" s="22" t="s">
        <v>11</v>
      </c>
      <c r="H1830" s="22" t="s">
        <v>91</v>
      </c>
      <c r="I1830" s="22" t="s">
        <v>159</v>
      </c>
      <c r="J1830" s="22" t="s">
        <v>2614</v>
      </c>
      <c r="K1830" s="23" t="s">
        <v>2614</v>
      </c>
    </row>
    <row r="1831" spans="1:14" hidden="1" x14ac:dyDescent="0.35">
      <c r="A1831" s="21">
        <v>544937</v>
      </c>
      <c r="B1831" s="22" t="str">
        <f>"3276101104730005"</f>
        <v>3276101104730005</v>
      </c>
      <c r="C1831" s="22" t="str">
        <f t="shared" si="56"/>
        <v>'3276101104730005</v>
      </c>
      <c r="D1831" s="22" t="str">
        <f t="shared" si="57"/>
        <v>tidak ganda</v>
      </c>
      <c r="E1831" s="22" t="s">
        <v>4047</v>
      </c>
      <c r="F1831" s="22" t="s">
        <v>10</v>
      </c>
      <c r="G1831" s="22" t="s">
        <v>11</v>
      </c>
      <c r="H1831" s="22" t="s">
        <v>91</v>
      </c>
      <c r="I1831" s="22" t="s">
        <v>903</v>
      </c>
      <c r="J1831" s="22" t="s">
        <v>938</v>
      </c>
      <c r="K1831" s="23" t="s">
        <v>4048</v>
      </c>
    </row>
    <row r="1832" spans="1:14" hidden="1" x14ac:dyDescent="0.35">
      <c r="A1832" s="21">
        <v>544940</v>
      </c>
      <c r="B1832" s="22" t="str">
        <f>"3276101208960002"</f>
        <v>3276101208960002</v>
      </c>
      <c r="C1832" s="22" t="str">
        <f t="shared" si="56"/>
        <v>'3276101208960002</v>
      </c>
      <c r="D1832" s="22" t="str">
        <f t="shared" si="57"/>
        <v>tidak ganda</v>
      </c>
      <c r="E1832" s="22" t="s">
        <v>4050</v>
      </c>
      <c r="F1832" s="22" t="s">
        <v>10</v>
      </c>
      <c r="G1832" s="22" t="s">
        <v>11</v>
      </c>
      <c r="H1832" s="22" t="s">
        <v>91</v>
      </c>
      <c r="I1832" s="22" t="s">
        <v>903</v>
      </c>
      <c r="J1832" s="22" t="s">
        <v>938</v>
      </c>
      <c r="K1832" s="23" t="s">
        <v>4048</v>
      </c>
    </row>
    <row r="1833" spans="1:14" hidden="1" x14ac:dyDescent="0.35">
      <c r="A1833" s="21">
        <v>544938</v>
      </c>
      <c r="B1833" s="22" t="str">
        <f>"3276102311020004"</f>
        <v>3276102311020004</v>
      </c>
      <c r="C1833" s="22" t="str">
        <f t="shared" si="56"/>
        <v>'3276102311020004</v>
      </c>
      <c r="D1833" s="22" t="str">
        <f t="shared" si="57"/>
        <v>tidak ganda</v>
      </c>
      <c r="E1833" s="22" t="s">
        <v>4051</v>
      </c>
      <c r="F1833" s="22" t="s">
        <v>10</v>
      </c>
      <c r="G1833" s="22" t="s">
        <v>11</v>
      </c>
      <c r="H1833" s="22" t="s">
        <v>91</v>
      </c>
      <c r="I1833" s="22" t="s">
        <v>903</v>
      </c>
      <c r="J1833" s="22" t="s">
        <v>938</v>
      </c>
      <c r="K1833" s="23" t="s">
        <v>4048</v>
      </c>
    </row>
    <row r="1834" spans="1:14" hidden="1" x14ac:dyDescent="0.35">
      <c r="A1834" s="21">
        <v>544939</v>
      </c>
      <c r="B1834" s="22" t="str">
        <f>"3276106209670001"</f>
        <v>3276106209670001</v>
      </c>
      <c r="C1834" s="22" t="str">
        <f t="shared" si="56"/>
        <v>'3276106209670001</v>
      </c>
      <c r="D1834" s="22" t="str">
        <f t="shared" si="57"/>
        <v>tidak ganda</v>
      </c>
      <c r="E1834" s="22" t="s">
        <v>4052</v>
      </c>
      <c r="F1834" s="22" t="s">
        <v>10</v>
      </c>
      <c r="G1834" s="22" t="s">
        <v>11</v>
      </c>
      <c r="H1834" s="22" t="s">
        <v>91</v>
      </c>
      <c r="I1834" s="22" t="s">
        <v>903</v>
      </c>
      <c r="J1834" s="22" t="s">
        <v>938</v>
      </c>
      <c r="K1834" s="23" t="s">
        <v>4048</v>
      </c>
    </row>
    <row r="1835" spans="1:14" hidden="1" x14ac:dyDescent="0.35">
      <c r="A1835" s="21">
        <v>991204</v>
      </c>
      <c r="B1835" s="22" t="str">
        <f>"3303087008860002"</f>
        <v>3303087008860002</v>
      </c>
      <c r="C1835" s="22" t="str">
        <f t="shared" si="56"/>
        <v>'3303087008860002</v>
      </c>
      <c r="D1835" s="22" t="str">
        <f t="shared" si="57"/>
        <v>tidak ganda</v>
      </c>
      <c r="E1835" s="22" t="s">
        <v>4053</v>
      </c>
      <c r="F1835" s="22" t="s">
        <v>10</v>
      </c>
      <c r="G1835" s="22" t="s">
        <v>11</v>
      </c>
      <c r="H1835" s="22" t="s">
        <v>18</v>
      </c>
      <c r="I1835" s="22" t="s">
        <v>1349</v>
      </c>
      <c r="J1835" s="22" t="s">
        <v>1350</v>
      </c>
      <c r="K1835" s="23" t="s">
        <v>4054</v>
      </c>
    </row>
    <row r="1836" spans="1:14" hidden="1" x14ac:dyDescent="0.35">
      <c r="A1836" s="21">
        <v>2363379</v>
      </c>
      <c r="B1836" s="22" t="str">
        <f>"3325035010870003"</f>
        <v>3325035010870003</v>
      </c>
      <c r="C1836" s="22" t="str">
        <f t="shared" si="56"/>
        <v>'3325035010870003</v>
      </c>
      <c r="D1836" s="22" t="str">
        <f t="shared" si="57"/>
        <v>tidak ganda</v>
      </c>
      <c r="E1836" s="22" t="s">
        <v>4061</v>
      </c>
      <c r="F1836" s="22" t="s">
        <v>10</v>
      </c>
      <c r="G1836" s="22" t="s">
        <v>11</v>
      </c>
      <c r="H1836" s="22" t="s">
        <v>18</v>
      </c>
      <c r="I1836" s="22" t="s">
        <v>19</v>
      </c>
      <c r="J1836" s="22" t="s">
        <v>3354</v>
      </c>
      <c r="K1836" s="23" t="s">
        <v>1309</v>
      </c>
      <c r="L1836" t="e">
        <f>VLOOKUP(B1836,ubah!$B$2:$L$234,4,FALSE)</f>
        <v>#N/A</v>
      </c>
      <c r="M1836" t="e">
        <f>VLOOKUP(B1836,ubah!$B$2:$L$234,5,FALSE)</f>
        <v>#N/A</v>
      </c>
      <c r="N1836" t="e">
        <f>VLOOKUP(B1836,ubah!$B$2:$L$234,6,FALSE)</f>
        <v>#N/A</v>
      </c>
    </row>
    <row r="1837" spans="1:14" hidden="1" x14ac:dyDescent="0.35">
      <c r="A1837" s="21">
        <v>380796</v>
      </c>
      <c r="B1837" s="22" t="str">
        <f>"3325131404890003"</f>
        <v>3325131404890003</v>
      </c>
      <c r="C1837" s="22" t="str">
        <f t="shared" si="56"/>
        <v>'3325131404890003</v>
      </c>
      <c r="D1837" s="22" t="str">
        <f t="shared" si="57"/>
        <v>tidak ganda</v>
      </c>
      <c r="E1837" s="22" t="s">
        <v>4065</v>
      </c>
      <c r="F1837" s="22" t="s">
        <v>10</v>
      </c>
      <c r="G1837" s="22" t="s">
        <v>11</v>
      </c>
      <c r="H1837" s="22" t="s">
        <v>18</v>
      </c>
      <c r="I1837" s="22" t="s">
        <v>190</v>
      </c>
      <c r="J1837" s="22" t="s">
        <v>3801</v>
      </c>
      <c r="K1837" s="23" t="s">
        <v>4066</v>
      </c>
    </row>
    <row r="1838" spans="1:14" hidden="1" x14ac:dyDescent="0.35">
      <c r="A1838" s="21">
        <v>2201778</v>
      </c>
      <c r="B1838" s="22" t="str">
        <f>"3326120708790001"</f>
        <v>3326120708790001</v>
      </c>
      <c r="C1838" s="22" t="str">
        <f t="shared" si="56"/>
        <v>'3326120708790001</v>
      </c>
      <c r="D1838" s="22" t="str">
        <f t="shared" si="57"/>
        <v>tidak ganda</v>
      </c>
      <c r="E1838" s="22" t="s">
        <v>4068</v>
      </c>
      <c r="F1838" s="22" t="s">
        <v>10</v>
      </c>
      <c r="G1838" s="22" t="s">
        <v>11</v>
      </c>
      <c r="H1838" s="22" t="s">
        <v>18</v>
      </c>
      <c r="I1838" s="22" t="s">
        <v>19</v>
      </c>
      <c r="J1838" s="22" t="s">
        <v>3354</v>
      </c>
      <c r="K1838" s="23" t="s">
        <v>1954</v>
      </c>
      <c r="L1838" t="e">
        <f>VLOOKUP(B1838,ubah!$B$2:$L$234,4,FALSE)</f>
        <v>#N/A</v>
      </c>
      <c r="M1838" t="e">
        <f>VLOOKUP(B1838,ubah!$B$2:$L$234,5,FALSE)</f>
        <v>#N/A</v>
      </c>
      <c r="N1838" t="e">
        <f>VLOOKUP(B1838,ubah!$B$2:$L$234,6,FALSE)</f>
        <v>#N/A</v>
      </c>
    </row>
    <row r="1839" spans="1:14" hidden="1" x14ac:dyDescent="0.35">
      <c r="A1839" s="21">
        <v>2201779</v>
      </c>
      <c r="B1839" s="22" t="str">
        <f>"3327015712870001"</f>
        <v>3327015712870001</v>
      </c>
      <c r="C1839" s="22" t="str">
        <f t="shared" si="56"/>
        <v>'3327015712870001</v>
      </c>
      <c r="D1839" s="22" t="str">
        <f t="shared" si="57"/>
        <v>tidak ganda</v>
      </c>
      <c r="E1839" s="22" t="s">
        <v>4070</v>
      </c>
      <c r="F1839" s="22" t="s">
        <v>10</v>
      </c>
      <c r="G1839" s="22" t="s">
        <v>11</v>
      </c>
      <c r="H1839" s="22" t="s">
        <v>18</v>
      </c>
      <c r="I1839" s="22" t="s">
        <v>19</v>
      </c>
      <c r="J1839" s="22" t="s">
        <v>3354</v>
      </c>
      <c r="K1839" s="23" t="s">
        <v>1954</v>
      </c>
      <c r="L1839" t="e">
        <f>VLOOKUP(B1839,ubah!$B$2:$L$234,4,FALSE)</f>
        <v>#N/A</v>
      </c>
      <c r="M1839" t="e">
        <f>VLOOKUP(B1839,ubah!$B$2:$L$234,5,FALSE)</f>
        <v>#N/A</v>
      </c>
      <c r="N1839" t="e">
        <f>VLOOKUP(B1839,ubah!$B$2:$L$234,6,FALSE)</f>
        <v>#N/A</v>
      </c>
    </row>
    <row r="1840" spans="1:14" hidden="1" x14ac:dyDescent="0.35">
      <c r="A1840" s="21">
        <v>2279149</v>
      </c>
      <c r="B1840" s="22" t="str">
        <f>"3327022506960001"</f>
        <v>3327022506960001</v>
      </c>
      <c r="C1840" s="22" t="str">
        <f t="shared" si="56"/>
        <v>'3327022506960001</v>
      </c>
      <c r="D1840" s="22" t="str">
        <f t="shared" si="57"/>
        <v>tidak ganda</v>
      </c>
      <c r="E1840" s="22" t="s">
        <v>2920</v>
      </c>
      <c r="F1840" s="22" t="s">
        <v>10</v>
      </c>
      <c r="G1840" s="22" t="s">
        <v>11</v>
      </c>
      <c r="H1840" s="22" t="s">
        <v>18</v>
      </c>
      <c r="I1840" s="22" t="s">
        <v>19</v>
      </c>
      <c r="J1840" s="22" t="s">
        <v>3354</v>
      </c>
      <c r="K1840" s="23" t="s">
        <v>4040</v>
      </c>
      <c r="L1840" t="e">
        <f>VLOOKUP(B1840,ubah!$B$2:$L$234,4,FALSE)</f>
        <v>#N/A</v>
      </c>
      <c r="M1840" t="e">
        <f>VLOOKUP(B1840,ubah!$B$2:$L$234,5,FALSE)</f>
        <v>#N/A</v>
      </c>
      <c r="N1840" t="e">
        <f>VLOOKUP(B1840,ubah!$B$2:$L$234,6,FALSE)</f>
        <v>#N/A</v>
      </c>
    </row>
    <row r="1841" spans="1:14" hidden="1" x14ac:dyDescent="0.35">
      <c r="A1841" s="21">
        <v>2003695</v>
      </c>
      <c r="B1841" s="22" t="str">
        <f>"3327104612950001"</f>
        <v>3327104612950001</v>
      </c>
      <c r="C1841" s="22" t="str">
        <f t="shared" si="56"/>
        <v>'3327104612950001</v>
      </c>
      <c r="D1841" s="22" t="str">
        <f t="shared" si="57"/>
        <v>tidak ganda</v>
      </c>
      <c r="E1841" s="22" t="s">
        <v>4073</v>
      </c>
      <c r="F1841" s="22" t="s">
        <v>10</v>
      </c>
      <c r="G1841" s="22" t="s">
        <v>11</v>
      </c>
      <c r="H1841" s="22" t="s">
        <v>18</v>
      </c>
      <c r="I1841" s="22" t="s">
        <v>199</v>
      </c>
      <c r="J1841" s="22" t="s">
        <v>200</v>
      </c>
      <c r="K1841" s="23" t="s">
        <v>4074</v>
      </c>
    </row>
    <row r="1842" spans="1:14" hidden="1" x14ac:dyDescent="0.35">
      <c r="A1842" s="21">
        <v>2200785</v>
      </c>
      <c r="B1842" s="22" t="str">
        <f>"3328113011040005"</f>
        <v>3328113011040005</v>
      </c>
      <c r="C1842" s="22" t="str">
        <f t="shared" si="56"/>
        <v>'3328113011040005</v>
      </c>
      <c r="D1842" s="22" t="str">
        <f t="shared" si="57"/>
        <v>ganda</v>
      </c>
      <c r="E1842" s="22" t="s">
        <v>4080</v>
      </c>
      <c r="F1842" s="22" t="s">
        <v>10</v>
      </c>
      <c r="G1842" s="22" t="s">
        <v>11</v>
      </c>
      <c r="H1842" s="22" t="s">
        <v>18</v>
      </c>
      <c r="I1842" s="22" t="s">
        <v>19</v>
      </c>
      <c r="J1842" s="22" t="s">
        <v>3354</v>
      </c>
      <c r="K1842" s="23" t="s">
        <v>1954</v>
      </c>
      <c r="L1842" t="e">
        <f>VLOOKUP(B1842,ubah!$B$2:$L$234,4,FALSE)</f>
        <v>#N/A</v>
      </c>
      <c r="M1842" t="e">
        <f>VLOOKUP(B1842,ubah!$B$2:$L$234,5,FALSE)</f>
        <v>#N/A</v>
      </c>
      <c r="N1842" t="e">
        <f>VLOOKUP(B1842,ubah!$B$2:$L$234,6,FALSE)</f>
        <v>#N/A</v>
      </c>
    </row>
    <row r="1843" spans="1:14" hidden="1" x14ac:dyDescent="0.35">
      <c r="A1843" s="21">
        <v>1350426</v>
      </c>
      <c r="B1843" s="22" t="str">
        <f>"3328113011040005"</f>
        <v>3328113011040005</v>
      </c>
      <c r="C1843" s="22" t="str">
        <f t="shared" si="56"/>
        <v>'3328113011040005</v>
      </c>
      <c r="D1843" s="22" t="str">
        <f t="shared" si="57"/>
        <v>ganda</v>
      </c>
      <c r="E1843" s="22" t="s">
        <v>4081</v>
      </c>
      <c r="F1843" s="22" t="s">
        <v>10</v>
      </c>
      <c r="G1843" s="22" t="s">
        <v>57</v>
      </c>
      <c r="H1843" s="22" t="s">
        <v>303</v>
      </c>
      <c r="I1843" s="22" t="s">
        <v>608</v>
      </c>
      <c r="J1843" s="22" t="s">
        <v>609</v>
      </c>
      <c r="K1843" s="23" t="s">
        <v>610</v>
      </c>
    </row>
    <row r="1844" spans="1:14" hidden="1" x14ac:dyDescent="0.35">
      <c r="A1844" s="21">
        <v>217801</v>
      </c>
      <c r="B1844" s="22" t="str">
        <f>"3328120107940086"</f>
        <v>3328120107940086</v>
      </c>
      <c r="C1844" s="22" t="str">
        <f t="shared" si="56"/>
        <v>'3328120107940086</v>
      </c>
      <c r="D1844" s="22" t="str">
        <f t="shared" si="57"/>
        <v>tidak ganda</v>
      </c>
      <c r="E1844" s="22" t="s">
        <v>4082</v>
      </c>
      <c r="F1844" s="22" t="s">
        <v>10</v>
      </c>
      <c r="G1844" s="22" t="s">
        <v>11</v>
      </c>
      <c r="H1844" s="22" t="s">
        <v>18</v>
      </c>
      <c r="I1844" s="22" t="s">
        <v>268</v>
      </c>
      <c r="J1844" s="22" t="s">
        <v>371</v>
      </c>
      <c r="K1844" s="23" t="s">
        <v>2772</v>
      </c>
    </row>
    <row r="1845" spans="1:14" hidden="1" x14ac:dyDescent="0.35">
      <c r="A1845" s="21">
        <v>2419097</v>
      </c>
      <c r="B1845" s="22" t="str">
        <f>"3328120109620008"</f>
        <v>3328120109620008</v>
      </c>
      <c r="C1845" s="22" t="str">
        <f t="shared" si="56"/>
        <v>'3328120109620008</v>
      </c>
      <c r="D1845" s="22" t="str">
        <f t="shared" si="57"/>
        <v>tidak ganda</v>
      </c>
      <c r="E1845" s="22" t="s">
        <v>4085</v>
      </c>
      <c r="F1845" s="22" t="s">
        <v>10</v>
      </c>
      <c r="G1845" s="22" t="s">
        <v>57</v>
      </c>
      <c r="H1845" s="22" t="s">
        <v>50</v>
      </c>
      <c r="I1845" s="22" t="s">
        <v>58</v>
      </c>
      <c r="J1845" s="22" t="s">
        <v>59</v>
      </c>
      <c r="K1845" s="23" t="s">
        <v>60</v>
      </c>
    </row>
    <row r="1846" spans="1:14" hidden="1" x14ac:dyDescent="0.35">
      <c r="A1846" s="21">
        <v>2237688</v>
      </c>
      <c r="B1846" s="22" t="str">
        <f>"3328120202030012"</f>
        <v>3328120202030012</v>
      </c>
      <c r="C1846" s="22" t="str">
        <f t="shared" si="56"/>
        <v>'3328120202030012</v>
      </c>
      <c r="D1846" s="22" t="str">
        <f t="shared" si="57"/>
        <v>ganda</v>
      </c>
      <c r="E1846" s="22" t="s">
        <v>4086</v>
      </c>
      <c r="F1846" s="22" t="s">
        <v>10</v>
      </c>
      <c r="G1846" s="22" t="s">
        <v>11</v>
      </c>
      <c r="H1846" s="22" t="s">
        <v>18</v>
      </c>
      <c r="I1846" s="22" t="s">
        <v>19</v>
      </c>
      <c r="J1846" s="22" t="s">
        <v>3354</v>
      </c>
      <c r="K1846" s="23" t="s">
        <v>613</v>
      </c>
      <c r="L1846" t="e">
        <f>VLOOKUP(B1846,ubah!$B$2:$L$234,4,FALSE)</f>
        <v>#N/A</v>
      </c>
      <c r="M1846" t="e">
        <f>VLOOKUP(B1846,ubah!$B$2:$L$234,5,FALSE)</f>
        <v>#N/A</v>
      </c>
      <c r="N1846" t="e">
        <f>VLOOKUP(B1846,ubah!$B$2:$L$234,6,FALSE)</f>
        <v>#N/A</v>
      </c>
    </row>
    <row r="1847" spans="1:14" hidden="1" x14ac:dyDescent="0.35">
      <c r="A1847" s="21">
        <v>1350419</v>
      </c>
      <c r="B1847" s="22" t="str">
        <f>"3328120202030012"</f>
        <v>3328120202030012</v>
      </c>
      <c r="C1847" s="22" t="str">
        <f t="shared" si="56"/>
        <v>'3328120202030012</v>
      </c>
      <c r="D1847" s="22" t="str">
        <f t="shared" si="57"/>
        <v>ganda</v>
      </c>
      <c r="E1847" s="22" t="s">
        <v>4086</v>
      </c>
      <c r="F1847" s="22" t="s">
        <v>10</v>
      </c>
      <c r="G1847" s="22" t="s">
        <v>57</v>
      </c>
      <c r="H1847" s="22" t="s">
        <v>303</v>
      </c>
      <c r="I1847" s="22" t="s">
        <v>608</v>
      </c>
      <c r="J1847" s="22" t="s">
        <v>609</v>
      </c>
      <c r="K1847" s="23" t="s">
        <v>610</v>
      </c>
    </row>
    <row r="1848" spans="1:14" hidden="1" x14ac:dyDescent="0.35">
      <c r="A1848" s="21">
        <v>2224516</v>
      </c>
      <c r="B1848" s="22" t="str">
        <f>"3328120211770003"</f>
        <v>3328120211770003</v>
      </c>
      <c r="C1848" s="22" t="str">
        <f t="shared" si="56"/>
        <v>'3328120211770003</v>
      </c>
      <c r="D1848" s="22" t="str">
        <f t="shared" si="57"/>
        <v>tidak ganda</v>
      </c>
      <c r="E1848" s="22" t="s">
        <v>1813</v>
      </c>
      <c r="F1848" s="22" t="s">
        <v>10</v>
      </c>
      <c r="G1848" s="22" t="s">
        <v>11</v>
      </c>
      <c r="H1848" s="22" t="s">
        <v>18</v>
      </c>
      <c r="I1848" s="22" t="s">
        <v>19</v>
      </c>
      <c r="J1848" s="22" t="s">
        <v>3354</v>
      </c>
      <c r="K1848" s="23" t="s">
        <v>4003</v>
      </c>
      <c r="L1848" t="e">
        <f>VLOOKUP(B1848,ubah!$B$2:$L$234,4,FALSE)</f>
        <v>#N/A</v>
      </c>
      <c r="M1848" t="e">
        <f>VLOOKUP(B1848,ubah!$B$2:$L$234,5,FALSE)</f>
        <v>#N/A</v>
      </c>
      <c r="N1848" t="e">
        <f>VLOOKUP(B1848,ubah!$B$2:$L$234,6,FALSE)</f>
        <v>#N/A</v>
      </c>
    </row>
    <row r="1849" spans="1:14" hidden="1" x14ac:dyDescent="0.35">
      <c r="A1849" s="21">
        <v>1877083</v>
      </c>
      <c r="B1849" s="22" t="str">
        <f>"3328120307920006"</f>
        <v>3328120307920006</v>
      </c>
      <c r="C1849" s="22" t="str">
        <f t="shared" si="56"/>
        <v>'3328120307920006</v>
      </c>
      <c r="D1849" s="22" t="str">
        <f t="shared" si="57"/>
        <v>tidak ganda</v>
      </c>
      <c r="E1849" s="22" t="s">
        <v>4088</v>
      </c>
      <c r="F1849" s="22" t="s">
        <v>10</v>
      </c>
      <c r="G1849" s="22" t="s">
        <v>11</v>
      </c>
      <c r="H1849" s="22" t="s">
        <v>303</v>
      </c>
      <c r="I1849" s="22" t="s">
        <v>1808</v>
      </c>
      <c r="J1849" s="22" t="s">
        <v>4089</v>
      </c>
      <c r="K1849" s="23" t="s">
        <v>4090</v>
      </c>
    </row>
    <row r="1850" spans="1:14" hidden="1" x14ac:dyDescent="0.35">
      <c r="A1850" s="21">
        <v>2462755</v>
      </c>
      <c r="B1850" s="22" t="str">
        <f>"3328120308910002"</f>
        <v>3328120308910002</v>
      </c>
      <c r="C1850" s="22" t="str">
        <f t="shared" si="56"/>
        <v>'3328120308910002</v>
      </c>
      <c r="D1850" s="22" t="str">
        <f t="shared" si="57"/>
        <v>ganda</v>
      </c>
      <c r="E1850" s="22" t="s">
        <v>4091</v>
      </c>
      <c r="F1850" s="22" t="s">
        <v>10</v>
      </c>
      <c r="G1850" s="22" t="s">
        <v>11</v>
      </c>
      <c r="H1850" s="22" t="s">
        <v>18</v>
      </c>
      <c r="I1850" s="22" t="s">
        <v>19</v>
      </c>
      <c r="J1850" s="22" t="s">
        <v>3354</v>
      </c>
      <c r="K1850" s="23" t="s">
        <v>4008</v>
      </c>
      <c r="L1850" t="e">
        <f>VLOOKUP(B1850,ubah!$B$2:$L$234,4,FALSE)</f>
        <v>#N/A</v>
      </c>
      <c r="M1850" t="e">
        <f>VLOOKUP(B1850,ubah!$B$2:$L$234,5,FALSE)</f>
        <v>#N/A</v>
      </c>
      <c r="N1850" t="e">
        <f>VLOOKUP(B1850,ubah!$B$2:$L$234,6,FALSE)</f>
        <v>#N/A</v>
      </c>
    </row>
    <row r="1851" spans="1:14" hidden="1" x14ac:dyDescent="0.35">
      <c r="A1851" s="21">
        <v>2662273</v>
      </c>
      <c r="B1851" s="22" t="str">
        <f>"3328120308910002"</f>
        <v>3328120308910002</v>
      </c>
      <c r="C1851" s="22" t="str">
        <f t="shared" si="56"/>
        <v>'3328120308910002</v>
      </c>
      <c r="D1851" s="22" t="str">
        <f t="shared" si="57"/>
        <v>ganda</v>
      </c>
      <c r="E1851" s="22" t="s">
        <v>4092</v>
      </c>
      <c r="F1851" s="22" t="s">
        <v>10</v>
      </c>
      <c r="G1851" s="22" t="s">
        <v>57</v>
      </c>
      <c r="H1851" s="22" t="s">
        <v>18</v>
      </c>
      <c r="I1851" s="22" t="s">
        <v>199</v>
      </c>
      <c r="J1851" s="22" t="s">
        <v>199</v>
      </c>
      <c r="K1851" s="23" t="s">
        <v>839</v>
      </c>
    </row>
    <row r="1852" spans="1:14" hidden="1" x14ac:dyDescent="0.35">
      <c r="A1852" s="21">
        <v>2330234</v>
      </c>
      <c r="B1852" s="22" t="str">
        <f>"3328120312020015"</f>
        <v>3328120312020015</v>
      </c>
      <c r="C1852" s="22" t="str">
        <f t="shared" si="56"/>
        <v>'3328120312020015</v>
      </c>
      <c r="D1852" s="22" t="str">
        <f t="shared" si="57"/>
        <v>ganda</v>
      </c>
      <c r="E1852" s="22" t="s">
        <v>4093</v>
      </c>
      <c r="F1852" s="22" t="s">
        <v>10</v>
      </c>
      <c r="G1852" s="22" t="s">
        <v>11</v>
      </c>
      <c r="H1852" s="22" t="s">
        <v>18</v>
      </c>
      <c r="I1852" s="22" t="s">
        <v>19</v>
      </c>
      <c r="J1852" s="22" t="s">
        <v>3354</v>
      </c>
      <c r="K1852" s="23" t="s">
        <v>307</v>
      </c>
      <c r="L1852" t="e">
        <f>VLOOKUP(B1852,ubah!$B$2:$L$234,4,FALSE)</f>
        <v>#N/A</v>
      </c>
      <c r="M1852" t="e">
        <f>VLOOKUP(B1852,ubah!$B$2:$L$234,5,FALSE)</f>
        <v>#N/A</v>
      </c>
      <c r="N1852" t="e">
        <f>VLOOKUP(B1852,ubah!$B$2:$L$234,6,FALSE)</f>
        <v>#N/A</v>
      </c>
    </row>
    <row r="1853" spans="1:14" hidden="1" x14ac:dyDescent="0.35">
      <c r="A1853" s="21">
        <v>1350423</v>
      </c>
      <c r="B1853" s="22" t="str">
        <f>"3328120312020015"</f>
        <v>3328120312020015</v>
      </c>
      <c r="C1853" s="22" t="str">
        <f t="shared" si="56"/>
        <v>'3328120312020015</v>
      </c>
      <c r="D1853" s="22" t="str">
        <f t="shared" si="57"/>
        <v>ganda</v>
      </c>
      <c r="E1853" s="22" t="s">
        <v>4093</v>
      </c>
      <c r="F1853" s="22" t="s">
        <v>10</v>
      </c>
      <c r="G1853" s="22" t="s">
        <v>57</v>
      </c>
      <c r="H1853" s="22" t="s">
        <v>303</v>
      </c>
      <c r="I1853" s="22" t="s">
        <v>608</v>
      </c>
      <c r="J1853" s="22" t="s">
        <v>609</v>
      </c>
      <c r="K1853" s="23" t="s">
        <v>610</v>
      </c>
    </row>
    <row r="1854" spans="1:14" hidden="1" x14ac:dyDescent="0.35">
      <c r="A1854" s="21">
        <v>2227910</v>
      </c>
      <c r="B1854" s="22" t="str">
        <f>"3328120402480001"</f>
        <v>3328120402480001</v>
      </c>
      <c r="C1854" s="22" t="str">
        <f t="shared" si="56"/>
        <v>'3328120402480001</v>
      </c>
      <c r="D1854" s="22" t="str">
        <f t="shared" si="57"/>
        <v>tidak ganda</v>
      </c>
      <c r="E1854" s="22" t="s">
        <v>508</v>
      </c>
      <c r="F1854" s="22" t="s">
        <v>10</v>
      </c>
      <c r="G1854" s="22" t="s">
        <v>11</v>
      </c>
      <c r="H1854" s="22" t="s">
        <v>18</v>
      </c>
      <c r="I1854" s="22" t="s">
        <v>19</v>
      </c>
      <c r="J1854" s="22" t="s">
        <v>3354</v>
      </c>
      <c r="K1854" s="23" t="s">
        <v>4049</v>
      </c>
      <c r="L1854" t="e">
        <f>VLOOKUP(B1854,ubah!$B$2:$L$234,4,FALSE)</f>
        <v>#N/A</v>
      </c>
      <c r="M1854" t="e">
        <f>VLOOKUP(B1854,ubah!$B$2:$L$234,5,FALSE)</f>
        <v>#N/A</v>
      </c>
      <c r="N1854" t="e">
        <f>VLOOKUP(B1854,ubah!$B$2:$L$234,6,FALSE)</f>
        <v>#N/A</v>
      </c>
    </row>
    <row r="1855" spans="1:14" hidden="1" x14ac:dyDescent="0.35">
      <c r="A1855" s="21">
        <v>2194637</v>
      </c>
      <c r="B1855" s="22" t="str">
        <f>"3328120410830002"</f>
        <v>3328120410830002</v>
      </c>
      <c r="C1855" s="22" t="str">
        <f t="shared" si="56"/>
        <v>'3328120410830002</v>
      </c>
      <c r="D1855" s="22" t="str">
        <f t="shared" si="57"/>
        <v>tidak ganda</v>
      </c>
      <c r="E1855" s="22" t="s">
        <v>4097</v>
      </c>
      <c r="F1855" s="22" t="s">
        <v>10</v>
      </c>
      <c r="G1855" s="22" t="s">
        <v>11</v>
      </c>
      <c r="H1855" s="22" t="s">
        <v>18</v>
      </c>
      <c r="I1855" s="22" t="s">
        <v>19</v>
      </c>
      <c r="J1855" s="22" t="s">
        <v>3354</v>
      </c>
      <c r="K1855" s="23" t="s">
        <v>4098</v>
      </c>
      <c r="L1855" t="e">
        <f>VLOOKUP(B1855,ubah!$B$2:$L$234,4,FALSE)</f>
        <v>#N/A</v>
      </c>
      <c r="M1855" t="e">
        <f>VLOOKUP(B1855,ubah!$B$2:$L$234,5,FALSE)</f>
        <v>#N/A</v>
      </c>
      <c r="N1855" t="e">
        <f>VLOOKUP(B1855,ubah!$B$2:$L$234,6,FALSE)</f>
        <v>#N/A</v>
      </c>
    </row>
    <row r="1856" spans="1:14" hidden="1" x14ac:dyDescent="0.35">
      <c r="A1856" s="21">
        <v>53327</v>
      </c>
      <c r="B1856" s="22" t="str">
        <f>"3328120503940003"</f>
        <v>3328120503940003</v>
      </c>
      <c r="C1856" s="22" t="str">
        <f t="shared" si="56"/>
        <v>'3328120503940003</v>
      </c>
      <c r="D1856" s="22" t="str">
        <f t="shared" si="57"/>
        <v>tidak ganda</v>
      </c>
      <c r="E1856" s="22" t="s">
        <v>4099</v>
      </c>
      <c r="F1856" s="22" t="s">
        <v>10</v>
      </c>
      <c r="G1856" s="22" t="s">
        <v>11</v>
      </c>
      <c r="H1856" s="22" t="s">
        <v>1374</v>
      </c>
      <c r="I1856" s="22" t="s">
        <v>1375</v>
      </c>
      <c r="J1856" s="22" t="s">
        <v>1376</v>
      </c>
      <c r="K1856" s="23" t="s">
        <v>1377</v>
      </c>
    </row>
    <row r="1857" spans="1:14" hidden="1" x14ac:dyDescent="0.35">
      <c r="A1857" s="21">
        <v>315246</v>
      </c>
      <c r="B1857" s="22" t="str">
        <f>"3328120511920008"</f>
        <v>3328120511920008</v>
      </c>
      <c r="C1857" s="22" t="str">
        <f t="shared" si="56"/>
        <v>'3328120511920008</v>
      </c>
      <c r="D1857" s="22" t="str">
        <f t="shared" si="57"/>
        <v>tidak ganda</v>
      </c>
      <c r="E1857" s="22" t="s">
        <v>4100</v>
      </c>
      <c r="F1857" s="22" t="s">
        <v>10</v>
      </c>
      <c r="G1857" s="22" t="s">
        <v>11</v>
      </c>
      <c r="H1857" s="22" t="s">
        <v>18</v>
      </c>
      <c r="I1857" s="22" t="s">
        <v>268</v>
      </c>
      <c r="J1857" s="22" t="s">
        <v>269</v>
      </c>
      <c r="K1857" s="23" t="s">
        <v>1662</v>
      </c>
    </row>
    <row r="1858" spans="1:14" hidden="1" x14ac:dyDescent="0.35">
      <c r="A1858" s="21">
        <v>179322</v>
      </c>
      <c r="B1858" s="22" t="str">
        <f>"3328120610870001"</f>
        <v>3328120610870001</v>
      </c>
      <c r="C1858" s="22" t="str">
        <f t="shared" si="56"/>
        <v>'3328120610870001</v>
      </c>
      <c r="D1858" s="22" t="str">
        <f t="shared" si="57"/>
        <v>tidak ganda</v>
      </c>
      <c r="E1858" s="22" t="s">
        <v>4102</v>
      </c>
      <c r="F1858" s="22" t="s">
        <v>10</v>
      </c>
      <c r="G1858" s="22" t="s">
        <v>11</v>
      </c>
      <c r="H1858" s="22" t="s">
        <v>18</v>
      </c>
      <c r="I1858" s="22" t="s">
        <v>264</v>
      </c>
      <c r="J1858" s="22" t="s">
        <v>477</v>
      </c>
      <c r="K1858" s="23" t="s">
        <v>478</v>
      </c>
    </row>
    <row r="1859" spans="1:14" hidden="1" x14ac:dyDescent="0.35">
      <c r="A1859" s="21">
        <v>2330653</v>
      </c>
      <c r="B1859" s="22" t="str">
        <f>"3328120705010011"</f>
        <v>3328120705010011</v>
      </c>
      <c r="C1859" s="22" t="str">
        <f t="shared" ref="C1859:C1922" si="58">"'"&amp;B1859</f>
        <v>'3328120705010011</v>
      </c>
      <c r="D1859" s="22" t="str">
        <f t="shared" ref="D1859:D1922" si="59">IF(COUNTIF($C:$C,C1859)&gt;1,"ganda","tidak ganda")</f>
        <v>ganda</v>
      </c>
      <c r="E1859" s="22" t="s">
        <v>4103</v>
      </c>
      <c r="F1859" s="22" t="s">
        <v>10</v>
      </c>
      <c r="G1859" s="22" t="s">
        <v>11</v>
      </c>
      <c r="H1859" s="22" t="s">
        <v>18</v>
      </c>
      <c r="I1859" s="22" t="s">
        <v>19</v>
      </c>
      <c r="J1859" s="22" t="s">
        <v>3354</v>
      </c>
      <c r="K1859" s="23" t="s">
        <v>307</v>
      </c>
      <c r="L1859" t="e">
        <f>VLOOKUP(B1859,ubah!$B$2:$L$234,4,FALSE)</f>
        <v>#N/A</v>
      </c>
      <c r="M1859" t="e">
        <f>VLOOKUP(B1859,ubah!$B$2:$L$234,5,FALSE)</f>
        <v>#N/A</v>
      </c>
      <c r="N1859" t="e">
        <f>VLOOKUP(B1859,ubah!$B$2:$L$234,6,FALSE)</f>
        <v>#N/A</v>
      </c>
    </row>
    <row r="1860" spans="1:14" hidden="1" x14ac:dyDescent="0.35">
      <c r="A1860" s="21">
        <v>1350422</v>
      </c>
      <c r="B1860" s="22" t="str">
        <f>"3328120705010011"</f>
        <v>3328120705010011</v>
      </c>
      <c r="C1860" s="22" t="str">
        <f t="shared" si="58"/>
        <v>'3328120705010011</v>
      </c>
      <c r="D1860" s="22" t="str">
        <f t="shared" si="59"/>
        <v>ganda</v>
      </c>
      <c r="E1860" s="22" t="s">
        <v>4104</v>
      </c>
      <c r="F1860" s="22" t="s">
        <v>10</v>
      </c>
      <c r="G1860" s="22" t="s">
        <v>57</v>
      </c>
      <c r="H1860" s="22" t="s">
        <v>303</v>
      </c>
      <c r="I1860" s="22" t="s">
        <v>608</v>
      </c>
      <c r="J1860" s="22" t="s">
        <v>609</v>
      </c>
      <c r="K1860" s="23" t="s">
        <v>610</v>
      </c>
    </row>
    <row r="1861" spans="1:14" hidden="1" x14ac:dyDescent="0.35">
      <c r="A1861" s="21">
        <v>2339169</v>
      </c>
      <c r="B1861" s="22" t="str">
        <f>"3328120705950001"</f>
        <v>3328120705950001</v>
      </c>
      <c r="C1861" s="22" t="str">
        <f t="shared" si="58"/>
        <v>'3328120705950001</v>
      </c>
      <c r="D1861" s="22" t="str">
        <f t="shared" si="59"/>
        <v>tidak ganda</v>
      </c>
      <c r="E1861" s="22" t="s">
        <v>4105</v>
      </c>
      <c r="F1861" s="22" t="s">
        <v>10</v>
      </c>
      <c r="G1861" s="22" t="s">
        <v>11</v>
      </c>
      <c r="H1861" s="22" t="s">
        <v>18</v>
      </c>
      <c r="I1861" s="22" t="s">
        <v>19</v>
      </c>
      <c r="J1861" s="22" t="s">
        <v>3354</v>
      </c>
      <c r="K1861" s="23" t="s">
        <v>4026</v>
      </c>
      <c r="L1861" t="e">
        <f>VLOOKUP(B1861,ubah!$B$2:$L$234,4,FALSE)</f>
        <v>#N/A</v>
      </c>
      <c r="M1861" t="e">
        <f>VLOOKUP(B1861,ubah!$B$2:$L$234,5,FALSE)</f>
        <v>#N/A</v>
      </c>
      <c r="N1861" t="e">
        <f>VLOOKUP(B1861,ubah!$B$2:$L$234,6,FALSE)</f>
        <v>#N/A</v>
      </c>
    </row>
    <row r="1862" spans="1:14" hidden="1" x14ac:dyDescent="0.35">
      <c r="A1862" s="21">
        <v>501974</v>
      </c>
      <c r="B1862" s="22" t="str">
        <f>"3328120710840002"</f>
        <v>3328120710840002</v>
      </c>
      <c r="C1862" s="22" t="str">
        <f t="shared" si="58"/>
        <v>'3328120710840002</v>
      </c>
      <c r="D1862" s="22" t="str">
        <f t="shared" si="59"/>
        <v>tidak ganda</v>
      </c>
      <c r="E1862" s="22" t="s">
        <v>4109</v>
      </c>
      <c r="F1862" s="22" t="s">
        <v>10</v>
      </c>
      <c r="G1862" s="22" t="s">
        <v>11</v>
      </c>
      <c r="H1862" s="22" t="s">
        <v>18</v>
      </c>
      <c r="I1862" s="22" t="s">
        <v>264</v>
      </c>
      <c r="J1862" s="22" t="s">
        <v>877</v>
      </c>
      <c r="K1862" s="23" t="s">
        <v>4110</v>
      </c>
    </row>
    <row r="1863" spans="1:14" hidden="1" x14ac:dyDescent="0.35">
      <c r="A1863" s="21">
        <v>1350420</v>
      </c>
      <c r="B1863" s="22" t="str">
        <f>"3328120909040002"</f>
        <v>3328120909040002</v>
      </c>
      <c r="C1863" s="22" t="str">
        <f t="shared" si="58"/>
        <v>'3328120909040002</v>
      </c>
      <c r="D1863" s="22" t="str">
        <f t="shared" si="59"/>
        <v>tidak ganda</v>
      </c>
      <c r="E1863" s="22" t="s">
        <v>4113</v>
      </c>
      <c r="F1863" s="22" t="s">
        <v>10</v>
      </c>
      <c r="G1863" s="22" t="s">
        <v>57</v>
      </c>
      <c r="H1863" s="22" t="s">
        <v>303</v>
      </c>
      <c r="I1863" s="22" t="s">
        <v>608</v>
      </c>
      <c r="J1863" s="22" t="s">
        <v>609</v>
      </c>
      <c r="K1863" s="23" t="s">
        <v>610</v>
      </c>
    </row>
    <row r="1864" spans="1:14" hidden="1" x14ac:dyDescent="0.35">
      <c r="A1864" s="21">
        <v>2186363</v>
      </c>
      <c r="B1864" s="22" t="str">
        <f>"3328121110940007"</f>
        <v>3328121110940007</v>
      </c>
      <c r="C1864" s="22" t="str">
        <f t="shared" si="58"/>
        <v>'3328121110940007</v>
      </c>
      <c r="D1864" s="22" t="str">
        <f t="shared" si="59"/>
        <v>tidak ganda</v>
      </c>
      <c r="E1864" s="22" t="s">
        <v>4118</v>
      </c>
      <c r="F1864" s="22" t="s">
        <v>10</v>
      </c>
      <c r="G1864" s="22" t="s">
        <v>11</v>
      </c>
      <c r="H1864" s="22" t="s">
        <v>18</v>
      </c>
      <c r="I1864" s="22" t="s">
        <v>19</v>
      </c>
      <c r="J1864" s="22" t="s">
        <v>3354</v>
      </c>
      <c r="K1864" s="23" t="s">
        <v>4012</v>
      </c>
      <c r="L1864" t="e">
        <f>VLOOKUP(B1864,ubah!$B$2:$L$234,4,FALSE)</f>
        <v>#N/A</v>
      </c>
      <c r="M1864" t="e">
        <f>VLOOKUP(B1864,ubah!$B$2:$L$234,5,FALSE)</f>
        <v>#N/A</v>
      </c>
      <c r="N1864" t="e">
        <f>VLOOKUP(B1864,ubah!$B$2:$L$234,6,FALSE)</f>
        <v>#N/A</v>
      </c>
    </row>
    <row r="1865" spans="1:14" hidden="1" x14ac:dyDescent="0.35">
      <c r="A1865" s="21">
        <v>423670</v>
      </c>
      <c r="B1865" s="22" t="str">
        <f>"3328121111990001"</f>
        <v>3328121111990001</v>
      </c>
      <c r="C1865" s="22" t="str">
        <f t="shared" si="58"/>
        <v>'3328121111990001</v>
      </c>
      <c r="D1865" s="22" t="str">
        <f t="shared" si="59"/>
        <v>tidak ganda</v>
      </c>
      <c r="E1865" s="22" t="s">
        <v>4121</v>
      </c>
      <c r="F1865" s="22" t="s">
        <v>10</v>
      </c>
      <c r="G1865" s="22" t="s">
        <v>57</v>
      </c>
      <c r="H1865" s="22" t="s">
        <v>18</v>
      </c>
      <c r="I1865" s="22" t="s">
        <v>268</v>
      </c>
      <c r="J1865" s="22" t="s">
        <v>277</v>
      </c>
      <c r="K1865" s="23" t="s">
        <v>278</v>
      </c>
    </row>
    <row r="1866" spans="1:14" hidden="1" x14ac:dyDescent="0.35">
      <c r="A1866" s="21">
        <v>1350427</v>
      </c>
      <c r="B1866" s="22" t="str">
        <f>"3328121201010004"</f>
        <v>3328121201010004</v>
      </c>
      <c r="C1866" s="22" t="str">
        <f t="shared" si="58"/>
        <v>'3328121201010004</v>
      </c>
      <c r="D1866" s="22" t="str">
        <f t="shared" si="59"/>
        <v>tidak ganda</v>
      </c>
      <c r="E1866" s="22" t="s">
        <v>4122</v>
      </c>
      <c r="F1866" s="22" t="s">
        <v>10</v>
      </c>
      <c r="G1866" s="22" t="s">
        <v>57</v>
      </c>
      <c r="H1866" s="22" t="s">
        <v>303</v>
      </c>
      <c r="I1866" s="22" t="s">
        <v>608</v>
      </c>
      <c r="J1866" s="22" t="s">
        <v>609</v>
      </c>
      <c r="K1866" s="23" t="s">
        <v>610</v>
      </c>
    </row>
    <row r="1867" spans="1:14" hidden="1" x14ac:dyDescent="0.35">
      <c r="A1867" s="21">
        <v>2261020</v>
      </c>
      <c r="B1867" s="22" t="str">
        <f>"3328121201030004"</f>
        <v>3328121201030004</v>
      </c>
      <c r="C1867" s="22" t="str">
        <f t="shared" si="58"/>
        <v>'3328121201030004</v>
      </c>
      <c r="D1867" s="22" t="str">
        <f t="shared" si="59"/>
        <v>ganda</v>
      </c>
      <c r="E1867" s="22" t="s">
        <v>4123</v>
      </c>
      <c r="F1867" s="22" t="s">
        <v>10</v>
      </c>
      <c r="G1867" s="22" t="s">
        <v>11</v>
      </c>
      <c r="H1867" s="22" t="s">
        <v>18</v>
      </c>
      <c r="I1867" s="22" t="s">
        <v>19</v>
      </c>
      <c r="J1867" s="22" t="s">
        <v>3354</v>
      </c>
      <c r="K1867" s="23" t="s">
        <v>4022</v>
      </c>
      <c r="L1867" t="e">
        <f>VLOOKUP(B1867,ubah!$B$2:$L$234,4,FALSE)</f>
        <v>#N/A</v>
      </c>
      <c r="M1867" t="e">
        <f>VLOOKUP(B1867,ubah!$B$2:$L$234,5,FALSE)</f>
        <v>#N/A</v>
      </c>
      <c r="N1867" t="e">
        <f>VLOOKUP(B1867,ubah!$B$2:$L$234,6,FALSE)</f>
        <v>#N/A</v>
      </c>
    </row>
    <row r="1868" spans="1:14" hidden="1" x14ac:dyDescent="0.35">
      <c r="A1868" s="21">
        <v>1350431</v>
      </c>
      <c r="B1868" s="22" t="str">
        <f>"3328121201030004"</f>
        <v>3328121201030004</v>
      </c>
      <c r="C1868" s="22" t="str">
        <f t="shared" si="58"/>
        <v>'3328121201030004</v>
      </c>
      <c r="D1868" s="22" t="str">
        <f t="shared" si="59"/>
        <v>ganda</v>
      </c>
      <c r="E1868" s="22" t="s">
        <v>4123</v>
      </c>
      <c r="F1868" s="22" t="s">
        <v>10</v>
      </c>
      <c r="G1868" s="22" t="s">
        <v>57</v>
      </c>
      <c r="H1868" s="22" t="s">
        <v>303</v>
      </c>
      <c r="I1868" s="22" t="s">
        <v>608</v>
      </c>
      <c r="J1868" s="22" t="s">
        <v>609</v>
      </c>
      <c r="K1868" s="23" t="s">
        <v>610</v>
      </c>
    </row>
    <row r="1869" spans="1:14" hidden="1" x14ac:dyDescent="0.35">
      <c r="A1869" s="21">
        <v>2194720</v>
      </c>
      <c r="B1869" s="22" t="str">
        <f>"3328121202000008"</f>
        <v>3328121202000008</v>
      </c>
      <c r="C1869" s="22" t="str">
        <f t="shared" si="58"/>
        <v>'3328121202000008</v>
      </c>
      <c r="D1869" s="22" t="str">
        <f t="shared" si="59"/>
        <v>ganda</v>
      </c>
      <c r="E1869" s="22" t="s">
        <v>4124</v>
      </c>
      <c r="F1869" s="22" t="s">
        <v>10</v>
      </c>
      <c r="G1869" s="22" t="s">
        <v>11</v>
      </c>
      <c r="H1869" s="22" t="s">
        <v>18</v>
      </c>
      <c r="I1869" s="22" t="s">
        <v>19</v>
      </c>
      <c r="J1869" s="22" t="s">
        <v>3354</v>
      </c>
      <c r="K1869" s="23" t="s">
        <v>4098</v>
      </c>
      <c r="L1869" t="e">
        <f>VLOOKUP(B1869,ubah!$B$2:$L$234,4,FALSE)</f>
        <v>#N/A</v>
      </c>
      <c r="M1869" t="e">
        <f>VLOOKUP(B1869,ubah!$B$2:$L$234,5,FALSE)</f>
        <v>#N/A</v>
      </c>
      <c r="N1869" t="e">
        <f>VLOOKUP(B1869,ubah!$B$2:$L$234,6,FALSE)</f>
        <v>#N/A</v>
      </c>
    </row>
    <row r="1870" spans="1:14" hidden="1" x14ac:dyDescent="0.35">
      <c r="A1870" s="21">
        <v>423725</v>
      </c>
      <c r="B1870" s="22" t="str">
        <f>"3328121202000008"</f>
        <v>3328121202000008</v>
      </c>
      <c r="C1870" s="22" t="str">
        <f t="shared" si="58"/>
        <v>'3328121202000008</v>
      </c>
      <c r="D1870" s="22" t="str">
        <f t="shared" si="59"/>
        <v>ganda</v>
      </c>
      <c r="E1870" s="22" t="s">
        <v>4125</v>
      </c>
      <c r="F1870" s="22" t="s">
        <v>10</v>
      </c>
      <c r="G1870" s="22" t="s">
        <v>57</v>
      </c>
      <c r="H1870" s="22" t="s">
        <v>18</v>
      </c>
      <c r="I1870" s="22" t="s">
        <v>268</v>
      </c>
      <c r="J1870" s="22" t="s">
        <v>277</v>
      </c>
      <c r="K1870" s="23" t="s">
        <v>278</v>
      </c>
    </row>
    <row r="1871" spans="1:14" hidden="1" x14ac:dyDescent="0.35">
      <c r="A1871" s="21">
        <v>594876</v>
      </c>
      <c r="B1871" s="22" t="str">
        <f>"3328121205790004"</f>
        <v>3328121205790004</v>
      </c>
      <c r="C1871" s="22" t="str">
        <f t="shared" si="58"/>
        <v>'3328121205790004</v>
      </c>
      <c r="D1871" s="22" t="str">
        <f t="shared" si="59"/>
        <v>tidak ganda</v>
      </c>
      <c r="E1871" s="22" t="s">
        <v>4126</v>
      </c>
      <c r="F1871" s="22" t="s">
        <v>10</v>
      </c>
      <c r="G1871" s="22" t="s">
        <v>11</v>
      </c>
      <c r="H1871" s="22" t="s">
        <v>18</v>
      </c>
      <c r="I1871" s="22" t="s">
        <v>264</v>
      </c>
      <c r="J1871" s="22" t="s">
        <v>264</v>
      </c>
      <c r="K1871" s="23" t="s">
        <v>1637</v>
      </c>
    </row>
    <row r="1872" spans="1:14" hidden="1" x14ac:dyDescent="0.35">
      <c r="A1872" s="21">
        <v>2186094</v>
      </c>
      <c r="B1872" s="22" t="str">
        <f>"3328121409030005"</f>
        <v>3328121409030005</v>
      </c>
      <c r="C1872" s="22" t="str">
        <f t="shared" si="58"/>
        <v>'3328121409030005</v>
      </c>
      <c r="D1872" s="22" t="str">
        <f t="shared" si="59"/>
        <v>ganda</v>
      </c>
      <c r="E1872" s="22" t="s">
        <v>4127</v>
      </c>
      <c r="F1872" s="22" t="s">
        <v>10</v>
      </c>
      <c r="G1872" s="22" t="s">
        <v>11</v>
      </c>
      <c r="H1872" s="22" t="s">
        <v>18</v>
      </c>
      <c r="I1872" s="22" t="s">
        <v>19</v>
      </c>
      <c r="J1872" s="22" t="s">
        <v>3354</v>
      </c>
      <c r="K1872" s="23" t="s">
        <v>4012</v>
      </c>
      <c r="L1872" t="e">
        <f>VLOOKUP(B1872,ubah!$B$2:$L$234,4,FALSE)</f>
        <v>#N/A</v>
      </c>
      <c r="M1872" t="e">
        <f>VLOOKUP(B1872,ubah!$B$2:$L$234,5,FALSE)</f>
        <v>#N/A</v>
      </c>
      <c r="N1872" t="e">
        <f>VLOOKUP(B1872,ubah!$B$2:$L$234,6,FALSE)</f>
        <v>#N/A</v>
      </c>
    </row>
    <row r="1873" spans="1:14" hidden="1" x14ac:dyDescent="0.35">
      <c r="A1873" s="21">
        <v>1350428</v>
      </c>
      <c r="B1873" s="22" t="str">
        <f>"3328121409030005"</f>
        <v>3328121409030005</v>
      </c>
      <c r="C1873" s="22" t="str">
        <f t="shared" si="58"/>
        <v>'3328121409030005</v>
      </c>
      <c r="D1873" s="22" t="str">
        <f t="shared" si="59"/>
        <v>ganda</v>
      </c>
      <c r="E1873" s="22" t="s">
        <v>4127</v>
      </c>
      <c r="F1873" s="22" t="s">
        <v>10</v>
      </c>
      <c r="G1873" s="22" t="s">
        <v>57</v>
      </c>
      <c r="H1873" s="22" t="s">
        <v>303</v>
      </c>
      <c r="I1873" s="22" t="s">
        <v>608</v>
      </c>
      <c r="J1873" s="22" t="s">
        <v>609</v>
      </c>
      <c r="K1873" s="23" t="s">
        <v>610</v>
      </c>
    </row>
    <row r="1874" spans="1:14" hidden="1" x14ac:dyDescent="0.35">
      <c r="A1874" s="21">
        <v>2281048</v>
      </c>
      <c r="B1874" s="22" t="str">
        <f>"3328121506000006"</f>
        <v>3328121506000006</v>
      </c>
      <c r="C1874" s="22" t="str">
        <f t="shared" si="58"/>
        <v>'3328121506000006</v>
      </c>
      <c r="D1874" s="22" t="str">
        <f t="shared" si="59"/>
        <v>ganda</v>
      </c>
      <c r="E1874" s="22" t="s">
        <v>4128</v>
      </c>
      <c r="F1874" s="22" t="s">
        <v>10</v>
      </c>
      <c r="G1874" s="22" t="s">
        <v>11</v>
      </c>
      <c r="H1874" s="22" t="s">
        <v>18</v>
      </c>
      <c r="I1874" s="22" t="s">
        <v>19</v>
      </c>
      <c r="J1874" s="22" t="s">
        <v>3354</v>
      </c>
      <c r="K1874" s="23" t="s">
        <v>4040</v>
      </c>
      <c r="L1874" t="e">
        <f>VLOOKUP(B1874,ubah!$B$2:$L$234,4,FALSE)</f>
        <v>#N/A</v>
      </c>
      <c r="M1874" t="e">
        <f>VLOOKUP(B1874,ubah!$B$2:$L$234,5,FALSE)</f>
        <v>#N/A</v>
      </c>
      <c r="N1874" t="e">
        <f>VLOOKUP(B1874,ubah!$B$2:$L$234,6,FALSE)</f>
        <v>#N/A</v>
      </c>
    </row>
    <row r="1875" spans="1:14" hidden="1" x14ac:dyDescent="0.35">
      <c r="A1875" s="21">
        <v>1350429</v>
      </c>
      <c r="B1875" s="22" t="str">
        <f>"3328121506000006"</f>
        <v>3328121506000006</v>
      </c>
      <c r="C1875" s="22" t="str">
        <f t="shared" si="58"/>
        <v>'3328121506000006</v>
      </c>
      <c r="D1875" s="22" t="str">
        <f t="shared" si="59"/>
        <v>ganda</v>
      </c>
      <c r="E1875" s="22" t="s">
        <v>4128</v>
      </c>
      <c r="F1875" s="22" t="s">
        <v>10</v>
      </c>
      <c r="G1875" s="22" t="s">
        <v>57</v>
      </c>
      <c r="H1875" s="22" t="s">
        <v>303</v>
      </c>
      <c r="I1875" s="22" t="s">
        <v>608</v>
      </c>
      <c r="J1875" s="22" t="s">
        <v>609</v>
      </c>
      <c r="K1875" s="23" t="s">
        <v>610</v>
      </c>
    </row>
    <row r="1876" spans="1:14" hidden="1" x14ac:dyDescent="0.35">
      <c r="A1876" s="21">
        <v>206695</v>
      </c>
      <c r="B1876" s="22" t="str">
        <f>"3328121511970003"</f>
        <v>3328121511970003</v>
      </c>
      <c r="C1876" s="22" t="str">
        <f t="shared" si="58"/>
        <v>'3328121511970003</v>
      </c>
      <c r="D1876" s="22" t="str">
        <f t="shared" si="59"/>
        <v>tidak ganda</v>
      </c>
      <c r="E1876" s="22" t="s">
        <v>4129</v>
      </c>
      <c r="F1876" s="22" t="s">
        <v>10</v>
      </c>
      <c r="G1876" s="22" t="s">
        <v>11</v>
      </c>
      <c r="H1876" s="22" t="s">
        <v>18</v>
      </c>
      <c r="I1876" s="22" t="s">
        <v>268</v>
      </c>
      <c r="J1876" s="22" t="s">
        <v>371</v>
      </c>
      <c r="K1876" s="23" t="s">
        <v>2769</v>
      </c>
    </row>
    <row r="1877" spans="1:14" hidden="1" x14ac:dyDescent="0.35">
      <c r="A1877" s="21">
        <v>2190509</v>
      </c>
      <c r="B1877" s="22" t="str">
        <f>"3328121906760005"</f>
        <v>3328121906760005</v>
      </c>
      <c r="C1877" s="22" t="str">
        <f t="shared" si="58"/>
        <v>'3328121906760005</v>
      </c>
      <c r="D1877" s="22" t="str">
        <f t="shared" si="59"/>
        <v>tidak ganda</v>
      </c>
      <c r="E1877" s="22" t="s">
        <v>4131</v>
      </c>
      <c r="F1877" s="22" t="s">
        <v>10</v>
      </c>
      <c r="G1877" s="22" t="s">
        <v>11</v>
      </c>
      <c r="H1877" s="22" t="s">
        <v>18</v>
      </c>
      <c r="I1877" s="22" t="s">
        <v>19</v>
      </c>
      <c r="J1877" s="22" t="s">
        <v>3354</v>
      </c>
      <c r="K1877" s="23" t="s">
        <v>4014</v>
      </c>
      <c r="L1877" t="e">
        <f>VLOOKUP(B1877,ubah!$B$2:$L$234,4,FALSE)</f>
        <v>#N/A</v>
      </c>
      <c r="M1877" t="e">
        <f>VLOOKUP(B1877,ubah!$B$2:$L$234,5,FALSE)</f>
        <v>#N/A</v>
      </c>
      <c r="N1877" t="e">
        <f>VLOOKUP(B1877,ubah!$B$2:$L$234,6,FALSE)</f>
        <v>#N/A</v>
      </c>
    </row>
    <row r="1878" spans="1:14" hidden="1" x14ac:dyDescent="0.35">
      <c r="A1878" s="21">
        <v>2202334</v>
      </c>
      <c r="B1878" s="22" t="str">
        <f>"3328121911050003"</f>
        <v>3328121911050003</v>
      </c>
      <c r="C1878" s="22" t="str">
        <f t="shared" si="58"/>
        <v>'3328121911050003</v>
      </c>
      <c r="D1878" s="22" t="str">
        <f t="shared" si="59"/>
        <v>ganda</v>
      </c>
      <c r="E1878" s="22" t="s">
        <v>4133</v>
      </c>
      <c r="F1878" s="22" t="s">
        <v>10</v>
      </c>
      <c r="G1878" s="22" t="s">
        <v>11</v>
      </c>
      <c r="H1878" s="22" t="s">
        <v>18</v>
      </c>
      <c r="I1878" s="22" t="s">
        <v>19</v>
      </c>
      <c r="J1878" s="22" t="s">
        <v>3354</v>
      </c>
      <c r="K1878" s="23" t="s">
        <v>1954</v>
      </c>
      <c r="L1878" t="e">
        <f>VLOOKUP(B1878,ubah!$B$2:$L$234,4,FALSE)</f>
        <v>#N/A</v>
      </c>
      <c r="M1878" t="e">
        <f>VLOOKUP(B1878,ubah!$B$2:$L$234,5,FALSE)</f>
        <v>#N/A</v>
      </c>
      <c r="N1878" t="e">
        <f>VLOOKUP(B1878,ubah!$B$2:$L$234,6,FALSE)</f>
        <v>#N/A</v>
      </c>
    </row>
    <row r="1879" spans="1:14" hidden="1" x14ac:dyDescent="0.35">
      <c r="A1879" s="21">
        <v>1684353</v>
      </c>
      <c r="B1879" s="22" t="str">
        <f>"3328121911050003"</f>
        <v>3328121911050003</v>
      </c>
      <c r="C1879" s="22" t="str">
        <f t="shared" si="58"/>
        <v>'3328121911050003</v>
      </c>
      <c r="D1879" s="22" t="str">
        <f t="shared" si="59"/>
        <v>ganda</v>
      </c>
      <c r="E1879" s="22" t="s">
        <v>4134</v>
      </c>
      <c r="F1879" s="22" t="s">
        <v>10</v>
      </c>
      <c r="G1879" s="22" t="s">
        <v>57</v>
      </c>
      <c r="H1879" s="22" t="s">
        <v>18</v>
      </c>
      <c r="I1879" s="22" t="s">
        <v>184</v>
      </c>
      <c r="J1879" s="22" t="s">
        <v>1085</v>
      </c>
      <c r="K1879" s="23" t="s">
        <v>1086</v>
      </c>
    </row>
    <row r="1880" spans="1:14" hidden="1" x14ac:dyDescent="0.35">
      <c r="A1880" s="21">
        <v>672103</v>
      </c>
      <c r="B1880" s="22" t="str">
        <f>"3328121911950002"</f>
        <v>3328121911950002</v>
      </c>
      <c r="C1880" s="22" t="str">
        <f t="shared" si="58"/>
        <v>'3328121911950002</v>
      </c>
      <c r="D1880" s="22" t="str">
        <f t="shared" si="59"/>
        <v>tidak ganda</v>
      </c>
      <c r="E1880" s="22" t="s">
        <v>4135</v>
      </c>
      <c r="F1880" s="22" t="s">
        <v>10</v>
      </c>
      <c r="G1880" s="22" t="s">
        <v>11</v>
      </c>
      <c r="H1880" s="22" t="s">
        <v>379</v>
      </c>
      <c r="I1880" s="22" t="s">
        <v>1206</v>
      </c>
      <c r="J1880" s="22" t="s">
        <v>4136</v>
      </c>
      <c r="K1880" s="23" t="s">
        <v>4137</v>
      </c>
    </row>
    <row r="1881" spans="1:14" hidden="1" x14ac:dyDescent="0.35">
      <c r="A1881" s="21">
        <v>2261019</v>
      </c>
      <c r="B1881" s="22" t="str">
        <f>"3328122005040006"</f>
        <v>3328122005040006</v>
      </c>
      <c r="C1881" s="22" t="str">
        <f t="shared" si="58"/>
        <v>'3328122005040006</v>
      </c>
      <c r="D1881" s="22" t="str">
        <f t="shared" si="59"/>
        <v>ganda</v>
      </c>
      <c r="E1881" s="22" t="s">
        <v>4139</v>
      </c>
      <c r="F1881" s="22" t="s">
        <v>10</v>
      </c>
      <c r="G1881" s="22" t="s">
        <v>11</v>
      </c>
      <c r="H1881" s="22" t="s">
        <v>18</v>
      </c>
      <c r="I1881" s="22" t="s">
        <v>19</v>
      </c>
      <c r="J1881" s="22" t="s">
        <v>3354</v>
      </c>
      <c r="K1881" s="23" t="s">
        <v>4022</v>
      </c>
      <c r="L1881" t="e">
        <f>VLOOKUP(B1881,ubah!$B$2:$L$234,4,FALSE)</f>
        <v>#N/A</v>
      </c>
      <c r="M1881" t="e">
        <f>VLOOKUP(B1881,ubah!$B$2:$L$234,5,FALSE)</f>
        <v>#N/A</v>
      </c>
      <c r="N1881" t="e">
        <f>VLOOKUP(B1881,ubah!$B$2:$L$234,6,FALSE)</f>
        <v>#N/A</v>
      </c>
    </row>
    <row r="1882" spans="1:14" hidden="1" x14ac:dyDescent="0.35">
      <c r="A1882" s="21">
        <v>1350432</v>
      </c>
      <c r="B1882" s="22" t="str">
        <f>"3328122005040006"</f>
        <v>3328122005040006</v>
      </c>
      <c r="C1882" s="22" t="str">
        <f t="shared" si="58"/>
        <v>'3328122005040006</v>
      </c>
      <c r="D1882" s="22" t="str">
        <f t="shared" si="59"/>
        <v>ganda</v>
      </c>
      <c r="E1882" s="22" t="s">
        <v>4139</v>
      </c>
      <c r="F1882" s="22" t="s">
        <v>10</v>
      </c>
      <c r="G1882" s="22" t="s">
        <v>57</v>
      </c>
      <c r="H1882" s="22" t="s">
        <v>303</v>
      </c>
      <c r="I1882" s="22" t="s">
        <v>608</v>
      </c>
      <c r="J1882" s="22" t="s">
        <v>609</v>
      </c>
      <c r="K1882" s="23" t="s">
        <v>610</v>
      </c>
    </row>
    <row r="1883" spans="1:14" hidden="1" x14ac:dyDescent="0.35">
      <c r="A1883" s="21">
        <v>2285474</v>
      </c>
      <c r="B1883" s="22" t="str">
        <f>"3328122006940008"</f>
        <v>3328122006940008</v>
      </c>
      <c r="C1883" s="22" t="str">
        <f t="shared" si="58"/>
        <v>'3328122006940008</v>
      </c>
      <c r="D1883" s="22" t="str">
        <f t="shared" si="59"/>
        <v>tidak ganda</v>
      </c>
      <c r="E1883" s="22" t="s">
        <v>4140</v>
      </c>
      <c r="F1883" s="22" t="s">
        <v>10</v>
      </c>
      <c r="G1883" s="22" t="s">
        <v>11</v>
      </c>
      <c r="H1883" s="22" t="s">
        <v>18</v>
      </c>
      <c r="I1883" s="22" t="s">
        <v>19</v>
      </c>
      <c r="J1883" s="22" t="s">
        <v>3354</v>
      </c>
      <c r="K1883" s="23" t="s">
        <v>4040</v>
      </c>
      <c r="L1883" t="e">
        <f>VLOOKUP(B1883,ubah!$B$2:$L$234,4,FALSE)</f>
        <v>#N/A</v>
      </c>
      <c r="M1883" t="e">
        <f>VLOOKUP(B1883,ubah!$B$2:$L$234,5,FALSE)</f>
        <v>#N/A</v>
      </c>
      <c r="N1883" t="e">
        <f>VLOOKUP(B1883,ubah!$B$2:$L$234,6,FALSE)</f>
        <v>#N/A</v>
      </c>
    </row>
    <row r="1884" spans="1:14" hidden="1" x14ac:dyDescent="0.35">
      <c r="A1884" s="21">
        <v>2261572</v>
      </c>
      <c r="B1884" s="22" t="str">
        <f>"3328122106000002"</f>
        <v>3328122106000002</v>
      </c>
      <c r="C1884" s="22" t="str">
        <f t="shared" si="58"/>
        <v>'3328122106000002</v>
      </c>
      <c r="D1884" s="22" t="str">
        <f t="shared" si="59"/>
        <v>ganda</v>
      </c>
      <c r="E1884" s="22" t="s">
        <v>4142</v>
      </c>
      <c r="F1884" s="22" t="s">
        <v>10</v>
      </c>
      <c r="G1884" s="22" t="s">
        <v>11</v>
      </c>
      <c r="H1884" s="22" t="s">
        <v>18</v>
      </c>
      <c r="I1884" s="22" t="s">
        <v>19</v>
      </c>
      <c r="J1884" s="22" t="s">
        <v>3354</v>
      </c>
      <c r="K1884" s="23" t="s">
        <v>4022</v>
      </c>
      <c r="L1884" t="e">
        <f>VLOOKUP(B1884,ubah!$B$2:$L$234,4,FALSE)</f>
        <v>#N/A</v>
      </c>
      <c r="M1884" t="e">
        <f>VLOOKUP(B1884,ubah!$B$2:$L$234,5,FALSE)</f>
        <v>#N/A</v>
      </c>
      <c r="N1884" t="e">
        <f>VLOOKUP(B1884,ubah!$B$2:$L$234,6,FALSE)</f>
        <v>#N/A</v>
      </c>
    </row>
    <row r="1885" spans="1:14" hidden="1" x14ac:dyDescent="0.35">
      <c r="A1885" s="21">
        <v>1862931</v>
      </c>
      <c r="B1885" s="22" t="str">
        <f>"3328122106000002"</f>
        <v>3328122106000002</v>
      </c>
      <c r="C1885" s="22" t="str">
        <f t="shared" si="58"/>
        <v>'3328122106000002</v>
      </c>
      <c r="D1885" s="22" t="str">
        <f t="shared" si="59"/>
        <v>ganda</v>
      </c>
      <c r="E1885" s="22" t="s">
        <v>4143</v>
      </c>
      <c r="F1885" s="22" t="s">
        <v>10</v>
      </c>
      <c r="G1885" s="22" t="s">
        <v>57</v>
      </c>
      <c r="H1885" s="22" t="s">
        <v>18</v>
      </c>
      <c r="I1885" s="22" t="s">
        <v>733</v>
      </c>
      <c r="J1885" s="22" t="s">
        <v>1127</v>
      </c>
      <c r="K1885" s="23" t="s">
        <v>1127</v>
      </c>
    </row>
    <row r="1886" spans="1:14" hidden="1" x14ac:dyDescent="0.35">
      <c r="A1886" s="21">
        <v>2193495</v>
      </c>
      <c r="B1886" s="22" t="str">
        <f>"3328122204000001"</f>
        <v>3328122204000001</v>
      </c>
      <c r="C1886" s="22" t="str">
        <f t="shared" si="58"/>
        <v>'3328122204000001</v>
      </c>
      <c r="D1886" s="22" t="str">
        <f t="shared" si="59"/>
        <v>ganda</v>
      </c>
      <c r="E1886" s="22" t="s">
        <v>4144</v>
      </c>
      <c r="F1886" s="22" t="s">
        <v>10</v>
      </c>
      <c r="G1886" s="22" t="s">
        <v>11</v>
      </c>
      <c r="H1886" s="22" t="s">
        <v>18</v>
      </c>
      <c r="I1886" s="22" t="s">
        <v>19</v>
      </c>
      <c r="J1886" s="22" t="s">
        <v>3354</v>
      </c>
      <c r="K1886" s="23" t="s">
        <v>4098</v>
      </c>
      <c r="L1886" t="e">
        <f>VLOOKUP(B1886,ubah!$B$2:$L$234,4,FALSE)</f>
        <v>#N/A</v>
      </c>
      <c r="M1886" t="e">
        <f>VLOOKUP(B1886,ubah!$B$2:$L$234,5,FALSE)</f>
        <v>#N/A</v>
      </c>
      <c r="N1886" t="e">
        <f>VLOOKUP(B1886,ubah!$B$2:$L$234,6,FALSE)</f>
        <v>#N/A</v>
      </c>
    </row>
    <row r="1887" spans="1:14" hidden="1" x14ac:dyDescent="0.35">
      <c r="A1887" s="21">
        <v>423861</v>
      </c>
      <c r="B1887" s="22" t="str">
        <f>"3328122204000001"</f>
        <v>3328122204000001</v>
      </c>
      <c r="C1887" s="22" t="str">
        <f t="shared" si="58"/>
        <v>'3328122204000001</v>
      </c>
      <c r="D1887" s="22" t="str">
        <f t="shared" si="59"/>
        <v>ganda</v>
      </c>
      <c r="E1887" s="22" t="s">
        <v>4145</v>
      </c>
      <c r="F1887" s="22" t="s">
        <v>10</v>
      </c>
      <c r="G1887" s="22" t="s">
        <v>57</v>
      </c>
      <c r="H1887" s="22" t="s">
        <v>18</v>
      </c>
      <c r="I1887" s="22" t="s">
        <v>268</v>
      </c>
      <c r="J1887" s="22" t="s">
        <v>277</v>
      </c>
      <c r="K1887" s="23" t="s">
        <v>278</v>
      </c>
    </row>
    <row r="1888" spans="1:14" hidden="1" x14ac:dyDescent="0.35">
      <c r="A1888" s="21">
        <v>1350424</v>
      </c>
      <c r="B1888" s="22" t="str">
        <f>"3328122207050007"</f>
        <v>3328122207050007</v>
      </c>
      <c r="C1888" s="22" t="str">
        <f t="shared" si="58"/>
        <v>'3328122207050007</v>
      </c>
      <c r="D1888" s="22" t="str">
        <f t="shared" si="59"/>
        <v>tidak ganda</v>
      </c>
      <c r="E1888" s="22" t="s">
        <v>4147</v>
      </c>
      <c r="F1888" s="22" t="s">
        <v>10</v>
      </c>
      <c r="G1888" s="22" t="s">
        <v>57</v>
      </c>
      <c r="H1888" s="22" t="s">
        <v>303</v>
      </c>
      <c r="I1888" s="22" t="s">
        <v>608</v>
      </c>
      <c r="J1888" s="22" t="s">
        <v>609</v>
      </c>
      <c r="K1888" s="23" t="s">
        <v>610</v>
      </c>
    </row>
    <row r="1889" spans="1:14" hidden="1" x14ac:dyDescent="0.35">
      <c r="A1889" s="21">
        <v>1350433</v>
      </c>
      <c r="B1889" s="22" t="str">
        <f>"3328122303050001"</f>
        <v>3328122303050001</v>
      </c>
      <c r="C1889" s="22" t="str">
        <f t="shared" si="58"/>
        <v>'3328122303050001</v>
      </c>
      <c r="D1889" s="22" t="str">
        <f t="shared" si="59"/>
        <v>tidak ganda</v>
      </c>
      <c r="E1889" s="22" t="s">
        <v>4148</v>
      </c>
      <c r="F1889" s="22" t="s">
        <v>10</v>
      </c>
      <c r="G1889" s="22" t="s">
        <v>57</v>
      </c>
      <c r="H1889" s="22" t="s">
        <v>303</v>
      </c>
      <c r="I1889" s="22" t="s">
        <v>608</v>
      </c>
      <c r="J1889" s="22" t="s">
        <v>609</v>
      </c>
      <c r="K1889" s="23" t="s">
        <v>610</v>
      </c>
    </row>
    <row r="1890" spans="1:14" hidden="1" x14ac:dyDescent="0.35">
      <c r="A1890" s="21">
        <v>1349045</v>
      </c>
      <c r="B1890" s="22" t="str">
        <f>"3328122308060004"</f>
        <v>3328122308060004</v>
      </c>
      <c r="C1890" s="22" t="str">
        <f t="shared" si="58"/>
        <v>'3328122308060004</v>
      </c>
      <c r="D1890" s="22" t="str">
        <f t="shared" si="59"/>
        <v>tidak ganda</v>
      </c>
      <c r="E1890" s="22" t="s">
        <v>4149</v>
      </c>
      <c r="F1890" s="22" t="s">
        <v>10</v>
      </c>
      <c r="G1890" s="22" t="s">
        <v>57</v>
      </c>
      <c r="H1890" s="22" t="s">
        <v>303</v>
      </c>
      <c r="I1890" s="22" t="s">
        <v>608</v>
      </c>
      <c r="J1890" s="22" t="s">
        <v>609</v>
      </c>
      <c r="K1890" s="23" t="s">
        <v>610</v>
      </c>
    </row>
    <row r="1891" spans="1:14" hidden="1" x14ac:dyDescent="0.35">
      <c r="A1891" s="21">
        <v>1070262</v>
      </c>
      <c r="B1891" s="22" t="str">
        <f>"3328122407980002"</f>
        <v>3328122407980002</v>
      </c>
      <c r="C1891" s="22" t="str">
        <f t="shared" si="58"/>
        <v>'3328122407980002</v>
      </c>
      <c r="D1891" s="22" t="str">
        <f t="shared" si="59"/>
        <v>tidak ganda</v>
      </c>
      <c r="E1891" s="22" t="s">
        <v>4150</v>
      </c>
      <c r="F1891" s="22" t="s">
        <v>10</v>
      </c>
      <c r="G1891" s="22" t="s">
        <v>11</v>
      </c>
      <c r="H1891" s="22" t="s">
        <v>303</v>
      </c>
      <c r="I1891" s="22" t="s">
        <v>2117</v>
      </c>
      <c r="J1891" s="22" t="s">
        <v>2559</v>
      </c>
      <c r="K1891" s="23" t="s">
        <v>4151</v>
      </c>
    </row>
    <row r="1892" spans="1:14" hidden="1" x14ac:dyDescent="0.35">
      <c r="A1892" s="21">
        <v>1350421</v>
      </c>
      <c r="B1892" s="22" t="str">
        <f>"3328122808060008"</f>
        <v>3328122808060008</v>
      </c>
      <c r="C1892" s="22" t="str">
        <f t="shared" si="58"/>
        <v>'3328122808060008</v>
      </c>
      <c r="D1892" s="22" t="str">
        <f t="shared" si="59"/>
        <v>tidak ganda</v>
      </c>
      <c r="E1892" s="22" t="s">
        <v>4153</v>
      </c>
      <c r="F1892" s="22" t="s">
        <v>10</v>
      </c>
      <c r="G1892" s="22" t="s">
        <v>57</v>
      </c>
      <c r="H1892" s="22" t="s">
        <v>303</v>
      </c>
      <c r="I1892" s="22" t="s">
        <v>608</v>
      </c>
      <c r="J1892" s="22" t="s">
        <v>609</v>
      </c>
      <c r="K1892" s="23" t="s">
        <v>610</v>
      </c>
    </row>
    <row r="1893" spans="1:14" hidden="1" x14ac:dyDescent="0.35">
      <c r="A1893" s="21">
        <v>2364349</v>
      </c>
      <c r="B1893" s="22" t="str">
        <f>"3328122812990003"</f>
        <v>3328122812990003</v>
      </c>
      <c r="C1893" s="22" t="str">
        <f t="shared" si="58"/>
        <v>'3328122812990003</v>
      </c>
      <c r="D1893" s="22" t="str">
        <f t="shared" si="59"/>
        <v>tidak ganda</v>
      </c>
      <c r="E1893" s="22" t="s">
        <v>1049</v>
      </c>
      <c r="F1893" s="22" t="s">
        <v>10</v>
      </c>
      <c r="G1893" s="22" t="s">
        <v>11</v>
      </c>
      <c r="H1893" s="22" t="s">
        <v>18</v>
      </c>
      <c r="I1893" s="22" t="s">
        <v>19</v>
      </c>
      <c r="J1893" s="22" t="s">
        <v>3354</v>
      </c>
      <c r="K1893" s="23" t="s">
        <v>1309</v>
      </c>
      <c r="L1893" t="e">
        <f>VLOOKUP(B1893,ubah!$B$2:$L$234,4,FALSE)</f>
        <v>#N/A</v>
      </c>
      <c r="M1893" t="e">
        <f>VLOOKUP(B1893,ubah!$B$2:$L$234,5,FALSE)</f>
        <v>#N/A</v>
      </c>
      <c r="N1893" t="e">
        <f>VLOOKUP(B1893,ubah!$B$2:$L$234,6,FALSE)</f>
        <v>#N/A</v>
      </c>
    </row>
    <row r="1894" spans="1:14" hidden="1" x14ac:dyDescent="0.35">
      <c r="A1894" s="21">
        <v>2280999</v>
      </c>
      <c r="B1894" s="22" t="str">
        <f>"3328122908970001"</f>
        <v>3328122908970001</v>
      </c>
      <c r="C1894" s="22" t="str">
        <f t="shared" si="58"/>
        <v>'3328122908970001</v>
      </c>
      <c r="D1894" s="22" t="str">
        <f t="shared" si="59"/>
        <v>ganda</v>
      </c>
      <c r="E1894" s="22" t="s">
        <v>4157</v>
      </c>
      <c r="F1894" s="22" t="s">
        <v>10</v>
      </c>
      <c r="G1894" s="22" t="s">
        <v>11</v>
      </c>
      <c r="H1894" s="22" t="s">
        <v>18</v>
      </c>
      <c r="I1894" s="22" t="s">
        <v>19</v>
      </c>
      <c r="J1894" s="22" t="s">
        <v>3354</v>
      </c>
      <c r="K1894" s="23" t="s">
        <v>4040</v>
      </c>
      <c r="L1894" t="e">
        <f>VLOOKUP(B1894,ubah!$B$2:$L$234,4,FALSE)</f>
        <v>#N/A</v>
      </c>
      <c r="M1894" t="e">
        <f>VLOOKUP(B1894,ubah!$B$2:$L$234,5,FALSE)</f>
        <v>#N/A</v>
      </c>
      <c r="N1894" t="e">
        <f>VLOOKUP(B1894,ubah!$B$2:$L$234,6,FALSE)</f>
        <v>#N/A</v>
      </c>
    </row>
    <row r="1895" spans="1:14" hidden="1" x14ac:dyDescent="0.35">
      <c r="A1895" s="21">
        <v>1350430</v>
      </c>
      <c r="B1895" s="22" t="str">
        <f>"3328122908970001"</f>
        <v>3328122908970001</v>
      </c>
      <c r="C1895" s="22" t="str">
        <f t="shared" si="58"/>
        <v>'3328122908970001</v>
      </c>
      <c r="D1895" s="22" t="str">
        <f t="shared" si="59"/>
        <v>ganda</v>
      </c>
      <c r="E1895" s="22" t="s">
        <v>4157</v>
      </c>
      <c r="F1895" s="22" t="s">
        <v>10</v>
      </c>
      <c r="G1895" s="22" t="s">
        <v>57</v>
      </c>
      <c r="H1895" s="22" t="s">
        <v>303</v>
      </c>
      <c r="I1895" s="22" t="s">
        <v>608</v>
      </c>
      <c r="J1895" s="22" t="s">
        <v>609</v>
      </c>
      <c r="K1895" s="23" t="s">
        <v>610</v>
      </c>
    </row>
    <row r="1896" spans="1:14" hidden="1" x14ac:dyDescent="0.35">
      <c r="A1896" s="21">
        <v>2662114</v>
      </c>
      <c r="B1896" s="22" t="str">
        <f>"3328123008920008"</f>
        <v>3328123008920008</v>
      </c>
      <c r="C1896" s="22" t="str">
        <f t="shared" si="58"/>
        <v>'3328123008920008</v>
      </c>
      <c r="D1896" s="22" t="str">
        <f t="shared" si="59"/>
        <v>tidak ganda</v>
      </c>
      <c r="E1896" s="22" t="s">
        <v>4158</v>
      </c>
      <c r="F1896" s="22" t="s">
        <v>10</v>
      </c>
      <c r="G1896" s="22" t="s">
        <v>57</v>
      </c>
      <c r="H1896" s="22" t="s">
        <v>18</v>
      </c>
      <c r="I1896" s="22" t="s">
        <v>199</v>
      </c>
      <c r="J1896" s="22" t="s">
        <v>208</v>
      </c>
      <c r="K1896" s="23" t="s">
        <v>209</v>
      </c>
    </row>
    <row r="1897" spans="1:14" hidden="1" x14ac:dyDescent="0.35">
      <c r="A1897" s="21">
        <v>2003693</v>
      </c>
      <c r="B1897" s="22" t="str">
        <f>"3328123101840001"</f>
        <v>3328123101840001</v>
      </c>
      <c r="C1897" s="22" t="str">
        <f t="shared" si="58"/>
        <v>'3328123101840001</v>
      </c>
      <c r="D1897" s="22" t="str">
        <f t="shared" si="59"/>
        <v>tidak ganda</v>
      </c>
      <c r="E1897" s="22" t="s">
        <v>4159</v>
      </c>
      <c r="F1897" s="22" t="s">
        <v>10</v>
      </c>
      <c r="G1897" s="22" t="s">
        <v>11</v>
      </c>
      <c r="H1897" s="22" t="s">
        <v>18</v>
      </c>
      <c r="I1897" s="22" t="s">
        <v>199</v>
      </c>
      <c r="J1897" s="22" t="s">
        <v>200</v>
      </c>
      <c r="K1897" s="23" t="s">
        <v>4074</v>
      </c>
    </row>
    <row r="1898" spans="1:14" hidden="1" x14ac:dyDescent="0.35">
      <c r="A1898" s="21">
        <v>333115</v>
      </c>
      <c r="B1898" s="22" t="str">
        <f>"3328124404940010"</f>
        <v>3328124404940010</v>
      </c>
      <c r="C1898" s="22" t="str">
        <f t="shared" si="58"/>
        <v>'3328124404940010</v>
      </c>
      <c r="D1898" s="22" t="str">
        <f t="shared" si="59"/>
        <v>tidak ganda</v>
      </c>
      <c r="E1898" s="22" t="s">
        <v>4162</v>
      </c>
      <c r="F1898" s="22" t="s">
        <v>10</v>
      </c>
      <c r="G1898" s="22" t="s">
        <v>11</v>
      </c>
      <c r="H1898" s="22" t="s">
        <v>18</v>
      </c>
      <c r="I1898" s="22" t="s">
        <v>1381</v>
      </c>
      <c r="J1898" s="22" t="s">
        <v>1381</v>
      </c>
      <c r="K1898" s="23" t="s">
        <v>4163</v>
      </c>
    </row>
    <row r="1899" spans="1:14" hidden="1" x14ac:dyDescent="0.35">
      <c r="A1899" s="21">
        <v>2458903</v>
      </c>
      <c r="B1899" s="22" t="str">
        <f>"3328124405780008"</f>
        <v>3328124405780008</v>
      </c>
      <c r="C1899" s="22" t="str">
        <f t="shared" si="58"/>
        <v>'3328124405780008</v>
      </c>
      <c r="D1899" s="22" t="str">
        <f t="shared" si="59"/>
        <v>ganda</v>
      </c>
      <c r="E1899" s="22" t="s">
        <v>3620</v>
      </c>
      <c r="F1899" s="22" t="s">
        <v>10</v>
      </c>
      <c r="G1899" s="22" t="s">
        <v>11</v>
      </c>
      <c r="H1899" s="22" t="s">
        <v>18</v>
      </c>
      <c r="I1899" s="22" t="s">
        <v>19</v>
      </c>
      <c r="J1899" s="22" t="s">
        <v>3354</v>
      </c>
      <c r="K1899" s="23" t="s">
        <v>4008</v>
      </c>
      <c r="L1899" t="e">
        <f>VLOOKUP(B1899,ubah!$B$2:$L$234,4,FALSE)</f>
        <v>#N/A</v>
      </c>
      <c r="M1899" t="e">
        <f>VLOOKUP(B1899,ubah!$B$2:$L$234,5,FALSE)</f>
        <v>#N/A</v>
      </c>
      <c r="N1899" t="e">
        <f>VLOOKUP(B1899,ubah!$B$2:$L$234,6,FALSE)</f>
        <v>#N/A</v>
      </c>
    </row>
    <row r="1900" spans="1:14" hidden="1" x14ac:dyDescent="0.35">
      <c r="A1900" s="21">
        <v>1349044</v>
      </c>
      <c r="B1900" s="22" t="str">
        <f>"3328124405780008"</f>
        <v>3328124405780008</v>
      </c>
      <c r="C1900" s="22" t="str">
        <f t="shared" si="58"/>
        <v>'3328124405780008</v>
      </c>
      <c r="D1900" s="22" t="str">
        <f t="shared" si="59"/>
        <v>ganda</v>
      </c>
      <c r="E1900" s="22" t="s">
        <v>4164</v>
      </c>
      <c r="F1900" s="22" t="s">
        <v>10</v>
      </c>
      <c r="G1900" s="22" t="s">
        <v>57</v>
      </c>
      <c r="H1900" s="22" t="s">
        <v>303</v>
      </c>
      <c r="I1900" s="22" t="s">
        <v>608</v>
      </c>
      <c r="J1900" s="22" t="s">
        <v>609</v>
      </c>
      <c r="K1900" s="23" t="s">
        <v>610</v>
      </c>
    </row>
    <row r="1901" spans="1:14" hidden="1" x14ac:dyDescent="0.35">
      <c r="A1901" s="21">
        <v>2238252</v>
      </c>
      <c r="B1901" s="22" t="str">
        <f>"3328124406060003"</f>
        <v>3328124406060003</v>
      </c>
      <c r="C1901" s="22" t="str">
        <f t="shared" si="58"/>
        <v>'3328124406060003</v>
      </c>
      <c r="D1901" s="22" t="str">
        <f t="shared" si="59"/>
        <v>tidak ganda</v>
      </c>
      <c r="E1901" s="22" t="s">
        <v>4165</v>
      </c>
      <c r="F1901" s="22" t="s">
        <v>10</v>
      </c>
      <c r="G1901" s="22" t="s">
        <v>11</v>
      </c>
      <c r="H1901" s="22" t="s">
        <v>18</v>
      </c>
      <c r="I1901" s="22" t="s">
        <v>19</v>
      </c>
      <c r="J1901" s="22" t="s">
        <v>3354</v>
      </c>
      <c r="K1901" s="23" t="s">
        <v>613</v>
      </c>
      <c r="L1901" t="e">
        <f>VLOOKUP(B1901,ubah!$B$2:$L$234,4,FALSE)</f>
        <v>#N/A</v>
      </c>
      <c r="M1901" t="e">
        <f>VLOOKUP(B1901,ubah!$B$2:$L$234,5,FALSE)</f>
        <v>#N/A</v>
      </c>
      <c r="N1901" t="e">
        <f>VLOOKUP(B1901,ubah!$B$2:$L$234,6,FALSE)</f>
        <v>#N/A</v>
      </c>
    </row>
    <row r="1902" spans="1:14" hidden="1" x14ac:dyDescent="0.35">
      <c r="A1902" s="21">
        <v>2327511</v>
      </c>
      <c r="B1902" s="22" t="str">
        <f>"3328124702670003"</f>
        <v>3328124702670003</v>
      </c>
      <c r="C1902" s="22" t="str">
        <f t="shared" si="58"/>
        <v>'3328124702670003</v>
      </c>
      <c r="D1902" s="22" t="str">
        <f t="shared" si="59"/>
        <v>ganda</v>
      </c>
      <c r="E1902" s="22" t="s">
        <v>4167</v>
      </c>
      <c r="F1902" s="22" t="s">
        <v>10</v>
      </c>
      <c r="G1902" s="22" t="s">
        <v>11</v>
      </c>
      <c r="H1902" s="22" t="s">
        <v>18</v>
      </c>
      <c r="I1902" s="22" t="s">
        <v>19</v>
      </c>
      <c r="J1902" s="22" t="s">
        <v>3354</v>
      </c>
      <c r="K1902" s="23" t="s">
        <v>307</v>
      </c>
      <c r="L1902" t="e">
        <f>VLOOKUP(B1902,ubah!$B$2:$L$234,4,FALSE)</f>
        <v>#N/A</v>
      </c>
      <c r="M1902" t="e">
        <f>VLOOKUP(B1902,ubah!$B$2:$L$234,5,FALSE)</f>
        <v>#N/A</v>
      </c>
      <c r="N1902" t="e">
        <f>VLOOKUP(B1902,ubah!$B$2:$L$234,6,FALSE)</f>
        <v>#N/A</v>
      </c>
    </row>
    <row r="1903" spans="1:14" hidden="1" x14ac:dyDescent="0.35">
      <c r="A1903" s="21">
        <v>1349046</v>
      </c>
      <c r="B1903" s="22" t="str">
        <f>"3328124702670003"</f>
        <v>3328124702670003</v>
      </c>
      <c r="C1903" s="22" t="str">
        <f t="shared" si="58"/>
        <v>'3328124702670003</v>
      </c>
      <c r="D1903" s="22" t="str">
        <f t="shared" si="59"/>
        <v>ganda</v>
      </c>
      <c r="E1903" s="22" t="s">
        <v>4168</v>
      </c>
      <c r="F1903" s="22" t="s">
        <v>10</v>
      </c>
      <c r="G1903" s="22" t="s">
        <v>57</v>
      </c>
      <c r="H1903" s="22" t="s">
        <v>303</v>
      </c>
      <c r="I1903" s="22" t="s">
        <v>608</v>
      </c>
      <c r="J1903" s="22" t="s">
        <v>609</v>
      </c>
      <c r="K1903" s="23" t="s">
        <v>610</v>
      </c>
    </row>
    <row r="1904" spans="1:14" hidden="1" x14ac:dyDescent="0.35">
      <c r="A1904" s="21">
        <v>204527</v>
      </c>
      <c r="B1904" s="22" t="str">
        <f>"3328125008040003"</f>
        <v>3328125008040003</v>
      </c>
      <c r="C1904" s="22" t="str">
        <f t="shared" si="58"/>
        <v>'3328125008040003</v>
      </c>
      <c r="D1904" s="22" t="str">
        <f t="shared" si="59"/>
        <v>tidak ganda</v>
      </c>
      <c r="E1904" s="22" t="s">
        <v>4169</v>
      </c>
      <c r="F1904" s="22" t="s">
        <v>10</v>
      </c>
      <c r="G1904" s="22" t="s">
        <v>11</v>
      </c>
      <c r="H1904" s="22" t="s">
        <v>18</v>
      </c>
      <c r="I1904" s="22" t="s">
        <v>268</v>
      </c>
      <c r="J1904" s="22" t="s">
        <v>371</v>
      </c>
      <c r="K1904" s="23" t="s">
        <v>2769</v>
      </c>
    </row>
    <row r="1905" spans="1:14" hidden="1" x14ac:dyDescent="0.35">
      <c r="A1905" s="21">
        <v>2341927</v>
      </c>
      <c r="B1905" s="22" t="str">
        <f>"3328125108800007"</f>
        <v>3328125108800007</v>
      </c>
      <c r="C1905" s="22" t="str">
        <f t="shared" si="58"/>
        <v>'3328125108800007</v>
      </c>
      <c r="D1905" s="22" t="str">
        <f t="shared" si="59"/>
        <v>ganda</v>
      </c>
      <c r="E1905" s="22" t="s">
        <v>4171</v>
      </c>
      <c r="F1905" s="22" t="s">
        <v>10</v>
      </c>
      <c r="G1905" s="22" t="s">
        <v>11</v>
      </c>
      <c r="H1905" s="22" t="s">
        <v>18</v>
      </c>
      <c r="I1905" s="22" t="s">
        <v>19</v>
      </c>
      <c r="J1905" s="22" t="s">
        <v>3354</v>
      </c>
      <c r="K1905" s="23" t="s">
        <v>4026</v>
      </c>
      <c r="L1905" t="e">
        <f>VLOOKUP(B1905,ubah!$B$2:$L$234,4,FALSE)</f>
        <v>#N/A</v>
      </c>
      <c r="M1905" t="e">
        <f>VLOOKUP(B1905,ubah!$B$2:$L$234,5,FALSE)</f>
        <v>#N/A</v>
      </c>
      <c r="N1905" t="e">
        <f>VLOOKUP(B1905,ubah!$B$2:$L$234,6,FALSE)</f>
        <v>#N/A</v>
      </c>
    </row>
    <row r="1906" spans="1:14" hidden="1" x14ac:dyDescent="0.35">
      <c r="A1906" s="21">
        <v>423743</v>
      </c>
      <c r="B1906" s="22" t="str">
        <f>"3328125108800007"</f>
        <v>3328125108800007</v>
      </c>
      <c r="C1906" s="22" t="str">
        <f t="shared" si="58"/>
        <v>'3328125108800007</v>
      </c>
      <c r="D1906" s="22" t="str">
        <f t="shared" si="59"/>
        <v>ganda</v>
      </c>
      <c r="E1906" s="22" t="s">
        <v>4172</v>
      </c>
      <c r="F1906" s="22" t="s">
        <v>10</v>
      </c>
      <c r="G1906" s="22" t="s">
        <v>57</v>
      </c>
      <c r="H1906" s="22" t="s">
        <v>18</v>
      </c>
      <c r="I1906" s="22" t="s">
        <v>268</v>
      </c>
      <c r="J1906" s="22" t="s">
        <v>277</v>
      </c>
      <c r="K1906" s="23" t="s">
        <v>278</v>
      </c>
    </row>
    <row r="1907" spans="1:14" hidden="1" x14ac:dyDescent="0.35">
      <c r="A1907" s="21">
        <v>2440580</v>
      </c>
      <c r="B1907" s="22" t="str">
        <f>"3328125205030006"</f>
        <v>3328125205030006</v>
      </c>
      <c r="C1907" s="22" t="str">
        <f t="shared" si="58"/>
        <v>'3328125205030006</v>
      </c>
      <c r="D1907" s="22" t="str">
        <f t="shared" si="59"/>
        <v>ganda</v>
      </c>
      <c r="E1907" s="22" t="s">
        <v>4173</v>
      </c>
      <c r="F1907" s="22" t="s">
        <v>10</v>
      </c>
      <c r="G1907" s="22" t="s">
        <v>11</v>
      </c>
      <c r="H1907" s="22" t="s">
        <v>18</v>
      </c>
      <c r="I1907" s="22" t="s">
        <v>19</v>
      </c>
      <c r="J1907" s="22" t="s">
        <v>3354</v>
      </c>
      <c r="K1907" s="23" t="s">
        <v>4076</v>
      </c>
      <c r="L1907" t="e">
        <f>VLOOKUP(B1907,ubah!$B$2:$L$234,4,FALSE)</f>
        <v>#N/A</v>
      </c>
      <c r="M1907" t="e">
        <f>VLOOKUP(B1907,ubah!$B$2:$L$234,5,FALSE)</f>
        <v>#N/A</v>
      </c>
      <c r="N1907" t="e">
        <f>VLOOKUP(B1907,ubah!$B$2:$L$234,6,FALSE)</f>
        <v>#N/A</v>
      </c>
    </row>
    <row r="1908" spans="1:14" hidden="1" x14ac:dyDescent="0.35">
      <c r="A1908" s="21">
        <v>1862497</v>
      </c>
      <c r="B1908" s="22" t="str">
        <f>"3328125205030006"</f>
        <v>3328125205030006</v>
      </c>
      <c r="C1908" s="22" t="str">
        <f t="shared" si="58"/>
        <v>'3328125205030006</v>
      </c>
      <c r="D1908" s="22" t="str">
        <f t="shared" si="59"/>
        <v>ganda</v>
      </c>
      <c r="E1908" s="22" t="s">
        <v>4173</v>
      </c>
      <c r="F1908" s="22" t="s">
        <v>10</v>
      </c>
      <c r="G1908" s="22" t="s">
        <v>57</v>
      </c>
      <c r="H1908" s="22" t="s">
        <v>18</v>
      </c>
      <c r="I1908" s="22" t="s">
        <v>733</v>
      </c>
      <c r="J1908" s="22" t="s">
        <v>733</v>
      </c>
      <c r="K1908" s="23" t="s">
        <v>734</v>
      </c>
    </row>
    <row r="1909" spans="1:14" hidden="1" x14ac:dyDescent="0.35">
      <c r="A1909" s="21">
        <v>813192</v>
      </c>
      <c r="B1909" s="22" t="str">
        <f>"3328125303800001"</f>
        <v>3328125303800001</v>
      </c>
      <c r="C1909" s="22" t="str">
        <f t="shared" si="58"/>
        <v>'3328125303800001</v>
      </c>
      <c r="D1909" s="22" t="str">
        <f t="shared" si="59"/>
        <v>tidak ganda</v>
      </c>
      <c r="E1909" s="22" t="s">
        <v>4174</v>
      </c>
      <c r="F1909" s="22" t="s">
        <v>10</v>
      </c>
      <c r="G1909" s="22" t="s">
        <v>11</v>
      </c>
      <c r="H1909" s="22" t="s">
        <v>50</v>
      </c>
      <c r="I1909" s="22" t="s">
        <v>72</v>
      </c>
      <c r="J1909" s="22" t="s">
        <v>73</v>
      </c>
      <c r="K1909" s="23" t="s">
        <v>74</v>
      </c>
    </row>
    <row r="1910" spans="1:14" hidden="1" x14ac:dyDescent="0.35">
      <c r="A1910" s="21">
        <v>1352915</v>
      </c>
      <c r="B1910" s="22" t="str">
        <f>"3328125410060004"</f>
        <v>3328125410060004</v>
      </c>
      <c r="C1910" s="22" t="str">
        <f t="shared" si="58"/>
        <v>'3328125410060004</v>
      </c>
      <c r="D1910" s="22" t="str">
        <f t="shared" si="59"/>
        <v>tidak ganda</v>
      </c>
      <c r="E1910" s="22" t="s">
        <v>4175</v>
      </c>
      <c r="F1910" s="22" t="s">
        <v>10</v>
      </c>
      <c r="G1910" s="22" t="s">
        <v>57</v>
      </c>
      <c r="H1910" s="22" t="s">
        <v>303</v>
      </c>
      <c r="I1910" s="22" t="s">
        <v>608</v>
      </c>
      <c r="J1910" s="22" t="s">
        <v>609</v>
      </c>
      <c r="K1910" s="23" t="s">
        <v>610</v>
      </c>
    </row>
    <row r="1911" spans="1:14" hidden="1" x14ac:dyDescent="0.35">
      <c r="A1911" s="21">
        <v>1198834</v>
      </c>
      <c r="B1911" s="22" t="str">
        <f>"3328125505930004"</f>
        <v>3328125505930004</v>
      </c>
      <c r="C1911" s="22" t="str">
        <f t="shared" si="58"/>
        <v>'3328125505930004</v>
      </c>
      <c r="D1911" s="22" t="str">
        <f t="shared" si="59"/>
        <v>tidak ganda</v>
      </c>
      <c r="E1911" s="22" t="s">
        <v>4176</v>
      </c>
      <c r="F1911" s="22" t="s">
        <v>10</v>
      </c>
      <c r="G1911" s="22" t="s">
        <v>11</v>
      </c>
      <c r="H1911" s="22" t="s">
        <v>91</v>
      </c>
      <c r="I1911" s="22" t="s">
        <v>320</v>
      </c>
      <c r="J1911" s="22" t="s">
        <v>368</v>
      </c>
      <c r="K1911" s="23" t="s">
        <v>3266</v>
      </c>
    </row>
    <row r="1912" spans="1:14" hidden="1" x14ac:dyDescent="0.35">
      <c r="A1912" s="21">
        <v>2187737</v>
      </c>
      <c r="B1912" s="22" t="str">
        <f>"3328125506920006"</f>
        <v>3328125506920006</v>
      </c>
      <c r="C1912" s="22" t="str">
        <f t="shared" si="58"/>
        <v>'3328125506920006</v>
      </c>
      <c r="D1912" s="22" t="str">
        <f t="shared" si="59"/>
        <v>tidak ganda</v>
      </c>
      <c r="E1912" s="22" t="s">
        <v>4178</v>
      </c>
      <c r="F1912" s="22" t="s">
        <v>10</v>
      </c>
      <c r="G1912" s="22" t="s">
        <v>11</v>
      </c>
      <c r="H1912" s="22" t="s">
        <v>18</v>
      </c>
      <c r="I1912" s="22" t="s">
        <v>19</v>
      </c>
      <c r="J1912" s="22" t="s">
        <v>3354</v>
      </c>
      <c r="K1912" s="23" t="s">
        <v>4012</v>
      </c>
      <c r="L1912" t="e">
        <f>VLOOKUP(B1912,ubah!$B$2:$L$234,4,FALSE)</f>
        <v>#N/A</v>
      </c>
      <c r="M1912" t="e">
        <f>VLOOKUP(B1912,ubah!$B$2:$L$234,5,FALSE)</f>
        <v>#N/A</v>
      </c>
      <c r="N1912" t="e">
        <f>VLOOKUP(B1912,ubah!$B$2:$L$234,6,FALSE)</f>
        <v>#N/A</v>
      </c>
    </row>
    <row r="1913" spans="1:14" hidden="1" x14ac:dyDescent="0.35">
      <c r="A1913" s="21">
        <v>2429021</v>
      </c>
      <c r="B1913" s="22" t="str">
        <f>"3328125507020003"</f>
        <v>3328125507020003</v>
      </c>
      <c r="C1913" s="22" t="str">
        <f t="shared" si="58"/>
        <v>'3328125507020003</v>
      </c>
      <c r="D1913" s="22" t="str">
        <f t="shared" si="59"/>
        <v>tidak ganda</v>
      </c>
      <c r="E1913" s="22" t="s">
        <v>4180</v>
      </c>
      <c r="F1913" s="22" t="s">
        <v>10</v>
      </c>
      <c r="G1913" s="22" t="s">
        <v>11</v>
      </c>
      <c r="H1913" s="22" t="s">
        <v>18</v>
      </c>
      <c r="I1913" s="22" t="s">
        <v>19</v>
      </c>
      <c r="J1913" s="22" t="s">
        <v>3354</v>
      </c>
      <c r="K1913" s="23" t="s">
        <v>3354</v>
      </c>
      <c r="L1913" t="e">
        <f>VLOOKUP(B1913,ubah!$B$2:$L$234,4,FALSE)</f>
        <v>#N/A</v>
      </c>
      <c r="M1913" t="e">
        <f>VLOOKUP(B1913,ubah!$B$2:$L$234,5,FALSE)</f>
        <v>#N/A</v>
      </c>
      <c r="N1913" t="e">
        <f>VLOOKUP(B1913,ubah!$B$2:$L$234,6,FALSE)</f>
        <v>#N/A</v>
      </c>
    </row>
    <row r="1914" spans="1:14" hidden="1" x14ac:dyDescent="0.35">
      <c r="A1914" s="21">
        <v>2192449</v>
      </c>
      <c r="B1914" s="22" t="str">
        <f>"3328125606850005"</f>
        <v>3328125606850005</v>
      </c>
      <c r="C1914" s="22" t="str">
        <f t="shared" si="58"/>
        <v>'3328125606850005</v>
      </c>
      <c r="D1914" s="22" t="str">
        <f t="shared" si="59"/>
        <v>ganda</v>
      </c>
      <c r="E1914" s="22" t="s">
        <v>4183</v>
      </c>
      <c r="F1914" s="22" t="s">
        <v>10</v>
      </c>
      <c r="G1914" s="22" t="s">
        <v>11</v>
      </c>
      <c r="H1914" s="22" t="s">
        <v>18</v>
      </c>
      <c r="I1914" s="22" t="s">
        <v>19</v>
      </c>
      <c r="J1914" s="22" t="s">
        <v>3354</v>
      </c>
      <c r="K1914" s="23" t="s">
        <v>4014</v>
      </c>
      <c r="L1914" t="e">
        <f>VLOOKUP(B1914,ubah!$B$2:$L$234,4,FALSE)</f>
        <v>#N/A</v>
      </c>
      <c r="M1914" t="e">
        <f>VLOOKUP(B1914,ubah!$B$2:$L$234,5,FALSE)</f>
        <v>#N/A</v>
      </c>
      <c r="N1914" t="e">
        <f>VLOOKUP(B1914,ubah!$B$2:$L$234,6,FALSE)</f>
        <v>#N/A</v>
      </c>
    </row>
    <row r="1915" spans="1:14" hidden="1" x14ac:dyDescent="0.35">
      <c r="A1915" s="21">
        <v>1352176</v>
      </c>
      <c r="B1915" s="22" t="str">
        <f>"3328125606850005"</f>
        <v>3328125606850005</v>
      </c>
      <c r="C1915" s="22" t="str">
        <f t="shared" si="58"/>
        <v>'3328125606850005</v>
      </c>
      <c r="D1915" s="22" t="str">
        <f t="shared" si="59"/>
        <v>ganda</v>
      </c>
      <c r="E1915" s="22" t="s">
        <v>4184</v>
      </c>
      <c r="F1915" s="22" t="s">
        <v>10</v>
      </c>
      <c r="G1915" s="22" t="s">
        <v>57</v>
      </c>
      <c r="H1915" s="22" t="s">
        <v>303</v>
      </c>
      <c r="I1915" s="22" t="s">
        <v>608</v>
      </c>
      <c r="J1915" s="22" t="s">
        <v>609</v>
      </c>
      <c r="K1915" s="23" t="s">
        <v>610</v>
      </c>
    </row>
    <row r="1916" spans="1:14" hidden="1" x14ac:dyDescent="0.35">
      <c r="A1916" s="21">
        <v>2208095</v>
      </c>
      <c r="B1916" s="22" t="str">
        <f>"3328126001860001"</f>
        <v>3328126001860001</v>
      </c>
      <c r="C1916" s="22" t="str">
        <f t="shared" si="58"/>
        <v>'3328126001860001</v>
      </c>
      <c r="D1916" s="22" t="str">
        <f t="shared" si="59"/>
        <v>tidak ganda</v>
      </c>
      <c r="E1916" s="22" t="s">
        <v>4187</v>
      </c>
      <c r="F1916" s="22" t="s">
        <v>10</v>
      </c>
      <c r="G1916" s="22" t="s">
        <v>11</v>
      </c>
      <c r="H1916" s="22" t="s">
        <v>18</v>
      </c>
      <c r="I1916" s="22" t="s">
        <v>19</v>
      </c>
      <c r="J1916" s="22" t="s">
        <v>3354</v>
      </c>
      <c r="K1916" s="23" t="s">
        <v>4057</v>
      </c>
      <c r="L1916" t="e">
        <f>VLOOKUP(B1916,ubah!$B$2:$L$234,4,FALSE)</f>
        <v>#N/A</v>
      </c>
      <c r="M1916" t="e">
        <f>VLOOKUP(B1916,ubah!$B$2:$L$234,5,FALSE)</f>
        <v>#N/A</v>
      </c>
      <c r="N1916" t="e">
        <f>VLOOKUP(B1916,ubah!$B$2:$L$234,6,FALSE)</f>
        <v>#N/A</v>
      </c>
    </row>
    <row r="1917" spans="1:14" hidden="1" x14ac:dyDescent="0.35">
      <c r="A1917" s="21">
        <v>965060</v>
      </c>
      <c r="B1917" s="22" t="str">
        <f>"3328126012910013"</f>
        <v>3328126012910013</v>
      </c>
      <c r="C1917" s="22" t="str">
        <f t="shared" si="58"/>
        <v>'3328126012910013</v>
      </c>
      <c r="D1917" s="22" t="str">
        <f t="shared" si="59"/>
        <v>tidak ganda</v>
      </c>
      <c r="E1917" s="22" t="s">
        <v>4191</v>
      </c>
      <c r="F1917" s="22" t="s">
        <v>10</v>
      </c>
      <c r="G1917" s="22" t="s">
        <v>11</v>
      </c>
      <c r="H1917" s="22" t="s">
        <v>303</v>
      </c>
      <c r="I1917" s="22" t="s">
        <v>1855</v>
      </c>
      <c r="J1917" s="22" t="s">
        <v>4192</v>
      </c>
      <c r="K1917" s="23" t="s">
        <v>4193</v>
      </c>
    </row>
    <row r="1918" spans="1:14" hidden="1" x14ac:dyDescent="0.35">
      <c r="A1918" s="21">
        <v>463782</v>
      </c>
      <c r="B1918" s="22" t="str">
        <f>"3328126106520001"</f>
        <v>3328126106520001</v>
      </c>
      <c r="C1918" s="22" t="str">
        <f t="shared" si="58"/>
        <v>'3328126106520001</v>
      </c>
      <c r="D1918" s="22" t="str">
        <f t="shared" si="59"/>
        <v>tidak ganda</v>
      </c>
      <c r="E1918" s="22" t="s">
        <v>4194</v>
      </c>
      <c r="F1918" s="22" t="s">
        <v>10</v>
      </c>
      <c r="G1918" s="22" t="s">
        <v>11</v>
      </c>
      <c r="H1918" s="22" t="s">
        <v>50</v>
      </c>
      <c r="I1918" s="22" t="s">
        <v>72</v>
      </c>
      <c r="J1918" s="22" t="s">
        <v>1840</v>
      </c>
      <c r="K1918" s="23" t="s">
        <v>4195</v>
      </c>
    </row>
    <row r="1919" spans="1:14" hidden="1" x14ac:dyDescent="0.35">
      <c r="A1919" s="21">
        <v>2328298</v>
      </c>
      <c r="B1919" s="22" t="str">
        <f>"3328126108060002"</f>
        <v>3328126108060002</v>
      </c>
      <c r="C1919" s="22" t="str">
        <f t="shared" si="58"/>
        <v>'3328126108060002</v>
      </c>
      <c r="D1919" s="22" t="str">
        <f t="shared" si="59"/>
        <v>tidak ganda</v>
      </c>
      <c r="E1919" s="22" t="s">
        <v>4197</v>
      </c>
      <c r="F1919" s="22" t="s">
        <v>10</v>
      </c>
      <c r="G1919" s="22" t="s">
        <v>11</v>
      </c>
      <c r="H1919" s="22" t="s">
        <v>18</v>
      </c>
      <c r="I1919" s="22" t="s">
        <v>19</v>
      </c>
      <c r="J1919" s="22" t="s">
        <v>3354</v>
      </c>
      <c r="K1919" s="23" t="s">
        <v>307</v>
      </c>
      <c r="L1919" t="e">
        <f>VLOOKUP(B1919,ubah!$B$2:$L$234,4,FALSE)</f>
        <v>#N/A</v>
      </c>
      <c r="M1919" t="e">
        <f>VLOOKUP(B1919,ubah!$B$2:$L$234,5,FALSE)</f>
        <v>#N/A</v>
      </c>
      <c r="N1919" t="e">
        <f>VLOOKUP(B1919,ubah!$B$2:$L$234,6,FALSE)</f>
        <v>#N/A</v>
      </c>
    </row>
    <row r="1920" spans="1:14" hidden="1" x14ac:dyDescent="0.35">
      <c r="A1920" s="21">
        <v>2262589</v>
      </c>
      <c r="B1920" s="22" t="str">
        <f>"3328126204020009"</f>
        <v>3328126204020009</v>
      </c>
      <c r="C1920" s="22" t="str">
        <f t="shared" si="58"/>
        <v>'3328126204020009</v>
      </c>
      <c r="D1920" s="22" t="str">
        <f t="shared" si="59"/>
        <v>ganda</v>
      </c>
      <c r="E1920" s="22" t="s">
        <v>4198</v>
      </c>
      <c r="F1920" s="22" t="s">
        <v>10</v>
      </c>
      <c r="G1920" s="22" t="s">
        <v>11</v>
      </c>
      <c r="H1920" s="22" t="s">
        <v>18</v>
      </c>
      <c r="I1920" s="22" t="s">
        <v>19</v>
      </c>
      <c r="J1920" s="22" t="s">
        <v>3354</v>
      </c>
      <c r="K1920" s="23" t="s">
        <v>4022</v>
      </c>
      <c r="L1920" t="e">
        <f>VLOOKUP(B1920,ubah!$B$2:$L$234,4,FALSE)</f>
        <v>#N/A</v>
      </c>
      <c r="M1920" t="e">
        <f>VLOOKUP(B1920,ubah!$B$2:$L$234,5,FALSE)</f>
        <v>#N/A</v>
      </c>
      <c r="N1920" t="e">
        <f>VLOOKUP(B1920,ubah!$B$2:$L$234,6,FALSE)</f>
        <v>#N/A</v>
      </c>
    </row>
    <row r="1921" spans="1:14" hidden="1" x14ac:dyDescent="0.35">
      <c r="A1921" s="21">
        <v>1352916</v>
      </c>
      <c r="B1921" s="22" t="str">
        <f>"3328126204020009"</f>
        <v>3328126204020009</v>
      </c>
      <c r="C1921" s="22" t="str">
        <f t="shared" si="58"/>
        <v>'3328126204020009</v>
      </c>
      <c r="D1921" s="22" t="str">
        <f t="shared" si="59"/>
        <v>ganda</v>
      </c>
      <c r="E1921" s="22" t="s">
        <v>4198</v>
      </c>
      <c r="F1921" s="22" t="s">
        <v>10</v>
      </c>
      <c r="G1921" s="22" t="s">
        <v>57</v>
      </c>
      <c r="H1921" s="22" t="s">
        <v>303</v>
      </c>
      <c r="I1921" s="22" t="s">
        <v>608</v>
      </c>
      <c r="J1921" s="22" t="s">
        <v>609</v>
      </c>
      <c r="K1921" s="23" t="s">
        <v>610</v>
      </c>
    </row>
    <row r="1922" spans="1:14" hidden="1" x14ac:dyDescent="0.35">
      <c r="A1922" s="21">
        <v>2194638</v>
      </c>
      <c r="B1922" s="22" t="str">
        <f>"3328126709860001"</f>
        <v>3328126709860001</v>
      </c>
      <c r="C1922" s="22" t="str">
        <f t="shared" si="58"/>
        <v>'3328126709860001</v>
      </c>
      <c r="D1922" s="22" t="str">
        <f t="shared" si="59"/>
        <v>tidak ganda</v>
      </c>
      <c r="E1922" s="22" t="s">
        <v>4203</v>
      </c>
      <c r="F1922" s="22" t="s">
        <v>10</v>
      </c>
      <c r="G1922" s="22" t="s">
        <v>11</v>
      </c>
      <c r="H1922" s="22" t="s">
        <v>18</v>
      </c>
      <c r="I1922" s="22" t="s">
        <v>19</v>
      </c>
      <c r="J1922" s="22" t="s">
        <v>3354</v>
      </c>
      <c r="K1922" s="23" t="s">
        <v>4098</v>
      </c>
      <c r="L1922" t="e">
        <f>VLOOKUP(B1922,ubah!$B$2:$L$234,4,FALSE)</f>
        <v>#N/A</v>
      </c>
      <c r="M1922" t="e">
        <f>VLOOKUP(B1922,ubah!$B$2:$L$234,5,FALSE)</f>
        <v>#N/A</v>
      </c>
      <c r="N1922" t="e">
        <f>VLOOKUP(B1922,ubah!$B$2:$L$234,6,FALSE)</f>
        <v>#N/A</v>
      </c>
    </row>
    <row r="1923" spans="1:14" hidden="1" x14ac:dyDescent="0.35">
      <c r="A1923" s="21">
        <v>2237057</v>
      </c>
      <c r="B1923" s="22" t="str">
        <f>"3328126709940004"</f>
        <v>3328126709940004</v>
      </c>
      <c r="C1923" s="22" t="str">
        <f t="shared" ref="C1923:C1986" si="60">"'"&amp;B1923</f>
        <v>'3328126709940004</v>
      </c>
      <c r="D1923" s="22" t="str">
        <f t="shared" ref="D1923:D1986" si="61">IF(COUNTIF($C:$C,C1923)&gt;1,"ganda","tidak ganda")</f>
        <v>tidak ganda</v>
      </c>
      <c r="E1923" s="22" t="s">
        <v>4204</v>
      </c>
      <c r="F1923" s="22" t="s">
        <v>10</v>
      </c>
      <c r="G1923" s="22" t="s">
        <v>11</v>
      </c>
      <c r="H1923" s="22" t="s">
        <v>18</v>
      </c>
      <c r="I1923" s="22" t="s">
        <v>19</v>
      </c>
      <c r="J1923" s="22" t="s">
        <v>3354</v>
      </c>
      <c r="K1923" s="23" t="s">
        <v>613</v>
      </c>
      <c r="L1923" t="e">
        <f>VLOOKUP(B1923,ubah!$B$2:$L$234,4,FALSE)</f>
        <v>#N/A</v>
      </c>
      <c r="M1923" t="e">
        <f>VLOOKUP(B1923,ubah!$B$2:$L$234,5,FALSE)</f>
        <v>#N/A</v>
      </c>
      <c r="N1923" t="e">
        <f>VLOOKUP(B1923,ubah!$B$2:$L$234,6,FALSE)</f>
        <v>#N/A</v>
      </c>
    </row>
    <row r="1924" spans="1:14" hidden="1" x14ac:dyDescent="0.35">
      <c r="A1924" s="21">
        <v>2215806</v>
      </c>
      <c r="B1924" s="22" t="str">
        <f>"3328126810980007"</f>
        <v>3328126810980007</v>
      </c>
      <c r="C1924" s="22" t="str">
        <f t="shared" si="60"/>
        <v>'3328126810980007</v>
      </c>
      <c r="D1924" s="22" t="str">
        <f t="shared" si="61"/>
        <v>tidak ganda</v>
      </c>
      <c r="E1924" s="22" t="s">
        <v>4209</v>
      </c>
      <c r="F1924" s="22" t="s">
        <v>10</v>
      </c>
      <c r="G1924" s="22" t="s">
        <v>11</v>
      </c>
      <c r="H1924" s="22" t="s">
        <v>18</v>
      </c>
      <c r="I1924" s="22" t="s">
        <v>19</v>
      </c>
      <c r="J1924" s="22" t="s">
        <v>3354</v>
      </c>
      <c r="K1924" s="23" t="s">
        <v>131</v>
      </c>
      <c r="L1924" t="e">
        <f>VLOOKUP(B1924,ubah!$B$2:$L$234,4,FALSE)</f>
        <v>#N/A</v>
      </c>
      <c r="M1924" t="e">
        <f>VLOOKUP(B1924,ubah!$B$2:$L$234,5,FALSE)</f>
        <v>#N/A</v>
      </c>
      <c r="N1924" t="e">
        <f>VLOOKUP(B1924,ubah!$B$2:$L$234,6,FALSE)</f>
        <v>#N/A</v>
      </c>
    </row>
    <row r="1925" spans="1:14" hidden="1" x14ac:dyDescent="0.35">
      <c r="A1925" s="21">
        <v>2429694</v>
      </c>
      <c r="B1925" s="22" t="str">
        <f>"3328126905020001"</f>
        <v>3328126905020001</v>
      </c>
      <c r="C1925" s="22" t="str">
        <f t="shared" si="60"/>
        <v>'3328126905020001</v>
      </c>
      <c r="D1925" s="22" t="str">
        <f t="shared" si="61"/>
        <v>ganda</v>
      </c>
      <c r="E1925" s="22" t="s">
        <v>4212</v>
      </c>
      <c r="F1925" s="22" t="s">
        <v>10</v>
      </c>
      <c r="G1925" s="22" t="s">
        <v>11</v>
      </c>
      <c r="H1925" s="22" t="s">
        <v>18</v>
      </c>
      <c r="I1925" s="22" t="s">
        <v>19</v>
      </c>
      <c r="J1925" s="22" t="s">
        <v>3354</v>
      </c>
      <c r="K1925" s="23" t="s">
        <v>3354</v>
      </c>
      <c r="L1925" t="e">
        <f>VLOOKUP(B1925,ubah!$B$2:$L$234,4,FALSE)</f>
        <v>#N/A</v>
      </c>
      <c r="M1925" t="e">
        <f>VLOOKUP(B1925,ubah!$B$2:$L$234,5,FALSE)</f>
        <v>#N/A</v>
      </c>
      <c r="N1925" t="e">
        <f>VLOOKUP(B1925,ubah!$B$2:$L$234,6,FALSE)</f>
        <v>#N/A</v>
      </c>
    </row>
    <row r="1926" spans="1:14" hidden="1" x14ac:dyDescent="0.35">
      <c r="A1926" s="21">
        <v>1352177</v>
      </c>
      <c r="B1926" s="22" t="str">
        <f>"3328126905020001"</f>
        <v>3328126905020001</v>
      </c>
      <c r="C1926" s="22" t="str">
        <f t="shared" si="60"/>
        <v>'3328126905020001</v>
      </c>
      <c r="D1926" s="22" t="str">
        <f t="shared" si="61"/>
        <v>ganda</v>
      </c>
      <c r="E1926" s="22" t="s">
        <v>4212</v>
      </c>
      <c r="F1926" s="22" t="s">
        <v>10</v>
      </c>
      <c r="G1926" s="22" t="s">
        <v>57</v>
      </c>
      <c r="H1926" s="22" t="s">
        <v>303</v>
      </c>
      <c r="I1926" s="22" t="s">
        <v>608</v>
      </c>
      <c r="J1926" s="22" t="s">
        <v>609</v>
      </c>
      <c r="K1926" s="23" t="s">
        <v>610</v>
      </c>
    </row>
    <row r="1927" spans="1:14" hidden="1" x14ac:dyDescent="0.35">
      <c r="A1927" s="21">
        <v>1862382</v>
      </c>
      <c r="B1927" s="22" t="str">
        <f>"3328127101050006"</f>
        <v>3328127101050006</v>
      </c>
      <c r="C1927" s="22" t="str">
        <f t="shared" si="60"/>
        <v>'3328127101050006</v>
      </c>
      <c r="D1927" s="22" t="str">
        <f t="shared" si="61"/>
        <v>tidak ganda</v>
      </c>
      <c r="E1927" s="22" t="s">
        <v>4216</v>
      </c>
      <c r="F1927" s="22" t="s">
        <v>10</v>
      </c>
      <c r="G1927" s="22" t="s">
        <v>57</v>
      </c>
      <c r="H1927" s="22" t="s">
        <v>18</v>
      </c>
      <c r="I1927" s="22" t="s">
        <v>733</v>
      </c>
      <c r="J1927" s="22" t="s">
        <v>733</v>
      </c>
      <c r="K1927" s="23" t="s">
        <v>734</v>
      </c>
    </row>
    <row r="1928" spans="1:14" hidden="1" x14ac:dyDescent="0.35">
      <c r="A1928" s="21">
        <v>2202677</v>
      </c>
      <c r="B1928" s="22" t="str">
        <f>"3328131506040004"</f>
        <v>3328131506040004</v>
      </c>
      <c r="C1928" s="22" t="str">
        <f t="shared" si="60"/>
        <v>'3328131506040004</v>
      </c>
      <c r="D1928" s="22" t="str">
        <f t="shared" si="61"/>
        <v>ganda</v>
      </c>
      <c r="E1928" s="22" t="s">
        <v>4217</v>
      </c>
      <c r="F1928" s="22" t="s">
        <v>10</v>
      </c>
      <c r="G1928" s="22" t="s">
        <v>11</v>
      </c>
      <c r="H1928" s="22" t="s">
        <v>18</v>
      </c>
      <c r="I1928" s="22" t="s">
        <v>19</v>
      </c>
      <c r="J1928" s="22" t="s">
        <v>3354</v>
      </c>
      <c r="K1928" s="23" t="s">
        <v>1954</v>
      </c>
      <c r="L1928" t="e">
        <f>VLOOKUP(B1928,ubah!$B$2:$L$234,4,FALSE)</f>
        <v>#N/A</v>
      </c>
      <c r="M1928" t="e">
        <f>VLOOKUP(B1928,ubah!$B$2:$L$234,5,FALSE)</f>
        <v>#N/A</v>
      </c>
      <c r="N1928" t="e">
        <f>VLOOKUP(B1928,ubah!$B$2:$L$234,6,FALSE)</f>
        <v>#N/A</v>
      </c>
    </row>
    <row r="1929" spans="1:14" hidden="1" x14ac:dyDescent="0.35">
      <c r="A1929" s="21">
        <v>1351195</v>
      </c>
      <c r="B1929" s="22" t="str">
        <f>"3328131506040004"</f>
        <v>3328131506040004</v>
      </c>
      <c r="C1929" s="22" t="str">
        <f t="shared" si="60"/>
        <v>'3328131506040004</v>
      </c>
      <c r="D1929" s="22" t="str">
        <f t="shared" si="61"/>
        <v>ganda</v>
      </c>
      <c r="E1929" s="22" t="s">
        <v>4218</v>
      </c>
      <c r="F1929" s="22" t="s">
        <v>10</v>
      </c>
      <c r="G1929" s="22" t="s">
        <v>57</v>
      </c>
      <c r="H1929" s="22" t="s">
        <v>303</v>
      </c>
      <c r="I1929" s="22" t="s">
        <v>608</v>
      </c>
      <c r="J1929" s="22" t="s">
        <v>609</v>
      </c>
      <c r="K1929" s="23" t="s">
        <v>610</v>
      </c>
    </row>
    <row r="1930" spans="1:14" hidden="1" x14ac:dyDescent="0.35">
      <c r="A1930" s="21">
        <v>2224517</v>
      </c>
      <c r="B1930" s="22" t="str">
        <f>"3328134410970003"</f>
        <v>3328134410970003</v>
      </c>
      <c r="C1930" s="22" t="str">
        <f t="shared" si="60"/>
        <v>'3328134410970003</v>
      </c>
      <c r="D1930" s="22" t="str">
        <f t="shared" si="61"/>
        <v>tidak ganda</v>
      </c>
      <c r="E1930" s="22" t="s">
        <v>4219</v>
      </c>
      <c r="F1930" s="22" t="s">
        <v>10</v>
      </c>
      <c r="G1930" s="22" t="s">
        <v>11</v>
      </c>
      <c r="H1930" s="22" t="s">
        <v>18</v>
      </c>
      <c r="I1930" s="22" t="s">
        <v>19</v>
      </c>
      <c r="J1930" s="22" t="s">
        <v>3354</v>
      </c>
      <c r="K1930" s="23" t="s">
        <v>4003</v>
      </c>
      <c r="L1930" t="e">
        <f>VLOOKUP(B1930,ubah!$B$2:$L$234,4,FALSE)</f>
        <v>#N/A</v>
      </c>
      <c r="M1930" t="e">
        <f>VLOOKUP(B1930,ubah!$B$2:$L$234,5,FALSE)</f>
        <v>#N/A</v>
      </c>
      <c r="N1930" t="e">
        <f>VLOOKUP(B1930,ubah!$B$2:$L$234,6,FALSE)</f>
        <v>#N/A</v>
      </c>
    </row>
    <row r="1931" spans="1:14" hidden="1" x14ac:dyDescent="0.35">
      <c r="A1931" s="21">
        <v>1329081</v>
      </c>
      <c r="B1931" s="22" t="str">
        <f>"3329071704940002"</f>
        <v>3329071704940002</v>
      </c>
      <c r="C1931" s="22" t="str">
        <f t="shared" si="60"/>
        <v>'3329071704940002</v>
      </c>
      <c r="D1931" s="22" t="str">
        <f t="shared" si="61"/>
        <v>tidak ganda</v>
      </c>
      <c r="E1931" s="22" t="s">
        <v>4223</v>
      </c>
      <c r="F1931" s="22" t="s">
        <v>10</v>
      </c>
      <c r="G1931" s="22" t="s">
        <v>11</v>
      </c>
      <c r="H1931" s="22" t="s">
        <v>18</v>
      </c>
      <c r="I1931" s="22" t="s">
        <v>264</v>
      </c>
      <c r="J1931" s="22" t="s">
        <v>265</v>
      </c>
      <c r="K1931" s="23" t="s">
        <v>1878</v>
      </c>
    </row>
    <row r="1932" spans="1:14" hidden="1" x14ac:dyDescent="0.35">
      <c r="A1932" s="21">
        <v>1314732</v>
      </c>
      <c r="B1932" s="22" t="str">
        <f>"3329072912930004"</f>
        <v>3329072912930004</v>
      </c>
      <c r="C1932" s="22" t="str">
        <f t="shared" si="60"/>
        <v>'3329072912930004</v>
      </c>
      <c r="D1932" s="22" t="str">
        <f t="shared" si="61"/>
        <v>tidak ganda</v>
      </c>
      <c r="E1932" s="22" t="s">
        <v>4225</v>
      </c>
      <c r="F1932" s="22" t="s">
        <v>10</v>
      </c>
      <c r="G1932" s="22" t="s">
        <v>11</v>
      </c>
      <c r="H1932" s="22" t="s">
        <v>18</v>
      </c>
      <c r="I1932" s="22" t="s">
        <v>264</v>
      </c>
      <c r="J1932" s="22" t="s">
        <v>265</v>
      </c>
      <c r="K1932" s="23" t="s">
        <v>865</v>
      </c>
    </row>
    <row r="1933" spans="1:14" hidden="1" x14ac:dyDescent="0.35">
      <c r="A1933" s="21">
        <v>1210394</v>
      </c>
      <c r="B1933" s="22" t="str">
        <f>"3329074411890007"</f>
        <v>3329074411890007</v>
      </c>
      <c r="C1933" s="22" t="str">
        <f t="shared" si="60"/>
        <v>'3329074411890007</v>
      </c>
      <c r="D1933" s="22" t="str">
        <f t="shared" si="61"/>
        <v>tidak ganda</v>
      </c>
      <c r="E1933" s="22" t="s">
        <v>4226</v>
      </c>
      <c r="F1933" s="22" t="s">
        <v>10</v>
      </c>
      <c r="G1933" s="22" t="s">
        <v>11</v>
      </c>
      <c r="H1933" s="22" t="s">
        <v>18</v>
      </c>
      <c r="I1933" s="22" t="s">
        <v>264</v>
      </c>
      <c r="J1933" s="22" t="s">
        <v>265</v>
      </c>
      <c r="K1933" s="23" t="s">
        <v>906</v>
      </c>
    </row>
    <row r="1934" spans="1:14" hidden="1" x14ac:dyDescent="0.35">
      <c r="A1934" s="21">
        <v>215842</v>
      </c>
      <c r="B1934" s="22" t="str">
        <f>"3329081912040003"</f>
        <v>3329081912040003</v>
      </c>
      <c r="C1934" s="22" t="str">
        <f t="shared" si="60"/>
        <v>'3329081912040003</v>
      </c>
      <c r="D1934" s="22" t="str">
        <f t="shared" si="61"/>
        <v>tidak ganda</v>
      </c>
      <c r="E1934" s="22" t="s">
        <v>4227</v>
      </c>
      <c r="F1934" s="22" t="s">
        <v>10</v>
      </c>
      <c r="G1934" s="22" t="s">
        <v>11</v>
      </c>
      <c r="H1934" s="22" t="s">
        <v>18</v>
      </c>
      <c r="I1934" s="22" t="s">
        <v>268</v>
      </c>
      <c r="J1934" s="22" t="s">
        <v>371</v>
      </c>
      <c r="K1934" s="23" t="s">
        <v>2772</v>
      </c>
    </row>
    <row r="1935" spans="1:14" hidden="1" x14ac:dyDescent="0.35">
      <c r="A1935" s="21">
        <v>609913</v>
      </c>
      <c r="B1935" s="22" t="str">
        <f>"3329090909960007"</f>
        <v>3329090909960007</v>
      </c>
      <c r="C1935" s="22" t="str">
        <f t="shared" si="60"/>
        <v>'3329090909960007</v>
      </c>
      <c r="D1935" s="22" t="str">
        <f t="shared" si="61"/>
        <v>tidak ganda</v>
      </c>
      <c r="E1935" s="22" t="s">
        <v>4231</v>
      </c>
      <c r="F1935" s="22" t="s">
        <v>10</v>
      </c>
      <c r="G1935" s="22" t="s">
        <v>11</v>
      </c>
      <c r="H1935" s="22" t="s">
        <v>18</v>
      </c>
      <c r="I1935" s="22" t="s">
        <v>264</v>
      </c>
      <c r="J1935" s="22" t="s">
        <v>264</v>
      </c>
      <c r="K1935" s="23" t="s">
        <v>4232</v>
      </c>
    </row>
    <row r="1936" spans="1:14" hidden="1" x14ac:dyDescent="0.35">
      <c r="A1936" s="21">
        <v>594877</v>
      </c>
      <c r="B1936" s="22" t="str">
        <f>"3329096711850007"</f>
        <v>3329096711850007</v>
      </c>
      <c r="C1936" s="22" t="str">
        <f t="shared" si="60"/>
        <v>'3329096711850007</v>
      </c>
      <c r="D1936" s="22" t="str">
        <f t="shared" si="61"/>
        <v>tidak ganda</v>
      </c>
      <c r="E1936" s="22" t="s">
        <v>4234</v>
      </c>
      <c r="F1936" s="22" t="s">
        <v>10</v>
      </c>
      <c r="G1936" s="22" t="s">
        <v>11</v>
      </c>
      <c r="H1936" s="22" t="s">
        <v>18</v>
      </c>
      <c r="I1936" s="22" t="s">
        <v>264</v>
      </c>
      <c r="J1936" s="22" t="s">
        <v>264</v>
      </c>
      <c r="K1936" s="23" t="s">
        <v>1637</v>
      </c>
    </row>
    <row r="1937" spans="1:11" hidden="1" x14ac:dyDescent="0.35">
      <c r="A1937" s="21">
        <v>1511169</v>
      </c>
      <c r="B1937" s="22" t="str">
        <f>"3329102503970002"</f>
        <v>3329102503970002</v>
      </c>
      <c r="C1937" s="22" t="str">
        <f t="shared" si="60"/>
        <v>'3329102503970002</v>
      </c>
      <c r="D1937" s="22" t="str">
        <f t="shared" si="61"/>
        <v>tidak ganda</v>
      </c>
      <c r="E1937" s="22" t="s">
        <v>4235</v>
      </c>
      <c r="F1937" s="22" t="s">
        <v>10</v>
      </c>
      <c r="G1937" s="22" t="s">
        <v>11</v>
      </c>
      <c r="H1937" s="22" t="s">
        <v>18</v>
      </c>
      <c r="I1937" s="22" t="s">
        <v>264</v>
      </c>
      <c r="J1937" s="22" t="s">
        <v>273</v>
      </c>
      <c r="K1937" s="23" t="s">
        <v>274</v>
      </c>
    </row>
    <row r="1938" spans="1:11" hidden="1" x14ac:dyDescent="0.35">
      <c r="A1938" s="21">
        <v>1524047</v>
      </c>
      <c r="B1938" s="22" t="str">
        <f>"3329104607890010"</f>
        <v>3329104607890010</v>
      </c>
      <c r="C1938" s="22" t="str">
        <f t="shared" si="60"/>
        <v>'3329104607890010</v>
      </c>
      <c r="D1938" s="22" t="str">
        <f t="shared" si="61"/>
        <v>tidak ganda</v>
      </c>
      <c r="E1938" s="22" t="s">
        <v>4237</v>
      </c>
      <c r="F1938" s="22" t="s">
        <v>10</v>
      </c>
      <c r="G1938" s="22" t="s">
        <v>11</v>
      </c>
      <c r="H1938" s="22" t="s">
        <v>18</v>
      </c>
      <c r="I1938" s="22" t="s">
        <v>264</v>
      </c>
      <c r="J1938" s="22" t="s">
        <v>273</v>
      </c>
      <c r="K1938" s="23" t="s">
        <v>2709</v>
      </c>
    </row>
    <row r="1939" spans="1:11" hidden="1" x14ac:dyDescent="0.35">
      <c r="A1939" s="21">
        <v>389272</v>
      </c>
      <c r="B1939" s="22" t="str">
        <f>"3329141006800009"</f>
        <v>3329141006800009</v>
      </c>
      <c r="C1939" s="22" t="str">
        <f t="shared" si="60"/>
        <v>'3329141006800009</v>
      </c>
      <c r="D1939" s="22" t="str">
        <f t="shared" si="61"/>
        <v>tidak ganda</v>
      </c>
      <c r="E1939" s="22" t="s">
        <v>4240</v>
      </c>
      <c r="F1939" s="22" t="s">
        <v>10</v>
      </c>
      <c r="G1939" s="22" t="s">
        <v>11</v>
      </c>
      <c r="H1939" s="22" t="s">
        <v>18</v>
      </c>
      <c r="I1939" s="22" t="s">
        <v>264</v>
      </c>
      <c r="J1939" s="22" t="s">
        <v>477</v>
      </c>
      <c r="K1939" s="23" t="s">
        <v>2714</v>
      </c>
    </row>
    <row r="1940" spans="1:11" hidden="1" x14ac:dyDescent="0.35">
      <c r="A1940" s="21">
        <v>408041</v>
      </c>
      <c r="B1940" s="22" t="str">
        <f>"3329141105860013"</f>
        <v>3329141105860013</v>
      </c>
      <c r="C1940" s="22" t="str">
        <f t="shared" si="60"/>
        <v>'3329141105860013</v>
      </c>
      <c r="D1940" s="22" t="str">
        <f t="shared" si="61"/>
        <v>tidak ganda</v>
      </c>
      <c r="E1940" s="22" t="s">
        <v>4241</v>
      </c>
      <c r="F1940" s="22" t="s">
        <v>10</v>
      </c>
      <c r="G1940" s="22" t="s">
        <v>11</v>
      </c>
      <c r="H1940" s="22" t="s">
        <v>18</v>
      </c>
      <c r="I1940" s="22" t="s">
        <v>264</v>
      </c>
      <c r="J1940" s="22" t="s">
        <v>477</v>
      </c>
      <c r="K1940" s="23" t="s">
        <v>2091</v>
      </c>
    </row>
    <row r="1941" spans="1:11" hidden="1" x14ac:dyDescent="0.35">
      <c r="A1941" s="21">
        <v>387302</v>
      </c>
      <c r="B1941" s="22" t="str">
        <f>"3329141508880006"</f>
        <v>3329141508880006</v>
      </c>
      <c r="C1941" s="22" t="str">
        <f t="shared" si="60"/>
        <v>'3329141508880006</v>
      </c>
      <c r="D1941" s="22" t="str">
        <f t="shared" si="61"/>
        <v>tidak ganda</v>
      </c>
      <c r="E1941" s="22" t="s">
        <v>4242</v>
      </c>
      <c r="F1941" s="22" t="s">
        <v>10</v>
      </c>
      <c r="G1941" s="22" t="s">
        <v>11</v>
      </c>
      <c r="H1941" s="22" t="s">
        <v>18</v>
      </c>
      <c r="I1941" s="22" t="s">
        <v>264</v>
      </c>
      <c r="J1941" s="22" t="s">
        <v>477</v>
      </c>
      <c r="K1941" s="23" t="s">
        <v>2714</v>
      </c>
    </row>
    <row r="1942" spans="1:11" hidden="1" x14ac:dyDescent="0.35">
      <c r="A1942" s="21">
        <v>389273</v>
      </c>
      <c r="B1942" s="22" t="str">
        <f>"3329144501850005"</f>
        <v>3329144501850005</v>
      </c>
      <c r="C1942" s="22" t="str">
        <f t="shared" si="60"/>
        <v>'3329144501850005</v>
      </c>
      <c r="D1942" s="22" t="str">
        <f t="shared" si="61"/>
        <v>tidak ganda</v>
      </c>
      <c r="E1942" s="22" t="s">
        <v>4244</v>
      </c>
      <c r="F1942" s="22" t="s">
        <v>10</v>
      </c>
      <c r="G1942" s="22" t="s">
        <v>11</v>
      </c>
      <c r="H1942" s="22" t="s">
        <v>18</v>
      </c>
      <c r="I1942" s="22" t="s">
        <v>264</v>
      </c>
      <c r="J1942" s="22" t="s">
        <v>477</v>
      </c>
      <c r="K1942" s="23" t="s">
        <v>2714</v>
      </c>
    </row>
    <row r="1943" spans="1:11" hidden="1" x14ac:dyDescent="0.35">
      <c r="A1943" s="21">
        <v>408040</v>
      </c>
      <c r="B1943" s="22" t="str">
        <f>"3329144905870015"</f>
        <v>3329144905870015</v>
      </c>
      <c r="C1943" s="22" t="str">
        <f t="shared" si="60"/>
        <v>'3329144905870015</v>
      </c>
      <c r="D1943" s="22" t="str">
        <f t="shared" si="61"/>
        <v>tidak ganda</v>
      </c>
      <c r="E1943" s="22" t="s">
        <v>4246</v>
      </c>
      <c r="F1943" s="22" t="s">
        <v>10</v>
      </c>
      <c r="G1943" s="22" t="s">
        <v>11</v>
      </c>
      <c r="H1943" s="22" t="s">
        <v>18</v>
      </c>
      <c r="I1943" s="22" t="s">
        <v>264</v>
      </c>
      <c r="J1943" s="22" t="s">
        <v>477</v>
      </c>
      <c r="K1943" s="23" t="s">
        <v>2091</v>
      </c>
    </row>
    <row r="1944" spans="1:11" hidden="1" x14ac:dyDescent="0.35">
      <c r="A1944" s="21">
        <v>179323</v>
      </c>
      <c r="B1944" s="22" t="str">
        <f>"3329146201920001"</f>
        <v>3329146201920001</v>
      </c>
      <c r="C1944" s="22" t="str">
        <f t="shared" si="60"/>
        <v>'3329146201920001</v>
      </c>
      <c r="D1944" s="22" t="str">
        <f t="shared" si="61"/>
        <v>tidak ganda</v>
      </c>
      <c r="E1944" s="22" t="s">
        <v>4247</v>
      </c>
      <c r="F1944" s="22" t="s">
        <v>10</v>
      </c>
      <c r="G1944" s="22" t="s">
        <v>11</v>
      </c>
      <c r="H1944" s="22" t="s">
        <v>18</v>
      </c>
      <c r="I1944" s="22" t="s">
        <v>264</v>
      </c>
      <c r="J1944" s="22" t="s">
        <v>477</v>
      </c>
      <c r="K1944" s="23" t="s">
        <v>478</v>
      </c>
    </row>
    <row r="1945" spans="1:11" hidden="1" x14ac:dyDescent="0.35">
      <c r="A1945" s="21">
        <v>1569227</v>
      </c>
      <c r="B1945" s="22" t="str">
        <f>"3329155112950005"</f>
        <v>3329155112950005</v>
      </c>
      <c r="C1945" s="22" t="str">
        <f t="shared" si="60"/>
        <v>'3329155112950005</v>
      </c>
      <c r="D1945" s="22" t="str">
        <f t="shared" si="61"/>
        <v>tidak ganda</v>
      </c>
      <c r="E1945" s="22" t="s">
        <v>4248</v>
      </c>
      <c r="F1945" s="22" t="s">
        <v>10</v>
      </c>
      <c r="G1945" s="22" t="s">
        <v>11</v>
      </c>
      <c r="H1945" s="22" t="s">
        <v>18</v>
      </c>
      <c r="I1945" s="22" t="s">
        <v>264</v>
      </c>
      <c r="J1945" s="22" t="s">
        <v>330</v>
      </c>
      <c r="K1945" s="23" t="s">
        <v>330</v>
      </c>
    </row>
    <row r="1946" spans="1:11" hidden="1" x14ac:dyDescent="0.35">
      <c r="A1946" s="21">
        <v>308064</v>
      </c>
      <c r="B1946" s="22" t="str">
        <f>"3376011408940001"</f>
        <v>3376011408940001</v>
      </c>
      <c r="C1946" s="22" t="str">
        <f t="shared" si="60"/>
        <v>'3376011408940001</v>
      </c>
      <c r="D1946" s="22" t="str">
        <f t="shared" si="61"/>
        <v>tidak ganda</v>
      </c>
      <c r="E1946" s="22" t="s">
        <v>4249</v>
      </c>
      <c r="F1946" s="22" t="s">
        <v>10</v>
      </c>
      <c r="G1946" s="22" t="s">
        <v>11</v>
      </c>
      <c r="H1946" s="22" t="s">
        <v>18</v>
      </c>
      <c r="I1946" s="22" t="s">
        <v>268</v>
      </c>
      <c r="J1946" s="22" t="s">
        <v>269</v>
      </c>
      <c r="K1946" s="23" t="s">
        <v>4250</v>
      </c>
    </row>
    <row r="1947" spans="1:11" hidden="1" x14ac:dyDescent="0.35">
      <c r="A1947" s="21">
        <v>291053</v>
      </c>
      <c r="B1947" s="22" t="str">
        <f>"3376011709950001"</f>
        <v>3376011709950001</v>
      </c>
      <c r="C1947" s="22" t="str">
        <f t="shared" si="60"/>
        <v>'3376011709950001</v>
      </c>
      <c r="D1947" s="22" t="str">
        <f t="shared" si="61"/>
        <v>tidak ganda</v>
      </c>
      <c r="E1947" s="22" t="s">
        <v>4252</v>
      </c>
      <c r="F1947" s="22" t="s">
        <v>10</v>
      </c>
      <c r="G1947" s="22" t="s">
        <v>11</v>
      </c>
      <c r="H1947" s="22" t="s">
        <v>18</v>
      </c>
      <c r="I1947" s="22" t="s">
        <v>268</v>
      </c>
      <c r="J1947" s="22" t="s">
        <v>277</v>
      </c>
      <c r="K1947" s="23" t="s">
        <v>2665</v>
      </c>
    </row>
    <row r="1948" spans="1:11" hidden="1" x14ac:dyDescent="0.35">
      <c r="A1948" s="21">
        <v>320933</v>
      </c>
      <c r="B1948" s="22" t="str">
        <f>"3376012006980001"</f>
        <v>3376012006980001</v>
      </c>
      <c r="C1948" s="22" t="str">
        <f t="shared" si="60"/>
        <v>'3376012006980001</v>
      </c>
      <c r="D1948" s="22" t="str">
        <f t="shared" si="61"/>
        <v>tidak ganda</v>
      </c>
      <c r="E1948" s="22" t="s">
        <v>4253</v>
      </c>
      <c r="F1948" s="22" t="s">
        <v>10</v>
      </c>
      <c r="G1948" s="22" t="s">
        <v>11</v>
      </c>
      <c r="H1948" s="22" t="s">
        <v>18</v>
      </c>
      <c r="I1948" s="22" t="s">
        <v>268</v>
      </c>
      <c r="J1948" s="22" t="s">
        <v>277</v>
      </c>
      <c r="K1948" s="23" t="s">
        <v>278</v>
      </c>
    </row>
    <row r="1949" spans="1:11" hidden="1" x14ac:dyDescent="0.35">
      <c r="A1949" s="21">
        <v>320718</v>
      </c>
      <c r="B1949" s="22" t="str">
        <f>"3376015911020001"</f>
        <v>3376015911020001</v>
      </c>
      <c r="C1949" s="22" t="str">
        <f t="shared" si="60"/>
        <v>'3376015911020001</v>
      </c>
      <c r="D1949" s="22" t="str">
        <f t="shared" si="61"/>
        <v>tidak ganda</v>
      </c>
      <c r="E1949" s="22" t="s">
        <v>4254</v>
      </c>
      <c r="F1949" s="22" t="s">
        <v>10</v>
      </c>
      <c r="G1949" s="22" t="s">
        <v>11</v>
      </c>
      <c r="H1949" s="22" t="s">
        <v>18</v>
      </c>
      <c r="I1949" s="22" t="s">
        <v>268</v>
      </c>
      <c r="J1949" s="22" t="s">
        <v>277</v>
      </c>
      <c r="K1949" s="23" t="s">
        <v>278</v>
      </c>
    </row>
    <row r="1950" spans="1:11" hidden="1" x14ac:dyDescent="0.35">
      <c r="A1950" s="21">
        <v>400292</v>
      </c>
      <c r="B1950" s="22" t="str">
        <f>"3376016208930002"</f>
        <v>3376016208930002</v>
      </c>
      <c r="C1950" s="22" t="str">
        <f t="shared" si="60"/>
        <v>'3376016208930002</v>
      </c>
      <c r="D1950" s="22" t="str">
        <f t="shared" si="61"/>
        <v>tidak ganda</v>
      </c>
      <c r="E1950" s="22" t="s">
        <v>4255</v>
      </c>
      <c r="F1950" s="22" t="s">
        <v>10</v>
      </c>
      <c r="G1950" s="22" t="s">
        <v>11</v>
      </c>
      <c r="H1950" s="22" t="s">
        <v>18</v>
      </c>
      <c r="I1950" s="22" t="s">
        <v>268</v>
      </c>
      <c r="J1950" s="22" t="s">
        <v>448</v>
      </c>
      <c r="K1950" s="23" t="s">
        <v>448</v>
      </c>
    </row>
    <row r="1951" spans="1:11" hidden="1" x14ac:dyDescent="0.35">
      <c r="A1951" s="21">
        <v>204167</v>
      </c>
      <c r="B1951" s="22" t="str">
        <f>"3376022010980002"</f>
        <v>3376022010980002</v>
      </c>
      <c r="C1951" s="22" t="str">
        <f t="shared" si="60"/>
        <v>'3376022010980002</v>
      </c>
      <c r="D1951" s="22" t="str">
        <f t="shared" si="61"/>
        <v>tidak ganda</v>
      </c>
      <c r="E1951" s="22" t="s">
        <v>4256</v>
      </c>
      <c r="F1951" s="22" t="s">
        <v>10</v>
      </c>
      <c r="G1951" s="22" t="s">
        <v>11</v>
      </c>
      <c r="H1951" s="22" t="s">
        <v>18</v>
      </c>
      <c r="I1951" s="22" t="s">
        <v>268</v>
      </c>
      <c r="J1951" s="22" t="s">
        <v>371</v>
      </c>
      <c r="K1951" s="23" t="s">
        <v>2769</v>
      </c>
    </row>
    <row r="1952" spans="1:11" hidden="1" x14ac:dyDescent="0.35">
      <c r="A1952" s="21">
        <v>246214</v>
      </c>
      <c r="B1952" s="22" t="str">
        <f>"3376026712920002"</f>
        <v>3376026712920002</v>
      </c>
      <c r="C1952" s="22" t="str">
        <f t="shared" si="60"/>
        <v>'3376026712920002</v>
      </c>
      <c r="D1952" s="22" t="str">
        <f t="shared" si="61"/>
        <v>tidak ganda</v>
      </c>
      <c r="E1952" s="22" t="s">
        <v>4257</v>
      </c>
      <c r="F1952" s="22" t="s">
        <v>10</v>
      </c>
      <c r="G1952" s="22" t="s">
        <v>11</v>
      </c>
      <c r="H1952" s="22" t="s">
        <v>18</v>
      </c>
      <c r="I1952" s="22" t="s">
        <v>268</v>
      </c>
      <c r="J1952" s="22" t="s">
        <v>371</v>
      </c>
      <c r="K1952" s="23" t="s">
        <v>497</v>
      </c>
    </row>
    <row r="1953" spans="1:14" hidden="1" x14ac:dyDescent="0.35">
      <c r="A1953" s="21">
        <v>2331362</v>
      </c>
      <c r="B1953" s="22" t="str">
        <f>"3376032204980001"</f>
        <v>3376032204980001</v>
      </c>
      <c r="C1953" s="22" t="str">
        <f t="shared" si="60"/>
        <v>'3376032204980001</v>
      </c>
      <c r="D1953" s="22" t="str">
        <f t="shared" si="61"/>
        <v>ganda</v>
      </c>
      <c r="E1953" s="22" t="s">
        <v>4259</v>
      </c>
      <c r="F1953" s="22" t="s">
        <v>10</v>
      </c>
      <c r="G1953" s="22" t="s">
        <v>11</v>
      </c>
      <c r="H1953" s="22" t="s">
        <v>18</v>
      </c>
      <c r="I1953" s="22" t="s">
        <v>19</v>
      </c>
      <c r="J1953" s="22" t="s">
        <v>3354</v>
      </c>
      <c r="K1953" s="23" t="s">
        <v>307</v>
      </c>
      <c r="L1953" t="e">
        <f>VLOOKUP(B1953,ubah!$B$2:$L$234,4,FALSE)</f>
        <v>#N/A</v>
      </c>
      <c r="M1953" t="e">
        <f>VLOOKUP(B1953,ubah!$B$2:$L$234,5,FALSE)</f>
        <v>#N/A</v>
      </c>
      <c r="N1953" t="e">
        <f>VLOOKUP(B1953,ubah!$B$2:$L$234,6,FALSE)</f>
        <v>#N/A</v>
      </c>
    </row>
    <row r="1954" spans="1:14" hidden="1" x14ac:dyDescent="0.35">
      <c r="A1954" s="21">
        <v>423672</v>
      </c>
      <c r="B1954" s="22" t="str">
        <f>"3376032204980001"</f>
        <v>3376032204980001</v>
      </c>
      <c r="C1954" s="22" t="str">
        <f t="shared" si="60"/>
        <v>'3376032204980001</v>
      </c>
      <c r="D1954" s="22" t="str">
        <f t="shared" si="61"/>
        <v>ganda</v>
      </c>
      <c r="E1954" s="22" t="s">
        <v>4260</v>
      </c>
      <c r="F1954" s="22" t="s">
        <v>10</v>
      </c>
      <c r="G1954" s="22" t="s">
        <v>57</v>
      </c>
      <c r="H1954" s="22" t="s">
        <v>18</v>
      </c>
      <c r="I1954" s="22" t="s">
        <v>268</v>
      </c>
      <c r="J1954" s="22" t="s">
        <v>277</v>
      </c>
      <c r="K1954" s="23" t="s">
        <v>278</v>
      </c>
    </row>
    <row r="1955" spans="1:14" hidden="1" x14ac:dyDescent="0.35">
      <c r="A1955" s="21">
        <v>400588</v>
      </c>
      <c r="B1955" s="22" t="str">
        <f>"3376040808930002"</f>
        <v>3376040808930002</v>
      </c>
      <c r="C1955" s="22" t="str">
        <f t="shared" si="60"/>
        <v>'3376040808930002</v>
      </c>
      <c r="D1955" s="22" t="str">
        <f t="shared" si="61"/>
        <v>tidak ganda</v>
      </c>
      <c r="E1955" s="22" t="s">
        <v>4263</v>
      </c>
      <c r="F1955" s="22" t="s">
        <v>10</v>
      </c>
      <c r="G1955" s="22" t="s">
        <v>11</v>
      </c>
      <c r="H1955" s="22" t="s">
        <v>18</v>
      </c>
      <c r="I1955" s="22" t="s">
        <v>268</v>
      </c>
      <c r="J1955" s="22" t="s">
        <v>448</v>
      </c>
      <c r="K1955" s="23" t="s">
        <v>448</v>
      </c>
    </row>
    <row r="1956" spans="1:14" hidden="1" x14ac:dyDescent="0.35">
      <c r="A1956" s="21">
        <v>400293</v>
      </c>
      <c r="B1956" s="22" t="str">
        <f>"3376041112940001"</f>
        <v>3376041112940001</v>
      </c>
      <c r="C1956" s="22" t="str">
        <f t="shared" si="60"/>
        <v>'3376041112940001</v>
      </c>
      <c r="D1956" s="22" t="str">
        <f t="shared" si="61"/>
        <v>tidak ganda</v>
      </c>
      <c r="E1956" s="22" t="s">
        <v>4264</v>
      </c>
      <c r="F1956" s="22" t="s">
        <v>10</v>
      </c>
      <c r="G1956" s="22" t="s">
        <v>11</v>
      </c>
      <c r="H1956" s="22" t="s">
        <v>18</v>
      </c>
      <c r="I1956" s="22" t="s">
        <v>268</v>
      </c>
      <c r="J1956" s="22" t="s">
        <v>448</v>
      </c>
      <c r="K1956" s="23" t="s">
        <v>448</v>
      </c>
    </row>
    <row r="1957" spans="1:14" hidden="1" x14ac:dyDescent="0.35">
      <c r="A1957" s="21">
        <v>1045467</v>
      </c>
      <c r="B1957" s="22" t="str">
        <f>"3376041208750003"</f>
        <v>3376041208750003</v>
      </c>
      <c r="C1957" s="22" t="str">
        <f t="shared" si="60"/>
        <v>'3376041208750003</v>
      </c>
      <c r="D1957" s="22" t="str">
        <f t="shared" si="61"/>
        <v>tidak ganda</v>
      </c>
      <c r="E1957" s="22" t="s">
        <v>4265</v>
      </c>
      <c r="F1957" s="22" t="s">
        <v>10</v>
      </c>
      <c r="G1957" s="22" t="s">
        <v>11</v>
      </c>
      <c r="H1957" s="22" t="s">
        <v>18</v>
      </c>
      <c r="I1957" s="22" t="s">
        <v>264</v>
      </c>
      <c r="J1957" s="22" t="s">
        <v>248</v>
      </c>
      <c r="K1957" s="23" t="s">
        <v>472</v>
      </c>
    </row>
    <row r="1958" spans="1:14" hidden="1" x14ac:dyDescent="0.35">
      <c r="A1958" s="21">
        <v>1045469</v>
      </c>
      <c r="B1958" s="22" t="str">
        <f>"3376044711970001"</f>
        <v>3376044711970001</v>
      </c>
      <c r="C1958" s="22" t="str">
        <f t="shared" si="60"/>
        <v>'3376044711970001</v>
      </c>
      <c r="D1958" s="22" t="str">
        <f t="shared" si="61"/>
        <v>tidak ganda</v>
      </c>
      <c r="E1958" s="22" t="s">
        <v>4266</v>
      </c>
      <c r="F1958" s="22" t="s">
        <v>10</v>
      </c>
      <c r="G1958" s="22" t="s">
        <v>11</v>
      </c>
      <c r="H1958" s="22" t="s">
        <v>18</v>
      </c>
      <c r="I1958" s="22" t="s">
        <v>264</v>
      </c>
      <c r="J1958" s="22" t="s">
        <v>248</v>
      </c>
      <c r="K1958" s="23" t="s">
        <v>472</v>
      </c>
    </row>
    <row r="1959" spans="1:14" hidden="1" x14ac:dyDescent="0.35">
      <c r="A1959" s="21">
        <v>1045465</v>
      </c>
      <c r="B1959" s="22" t="str">
        <f>"3376045202750001"</f>
        <v>3376045202750001</v>
      </c>
      <c r="C1959" s="22" t="str">
        <f t="shared" si="60"/>
        <v>'3376045202750001</v>
      </c>
      <c r="D1959" s="22" t="str">
        <f t="shared" si="61"/>
        <v>tidak ganda</v>
      </c>
      <c r="E1959" s="22" t="s">
        <v>4267</v>
      </c>
      <c r="F1959" s="22" t="s">
        <v>10</v>
      </c>
      <c r="G1959" s="22" t="s">
        <v>11</v>
      </c>
      <c r="H1959" s="22" t="s">
        <v>18</v>
      </c>
      <c r="I1959" s="22" t="s">
        <v>264</v>
      </c>
      <c r="J1959" s="22" t="s">
        <v>248</v>
      </c>
      <c r="K1959" s="23" t="s">
        <v>472</v>
      </c>
    </row>
    <row r="1960" spans="1:14" hidden="1" x14ac:dyDescent="0.35">
      <c r="A1960" s="21">
        <v>1045471</v>
      </c>
      <c r="B1960" s="22" t="str">
        <f>"3376046006020001"</f>
        <v>3376046006020001</v>
      </c>
      <c r="C1960" s="22" t="str">
        <f t="shared" si="60"/>
        <v>'3376046006020001</v>
      </c>
      <c r="D1960" s="22" t="str">
        <f t="shared" si="61"/>
        <v>tidak ganda</v>
      </c>
      <c r="E1960" s="22" t="s">
        <v>4269</v>
      </c>
      <c r="F1960" s="22" t="s">
        <v>10</v>
      </c>
      <c r="G1960" s="22" t="s">
        <v>11</v>
      </c>
      <c r="H1960" s="22" t="s">
        <v>18</v>
      </c>
      <c r="I1960" s="22" t="s">
        <v>264</v>
      </c>
      <c r="J1960" s="22" t="s">
        <v>248</v>
      </c>
      <c r="K1960" s="23" t="s">
        <v>472</v>
      </c>
    </row>
    <row r="1961" spans="1:14" hidden="1" x14ac:dyDescent="0.35">
      <c r="A1961" s="21">
        <v>965059</v>
      </c>
      <c r="B1961" s="22" t="str">
        <f>"3501100609800005"</f>
        <v>3501100609800005</v>
      </c>
      <c r="C1961" s="22" t="str">
        <f t="shared" si="60"/>
        <v>'3501100609800005</v>
      </c>
      <c r="D1961" s="22" t="str">
        <f t="shared" si="61"/>
        <v>tidak ganda</v>
      </c>
      <c r="E1961" s="22" t="s">
        <v>4270</v>
      </c>
      <c r="F1961" s="22" t="s">
        <v>10</v>
      </c>
      <c r="G1961" s="22" t="s">
        <v>11</v>
      </c>
      <c r="H1961" s="22" t="s">
        <v>303</v>
      </c>
      <c r="I1961" s="22" t="s">
        <v>1855</v>
      </c>
      <c r="J1961" s="22" t="s">
        <v>4192</v>
      </c>
      <c r="K1961" s="23" t="s">
        <v>4193</v>
      </c>
    </row>
    <row r="1962" spans="1:14" hidden="1" x14ac:dyDescent="0.35">
      <c r="A1962" s="21">
        <v>2330353</v>
      </c>
      <c r="B1962" s="22" t="str">
        <f>"3526090107780930"</f>
        <v>3526090107780930</v>
      </c>
      <c r="C1962" s="22" t="str">
        <f t="shared" si="60"/>
        <v>'3526090107780930</v>
      </c>
      <c r="D1962" s="22" t="str">
        <f t="shared" si="61"/>
        <v>ganda</v>
      </c>
      <c r="E1962" s="22" t="s">
        <v>4271</v>
      </c>
      <c r="F1962" s="22" t="s">
        <v>10</v>
      </c>
      <c r="G1962" s="22" t="s">
        <v>11</v>
      </c>
      <c r="H1962" s="22" t="s">
        <v>18</v>
      </c>
      <c r="I1962" s="22" t="s">
        <v>19</v>
      </c>
      <c r="J1962" s="22" t="s">
        <v>3354</v>
      </c>
      <c r="K1962" s="23" t="s">
        <v>307</v>
      </c>
      <c r="L1962" t="e">
        <f>VLOOKUP(B1962,ubah!$B$2:$L$234,4,FALSE)</f>
        <v>#N/A</v>
      </c>
      <c r="M1962" t="e">
        <f>VLOOKUP(B1962,ubah!$B$2:$L$234,5,FALSE)</f>
        <v>#N/A</v>
      </c>
      <c r="N1962" t="e">
        <f>VLOOKUP(B1962,ubah!$B$2:$L$234,6,FALSE)</f>
        <v>#N/A</v>
      </c>
    </row>
    <row r="1963" spans="1:14" hidden="1" x14ac:dyDescent="0.35">
      <c r="A1963" s="21">
        <v>501832</v>
      </c>
      <c r="B1963" s="22" t="str">
        <f>"3526090107780930"</f>
        <v>3526090107780930</v>
      </c>
      <c r="C1963" s="22" t="str">
        <f t="shared" si="60"/>
        <v>'3526090107780930</v>
      </c>
      <c r="D1963" s="22" t="str">
        <f t="shared" si="61"/>
        <v>ganda</v>
      </c>
      <c r="E1963" s="22" t="s">
        <v>4272</v>
      </c>
      <c r="F1963" s="22" t="s">
        <v>10</v>
      </c>
      <c r="G1963" s="22" t="s">
        <v>11</v>
      </c>
      <c r="H1963" s="22" t="s">
        <v>303</v>
      </c>
      <c r="I1963" s="22" t="s">
        <v>1676</v>
      </c>
      <c r="J1963" s="22" t="s">
        <v>4273</v>
      </c>
      <c r="K1963" s="23" t="s">
        <v>4274</v>
      </c>
    </row>
    <row r="1964" spans="1:14" hidden="1" x14ac:dyDescent="0.35">
      <c r="A1964" s="21">
        <v>1941954</v>
      </c>
      <c r="B1964" s="22" t="str">
        <f>"3604244112910003"</f>
        <v>3604244112910003</v>
      </c>
      <c r="C1964" s="22" t="str">
        <f t="shared" si="60"/>
        <v>'3604244112910003</v>
      </c>
      <c r="D1964" s="22" t="str">
        <f t="shared" si="61"/>
        <v>tidak ganda</v>
      </c>
      <c r="E1964" s="22" t="s">
        <v>4275</v>
      </c>
      <c r="F1964" s="22" t="s">
        <v>10</v>
      </c>
      <c r="G1964" s="22" t="s">
        <v>11</v>
      </c>
      <c r="H1964" s="22" t="s">
        <v>67</v>
      </c>
      <c r="I1964" s="22" t="s">
        <v>375</v>
      </c>
      <c r="J1964" s="22" t="s">
        <v>4018</v>
      </c>
      <c r="K1964" s="23" t="s">
        <v>4019</v>
      </c>
    </row>
    <row r="1965" spans="1:14" hidden="1" x14ac:dyDescent="0.35">
      <c r="A1965" s="21">
        <v>324030</v>
      </c>
      <c r="B1965" s="22" t="str">
        <f>"6172010509900002"</f>
        <v>6172010509900002</v>
      </c>
      <c r="C1965" s="22" t="str">
        <f t="shared" si="60"/>
        <v>'6172010509900002</v>
      </c>
      <c r="D1965" s="22" t="str">
        <f t="shared" si="61"/>
        <v>tidak ganda</v>
      </c>
      <c r="E1965" s="22" t="s">
        <v>4276</v>
      </c>
      <c r="F1965" s="22" t="s">
        <v>10</v>
      </c>
      <c r="G1965" s="22" t="s">
        <v>11</v>
      </c>
      <c r="H1965" s="22" t="s">
        <v>516</v>
      </c>
      <c r="I1965" s="22" t="s">
        <v>4277</v>
      </c>
      <c r="J1965" s="22" t="s">
        <v>4278</v>
      </c>
      <c r="K1965" s="23" t="s">
        <v>4279</v>
      </c>
    </row>
    <row r="1966" spans="1:14" hidden="1" x14ac:dyDescent="0.35">
      <c r="A1966" s="21">
        <v>2341071</v>
      </c>
      <c r="B1966" s="22" t="str">
        <f>"6473016306030001"</f>
        <v>6473016306030001</v>
      </c>
      <c r="C1966" s="22" t="str">
        <f t="shared" si="60"/>
        <v>'6473016306030001</v>
      </c>
      <c r="D1966" s="22" t="str">
        <f t="shared" si="61"/>
        <v>tidak ganda</v>
      </c>
      <c r="E1966" s="22" t="s">
        <v>4280</v>
      </c>
      <c r="F1966" s="22" t="s">
        <v>10</v>
      </c>
      <c r="G1966" s="22" t="s">
        <v>11</v>
      </c>
      <c r="H1966" s="22" t="s">
        <v>18</v>
      </c>
      <c r="I1966" s="22" t="s">
        <v>19</v>
      </c>
      <c r="J1966" s="22" t="s">
        <v>3354</v>
      </c>
      <c r="K1966" s="23" t="s">
        <v>4026</v>
      </c>
      <c r="L1966" t="e">
        <f>VLOOKUP(B1966,ubah!$B$2:$L$234,4,FALSE)</f>
        <v>#N/A</v>
      </c>
      <c r="M1966" t="e">
        <f>VLOOKUP(B1966,ubah!$B$2:$L$234,5,FALSE)</f>
        <v>#N/A</v>
      </c>
      <c r="N1966" t="e">
        <f>VLOOKUP(B1966,ubah!$B$2:$L$234,6,FALSE)</f>
        <v>#N/A</v>
      </c>
    </row>
    <row r="1967" spans="1:14" hidden="1" x14ac:dyDescent="0.35">
      <c r="A1967" s="21">
        <v>169611</v>
      </c>
      <c r="B1967" s="22" t="str">
        <f>"7571030305520001"</f>
        <v>7571030305520001</v>
      </c>
      <c r="C1967" s="22" t="str">
        <f t="shared" si="60"/>
        <v>'7571030305520001</v>
      </c>
      <c r="D1967" s="22" t="str">
        <f t="shared" si="61"/>
        <v>tidak ganda</v>
      </c>
      <c r="E1967" s="22" t="s">
        <v>2537</v>
      </c>
      <c r="F1967" s="22" t="s">
        <v>10</v>
      </c>
      <c r="G1967" s="22" t="s">
        <v>11</v>
      </c>
      <c r="H1967" s="22" t="s">
        <v>4281</v>
      </c>
      <c r="I1967" s="22" t="s">
        <v>4282</v>
      </c>
      <c r="J1967" s="22" t="s">
        <v>4283</v>
      </c>
      <c r="K1967" s="23" t="s">
        <v>4284</v>
      </c>
    </row>
    <row r="1968" spans="1:14" hidden="1" x14ac:dyDescent="0.35">
      <c r="A1968" s="21">
        <v>319293</v>
      </c>
      <c r="B1968" s="22" t="str">
        <f>"1810076003980002"</f>
        <v>1810076003980002</v>
      </c>
      <c r="C1968" s="22" t="str">
        <f t="shared" si="60"/>
        <v>'1810076003980002</v>
      </c>
      <c r="D1968" s="22" t="str">
        <f t="shared" si="61"/>
        <v>tidak ganda</v>
      </c>
      <c r="E1968" s="22" t="s">
        <v>4285</v>
      </c>
      <c r="F1968" s="22" t="s">
        <v>10</v>
      </c>
      <c r="G1968" s="22" t="s">
        <v>11</v>
      </c>
      <c r="H1968" s="22" t="s">
        <v>44</v>
      </c>
      <c r="I1968" s="22" t="s">
        <v>4286</v>
      </c>
      <c r="J1968" s="22" t="s">
        <v>4287</v>
      </c>
      <c r="K1968" s="23" t="s">
        <v>4288</v>
      </c>
    </row>
    <row r="1969" spans="1:14" hidden="1" x14ac:dyDescent="0.35">
      <c r="A1969" s="21">
        <v>1876455</v>
      </c>
      <c r="B1969" s="22" t="str">
        <f>"3171020211840006"</f>
        <v>3171020211840006</v>
      </c>
      <c r="C1969" s="22" t="str">
        <f t="shared" si="60"/>
        <v>'3171020211840006</v>
      </c>
      <c r="D1969" s="22" t="str">
        <f t="shared" si="61"/>
        <v>ganda</v>
      </c>
      <c r="E1969" s="22" t="s">
        <v>4291</v>
      </c>
      <c r="F1969" s="22" t="s">
        <v>10</v>
      </c>
      <c r="G1969" s="22" t="s">
        <v>11</v>
      </c>
      <c r="H1969" s="22" t="s">
        <v>18</v>
      </c>
      <c r="I1969" s="22" t="s">
        <v>19</v>
      </c>
      <c r="J1969" s="22" t="s">
        <v>4290</v>
      </c>
      <c r="K1969" s="23" t="s">
        <v>344</v>
      </c>
      <c r="L1969" t="e">
        <f>VLOOKUP(B1969,ubah!$B$2:$L$234,4,FALSE)</f>
        <v>#N/A</v>
      </c>
      <c r="M1969" t="e">
        <f>VLOOKUP(B1969,ubah!$B$2:$L$234,5,FALSE)</f>
        <v>#N/A</v>
      </c>
      <c r="N1969" t="e">
        <f>VLOOKUP(B1969,ubah!$B$2:$L$234,6,FALSE)</f>
        <v>#N/A</v>
      </c>
    </row>
    <row r="1970" spans="1:14" hidden="1" x14ac:dyDescent="0.35">
      <c r="A1970" s="21">
        <v>2422734</v>
      </c>
      <c r="B1970" s="22" t="str">
        <f>"3171020211840006"</f>
        <v>3171020211840006</v>
      </c>
      <c r="C1970" s="22" t="str">
        <f t="shared" si="60"/>
        <v>'3171020211840006</v>
      </c>
      <c r="D1970" s="22" t="str">
        <f t="shared" si="61"/>
        <v>ganda</v>
      </c>
      <c r="E1970" s="22" t="s">
        <v>4292</v>
      </c>
      <c r="F1970" s="22" t="s">
        <v>10</v>
      </c>
      <c r="G1970" s="22" t="s">
        <v>57</v>
      </c>
      <c r="H1970" s="22" t="s">
        <v>50</v>
      </c>
      <c r="I1970" s="22" t="s">
        <v>58</v>
      </c>
      <c r="J1970" s="22" t="s">
        <v>59</v>
      </c>
      <c r="K1970" s="23" t="s">
        <v>60</v>
      </c>
    </row>
    <row r="1971" spans="1:14" hidden="1" x14ac:dyDescent="0.35">
      <c r="A1971" s="21">
        <v>96734</v>
      </c>
      <c r="B1971" s="22" t="str">
        <f>"3171071711900006"</f>
        <v>3171071711900006</v>
      </c>
      <c r="C1971" s="22" t="str">
        <f t="shared" si="60"/>
        <v>'3171071711900006</v>
      </c>
      <c r="D1971" s="22" t="str">
        <f t="shared" si="61"/>
        <v>tidak ganda</v>
      </c>
      <c r="E1971" s="22" t="s">
        <v>4293</v>
      </c>
      <c r="F1971" s="22" t="s">
        <v>10</v>
      </c>
      <c r="G1971" s="22" t="s">
        <v>11</v>
      </c>
      <c r="H1971" s="22" t="s">
        <v>50</v>
      </c>
      <c r="I1971" s="22" t="s">
        <v>72</v>
      </c>
      <c r="J1971" s="22" t="s">
        <v>541</v>
      </c>
      <c r="K1971" s="23" t="s">
        <v>2901</v>
      </c>
    </row>
    <row r="1972" spans="1:14" hidden="1" x14ac:dyDescent="0.35">
      <c r="A1972" s="21">
        <v>675786</v>
      </c>
      <c r="B1972" s="22" t="str">
        <f>"3171075207620001"</f>
        <v>3171075207620001</v>
      </c>
      <c r="C1972" s="22" t="str">
        <f t="shared" si="60"/>
        <v>'3171075207620001</v>
      </c>
      <c r="D1972" s="22" t="str">
        <f t="shared" si="61"/>
        <v>tidak ganda</v>
      </c>
      <c r="E1972" s="22" t="s">
        <v>4295</v>
      </c>
      <c r="F1972" s="22" t="s">
        <v>10</v>
      </c>
      <c r="G1972" s="22" t="s">
        <v>11</v>
      </c>
      <c r="H1972" s="22" t="s">
        <v>50</v>
      </c>
      <c r="I1972" s="22" t="s">
        <v>280</v>
      </c>
      <c r="J1972" s="22" t="s">
        <v>281</v>
      </c>
      <c r="K1972" s="23" t="s">
        <v>4296</v>
      </c>
    </row>
    <row r="1973" spans="1:14" hidden="1" x14ac:dyDescent="0.35">
      <c r="A1973" s="21">
        <v>240578</v>
      </c>
      <c r="B1973" s="22" t="str">
        <f>"3172012801740004"</f>
        <v>3172012801740004</v>
      </c>
      <c r="C1973" s="22" t="str">
        <f t="shared" si="60"/>
        <v>'3172012801740004</v>
      </c>
      <c r="D1973" s="22" t="str">
        <f t="shared" si="61"/>
        <v>tidak ganda</v>
      </c>
      <c r="E1973" s="22" t="s">
        <v>979</v>
      </c>
      <c r="F1973" s="22" t="s">
        <v>10</v>
      </c>
      <c r="G1973" s="22" t="s">
        <v>11</v>
      </c>
      <c r="H1973" s="22" t="s">
        <v>50</v>
      </c>
      <c r="I1973" s="22" t="s">
        <v>51</v>
      </c>
      <c r="J1973" s="22" t="s">
        <v>52</v>
      </c>
      <c r="K1973" s="23" t="s">
        <v>3823</v>
      </c>
    </row>
    <row r="1974" spans="1:14" hidden="1" x14ac:dyDescent="0.35">
      <c r="A1974" s="21">
        <v>1906825</v>
      </c>
      <c r="B1974" s="22" t="str">
        <f>"3172014907951001"</f>
        <v>3172014907951001</v>
      </c>
      <c r="C1974" s="22" t="str">
        <f t="shared" si="60"/>
        <v>'3172014907951001</v>
      </c>
      <c r="D1974" s="22" t="str">
        <f t="shared" si="61"/>
        <v>tidak ganda</v>
      </c>
      <c r="E1974" s="22" t="s">
        <v>4297</v>
      </c>
      <c r="F1974" s="22" t="s">
        <v>10</v>
      </c>
      <c r="G1974" s="22" t="s">
        <v>11</v>
      </c>
      <c r="H1974" s="22" t="s">
        <v>18</v>
      </c>
      <c r="I1974" s="22" t="s">
        <v>19</v>
      </c>
      <c r="J1974" s="22" t="s">
        <v>4290</v>
      </c>
      <c r="K1974" s="23" t="s">
        <v>4298</v>
      </c>
      <c r="L1974" t="e">
        <f>VLOOKUP(B1974,ubah!$B$2:$L$234,4,FALSE)</f>
        <v>#N/A</v>
      </c>
      <c r="M1974" t="e">
        <f>VLOOKUP(B1974,ubah!$B$2:$L$234,5,FALSE)</f>
        <v>#N/A</v>
      </c>
      <c r="N1974" t="e">
        <f>VLOOKUP(B1974,ubah!$B$2:$L$234,6,FALSE)</f>
        <v>#N/A</v>
      </c>
    </row>
    <row r="1975" spans="1:14" hidden="1" x14ac:dyDescent="0.35">
      <c r="A1975" s="21">
        <v>240580</v>
      </c>
      <c r="B1975" s="22" t="str">
        <f>"3172016410010004"</f>
        <v>3172016410010004</v>
      </c>
      <c r="C1975" s="22" t="str">
        <f t="shared" si="60"/>
        <v>'3172016410010004</v>
      </c>
      <c r="D1975" s="22" t="str">
        <f t="shared" si="61"/>
        <v>tidak ganda</v>
      </c>
      <c r="E1975" s="22" t="s">
        <v>4299</v>
      </c>
      <c r="F1975" s="22" t="s">
        <v>10</v>
      </c>
      <c r="G1975" s="22" t="s">
        <v>11</v>
      </c>
      <c r="H1975" s="22" t="s">
        <v>50</v>
      </c>
      <c r="I1975" s="22" t="s">
        <v>51</v>
      </c>
      <c r="J1975" s="22" t="s">
        <v>52</v>
      </c>
      <c r="K1975" s="23" t="s">
        <v>3823</v>
      </c>
    </row>
    <row r="1976" spans="1:14" hidden="1" x14ac:dyDescent="0.35">
      <c r="A1976" s="21">
        <v>240579</v>
      </c>
      <c r="B1976" s="22" t="str">
        <f>"3172017005760004"</f>
        <v>3172017005760004</v>
      </c>
      <c r="C1976" s="22" t="str">
        <f t="shared" si="60"/>
        <v>'3172017005760004</v>
      </c>
      <c r="D1976" s="22" t="str">
        <f t="shared" si="61"/>
        <v>tidak ganda</v>
      </c>
      <c r="E1976" s="22" t="s">
        <v>4301</v>
      </c>
      <c r="F1976" s="22" t="s">
        <v>10</v>
      </c>
      <c r="G1976" s="22" t="s">
        <v>11</v>
      </c>
      <c r="H1976" s="22" t="s">
        <v>50</v>
      </c>
      <c r="I1976" s="22" t="s">
        <v>51</v>
      </c>
      <c r="J1976" s="22" t="s">
        <v>52</v>
      </c>
      <c r="K1976" s="23" t="s">
        <v>3823</v>
      </c>
    </row>
    <row r="1977" spans="1:14" hidden="1" x14ac:dyDescent="0.35">
      <c r="A1977" s="21">
        <v>1879727</v>
      </c>
      <c r="B1977" s="22" t="str">
        <f>"3173012202920001"</f>
        <v>3173012202920001</v>
      </c>
      <c r="C1977" s="22" t="str">
        <f t="shared" si="60"/>
        <v>'3173012202920001</v>
      </c>
      <c r="D1977" s="22" t="str">
        <f t="shared" si="61"/>
        <v>tidak ganda</v>
      </c>
      <c r="E1977" s="22" t="s">
        <v>4302</v>
      </c>
      <c r="F1977" s="22" t="s">
        <v>10</v>
      </c>
      <c r="G1977" s="22" t="s">
        <v>11</v>
      </c>
      <c r="H1977" s="22" t="s">
        <v>18</v>
      </c>
      <c r="I1977" s="22" t="s">
        <v>19</v>
      </c>
      <c r="J1977" s="22" t="s">
        <v>4290</v>
      </c>
      <c r="K1977" s="23" t="s">
        <v>4303</v>
      </c>
      <c r="L1977" t="e">
        <f>VLOOKUP(B1977,ubah!$B$2:$L$234,4,FALSE)</f>
        <v>#N/A</v>
      </c>
      <c r="M1977" t="e">
        <f>VLOOKUP(B1977,ubah!$B$2:$L$234,5,FALSE)</f>
        <v>#N/A</v>
      </c>
      <c r="N1977" t="e">
        <f>VLOOKUP(B1977,ubah!$B$2:$L$234,6,FALSE)</f>
        <v>#N/A</v>
      </c>
    </row>
    <row r="1978" spans="1:14" hidden="1" x14ac:dyDescent="0.35">
      <c r="A1978" s="21">
        <v>1101914</v>
      </c>
      <c r="B1978" s="22" t="str">
        <f>"3174060708050003"</f>
        <v>3174060708050003</v>
      </c>
      <c r="C1978" s="22" t="str">
        <f t="shared" si="60"/>
        <v>'3174060708050003</v>
      </c>
      <c r="D1978" s="22" t="str">
        <f t="shared" si="61"/>
        <v>tidak ganda</v>
      </c>
      <c r="E1978" s="22" t="s">
        <v>4306</v>
      </c>
      <c r="F1978" s="22" t="s">
        <v>10</v>
      </c>
      <c r="G1978" s="22" t="s">
        <v>11</v>
      </c>
      <c r="H1978" s="22" t="s">
        <v>50</v>
      </c>
      <c r="I1978" s="22" t="s">
        <v>72</v>
      </c>
      <c r="J1978" s="22" t="s">
        <v>1093</v>
      </c>
      <c r="K1978" s="23" t="s">
        <v>4307</v>
      </c>
    </row>
    <row r="1979" spans="1:14" hidden="1" x14ac:dyDescent="0.35">
      <c r="A1979" s="21">
        <v>1101916</v>
      </c>
      <c r="B1979" s="22" t="str">
        <f>"3174062205690010"</f>
        <v>3174062205690010</v>
      </c>
      <c r="C1979" s="22" t="str">
        <f t="shared" si="60"/>
        <v>'3174062205690010</v>
      </c>
      <c r="D1979" s="22" t="str">
        <f t="shared" si="61"/>
        <v>tidak ganda</v>
      </c>
      <c r="E1979" s="22" t="s">
        <v>4310</v>
      </c>
      <c r="F1979" s="22" t="s">
        <v>10</v>
      </c>
      <c r="G1979" s="22" t="s">
        <v>11</v>
      </c>
      <c r="H1979" s="22" t="s">
        <v>50</v>
      </c>
      <c r="I1979" s="22" t="s">
        <v>72</v>
      </c>
      <c r="J1979" s="22" t="s">
        <v>1093</v>
      </c>
      <c r="K1979" s="23" t="s">
        <v>4307</v>
      </c>
    </row>
    <row r="1980" spans="1:14" hidden="1" x14ac:dyDescent="0.35">
      <c r="A1980" s="21">
        <v>1101918</v>
      </c>
      <c r="B1980" s="22" t="str">
        <f>"3174065605800005"</f>
        <v>3174065605800005</v>
      </c>
      <c r="C1980" s="22" t="str">
        <f t="shared" si="60"/>
        <v>'3174065605800005</v>
      </c>
      <c r="D1980" s="22" t="str">
        <f t="shared" si="61"/>
        <v>tidak ganda</v>
      </c>
      <c r="E1980" s="22" t="s">
        <v>4312</v>
      </c>
      <c r="F1980" s="22" t="s">
        <v>10</v>
      </c>
      <c r="G1980" s="22" t="s">
        <v>11</v>
      </c>
      <c r="H1980" s="22" t="s">
        <v>50</v>
      </c>
      <c r="I1980" s="22" t="s">
        <v>72</v>
      </c>
      <c r="J1980" s="22" t="s">
        <v>1093</v>
      </c>
      <c r="K1980" s="23" t="s">
        <v>4307</v>
      </c>
    </row>
    <row r="1981" spans="1:14" hidden="1" x14ac:dyDescent="0.35">
      <c r="A1981" s="21">
        <v>1895244</v>
      </c>
      <c r="B1981" s="22" t="str">
        <f>"3175072507750007"</f>
        <v>3175072507750007</v>
      </c>
      <c r="C1981" s="22" t="str">
        <f t="shared" si="60"/>
        <v>'3175072507750007</v>
      </c>
      <c r="D1981" s="22" t="str">
        <f t="shared" si="61"/>
        <v>tidak ganda</v>
      </c>
      <c r="E1981" s="22" t="s">
        <v>4314</v>
      </c>
      <c r="F1981" s="22" t="s">
        <v>10</v>
      </c>
      <c r="G1981" s="22" t="s">
        <v>11</v>
      </c>
      <c r="H1981" s="22" t="s">
        <v>18</v>
      </c>
      <c r="I1981" s="22" t="s">
        <v>19</v>
      </c>
      <c r="J1981" s="22" t="s">
        <v>4290</v>
      </c>
      <c r="K1981" s="23" t="s">
        <v>4315</v>
      </c>
      <c r="L1981" t="e">
        <f>VLOOKUP(B1981,ubah!$B$2:$L$234,4,FALSE)</f>
        <v>#N/A</v>
      </c>
      <c r="M1981" t="e">
        <f>VLOOKUP(B1981,ubah!$B$2:$L$234,5,FALSE)</f>
        <v>#N/A</v>
      </c>
      <c r="N1981" t="e">
        <f>VLOOKUP(B1981,ubah!$B$2:$L$234,6,FALSE)</f>
        <v>#N/A</v>
      </c>
    </row>
    <row r="1982" spans="1:14" hidden="1" x14ac:dyDescent="0.35">
      <c r="A1982" s="21">
        <v>1078006</v>
      </c>
      <c r="B1982" s="22" t="str">
        <f>"3175090407800019"</f>
        <v>3175090407800019</v>
      </c>
      <c r="C1982" s="22" t="str">
        <f t="shared" si="60"/>
        <v>'3175090407800019</v>
      </c>
      <c r="D1982" s="22" t="str">
        <f t="shared" si="61"/>
        <v>tidak ganda</v>
      </c>
      <c r="E1982" s="22" t="s">
        <v>4317</v>
      </c>
      <c r="F1982" s="22" t="s">
        <v>10</v>
      </c>
      <c r="G1982" s="22" t="s">
        <v>11</v>
      </c>
      <c r="H1982" s="22" t="s">
        <v>50</v>
      </c>
      <c r="I1982" s="22" t="s">
        <v>58</v>
      </c>
      <c r="J1982" s="22" t="s">
        <v>1747</v>
      </c>
      <c r="K1982" s="23" t="s">
        <v>2291</v>
      </c>
    </row>
    <row r="1983" spans="1:14" hidden="1" x14ac:dyDescent="0.35">
      <c r="A1983" s="21">
        <v>1879967</v>
      </c>
      <c r="B1983" s="22" t="str">
        <f>"3201150304670012"</f>
        <v>3201150304670012</v>
      </c>
      <c r="C1983" s="22" t="str">
        <f t="shared" si="60"/>
        <v>'3201150304670012</v>
      </c>
      <c r="D1983" s="22" t="str">
        <f t="shared" si="61"/>
        <v>tidak ganda</v>
      </c>
      <c r="E1983" s="22" t="s">
        <v>4319</v>
      </c>
      <c r="F1983" s="22" t="s">
        <v>10</v>
      </c>
      <c r="G1983" s="22" t="s">
        <v>11</v>
      </c>
      <c r="H1983" s="22" t="s">
        <v>18</v>
      </c>
      <c r="I1983" s="22" t="s">
        <v>19</v>
      </c>
      <c r="J1983" s="22" t="s">
        <v>4290</v>
      </c>
      <c r="K1983" s="23" t="s">
        <v>4303</v>
      </c>
      <c r="L1983" t="e">
        <f>VLOOKUP(B1983,ubah!$B$2:$L$234,4,FALSE)</f>
        <v>#N/A</v>
      </c>
      <c r="M1983" t="e">
        <f>VLOOKUP(B1983,ubah!$B$2:$L$234,5,FALSE)</f>
        <v>#N/A</v>
      </c>
      <c r="N1983" t="e">
        <f>VLOOKUP(B1983,ubah!$B$2:$L$234,6,FALSE)</f>
        <v>#N/A</v>
      </c>
    </row>
    <row r="1984" spans="1:14" hidden="1" x14ac:dyDescent="0.35">
      <c r="A1984" s="21">
        <v>1272237</v>
      </c>
      <c r="B1984" s="22" t="str">
        <f>"3209195605980005"</f>
        <v>3209195605980005</v>
      </c>
      <c r="C1984" s="22" t="str">
        <f t="shared" si="60"/>
        <v>'3209195605980005</v>
      </c>
      <c r="D1984" s="22" t="str">
        <f t="shared" si="61"/>
        <v>tidak ganda</v>
      </c>
      <c r="E1984" s="22" t="s">
        <v>4323</v>
      </c>
      <c r="F1984" s="22" t="s">
        <v>10</v>
      </c>
      <c r="G1984" s="22" t="s">
        <v>11</v>
      </c>
      <c r="H1984" s="22" t="s">
        <v>91</v>
      </c>
      <c r="I1984" s="22" t="s">
        <v>985</v>
      </c>
      <c r="J1984" s="22" t="s">
        <v>4324</v>
      </c>
      <c r="K1984" s="23" t="s">
        <v>680</v>
      </c>
    </row>
    <row r="1985" spans="1:14" hidden="1" x14ac:dyDescent="0.35">
      <c r="A1985" s="21">
        <v>1422994</v>
      </c>
      <c r="B1985" s="22" t="str">
        <f>"3211264111930001"</f>
        <v>3211264111930001</v>
      </c>
      <c r="C1985" s="22" t="str">
        <f t="shared" si="60"/>
        <v>'3211264111930001</v>
      </c>
      <c r="D1985" s="22" t="str">
        <f t="shared" si="61"/>
        <v>tidak ganda</v>
      </c>
      <c r="E1985" s="22" t="s">
        <v>4325</v>
      </c>
      <c r="F1985" s="22" t="s">
        <v>10</v>
      </c>
      <c r="G1985" s="22" t="s">
        <v>11</v>
      </c>
      <c r="H1985" s="22" t="s">
        <v>91</v>
      </c>
      <c r="I1985" s="22" t="s">
        <v>1763</v>
      </c>
      <c r="J1985" s="22" t="s">
        <v>4326</v>
      </c>
      <c r="K1985" s="23" t="s">
        <v>4327</v>
      </c>
    </row>
    <row r="1986" spans="1:14" hidden="1" x14ac:dyDescent="0.35">
      <c r="A1986" s="21">
        <v>161515</v>
      </c>
      <c r="B1986" s="22" t="str">
        <f>"3212055308010001"</f>
        <v>3212055308010001</v>
      </c>
      <c r="C1986" s="22" t="str">
        <f t="shared" si="60"/>
        <v>'3212055308010001</v>
      </c>
      <c r="D1986" s="22" t="str">
        <f t="shared" si="61"/>
        <v>tidak ganda</v>
      </c>
      <c r="E1986" s="22" t="s">
        <v>4330</v>
      </c>
      <c r="F1986" s="22" t="s">
        <v>10</v>
      </c>
      <c r="G1986" s="22" t="s">
        <v>11</v>
      </c>
      <c r="H1986" s="22" t="s">
        <v>91</v>
      </c>
      <c r="I1986" s="22" t="s">
        <v>114</v>
      </c>
      <c r="J1986" s="22" t="s">
        <v>4331</v>
      </c>
      <c r="K1986" s="23" t="s">
        <v>4332</v>
      </c>
    </row>
    <row r="1987" spans="1:14" hidden="1" x14ac:dyDescent="0.35">
      <c r="A1987" s="21">
        <v>1875817</v>
      </c>
      <c r="B1987" s="22" t="str">
        <f>"3213091011810014"</f>
        <v>3213091011810014</v>
      </c>
      <c r="C1987" s="22" t="str">
        <f t="shared" ref="C1987:C2050" si="62">"'"&amp;B1987</f>
        <v>'3213091011810014</v>
      </c>
      <c r="D1987" s="22" t="str">
        <f t="shared" ref="D1987:D2050" si="63">IF(COUNTIF($C:$C,C1987)&gt;1,"ganda","tidak ganda")</f>
        <v>tidak ganda</v>
      </c>
      <c r="E1987" s="22" t="s">
        <v>4333</v>
      </c>
      <c r="F1987" s="22" t="s">
        <v>10</v>
      </c>
      <c r="G1987" s="22" t="s">
        <v>11</v>
      </c>
      <c r="H1987" s="22" t="s">
        <v>18</v>
      </c>
      <c r="I1987" s="22" t="s">
        <v>19</v>
      </c>
      <c r="J1987" s="22" t="s">
        <v>4290</v>
      </c>
      <c r="K1987" s="23" t="s">
        <v>344</v>
      </c>
      <c r="L1987" t="e">
        <f>VLOOKUP(B1987,ubah!$B$2:$L$234,4,FALSE)</f>
        <v>#N/A</v>
      </c>
      <c r="M1987" t="e">
        <f>VLOOKUP(B1987,ubah!$B$2:$L$234,5,FALSE)</f>
        <v>#N/A</v>
      </c>
      <c r="N1987" t="e">
        <f>VLOOKUP(B1987,ubah!$B$2:$L$234,6,FALSE)</f>
        <v>#N/A</v>
      </c>
    </row>
    <row r="1988" spans="1:14" hidden="1" x14ac:dyDescent="0.35">
      <c r="A1988" s="21">
        <v>1757432</v>
      </c>
      <c r="B1988" s="22" t="str">
        <f>"3215255606960005"</f>
        <v>3215255606960005</v>
      </c>
      <c r="C1988" s="22" t="str">
        <f t="shared" si="62"/>
        <v>'3215255606960005</v>
      </c>
      <c r="D1988" s="22" t="str">
        <f t="shared" si="63"/>
        <v>tidak ganda</v>
      </c>
      <c r="E1988" s="22" t="s">
        <v>4336</v>
      </c>
      <c r="F1988" s="22" t="s">
        <v>10</v>
      </c>
      <c r="G1988" s="22" t="s">
        <v>11</v>
      </c>
      <c r="H1988" s="22" t="s">
        <v>91</v>
      </c>
      <c r="I1988" s="22" t="s">
        <v>320</v>
      </c>
      <c r="J1988" s="22" t="s">
        <v>1289</v>
      </c>
      <c r="K1988" s="23" t="s">
        <v>4337</v>
      </c>
    </row>
    <row r="1989" spans="1:14" hidden="1" x14ac:dyDescent="0.35">
      <c r="A1989" s="21">
        <v>621600</v>
      </c>
      <c r="B1989" s="22" t="str">
        <f>"3271050304800025"</f>
        <v>3271050304800025</v>
      </c>
      <c r="C1989" s="22" t="str">
        <f t="shared" si="62"/>
        <v>'3271050304800025</v>
      </c>
      <c r="D1989" s="22" t="str">
        <f t="shared" si="63"/>
        <v>tidak ganda</v>
      </c>
      <c r="E1989" s="22" t="s">
        <v>4338</v>
      </c>
      <c r="F1989" s="22" t="s">
        <v>10</v>
      </c>
      <c r="G1989" s="22" t="s">
        <v>11</v>
      </c>
      <c r="H1989" s="22" t="s">
        <v>91</v>
      </c>
      <c r="I1989" s="22" t="s">
        <v>438</v>
      </c>
      <c r="J1989" s="22" t="s">
        <v>2958</v>
      </c>
      <c r="K1989" s="23" t="s">
        <v>4339</v>
      </c>
    </row>
    <row r="1990" spans="1:14" hidden="1" x14ac:dyDescent="0.35">
      <c r="A1990" s="21">
        <v>621601</v>
      </c>
      <c r="B1990" s="22" t="str">
        <f>"3271054802830010"</f>
        <v>3271054802830010</v>
      </c>
      <c r="C1990" s="22" t="str">
        <f t="shared" si="62"/>
        <v>'3271054802830010</v>
      </c>
      <c r="D1990" s="22" t="str">
        <f t="shared" si="63"/>
        <v>tidak ganda</v>
      </c>
      <c r="E1990" s="22" t="s">
        <v>4341</v>
      </c>
      <c r="F1990" s="22" t="s">
        <v>10</v>
      </c>
      <c r="G1990" s="22" t="s">
        <v>11</v>
      </c>
      <c r="H1990" s="22" t="s">
        <v>91</v>
      </c>
      <c r="I1990" s="22" t="s">
        <v>438</v>
      </c>
      <c r="J1990" s="22" t="s">
        <v>2958</v>
      </c>
      <c r="K1990" s="23" t="s">
        <v>4339</v>
      </c>
    </row>
    <row r="1991" spans="1:14" hidden="1" x14ac:dyDescent="0.35">
      <c r="A1991" s="21">
        <v>621602</v>
      </c>
      <c r="B1991" s="22" t="str">
        <f>"3271057001070003"</f>
        <v>3271057001070003</v>
      </c>
      <c r="C1991" s="22" t="str">
        <f t="shared" si="62"/>
        <v>'3271057001070003</v>
      </c>
      <c r="D1991" s="22" t="str">
        <f t="shared" si="63"/>
        <v>tidak ganda</v>
      </c>
      <c r="E1991" s="22" t="s">
        <v>4343</v>
      </c>
      <c r="F1991" s="22" t="s">
        <v>10</v>
      </c>
      <c r="G1991" s="22" t="s">
        <v>11</v>
      </c>
      <c r="H1991" s="22" t="s">
        <v>91</v>
      </c>
      <c r="I1991" s="22" t="s">
        <v>438</v>
      </c>
      <c r="J1991" s="22" t="s">
        <v>2958</v>
      </c>
      <c r="K1991" s="23" t="s">
        <v>4339</v>
      </c>
    </row>
    <row r="1992" spans="1:14" hidden="1" x14ac:dyDescent="0.35">
      <c r="A1992" s="21">
        <v>196064</v>
      </c>
      <c r="B1992" s="22" t="str">
        <f>"3274041904690004"</f>
        <v>3274041904690004</v>
      </c>
      <c r="C1992" s="22" t="str">
        <f t="shared" si="62"/>
        <v>'3274041904690004</v>
      </c>
      <c r="D1992" s="22" t="str">
        <f t="shared" si="63"/>
        <v>tidak ganda</v>
      </c>
      <c r="E1992" s="22" t="s">
        <v>4345</v>
      </c>
      <c r="F1992" s="22" t="s">
        <v>10</v>
      </c>
      <c r="G1992" s="22" t="s">
        <v>11</v>
      </c>
      <c r="H1992" s="22" t="s">
        <v>91</v>
      </c>
      <c r="I1992" s="22" t="s">
        <v>155</v>
      </c>
      <c r="J1992" s="22" t="s">
        <v>1327</v>
      </c>
      <c r="K1992" s="23" t="s">
        <v>4346</v>
      </c>
    </row>
    <row r="1993" spans="1:14" hidden="1" x14ac:dyDescent="0.35">
      <c r="A1993" s="21">
        <v>196063</v>
      </c>
      <c r="B1993" s="22" t="str">
        <f>"3274046311740006"</f>
        <v>3274046311740006</v>
      </c>
      <c r="C1993" s="22" t="str">
        <f t="shared" si="62"/>
        <v>'3274046311740006</v>
      </c>
      <c r="D1993" s="22" t="str">
        <f t="shared" si="63"/>
        <v>tidak ganda</v>
      </c>
      <c r="E1993" s="22" t="s">
        <v>4348</v>
      </c>
      <c r="F1993" s="22" t="s">
        <v>10</v>
      </c>
      <c r="G1993" s="22" t="s">
        <v>11</v>
      </c>
      <c r="H1993" s="22" t="s">
        <v>91</v>
      </c>
      <c r="I1993" s="22" t="s">
        <v>155</v>
      </c>
      <c r="J1993" s="22" t="s">
        <v>1327</v>
      </c>
      <c r="K1993" s="23" t="s">
        <v>4346</v>
      </c>
    </row>
    <row r="1994" spans="1:14" hidden="1" x14ac:dyDescent="0.35">
      <c r="A1994" s="21">
        <v>132164</v>
      </c>
      <c r="B1994" s="22" t="str">
        <f>"3275014512690023"</f>
        <v>3275014512690023</v>
      </c>
      <c r="C1994" s="22" t="str">
        <f t="shared" si="62"/>
        <v>'3275014512690023</v>
      </c>
      <c r="D1994" s="22" t="str">
        <f t="shared" si="63"/>
        <v>tidak ganda</v>
      </c>
      <c r="E1994" s="22" t="s">
        <v>4349</v>
      </c>
      <c r="F1994" s="22" t="s">
        <v>10</v>
      </c>
      <c r="G1994" s="22" t="s">
        <v>11</v>
      </c>
      <c r="H1994" s="22" t="s">
        <v>91</v>
      </c>
      <c r="I1994" s="22" t="s">
        <v>159</v>
      </c>
      <c r="J1994" s="22" t="s">
        <v>685</v>
      </c>
      <c r="K1994" s="23" t="s">
        <v>686</v>
      </c>
    </row>
    <row r="1995" spans="1:14" hidden="1" x14ac:dyDescent="0.35">
      <c r="A1995" s="21">
        <v>132166</v>
      </c>
      <c r="B1995" s="22" t="str">
        <f>"3275016104990029"</f>
        <v>3275016104990029</v>
      </c>
      <c r="C1995" s="22" t="str">
        <f t="shared" si="62"/>
        <v>'3275016104990029</v>
      </c>
      <c r="D1995" s="22" t="str">
        <f t="shared" si="63"/>
        <v>tidak ganda</v>
      </c>
      <c r="E1995" s="22" t="s">
        <v>4351</v>
      </c>
      <c r="F1995" s="22" t="s">
        <v>10</v>
      </c>
      <c r="G1995" s="22" t="s">
        <v>11</v>
      </c>
      <c r="H1995" s="22" t="s">
        <v>91</v>
      </c>
      <c r="I1995" s="22" t="s">
        <v>159</v>
      </c>
      <c r="J1995" s="22" t="s">
        <v>685</v>
      </c>
      <c r="K1995" s="23" t="s">
        <v>686</v>
      </c>
    </row>
    <row r="1996" spans="1:14" hidden="1" x14ac:dyDescent="0.35">
      <c r="A1996" s="21">
        <v>1607835</v>
      </c>
      <c r="B1996" s="22" t="str">
        <f>"3275020404520025"</f>
        <v>3275020404520025</v>
      </c>
      <c r="C1996" s="22" t="str">
        <f t="shared" si="62"/>
        <v>'3275020404520025</v>
      </c>
      <c r="D1996" s="22" t="str">
        <f t="shared" si="63"/>
        <v>tidak ganda</v>
      </c>
      <c r="E1996" s="22" t="s">
        <v>4353</v>
      </c>
      <c r="F1996" s="22" t="s">
        <v>10</v>
      </c>
      <c r="G1996" s="22" t="s">
        <v>11</v>
      </c>
      <c r="H1996" s="22" t="s">
        <v>91</v>
      </c>
      <c r="I1996" s="22" t="s">
        <v>159</v>
      </c>
      <c r="J1996" s="22" t="s">
        <v>1288</v>
      </c>
      <c r="K1996" s="23" t="s">
        <v>4354</v>
      </c>
    </row>
    <row r="1997" spans="1:14" hidden="1" x14ac:dyDescent="0.35">
      <c r="A1997" s="21">
        <v>1734910</v>
      </c>
      <c r="B1997" s="22" t="str">
        <f>"3275042309870019"</f>
        <v>3275042309870019</v>
      </c>
      <c r="C1997" s="22" t="str">
        <f t="shared" si="62"/>
        <v>'3275042309870019</v>
      </c>
      <c r="D1997" s="22" t="str">
        <f t="shared" si="63"/>
        <v>tidak ganda</v>
      </c>
      <c r="E1997" s="22" t="s">
        <v>4356</v>
      </c>
      <c r="F1997" s="22" t="s">
        <v>10</v>
      </c>
      <c r="G1997" s="22" t="s">
        <v>11</v>
      </c>
      <c r="H1997" s="22" t="s">
        <v>91</v>
      </c>
      <c r="I1997" s="22" t="s">
        <v>159</v>
      </c>
      <c r="J1997" s="22" t="s">
        <v>1332</v>
      </c>
      <c r="K1997" s="23" t="s">
        <v>2358</v>
      </c>
    </row>
    <row r="1998" spans="1:14" hidden="1" x14ac:dyDescent="0.35">
      <c r="A1998" s="21">
        <v>369348</v>
      </c>
      <c r="B1998" s="22" t="str">
        <f>"3275045610860014"</f>
        <v>3275045610860014</v>
      </c>
      <c r="C1998" s="22" t="str">
        <f t="shared" si="62"/>
        <v>'3275045610860014</v>
      </c>
      <c r="D1998" s="22" t="str">
        <f t="shared" si="63"/>
        <v>tidak ganda</v>
      </c>
      <c r="E1998" s="22" t="s">
        <v>4359</v>
      </c>
      <c r="F1998" s="22" t="s">
        <v>10</v>
      </c>
      <c r="G1998" s="22" t="s">
        <v>11</v>
      </c>
      <c r="H1998" s="22" t="s">
        <v>91</v>
      </c>
      <c r="I1998" s="22" t="s">
        <v>159</v>
      </c>
      <c r="J1998" s="22" t="s">
        <v>1332</v>
      </c>
      <c r="K1998" s="23" t="s">
        <v>4360</v>
      </c>
    </row>
    <row r="1999" spans="1:14" hidden="1" x14ac:dyDescent="0.35">
      <c r="A1999" s="21">
        <v>1904097</v>
      </c>
      <c r="B1999" s="22" t="str">
        <f>"3276026909810012"</f>
        <v>3276026909810012</v>
      </c>
      <c r="C1999" s="22" t="str">
        <f t="shared" si="62"/>
        <v>'3276026909810012</v>
      </c>
      <c r="D1999" s="22" t="str">
        <f t="shared" si="63"/>
        <v>tidak ganda</v>
      </c>
      <c r="E1999" s="22" t="s">
        <v>4362</v>
      </c>
      <c r="F1999" s="22" t="s">
        <v>10</v>
      </c>
      <c r="G1999" s="22" t="s">
        <v>11</v>
      </c>
      <c r="H1999" s="22" t="s">
        <v>18</v>
      </c>
      <c r="I1999" s="22" t="s">
        <v>19</v>
      </c>
      <c r="J1999" s="22" t="s">
        <v>4290</v>
      </c>
      <c r="K1999" s="23" t="s">
        <v>4298</v>
      </c>
      <c r="L1999" t="e">
        <f>VLOOKUP(B1999,ubah!$B$2:$L$234,4,FALSE)</f>
        <v>#N/A</v>
      </c>
      <c r="M1999" t="e">
        <f>VLOOKUP(B1999,ubah!$B$2:$L$234,5,FALSE)</f>
        <v>#N/A</v>
      </c>
      <c r="N1999" t="e">
        <f>VLOOKUP(B1999,ubah!$B$2:$L$234,6,FALSE)</f>
        <v>#N/A</v>
      </c>
    </row>
    <row r="2000" spans="1:14" hidden="1" x14ac:dyDescent="0.35">
      <c r="A2000" s="21">
        <v>1951378</v>
      </c>
      <c r="B2000" s="22" t="str">
        <f>"3308106109820006"</f>
        <v>3308106109820006</v>
      </c>
      <c r="C2000" s="22" t="str">
        <f t="shared" si="62"/>
        <v>'3308106109820006</v>
      </c>
      <c r="D2000" s="22" t="str">
        <f t="shared" si="63"/>
        <v>tidak ganda</v>
      </c>
      <c r="E2000" s="22" t="s">
        <v>4366</v>
      </c>
      <c r="F2000" s="22" t="s">
        <v>10</v>
      </c>
      <c r="G2000" s="22" t="s">
        <v>11</v>
      </c>
      <c r="H2000" s="22" t="s">
        <v>18</v>
      </c>
      <c r="I2000" s="22" t="s">
        <v>962</v>
      </c>
      <c r="J2000" s="22" t="s">
        <v>4189</v>
      </c>
      <c r="K2000" s="23" t="s">
        <v>4367</v>
      </c>
    </row>
    <row r="2001" spans="1:14" hidden="1" x14ac:dyDescent="0.35">
      <c r="A2001" s="21">
        <v>710844</v>
      </c>
      <c r="B2001" s="22" t="str">
        <f>"3315104707040001"</f>
        <v>3315104707040001</v>
      </c>
      <c r="C2001" s="22" t="str">
        <f t="shared" si="62"/>
        <v>'3315104707040001</v>
      </c>
      <c r="D2001" s="22" t="str">
        <f t="shared" si="63"/>
        <v>tidak ganda</v>
      </c>
      <c r="E2001" s="22" t="s">
        <v>4368</v>
      </c>
      <c r="F2001" s="22" t="s">
        <v>10</v>
      </c>
      <c r="G2001" s="22" t="s">
        <v>11</v>
      </c>
      <c r="H2001" s="22" t="s">
        <v>18</v>
      </c>
      <c r="I2001" s="22" t="s">
        <v>180</v>
      </c>
      <c r="J2001" s="22" t="s">
        <v>4369</v>
      </c>
      <c r="K2001" s="23" t="s">
        <v>4370</v>
      </c>
    </row>
    <row r="2002" spans="1:14" hidden="1" x14ac:dyDescent="0.35">
      <c r="A2002" s="21">
        <v>374947</v>
      </c>
      <c r="B2002" s="22" t="str">
        <f>"3317146602980001"</f>
        <v>3317146602980001</v>
      </c>
      <c r="C2002" s="22" t="str">
        <f t="shared" si="62"/>
        <v>'3317146602980001</v>
      </c>
      <c r="D2002" s="22" t="str">
        <f t="shared" si="63"/>
        <v>tidak ganda</v>
      </c>
      <c r="E2002" s="22" t="s">
        <v>4372</v>
      </c>
      <c r="F2002" s="22" t="s">
        <v>10</v>
      </c>
      <c r="G2002" s="22" t="s">
        <v>11</v>
      </c>
      <c r="H2002" s="22" t="s">
        <v>18</v>
      </c>
      <c r="I2002" s="22" t="s">
        <v>4373</v>
      </c>
      <c r="J2002" s="22" t="s">
        <v>4374</v>
      </c>
      <c r="K2002" s="23" t="s">
        <v>4375</v>
      </c>
    </row>
    <row r="2003" spans="1:14" hidden="1" x14ac:dyDescent="0.35">
      <c r="A2003" s="21">
        <v>1879728</v>
      </c>
      <c r="B2003" s="22" t="str">
        <f>"3326045902020001"</f>
        <v>3326045902020001</v>
      </c>
      <c r="C2003" s="22" t="str">
        <f t="shared" si="62"/>
        <v>'3326045902020001</v>
      </c>
      <c r="D2003" s="22" t="str">
        <f t="shared" si="63"/>
        <v>tidak ganda</v>
      </c>
      <c r="E2003" s="22" t="s">
        <v>4378</v>
      </c>
      <c r="F2003" s="22" t="s">
        <v>10</v>
      </c>
      <c r="G2003" s="22" t="s">
        <v>11</v>
      </c>
      <c r="H2003" s="22" t="s">
        <v>18</v>
      </c>
      <c r="I2003" s="22" t="s">
        <v>19</v>
      </c>
      <c r="J2003" s="22" t="s">
        <v>4290</v>
      </c>
      <c r="K2003" s="23" t="s">
        <v>4303</v>
      </c>
      <c r="L2003" t="e">
        <f>VLOOKUP(B2003,ubah!$B$2:$L$234,4,FALSE)</f>
        <v>#N/A</v>
      </c>
      <c r="M2003" t="e">
        <f>VLOOKUP(B2003,ubah!$B$2:$L$234,5,FALSE)</f>
        <v>#N/A</v>
      </c>
      <c r="N2003" t="e">
        <f>VLOOKUP(B2003,ubah!$B$2:$L$234,6,FALSE)</f>
        <v>#N/A</v>
      </c>
    </row>
    <row r="2004" spans="1:14" hidden="1" x14ac:dyDescent="0.35">
      <c r="A2004" s="21">
        <v>322172</v>
      </c>
      <c r="B2004" s="22" t="str">
        <f>"3327031602860008"</f>
        <v>3327031602860008</v>
      </c>
      <c r="C2004" s="22" t="str">
        <f t="shared" si="62"/>
        <v>'3327031602860008</v>
      </c>
      <c r="D2004" s="22" t="str">
        <f t="shared" si="63"/>
        <v>tidak ganda</v>
      </c>
      <c r="E2004" s="22" t="s">
        <v>4379</v>
      </c>
      <c r="F2004" s="22" t="s">
        <v>10</v>
      </c>
      <c r="G2004" s="22" t="s">
        <v>11</v>
      </c>
      <c r="H2004" s="22" t="s">
        <v>4380</v>
      </c>
      <c r="I2004" s="22" t="s">
        <v>4381</v>
      </c>
      <c r="J2004" s="22" t="s">
        <v>4382</v>
      </c>
      <c r="K2004" s="23" t="s">
        <v>4383</v>
      </c>
    </row>
    <row r="2005" spans="1:14" hidden="1" x14ac:dyDescent="0.35">
      <c r="A2005" s="21">
        <v>1875444</v>
      </c>
      <c r="B2005" s="22" t="str">
        <f>"3327081201820073"</f>
        <v>3327081201820073</v>
      </c>
      <c r="C2005" s="22" t="str">
        <f t="shared" si="62"/>
        <v>'3327081201820073</v>
      </c>
      <c r="D2005" s="22" t="str">
        <f t="shared" si="63"/>
        <v>tidak ganda</v>
      </c>
      <c r="E2005" s="22" t="s">
        <v>4385</v>
      </c>
      <c r="F2005" s="22" t="s">
        <v>10</v>
      </c>
      <c r="G2005" s="22" t="s">
        <v>11</v>
      </c>
      <c r="H2005" s="22" t="s">
        <v>18</v>
      </c>
      <c r="I2005" s="22" t="s">
        <v>19</v>
      </c>
      <c r="J2005" s="22" t="s">
        <v>4290</v>
      </c>
      <c r="K2005" s="23" t="s">
        <v>344</v>
      </c>
      <c r="L2005" t="e">
        <f>VLOOKUP(B2005,ubah!$B$2:$L$234,4,FALSE)</f>
        <v>#N/A</v>
      </c>
      <c r="M2005" t="e">
        <f>VLOOKUP(B2005,ubah!$B$2:$L$234,5,FALSE)</f>
        <v>#N/A</v>
      </c>
      <c r="N2005" t="e">
        <f>VLOOKUP(B2005,ubah!$B$2:$L$234,6,FALSE)</f>
        <v>#N/A</v>
      </c>
    </row>
    <row r="2006" spans="1:14" hidden="1" x14ac:dyDescent="0.35">
      <c r="A2006" s="21">
        <v>1878936</v>
      </c>
      <c r="B2006" s="22" t="str">
        <f>"3327116005980004"</f>
        <v>3327116005980004</v>
      </c>
      <c r="C2006" s="22" t="str">
        <f t="shared" si="62"/>
        <v>'3327116005980004</v>
      </c>
      <c r="D2006" s="22" t="str">
        <f t="shared" si="63"/>
        <v>tidak ganda</v>
      </c>
      <c r="E2006" s="22" t="s">
        <v>4387</v>
      </c>
      <c r="F2006" s="22" t="s">
        <v>10</v>
      </c>
      <c r="G2006" s="22" t="s">
        <v>11</v>
      </c>
      <c r="H2006" s="22" t="s">
        <v>18</v>
      </c>
      <c r="I2006" s="22" t="s">
        <v>19</v>
      </c>
      <c r="J2006" s="22" t="s">
        <v>4290</v>
      </c>
      <c r="K2006" s="23" t="s">
        <v>4303</v>
      </c>
      <c r="L2006" t="e">
        <f>VLOOKUP(B2006,ubah!$B$2:$L$234,4,FALSE)</f>
        <v>#N/A</v>
      </c>
      <c r="M2006" t="e">
        <f>VLOOKUP(B2006,ubah!$B$2:$L$234,5,FALSE)</f>
        <v>#N/A</v>
      </c>
      <c r="N2006" t="e">
        <f>VLOOKUP(B2006,ubah!$B$2:$L$234,6,FALSE)</f>
        <v>#N/A</v>
      </c>
    </row>
    <row r="2007" spans="1:14" hidden="1" x14ac:dyDescent="0.35">
      <c r="A2007" s="21">
        <v>1902934</v>
      </c>
      <c r="B2007" s="22" t="str">
        <f>"3328121107960009"</f>
        <v>3328121107960009</v>
      </c>
      <c r="C2007" s="22" t="str">
        <f t="shared" si="62"/>
        <v>'3328121107960009</v>
      </c>
      <c r="D2007" s="22" t="str">
        <f t="shared" si="63"/>
        <v>tidak ganda</v>
      </c>
      <c r="E2007" s="22" t="s">
        <v>4388</v>
      </c>
      <c r="F2007" s="22" t="s">
        <v>10</v>
      </c>
      <c r="G2007" s="22" t="s">
        <v>11</v>
      </c>
      <c r="H2007" s="22" t="s">
        <v>18</v>
      </c>
      <c r="I2007" s="22" t="s">
        <v>19</v>
      </c>
      <c r="J2007" s="22" t="s">
        <v>4290</v>
      </c>
      <c r="K2007" s="23" t="s">
        <v>4298</v>
      </c>
      <c r="L2007" t="e">
        <f>VLOOKUP(B2007,ubah!$B$2:$L$234,4,FALSE)</f>
        <v>#N/A</v>
      </c>
      <c r="M2007" t="e">
        <f>VLOOKUP(B2007,ubah!$B$2:$L$234,5,FALSE)</f>
        <v>#N/A</v>
      </c>
      <c r="N2007" t="e">
        <f>VLOOKUP(B2007,ubah!$B$2:$L$234,6,FALSE)</f>
        <v>#N/A</v>
      </c>
    </row>
    <row r="2008" spans="1:14" hidden="1" x14ac:dyDescent="0.35">
      <c r="A2008" s="21">
        <v>1351202</v>
      </c>
      <c r="B2008" s="22" t="str">
        <f>"3328122402060001"</f>
        <v>3328122402060001</v>
      </c>
      <c r="C2008" s="22" t="str">
        <f t="shared" si="62"/>
        <v>'3328122402060001</v>
      </c>
      <c r="D2008" s="22" t="str">
        <f t="shared" si="63"/>
        <v>tidak ganda</v>
      </c>
      <c r="E2008" s="22" t="s">
        <v>4391</v>
      </c>
      <c r="F2008" s="22" t="s">
        <v>10</v>
      </c>
      <c r="G2008" s="22" t="s">
        <v>57</v>
      </c>
      <c r="H2008" s="22" t="s">
        <v>303</v>
      </c>
      <c r="I2008" s="22" t="s">
        <v>608</v>
      </c>
      <c r="J2008" s="22" t="s">
        <v>609</v>
      </c>
      <c r="K2008" s="23" t="s">
        <v>610</v>
      </c>
    </row>
    <row r="2009" spans="1:14" hidden="1" x14ac:dyDescent="0.35">
      <c r="A2009" s="21">
        <v>1301794</v>
      </c>
      <c r="B2009" s="22" t="str">
        <f>"3328130101670011"</f>
        <v>3328130101670011</v>
      </c>
      <c r="C2009" s="22" t="str">
        <f t="shared" si="62"/>
        <v>'3328130101670011</v>
      </c>
      <c r="D2009" s="22" t="str">
        <f t="shared" si="63"/>
        <v>tidak ganda</v>
      </c>
      <c r="E2009" s="22" t="s">
        <v>4392</v>
      </c>
      <c r="F2009" s="22" t="s">
        <v>10</v>
      </c>
      <c r="G2009" s="22" t="s">
        <v>11</v>
      </c>
      <c r="H2009" s="22" t="s">
        <v>50</v>
      </c>
      <c r="I2009" s="22" t="s">
        <v>58</v>
      </c>
      <c r="J2009" s="22" t="s">
        <v>417</v>
      </c>
      <c r="K2009" s="23" t="s">
        <v>1131</v>
      </c>
    </row>
    <row r="2010" spans="1:14" hidden="1" x14ac:dyDescent="0.35">
      <c r="A2010" s="21">
        <v>349059</v>
      </c>
      <c r="B2010" s="22" t="str">
        <f>"3328130107890060"</f>
        <v>3328130107890060</v>
      </c>
      <c r="C2010" s="22" t="str">
        <f t="shared" si="62"/>
        <v>'3328130107890060</v>
      </c>
      <c r="D2010" s="22" t="str">
        <f t="shared" si="63"/>
        <v>tidak ganda</v>
      </c>
      <c r="E2010" s="22" t="s">
        <v>4393</v>
      </c>
      <c r="F2010" s="22" t="s">
        <v>10</v>
      </c>
      <c r="G2010" s="22" t="s">
        <v>11</v>
      </c>
      <c r="H2010" s="22" t="s">
        <v>18</v>
      </c>
      <c r="I2010" s="22" t="s">
        <v>268</v>
      </c>
      <c r="J2010" s="22" t="s">
        <v>269</v>
      </c>
      <c r="K2010" s="23" t="s">
        <v>270</v>
      </c>
    </row>
    <row r="2011" spans="1:14" hidden="1" x14ac:dyDescent="0.35">
      <c r="A2011" s="21">
        <v>1845586</v>
      </c>
      <c r="B2011" s="22" t="str">
        <f>"3328130107930069"</f>
        <v>3328130107930069</v>
      </c>
      <c r="C2011" s="22" t="str">
        <f t="shared" si="62"/>
        <v>'3328130107930069</v>
      </c>
      <c r="D2011" s="22" t="str">
        <f t="shared" si="63"/>
        <v>tidak ganda</v>
      </c>
      <c r="E2011" s="22" t="s">
        <v>4395</v>
      </c>
      <c r="F2011" s="22" t="s">
        <v>10</v>
      </c>
      <c r="G2011" s="22" t="s">
        <v>11</v>
      </c>
      <c r="H2011" s="22" t="s">
        <v>18</v>
      </c>
      <c r="I2011" s="22" t="s">
        <v>19</v>
      </c>
      <c r="J2011" s="22" t="s">
        <v>4290</v>
      </c>
      <c r="K2011" s="23" t="s">
        <v>4318</v>
      </c>
      <c r="L2011" t="e">
        <f>VLOOKUP(B2011,ubah!$B$2:$L$234,4,FALSE)</f>
        <v>#N/A</v>
      </c>
      <c r="M2011" t="e">
        <f>VLOOKUP(B2011,ubah!$B$2:$L$234,5,FALSE)</f>
        <v>#N/A</v>
      </c>
      <c r="N2011" t="e">
        <f>VLOOKUP(B2011,ubah!$B$2:$L$234,6,FALSE)</f>
        <v>#N/A</v>
      </c>
    </row>
    <row r="2012" spans="1:14" hidden="1" x14ac:dyDescent="0.35">
      <c r="A2012" s="21">
        <v>1443298</v>
      </c>
      <c r="B2012" s="22" t="str">
        <f>"3328130209940003"</f>
        <v>3328130209940003</v>
      </c>
      <c r="C2012" s="22" t="str">
        <f t="shared" si="62"/>
        <v>'3328130209940003</v>
      </c>
      <c r="D2012" s="22" t="str">
        <f t="shared" si="63"/>
        <v>tidak ganda</v>
      </c>
      <c r="E2012" s="22" t="s">
        <v>4397</v>
      </c>
      <c r="F2012" s="22" t="s">
        <v>10</v>
      </c>
      <c r="G2012" s="22" t="s">
        <v>11</v>
      </c>
      <c r="H2012" s="22" t="s">
        <v>18</v>
      </c>
      <c r="I2012" s="22" t="s">
        <v>19</v>
      </c>
      <c r="J2012" s="22" t="s">
        <v>4290</v>
      </c>
      <c r="K2012" s="23" t="s">
        <v>878</v>
      </c>
      <c r="L2012" t="e">
        <f>VLOOKUP(B2012,ubah!$B$2:$L$234,4,FALSE)</f>
        <v>#N/A</v>
      </c>
      <c r="M2012" t="e">
        <f>VLOOKUP(B2012,ubah!$B$2:$L$234,5,FALSE)</f>
        <v>#N/A</v>
      </c>
      <c r="N2012" t="e">
        <f>VLOOKUP(B2012,ubah!$B$2:$L$234,6,FALSE)</f>
        <v>#N/A</v>
      </c>
    </row>
    <row r="2013" spans="1:14" hidden="1" x14ac:dyDescent="0.35">
      <c r="A2013" s="21">
        <v>1881200</v>
      </c>
      <c r="B2013" s="22" t="str">
        <f>"3328130307860007"</f>
        <v>3328130307860007</v>
      </c>
      <c r="C2013" s="22" t="str">
        <f t="shared" si="62"/>
        <v>'3328130307860007</v>
      </c>
      <c r="D2013" s="22" t="str">
        <f t="shared" si="63"/>
        <v>tidak ganda</v>
      </c>
      <c r="E2013" s="22" t="s">
        <v>4399</v>
      </c>
      <c r="F2013" s="22" t="s">
        <v>10</v>
      </c>
      <c r="G2013" s="22" t="s">
        <v>11</v>
      </c>
      <c r="H2013" s="22" t="s">
        <v>18</v>
      </c>
      <c r="I2013" s="22" t="s">
        <v>19</v>
      </c>
      <c r="J2013" s="22" t="s">
        <v>4290</v>
      </c>
      <c r="K2013" s="23" t="s">
        <v>4303</v>
      </c>
      <c r="L2013" t="e">
        <f>VLOOKUP(B2013,ubah!$B$2:$L$234,4,FALSE)</f>
        <v>#N/A</v>
      </c>
      <c r="M2013" t="e">
        <f>VLOOKUP(B2013,ubah!$B$2:$L$234,5,FALSE)</f>
        <v>#N/A</v>
      </c>
      <c r="N2013" t="e">
        <f>VLOOKUP(B2013,ubah!$B$2:$L$234,6,FALSE)</f>
        <v>#N/A</v>
      </c>
    </row>
    <row r="2014" spans="1:14" hidden="1" x14ac:dyDescent="0.35">
      <c r="A2014" s="21">
        <v>2257136</v>
      </c>
      <c r="B2014" s="22" t="str">
        <f>"3328130404610003"</f>
        <v>3328130404610003</v>
      </c>
      <c r="C2014" s="22" t="str">
        <f t="shared" si="62"/>
        <v>'3328130404610003</v>
      </c>
      <c r="D2014" s="22" t="str">
        <f t="shared" si="63"/>
        <v>tidak ganda</v>
      </c>
      <c r="E2014" s="22" t="s">
        <v>4401</v>
      </c>
      <c r="F2014" s="22" t="s">
        <v>10</v>
      </c>
      <c r="G2014" s="22" t="s">
        <v>11</v>
      </c>
      <c r="H2014" s="22" t="s">
        <v>67</v>
      </c>
      <c r="I2014" s="22" t="s">
        <v>512</v>
      </c>
      <c r="J2014" s="22" t="s">
        <v>330</v>
      </c>
      <c r="K2014" s="23" t="s">
        <v>4402</v>
      </c>
    </row>
    <row r="2015" spans="1:14" hidden="1" x14ac:dyDescent="0.35">
      <c r="A2015" s="21">
        <v>554077</v>
      </c>
      <c r="B2015" s="22" t="str">
        <f>"3328130406900006"</f>
        <v>3328130406900006</v>
      </c>
      <c r="C2015" s="22" t="str">
        <f t="shared" si="62"/>
        <v>'3328130406900006</v>
      </c>
      <c r="D2015" s="22" t="str">
        <f t="shared" si="63"/>
        <v>tidak ganda</v>
      </c>
      <c r="E2015" s="22" t="s">
        <v>4404</v>
      </c>
      <c r="F2015" s="22" t="s">
        <v>10</v>
      </c>
      <c r="G2015" s="22" t="s">
        <v>11</v>
      </c>
      <c r="H2015" s="22" t="s">
        <v>67</v>
      </c>
      <c r="I2015" s="22" t="s">
        <v>696</v>
      </c>
      <c r="J2015" s="22" t="s">
        <v>375</v>
      </c>
      <c r="K2015" s="23" t="s">
        <v>1477</v>
      </c>
    </row>
    <row r="2016" spans="1:14" hidden="1" x14ac:dyDescent="0.35">
      <c r="A2016" s="21">
        <v>710527</v>
      </c>
      <c r="B2016" s="22" t="str">
        <f>"3328130408920001"</f>
        <v>3328130408920001</v>
      </c>
      <c r="C2016" s="22" t="str">
        <f t="shared" si="62"/>
        <v>'3328130408920001</v>
      </c>
      <c r="D2016" s="22" t="str">
        <f t="shared" si="63"/>
        <v>tidak ganda</v>
      </c>
      <c r="E2016" s="22" t="s">
        <v>4405</v>
      </c>
      <c r="F2016" s="22" t="s">
        <v>10</v>
      </c>
      <c r="G2016" s="22" t="s">
        <v>11</v>
      </c>
      <c r="H2016" s="22" t="s">
        <v>18</v>
      </c>
      <c r="I2016" s="22" t="s">
        <v>264</v>
      </c>
      <c r="J2016" s="22" t="s">
        <v>248</v>
      </c>
      <c r="K2016" s="23" t="s">
        <v>1630</v>
      </c>
    </row>
    <row r="2017" spans="1:14" hidden="1" x14ac:dyDescent="0.35">
      <c r="A2017" s="21">
        <v>2407791</v>
      </c>
      <c r="B2017" s="22" t="str">
        <f>"3328130503960005"</f>
        <v>3328130503960005</v>
      </c>
      <c r="C2017" s="22" t="str">
        <f t="shared" si="62"/>
        <v>'3328130503960005</v>
      </c>
      <c r="D2017" s="22" t="str">
        <f t="shared" si="63"/>
        <v>tidak ganda</v>
      </c>
      <c r="E2017" s="22" t="s">
        <v>4407</v>
      </c>
      <c r="F2017" s="22" t="s">
        <v>10</v>
      </c>
      <c r="G2017" s="22" t="s">
        <v>11</v>
      </c>
      <c r="H2017" s="22" t="s">
        <v>18</v>
      </c>
      <c r="I2017" s="22" t="s">
        <v>19</v>
      </c>
      <c r="J2017" s="22" t="s">
        <v>4290</v>
      </c>
      <c r="K2017" s="23" t="s">
        <v>1381</v>
      </c>
      <c r="L2017" t="e">
        <f>VLOOKUP(B2017,ubah!$B$2:$L$234,4,FALSE)</f>
        <v>#N/A</v>
      </c>
      <c r="M2017" t="e">
        <f>VLOOKUP(B2017,ubah!$B$2:$L$234,5,FALSE)</f>
        <v>#N/A</v>
      </c>
      <c r="N2017" t="e">
        <f>VLOOKUP(B2017,ubah!$B$2:$L$234,6,FALSE)</f>
        <v>#N/A</v>
      </c>
    </row>
    <row r="2018" spans="1:14" hidden="1" x14ac:dyDescent="0.35">
      <c r="A2018" s="21">
        <v>1877108</v>
      </c>
      <c r="B2018" s="22" t="str">
        <f>"3328130504790006"</f>
        <v>3328130504790006</v>
      </c>
      <c r="C2018" s="22" t="str">
        <f t="shared" si="62"/>
        <v>'3328130504790006</v>
      </c>
      <c r="D2018" s="22" t="str">
        <f t="shared" si="63"/>
        <v>tidak ganda</v>
      </c>
      <c r="E2018" s="22" t="s">
        <v>4409</v>
      </c>
      <c r="F2018" s="22" t="s">
        <v>10</v>
      </c>
      <c r="G2018" s="22" t="s">
        <v>11</v>
      </c>
      <c r="H2018" s="22" t="s">
        <v>18</v>
      </c>
      <c r="I2018" s="22" t="s">
        <v>19</v>
      </c>
      <c r="J2018" s="22" t="s">
        <v>4290</v>
      </c>
      <c r="K2018" s="23" t="s">
        <v>344</v>
      </c>
      <c r="L2018" t="e">
        <f>VLOOKUP(B2018,ubah!$B$2:$L$234,4,FALSE)</f>
        <v>#N/A</v>
      </c>
      <c r="M2018" t="e">
        <f>VLOOKUP(B2018,ubah!$B$2:$L$234,5,FALSE)</f>
        <v>#N/A</v>
      </c>
      <c r="N2018" t="e">
        <f>VLOOKUP(B2018,ubah!$B$2:$L$234,6,FALSE)</f>
        <v>#N/A</v>
      </c>
    </row>
    <row r="2019" spans="1:14" hidden="1" x14ac:dyDescent="0.35">
      <c r="A2019" s="21">
        <v>2083982</v>
      </c>
      <c r="B2019" s="22" t="str">
        <f>"3328130505640005"</f>
        <v>3328130505640005</v>
      </c>
      <c r="C2019" s="22" t="str">
        <f t="shared" si="62"/>
        <v>'3328130505640005</v>
      </c>
      <c r="D2019" s="22" t="str">
        <f t="shared" si="63"/>
        <v>tidak ganda</v>
      </c>
      <c r="E2019" s="22" t="s">
        <v>3431</v>
      </c>
      <c r="F2019" s="22" t="s">
        <v>10</v>
      </c>
      <c r="G2019" s="22" t="s">
        <v>11</v>
      </c>
      <c r="H2019" s="22" t="s">
        <v>18</v>
      </c>
      <c r="I2019" s="22" t="s">
        <v>19</v>
      </c>
      <c r="J2019" s="22" t="s">
        <v>4290</v>
      </c>
      <c r="K2019" s="23" t="s">
        <v>4309</v>
      </c>
      <c r="L2019" t="e">
        <f>VLOOKUP(B2019,ubah!$B$2:$L$234,4,FALSE)</f>
        <v>#N/A</v>
      </c>
      <c r="M2019" t="e">
        <f>VLOOKUP(B2019,ubah!$B$2:$L$234,5,FALSE)</f>
        <v>#N/A</v>
      </c>
      <c r="N2019" t="e">
        <f>VLOOKUP(B2019,ubah!$B$2:$L$234,6,FALSE)</f>
        <v>#N/A</v>
      </c>
    </row>
    <row r="2020" spans="1:14" hidden="1" x14ac:dyDescent="0.35">
      <c r="A2020" s="21">
        <v>2150723</v>
      </c>
      <c r="B2020" s="22" t="str">
        <f>"3328130505950003"</f>
        <v>3328130505950003</v>
      </c>
      <c r="C2020" s="22" t="str">
        <f t="shared" si="62"/>
        <v>'3328130505950003</v>
      </c>
      <c r="D2020" s="22" t="str">
        <f t="shared" si="63"/>
        <v>ganda</v>
      </c>
      <c r="E2020" s="22" t="s">
        <v>4414</v>
      </c>
      <c r="F2020" s="22" t="s">
        <v>10</v>
      </c>
      <c r="G2020" s="22" t="s">
        <v>11</v>
      </c>
      <c r="H2020" s="22" t="s">
        <v>18</v>
      </c>
      <c r="I2020" s="22" t="s">
        <v>19</v>
      </c>
      <c r="J2020" s="22" t="s">
        <v>4290</v>
      </c>
      <c r="K2020" s="23" t="s">
        <v>4290</v>
      </c>
      <c r="L2020" t="e">
        <f>VLOOKUP(B2020,ubah!$B$2:$L$234,4,FALSE)</f>
        <v>#N/A</v>
      </c>
      <c r="M2020" t="e">
        <f>VLOOKUP(B2020,ubah!$B$2:$L$234,5,FALSE)</f>
        <v>#N/A</v>
      </c>
      <c r="N2020" t="e">
        <f>VLOOKUP(B2020,ubah!$B$2:$L$234,6,FALSE)</f>
        <v>#N/A</v>
      </c>
    </row>
    <row r="2021" spans="1:14" hidden="1" x14ac:dyDescent="0.35">
      <c r="A2021" s="21">
        <v>423813</v>
      </c>
      <c r="B2021" s="22" t="str">
        <f>"3328130505950003"</f>
        <v>3328130505950003</v>
      </c>
      <c r="C2021" s="22" t="str">
        <f t="shared" si="62"/>
        <v>'3328130505950003</v>
      </c>
      <c r="D2021" s="22" t="str">
        <f t="shared" si="63"/>
        <v>ganda</v>
      </c>
      <c r="E2021" s="22" t="s">
        <v>4415</v>
      </c>
      <c r="F2021" s="22" t="s">
        <v>10</v>
      </c>
      <c r="G2021" s="22" t="s">
        <v>57</v>
      </c>
      <c r="H2021" s="22" t="s">
        <v>18</v>
      </c>
      <c r="I2021" s="22" t="s">
        <v>268</v>
      </c>
      <c r="J2021" s="22" t="s">
        <v>277</v>
      </c>
      <c r="K2021" s="23" t="s">
        <v>278</v>
      </c>
    </row>
    <row r="2022" spans="1:14" hidden="1" x14ac:dyDescent="0.35">
      <c r="A2022" s="21">
        <v>369520</v>
      </c>
      <c r="B2022" s="22" t="str">
        <f>"3328130509610003"</f>
        <v>3328130509610003</v>
      </c>
      <c r="C2022" s="22" t="str">
        <f t="shared" si="62"/>
        <v>'3328130509610003</v>
      </c>
      <c r="D2022" s="22" t="str">
        <f t="shared" si="63"/>
        <v>tidak ganda</v>
      </c>
      <c r="E2022" s="22" t="s">
        <v>4416</v>
      </c>
      <c r="F2022" s="22" t="s">
        <v>10</v>
      </c>
      <c r="G2022" s="22" t="s">
        <v>11</v>
      </c>
      <c r="H2022" s="22" t="s">
        <v>18</v>
      </c>
      <c r="I2022" s="22" t="s">
        <v>268</v>
      </c>
      <c r="J2022" s="22" t="s">
        <v>269</v>
      </c>
      <c r="K2022" s="23" t="s">
        <v>996</v>
      </c>
    </row>
    <row r="2023" spans="1:14" hidden="1" x14ac:dyDescent="0.35">
      <c r="A2023" s="21">
        <v>1440262</v>
      </c>
      <c r="B2023" s="22" t="str">
        <f>"3328130510880001"</f>
        <v>3328130510880001</v>
      </c>
      <c r="C2023" s="22" t="str">
        <f t="shared" si="62"/>
        <v>'3328130510880001</v>
      </c>
      <c r="D2023" s="22" t="str">
        <f t="shared" si="63"/>
        <v>tidak ganda</v>
      </c>
      <c r="E2023" s="22" t="s">
        <v>4418</v>
      </c>
      <c r="F2023" s="22" t="s">
        <v>10</v>
      </c>
      <c r="G2023" s="22" t="s">
        <v>11</v>
      </c>
      <c r="H2023" s="22" t="s">
        <v>18</v>
      </c>
      <c r="I2023" s="22" t="s">
        <v>19</v>
      </c>
      <c r="J2023" s="22" t="s">
        <v>4290</v>
      </c>
      <c r="K2023" s="23" t="s">
        <v>878</v>
      </c>
      <c r="L2023" t="e">
        <f>VLOOKUP(B2023,ubah!$B$2:$L$234,4,FALSE)</f>
        <v>#N/A</v>
      </c>
      <c r="M2023" t="e">
        <f>VLOOKUP(B2023,ubah!$B$2:$L$234,5,FALSE)</f>
        <v>#N/A</v>
      </c>
      <c r="N2023" t="e">
        <f>VLOOKUP(B2023,ubah!$B$2:$L$234,6,FALSE)</f>
        <v>#N/A</v>
      </c>
    </row>
    <row r="2024" spans="1:14" hidden="1" x14ac:dyDescent="0.35">
      <c r="A2024" s="21">
        <v>133611</v>
      </c>
      <c r="B2024" s="22" t="str">
        <f>"3328130609020004"</f>
        <v>3328130609020004</v>
      </c>
      <c r="C2024" s="22" t="str">
        <f t="shared" si="62"/>
        <v>'3328130609020004</v>
      </c>
      <c r="D2024" s="22" t="str">
        <f t="shared" si="63"/>
        <v>tidak ganda</v>
      </c>
      <c r="E2024" s="22" t="s">
        <v>4420</v>
      </c>
      <c r="F2024" s="22" t="s">
        <v>10</v>
      </c>
      <c r="G2024" s="22" t="s">
        <v>11</v>
      </c>
      <c r="H2024" s="22" t="s">
        <v>4421</v>
      </c>
      <c r="I2024" s="22" t="s">
        <v>4422</v>
      </c>
      <c r="J2024" s="22" t="s">
        <v>4423</v>
      </c>
      <c r="K2024" s="23" t="s">
        <v>4424</v>
      </c>
    </row>
    <row r="2025" spans="1:14" hidden="1" x14ac:dyDescent="0.35">
      <c r="A2025" s="21">
        <v>1745620</v>
      </c>
      <c r="B2025" s="22" t="str">
        <f>"3328130705960003"</f>
        <v>3328130705960003</v>
      </c>
      <c r="C2025" s="22" t="str">
        <f t="shared" si="62"/>
        <v>'3328130705960003</v>
      </c>
      <c r="D2025" s="22" t="str">
        <f t="shared" si="63"/>
        <v>tidak ganda</v>
      </c>
      <c r="E2025" s="22" t="s">
        <v>4425</v>
      </c>
      <c r="F2025" s="22" t="s">
        <v>10</v>
      </c>
      <c r="G2025" s="22" t="s">
        <v>11</v>
      </c>
      <c r="H2025" s="22" t="s">
        <v>18</v>
      </c>
      <c r="I2025" s="22" t="s">
        <v>19</v>
      </c>
      <c r="J2025" s="22" t="s">
        <v>4290</v>
      </c>
      <c r="K2025" s="23" t="s">
        <v>4426</v>
      </c>
      <c r="L2025" t="e">
        <f>VLOOKUP(B2025,ubah!$B$2:$L$234,4,FALSE)</f>
        <v>#N/A</v>
      </c>
      <c r="M2025" t="e">
        <f>VLOOKUP(B2025,ubah!$B$2:$L$234,5,FALSE)</f>
        <v>#N/A</v>
      </c>
      <c r="N2025" t="e">
        <f>VLOOKUP(B2025,ubah!$B$2:$L$234,6,FALSE)</f>
        <v>#N/A</v>
      </c>
    </row>
    <row r="2026" spans="1:14" hidden="1" x14ac:dyDescent="0.35">
      <c r="A2026" s="21">
        <v>418525</v>
      </c>
      <c r="B2026" s="22" t="str">
        <f>"3328130706940003"</f>
        <v>3328130706940003</v>
      </c>
      <c r="C2026" s="22" t="str">
        <f t="shared" si="62"/>
        <v>'3328130706940003</v>
      </c>
      <c r="D2026" s="22" t="str">
        <f t="shared" si="63"/>
        <v>tidak ganda</v>
      </c>
      <c r="E2026" s="22" t="s">
        <v>4430</v>
      </c>
      <c r="F2026" s="22" t="s">
        <v>10</v>
      </c>
      <c r="G2026" s="22" t="s">
        <v>11</v>
      </c>
      <c r="H2026" s="22" t="s">
        <v>18</v>
      </c>
      <c r="I2026" s="22" t="s">
        <v>268</v>
      </c>
      <c r="J2026" s="22" t="s">
        <v>448</v>
      </c>
      <c r="K2026" s="23" t="s">
        <v>888</v>
      </c>
    </row>
    <row r="2027" spans="1:14" hidden="1" x14ac:dyDescent="0.35">
      <c r="A2027" s="21">
        <v>230692</v>
      </c>
      <c r="B2027" s="22" t="str">
        <f>"3328130708840007"</f>
        <v>3328130708840007</v>
      </c>
      <c r="C2027" s="22" t="str">
        <f t="shared" si="62"/>
        <v>'3328130708840007</v>
      </c>
      <c r="D2027" s="22" t="str">
        <f t="shared" si="63"/>
        <v>tidak ganda</v>
      </c>
      <c r="E2027" s="22" t="s">
        <v>4434</v>
      </c>
      <c r="F2027" s="22" t="s">
        <v>10</v>
      </c>
      <c r="G2027" s="22" t="s">
        <v>11</v>
      </c>
      <c r="H2027" s="22" t="s">
        <v>18</v>
      </c>
      <c r="I2027" s="22" t="s">
        <v>268</v>
      </c>
      <c r="J2027" s="22" t="s">
        <v>371</v>
      </c>
      <c r="K2027" s="23" t="s">
        <v>2346</v>
      </c>
    </row>
    <row r="2028" spans="1:14" hidden="1" x14ac:dyDescent="0.35">
      <c r="A2028" s="21">
        <v>227509</v>
      </c>
      <c r="B2028" s="22" t="str">
        <f>"3328130709950006"</f>
        <v>3328130709950006</v>
      </c>
      <c r="C2028" s="22" t="str">
        <f t="shared" si="62"/>
        <v>'3328130709950006</v>
      </c>
      <c r="D2028" s="22" t="str">
        <f t="shared" si="63"/>
        <v>tidak ganda</v>
      </c>
      <c r="E2028" s="22" t="s">
        <v>4435</v>
      </c>
      <c r="F2028" s="22" t="s">
        <v>10</v>
      </c>
      <c r="G2028" s="22" t="s">
        <v>11</v>
      </c>
      <c r="H2028" s="22" t="s">
        <v>18</v>
      </c>
      <c r="I2028" s="22" t="s">
        <v>268</v>
      </c>
      <c r="J2028" s="22" t="s">
        <v>371</v>
      </c>
      <c r="K2028" s="23" t="s">
        <v>2346</v>
      </c>
    </row>
    <row r="2029" spans="1:14" hidden="1" x14ac:dyDescent="0.35">
      <c r="A2029" s="21">
        <v>280273</v>
      </c>
      <c r="B2029" s="22" t="str">
        <f>"3328130710680005"</f>
        <v>3328130710680005</v>
      </c>
      <c r="C2029" s="22" t="str">
        <f t="shared" si="62"/>
        <v>'3328130710680005</v>
      </c>
      <c r="D2029" s="22" t="str">
        <f t="shared" si="63"/>
        <v>tidak ganda</v>
      </c>
      <c r="E2029" s="22" t="s">
        <v>4437</v>
      </c>
      <c r="F2029" s="22" t="s">
        <v>10</v>
      </c>
      <c r="G2029" s="22" t="s">
        <v>11</v>
      </c>
      <c r="H2029" s="22" t="s">
        <v>50</v>
      </c>
      <c r="I2029" s="22" t="s">
        <v>280</v>
      </c>
      <c r="J2029" s="22" t="s">
        <v>440</v>
      </c>
      <c r="K2029" s="23" t="s">
        <v>440</v>
      </c>
    </row>
    <row r="2030" spans="1:14" hidden="1" x14ac:dyDescent="0.35">
      <c r="A2030" s="21">
        <v>1757433</v>
      </c>
      <c r="B2030" s="22" t="str">
        <f>"3328130803930008"</f>
        <v>3328130803930008</v>
      </c>
      <c r="C2030" s="22" t="str">
        <f t="shared" si="62"/>
        <v>'3328130803930008</v>
      </c>
      <c r="D2030" s="22" t="str">
        <f t="shared" si="63"/>
        <v>tidak ganda</v>
      </c>
      <c r="E2030" s="22" t="s">
        <v>4438</v>
      </c>
      <c r="F2030" s="22" t="s">
        <v>10</v>
      </c>
      <c r="G2030" s="22" t="s">
        <v>11</v>
      </c>
      <c r="H2030" s="22" t="s">
        <v>91</v>
      </c>
      <c r="I2030" s="22" t="s">
        <v>320</v>
      </c>
      <c r="J2030" s="22" t="s">
        <v>1289</v>
      </c>
      <c r="K2030" s="23" t="s">
        <v>4337</v>
      </c>
    </row>
    <row r="2031" spans="1:14" hidden="1" x14ac:dyDescent="0.35">
      <c r="A2031" s="21">
        <v>1907957</v>
      </c>
      <c r="B2031" s="22" t="str">
        <f>"3328130805970003"</f>
        <v>3328130805970003</v>
      </c>
      <c r="C2031" s="22" t="str">
        <f t="shared" si="62"/>
        <v>'3328130805970003</v>
      </c>
      <c r="D2031" s="22" t="str">
        <f t="shared" si="63"/>
        <v>tidak ganda</v>
      </c>
      <c r="E2031" s="22" t="s">
        <v>4439</v>
      </c>
      <c r="F2031" s="22" t="s">
        <v>10</v>
      </c>
      <c r="G2031" s="22" t="s">
        <v>11</v>
      </c>
      <c r="H2031" s="22" t="s">
        <v>18</v>
      </c>
      <c r="I2031" s="22" t="s">
        <v>19</v>
      </c>
      <c r="J2031" s="22" t="s">
        <v>4290</v>
      </c>
      <c r="K2031" s="23" t="s">
        <v>4298</v>
      </c>
      <c r="L2031" t="e">
        <f>VLOOKUP(B2031,ubah!$B$2:$L$234,4,FALSE)</f>
        <v>#N/A</v>
      </c>
      <c r="M2031" t="e">
        <f>VLOOKUP(B2031,ubah!$B$2:$L$234,5,FALSE)</f>
        <v>#N/A</v>
      </c>
      <c r="N2031" t="e">
        <f>VLOOKUP(B2031,ubah!$B$2:$L$234,6,FALSE)</f>
        <v>#N/A</v>
      </c>
    </row>
    <row r="2032" spans="1:14" hidden="1" x14ac:dyDescent="0.35">
      <c r="A2032" s="21">
        <v>363300</v>
      </c>
      <c r="B2032" s="22" t="str">
        <f>"3328130809880010"</f>
        <v>3328130809880010</v>
      </c>
      <c r="C2032" s="22" t="str">
        <f t="shared" si="62"/>
        <v>'3328130809880010</v>
      </c>
      <c r="D2032" s="22" t="str">
        <f t="shared" si="63"/>
        <v>tidak ganda</v>
      </c>
      <c r="E2032" s="22" t="s">
        <v>3431</v>
      </c>
      <c r="F2032" s="22" t="s">
        <v>10</v>
      </c>
      <c r="G2032" s="22" t="s">
        <v>11</v>
      </c>
      <c r="H2032" s="22" t="s">
        <v>18</v>
      </c>
      <c r="I2032" s="22" t="s">
        <v>268</v>
      </c>
      <c r="J2032" s="22" t="s">
        <v>269</v>
      </c>
      <c r="K2032" s="23" t="s">
        <v>996</v>
      </c>
    </row>
    <row r="2033" spans="1:14" hidden="1" x14ac:dyDescent="0.35">
      <c r="A2033" s="21">
        <v>2406565</v>
      </c>
      <c r="B2033" s="22" t="str">
        <f>"3328131011960003"</f>
        <v>3328131011960003</v>
      </c>
      <c r="C2033" s="22" t="str">
        <f t="shared" si="62"/>
        <v>'3328131011960003</v>
      </c>
      <c r="D2033" s="22" t="str">
        <f t="shared" si="63"/>
        <v>tidak ganda</v>
      </c>
      <c r="E2033" s="22" t="s">
        <v>4441</v>
      </c>
      <c r="F2033" s="22" t="s">
        <v>10</v>
      </c>
      <c r="G2033" s="22" t="s">
        <v>11</v>
      </c>
      <c r="H2033" s="22" t="s">
        <v>18</v>
      </c>
      <c r="I2033" s="22" t="s">
        <v>19</v>
      </c>
      <c r="J2033" s="22" t="s">
        <v>4290</v>
      </c>
      <c r="K2033" s="23" t="s">
        <v>1381</v>
      </c>
      <c r="L2033" t="e">
        <f>VLOOKUP(B2033,ubah!$B$2:$L$234,4,FALSE)</f>
        <v>#N/A</v>
      </c>
      <c r="M2033" t="e">
        <f>VLOOKUP(B2033,ubah!$B$2:$L$234,5,FALSE)</f>
        <v>#N/A</v>
      </c>
      <c r="N2033" t="e">
        <f>VLOOKUP(B2033,ubah!$B$2:$L$234,6,FALSE)</f>
        <v>#N/A</v>
      </c>
    </row>
    <row r="2034" spans="1:14" hidden="1" x14ac:dyDescent="0.35">
      <c r="A2034" s="21">
        <v>2086681</v>
      </c>
      <c r="B2034" s="22" t="str">
        <f>"3328131102960003"</f>
        <v>3328131102960003</v>
      </c>
      <c r="C2034" s="22" t="str">
        <f t="shared" si="62"/>
        <v>'3328131102960003</v>
      </c>
      <c r="D2034" s="22" t="str">
        <f t="shared" si="63"/>
        <v>tidak ganda</v>
      </c>
      <c r="E2034" s="22" t="s">
        <v>4442</v>
      </c>
      <c r="F2034" s="22" t="s">
        <v>10</v>
      </c>
      <c r="G2034" s="22" t="s">
        <v>11</v>
      </c>
      <c r="H2034" s="22" t="s">
        <v>18</v>
      </c>
      <c r="I2034" s="22" t="s">
        <v>19</v>
      </c>
      <c r="J2034" s="22" t="s">
        <v>4290</v>
      </c>
      <c r="K2034" s="23" t="s">
        <v>4309</v>
      </c>
      <c r="L2034" t="e">
        <f>VLOOKUP(B2034,ubah!$B$2:$L$234,4,FALSE)</f>
        <v>#N/A</v>
      </c>
      <c r="M2034" t="e">
        <f>VLOOKUP(B2034,ubah!$B$2:$L$234,5,FALSE)</f>
        <v>#N/A</v>
      </c>
      <c r="N2034" t="e">
        <f>VLOOKUP(B2034,ubah!$B$2:$L$234,6,FALSE)</f>
        <v>#N/A</v>
      </c>
    </row>
    <row r="2035" spans="1:14" hidden="1" x14ac:dyDescent="0.35">
      <c r="A2035" s="21">
        <v>1858135</v>
      </c>
      <c r="B2035" s="22" t="str">
        <f>"3328131103830009"</f>
        <v>3328131103830009</v>
      </c>
      <c r="C2035" s="22" t="str">
        <f t="shared" si="62"/>
        <v>'3328131103830009</v>
      </c>
      <c r="D2035" s="22" t="str">
        <f t="shared" si="63"/>
        <v>tidak ganda</v>
      </c>
      <c r="E2035" s="22" t="s">
        <v>4443</v>
      </c>
      <c r="F2035" s="22" t="s">
        <v>10</v>
      </c>
      <c r="G2035" s="22" t="s">
        <v>11</v>
      </c>
      <c r="H2035" s="22" t="s">
        <v>50</v>
      </c>
      <c r="I2035" s="22" t="s">
        <v>58</v>
      </c>
      <c r="J2035" s="22" t="s">
        <v>97</v>
      </c>
      <c r="K2035" s="23" t="s">
        <v>342</v>
      </c>
    </row>
    <row r="2036" spans="1:14" hidden="1" x14ac:dyDescent="0.35">
      <c r="A2036" s="21">
        <v>2407003</v>
      </c>
      <c r="B2036" s="22" t="str">
        <f>"3328131106960007"</f>
        <v>3328131106960007</v>
      </c>
      <c r="C2036" s="22" t="str">
        <f t="shared" si="62"/>
        <v>'3328131106960007</v>
      </c>
      <c r="D2036" s="22" t="str">
        <f t="shared" si="63"/>
        <v>tidak ganda</v>
      </c>
      <c r="E2036" s="22" t="s">
        <v>4444</v>
      </c>
      <c r="F2036" s="22" t="s">
        <v>10</v>
      </c>
      <c r="G2036" s="22" t="s">
        <v>11</v>
      </c>
      <c r="H2036" s="22" t="s">
        <v>18</v>
      </c>
      <c r="I2036" s="22" t="s">
        <v>19</v>
      </c>
      <c r="J2036" s="22" t="s">
        <v>4290</v>
      </c>
      <c r="K2036" s="23" t="s">
        <v>1381</v>
      </c>
      <c r="L2036" t="e">
        <f>VLOOKUP(B2036,ubah!$B$2:$L$234,4,FALSE)</f>
        <v>#N/A</v>
      </c>
      <c r="M2036" t="e">
        <f>VLOOKUP(B2036,ubah!$B$2:$L$234,5,FALSE)</f>
        <v>#N/A</v>
      </c>
      <c r="N2036" t="e">
        <f>VLOOKUP(B2036,ubah!$B$2:$L$234,6,FALSE)</f>
        <v>#N/A</v>
      </c>
    </row>
    <row r="2037" spans="1:14" hidden="1" x14ac:dyDescent="0.35">
      <c r="A2037" s="21">
        <v>732846</v>
      </c>
      <c r="B2037" s="22" t="str">
        <f>"3328131110860007"</f>
        <v>3328131110860007</v>
      </c>
      <c r="C2037" s="22" t="str">
        <f t="shared" si="62"/>
        <v>'3328131110860007</v>
      </c>
      <c r="D2037" s="22" t="str">
        <f t="shared" si="63"/>
        <v>tidak ganda</v>
      </c>
      <c r="E2037" s="22" t="s">
        <v>4446</v>
      </c>
      <c r="F2037" s="22" t="s">
        <v>10</v>
      </c>
      <c r="G2037" s="22" t="s">
        <v>11</v>
      </c>
      <c r="H2037" s="22" t="s">
        <v>50</v>
      </c>
      <c r="I2037" s="22" t="s">
        <v>86</v>
      </c>
      <c r="J2037" s="22" t="s">
        <v>530</v>
      </c>
      <c r="K2037" s="23" t="s">
        <v>534</v>
      </c>
    </row>
    <row r="2038" spans="1:14" hidden="1" x14ac:dyDescent="0.35">
      <c r="A2038" s="21">
        <v>1616051</v>
      </c>
      <c r="B2038" s="22" t="str">
        <f>"3328131205860007"</f>
        <v>3328131205860007</v>
      </c>
      <c r="C2038" s="22" t="str">
        <f t="shared" si="62"/>
        <v>'3328131205860007</v>
      </c>
      <c r="D2038" s="22" t="str">
        <f t="shared" si="63"/>
        <v>tidak ganda</v>
      </c>
      <c r="E2038" s="22" t="s">
        <v>4448</v>
      </c>
      <c r="F2038" s="22" t="s">
        <v>10</v>
      </c>
      <c r="G2038" s="22" t="s">
        <v>11</v>
      </c>
      <c r="H2038" s="22" t="s">
        <v>50</v>
      </c>
      <c r="I2038" s="22" t="s">
        <v>58</v>
      </c>
      <c r="J2038" s="22" t="s">
        <v>1283</v>
      </c>
      <c r="K2038" s="23" t="s">
        <v>1291</v>
      </c>
    </row>
    <row r="2039" spans="1:14" hidden="1" x14ac:dyDescent="0.35">
      <c r="A2039" s="21">
        <v>2112162</v>
      </c>
      <c r="B2039" s="22" t="str">
        <f>"3328131207030003"</f>
        <v>3328131207030003</v>
      </c>
      <c r="C2039" s="22" t="str">
        <f t="shared" si="62"/>
        <v>'3328131207030003</v>
      </c>
      <c r="D2039" s="22" t="str">
        <f t="shared" si="63"/>
        <v>ganda</v>
      </c>
      <c r="E2039" s="22" t="s">
        <v>4450</v>
      </c>
      <c r="F2039" s="22" t="s">
        <v>10</v>
      </c>
      <c r="G2039" s="22" t="s">
        <v>11</v>
      </c>
      <c r="H2039" s="22" t="s">
        <v>18</v>
      </c>
      <c r="I2039" s="22" t="s">
        <v>19</v>
      </c>
      <c r="J2039" s="22" t="s">
        <v>4290</v>
      </c>
      <c r="K2039" s="23" t="s">
        <v>4347</v>
      </c>
      <c r="L2039" t="e">
        <f>VLOOKUP(B2039,ubah!$B$2:$L$234,4,FALSE)</f>
        <v>#N/A</v>
      </c>
      <c r="M2039" t="e">
        <f>VLOOKUP(B2039,ubah!$B$2:$L$234,5,FALSE)</f>
        <v>#N/A</v>
      </c>
      <c r="N2039" t="e">
        <f>VLOOKUP(B2039,ubah!$B$2:$L$234,6,FALSE)</f>
        <v>#N/A</v>
      </c>
    </row>
    <row r="2040" spans="1:14" hidden="1" x14ac:dyDescent="0.35">
      <c r="A2040" s="21">
        <v>1351192</v>
      </c>
      <c r="B2040" s="22" t="str">
        <f>"3328131207030003"</f>
        <v>3328131207030003</v>
      </c>
      <c r="C2040" s="22" t="str">
        <f t="shared" si="62"/>
        <v>'3328131207030003</v>
      </c>
      <c r="D2040" s="22" t="str">
        <f t="shared" si="63"/>
        <v>ganda</v>
      </c>
      <c r="E2040" s="22" t="s">
        <v>4450</v>
      </c>
      <c r="F2040" s="22" t="s">
        <v>10</v>
      </c>
      <c r="G2040" s="22" t="s">
        <v>57</v>
      </c>
      <c r="H2040" s="22" t="s">
        <v>303</v>
      </c>
      <c r="I2040" s="22" t="s">
        <v>608</v>
      </c>
      <c r="J2040" s="22" t="s">
        <v>609</v>
      </c>
      <c r="K2040" s="23" t="s">
        <v>610</v>
      </c>
    </row>
    <row r="2041" spans="1:14" hidden="1" x14ac:dyDescent="0.35">
      <c r="A2041" s="21">
        <v>2084386</v>
      </c>
      <c r="B2041" s="22" t="str">
        <f>"3328131210970001"</f>
        <v>3328131210970001</v>
      </c>
      <c r="C2041" s="22" t="str">
        <f t="shared" si="62"/>
        <v>'3328131210970001</v>
      </c>
      <c r="D2041" s="22" t="str">
        <f t="shared" si="63"/>
        <v>tidak ganda</v>
      </c>
      <c r="E2041" s="22" t="s">
        <v>4451</v>
      </c>
      <c r="F2041" s="22" t="s">
        <v>10</v>
      </c>
      <c r="G2041" s="22" t="s">
        <v>11</v>
      </c>
      <c r="H2041" s="22" t="s">
        <v>18</v>
      </c>
      <c r="I2041" s="22" t="s">
        <v>19</v>
      </c>
      <c r="J2041" s="22" t="s">
        <v>4290</v>
      </c>
      <c r="K2041" s="23" t="s">
        <v>4309</v>
      </c>
      <c r="L2041" t="e">
        <f>VLOOKUP(B2041,ubah!$B$2:$L$234,4,FALSE)</f>
        <v>#N/A</v>
      </c>
      <c r="M2041" t="e">
        <f>VLOOKUP(B2041,ubah!$B$2:$L$234,5,FALSE)</f>
        <v>#N/A</v>
      </c>
      <c r="N2041" t="e">
        <f>VLOOKUP(B2041,ubah!$B$2:$L$234,6,FALSE)</f>
        <v>#N/A</v>
      </c>
    </row>
    <row r="2042" spans="1:14" hidden="1" x14ac:dyDescent="0.35">
      <c r="A2042" s="21">
        <v>2466000</v>
      </c>
      <c r="B2042" s="22" t="str">
        <f>"3328131212020004"</f>
        <v>3328131212020004</v>
      </c>
      <c r="C2042" s="22" t="str">
        <f t="shared" si="62"/>
        <v>'3328131212020004</v>
      </c>
      <c r="D2042" s="22" t="str">
        <f t="shared" si="63"/>
        <v>ganda</v>
      </c>
      <c r="E2042" s="22" t="s">
        <v>4453</v>
      </c>
      <c r="F2042" s="22" t="s">
        <v>10</v>
      </c>
      <c r="G2042" s="22" t="s">
        <v>11</v>
      </c>
      <c r="H2042" s="22" t="s">
        <v>18</v>
      </c>
      <c r="I2042" s="22" t="s">
        <v>19</v>
      </c>
      <c r="J2042" s="22" t="s">
        <v>4290</v>
      </c>
      <c r="K2042" s="23" t="s">
        <v>2513</v>
      </c>
      <c r="L2042" t="e">
        <f>VLOOKUP(B2042,ubah!$B$2:$L$234,4,FALSE)</f>
        <v>#N/A</v>
      </c>
      <c r="M2042" t="e">
        <f>VLOOKUP(B2042,ubah!$B$2:$L$234,5,FALSE)</f>
        <v>#N/A</v>
      </c>
      <c r="N2042" t="e">
        <f>VLOOKUP(B2042,ubah!$B$2:$L$234,6,FALSE)</f>
        <v>#N/A</v>
      </c>
    </row>
    <row r="2043" spans="1:14" hidden="1" x14ac:dyDescent="0.35">
      <c r="A2043" s="21">
        <v>1351196</v>
      </c>
      <c r="B2043" s="22" t="str">
        <f>"3328131212020004"</f>
        <v>3328131212020004</v>
      </c>
      <c r="C2043" s="22" t="str">
        <f t="shared" si="62"/>
        <v>'3328131212020004</v>
      </c>
      <c r="D2043" s="22" t="str">
        <f t="shared" si="63"/>
        <v>ganda</v>
      </c>
      <c r="E2043" s="22" t="s">
        <v>4453</v>
      </c>
      <c r="F2043" s="22" t="s">
        <v>10</v>
      </c>
      <c r="G2043" s="22" t="s">
        <v>57</v>
      </c>
      <c r="H2043" s="22" t="s">
        <v>303</v>
      </c>
      <c r="I2043" s="22" t="s">
        <v>608</v>
      </c>
      <c r="J2043" s="22" t="s">
        <v>609</v>
      </c>
      <c r="K2043" s="23" t="s">
        <v>610</v>
      </c>
    </row>
    <row r="2044" spans="1:14" hidden="1" x14ac:dyDescent="0.35">
      <c r="A2044" s="21">
        <v>1883388</v>
      </c>
      <c r="B2044" s="22" t="str">
        <f>"3328131310950007"</f>
        <v>3328131310950007</v>
      </c>
      <c r="C2044" s="22" t="str">
        <f t="shared" si="62"/>
        <v>'3328131310950007</v>
      </c>
      <c r="D2044" s="22" t="str">
        <f t="shared" si="63"/>
        <v>tidak ganda</v>
      </c>
      <c r="E2044" s="22" t="s">
        <v>4454</v>
      </c>
      <c r="F2044" s="22" t="s">
        <v>10</v>
      </c>
      <c r="G2044" s="22" t="s">
        <v>11</v>
      </c>
      <c r="H2044" s="22" t="s">
        <v>18</v>
      </c>
      <c r="I2044" s="22" t="s">
        <v>19</v>
      </c>
      <c r="J2044" s="22" t="s">
        <v>4290</v>
      </c>
      <c r="K2044" s="23" t="s">
        <v>4303</v>
      </c>
      <c r="L2044" t="e">
        <f>VLOOKUP(B2044,ubah!$B$2:$L$234,4,FALSE)</f>
        <v>#N/A</v>
      </c>
      <c r="M2044" t="e">
        <f>VLOOKUP(B2044,ubah!$B$2:$L$234,5,FALSE)</f>
        <v>#N/A</v>
      </c>
      <c r="N2044" t="e">
        <f>VLOOKUP(B2044,ubah!$B$2:$L$234,6,FALSE)</f>
        <v>#N/A</v>
      </c>
    </row>
    <row r="2045" spans="1:14" hidden="1" x14ac:dyDescent="0.35">
      <c r="A2045" s="21">
        <v>1311497</v>
      </c>
      <c r="B2045" s="22" t="str">
        <f>"3328131405050002"</f>
        <v>3328131405050002</v>
      </c>
      <c r="C2045" s="22" t="str">
        <f t="shared" si="62"/>
        <v>'3328131405050002</v>
      </c>
      <c r="D2045" s="22" t="str">
        <f t="shared" si="63"/>
        <v>tidak ganda</v>
      </c>
      <c r="E2045" s="22" t="s">
        <v>4455</v>
      </c>
      <c r="F2045" s="22" t="s">
        <v>10</v>
      </c>
      <c r="G2045" s="22" t="s">
        <v>11</v>
      </c>
      <c r="H2045" s="22" t="s">
        <v>303</v>
      </c>
      <c r="I2045" s="22" t="s">
        <v>509</v>
      </c>
      <c r="J2045" s="22" t="s">
        <v>4456</v>
      </c>
      <c r="K2045" s="23" t="s">
        <v>4456</v>
      </c>
    </row>
    <row r="2046" spans="1:14" hidden="1" x14ac:dyDescent="0.35">
      <c r="A2046" s="21">
        <v>272008</v>
      </c>
      <c r="B2046" s="22" t="str">
        <f>"3328131407930005"</f>
        <v>3328131407930005</v>
      </c>
      <c r="C2046" s="22" t="str">
        <f t="shared" si="62"/>
        <v>'3328131407930005</v>
      </c>
      <c r="D2046" s="22" t="str">
        <f t="shared" si="63"/>
        <v>tidak ganda</v>
      </c>
      <c r="E2046" s="22" t="s">
        <v>4458</v>
      </c>
      <c r="F2046" s="22" t="s">
        <v>10</v>
      </c>
      <c r="G2046" s="22" t="s">
        <v>11</v>
      </c>
      <c r="H2046" s="22" t="s">
        <v>18</v>
      </c>
      <c r="I2046" s="22" t="s">
        <v>268</v>
      </c>
      <c r="J2046" s="22" t="s">
        <v>277</v>
      </c>
      <c r="K2046" s="23" t="s">
        <v>1659</v>
      </c>
    </row>
    <row r="2047" spans="1:14" hidden="1" x14ac:dyDescent="0.35">
      <c r="A2047" s="21">
        <v>2088750</v>
      </c>
      <c r="B2047" s="22" t="str">
        <f>"3328131503910007"</f>
        <v>3328131503910007</v>
      </c>
      <c r="C2047" s="22" t="str">
        <f t="shared" si="62"/>
        <v>'3328131503910007</v>
      </c>
      <c r="D2047" s="22" t="str">
        <f t="shared" si="63"/>
        <v>tidak ganda</v>
      </c>
      <c r="E2047" s="22" t="s">
        <v>4463</v>
      </c>
      <c r="F2047" s="22" t="s">
        <v>10</v>
      </c>
      <c r="G2047" s="22" t="s">
        <v>11</v>
      </c>
      <c r="H2047" s="22" t="s">
        <v>18</v>
      </c>
      <c r="I2047" s="22" t="s">
        <v>19</v>
      </c>
      <c r="J2047" s="22" t="s">
        <v>4290</v>
      </c>
      <c r="K2047" s="23" t="s">
        <v>4309</v>
      </c>
      <c r="L2047" t="e">
        <f>VLOOKUP(B2047,ubah!$B$2:$L$234,4,FALSE)</f>
        <v>#N/A</v>
      </c>
      <c r="M2047" t="e">
        <f>VLOOKUP(B2047,ubah!$B$2:$L$234,5,FALSE)</f>
        <v>#N/A</v>
      </c>
      <c r="N2047" t="e">
        <f>VLOOKUP(B2047,ubah!$B$2:$L$234,6,FALSE)</f>
        <v>#N/A</v>
      </c>
    </row>
    <row r="2048" spans="1:14" hidden="1" x14ac:dyDescent="0.35">
      <c r="A2048" s="21">
        <v>1844872</v>
      </c>
      <c r="B2048" s="22" t="str">
        <f>"3328131506940003"</f>
        <v>3328131506940003</v>
      </c>
      <c r="C2048" s="22" t="str">
        <f t="shared" si="62"/>
        <v>'3328131506940003</v>
      </c>
      <c r="D2048" s="22" t="str">
        <f t="shared" si="63"/>
        <v>tidak ganda</v>
      </c>
      <c r="E2048" s="22" t="s">
        <v>4465</v>
      </c>
      <c r="F2048" s="22" t="s">
        <v>10</v>
      </c>
      <c r="G2048" s="22" t="s">
        <v>11</v>
      </c>
      <c r="H2048" s="22" t="s">
        <v>18</v>
      </c>
      <c r="I2048" s="22" t="s">
        <v>19</v>
      </c>
      <c r="J2048" s="22" t="s">
        <v>4290</v>
      </c>
      <c r="K2048" s="23" t="s">
        <v>4318</v>
      </c>
      <c r="L2048" t="e">
        <f>VLOOKUP(B2048,ubah!$B$2:$L$234,4,FALSE)</f>
        <v>#N/A</v>
      </c>
      <c r="M2048" t="e">
        <f>VLOOKUP(B2048,ubah!$B$2:$L$234,5,FALSE)</f>
        <v>#N/A</v>
      </c>
      <c r="N2048" t="e">
        <f>VLOOKUP(B2048,ubah!$B$2:$L$234,6,FALSE)</f>
        <v>#N/A</v>
      </c>
    </row>
    <row r="2049" spans="1:14" hidden="1" x14ac:dyDescent="0.35">
      <c r="A2049" s="21">
        <v>1880650</v>
      </c>
      <c r="B2049" s="22" t="str">
        <f>"3328131509890004"</f>
        <v>3328131509890004</v>
      </c>
      <c r="C2049" s="22" t="str">
        <f t="shared" si="62"/>
        <v>'3328131509890004</v>
      </c>
      <c r="D2049" s="22" t="str">
        <f t="shared" si="63"/>
        <v>tidak ganda</v>
      </c>
      <c r="E2049" s="22" t="s">
        <v>4466</v>
      </c>
      <c r="F2049" s="22" t="s">
        <v>10</v>
      </c>
      <c r="G2049" s="22" t="s">
        <v>11</v>
      </c>
      <c r="H2049" s="22" t="s">
        <v>18</v>
      </c>
      <c r="I2049" s="22" t="s">
        <v>19</v>
      </c>
      <c r="J2049" s="22" t="s">
        <v>4290</v>
      </c>
      <c r="K2049" s="23" t="s">
        <v>4303</v>
      </c>
      <c r="L2049" t="e">
        <f>VLOOKUP(B2049,ubah!$B$2:$L$234,4,FALSE)</f>
        <v>#N/A</v>
      </c>
      <c r="M2049" t="e">
        <f>VLOOKUP(B2049,ubah!$B$2:$L$234,5,FALSE)</f>
        <v>#N/A</v>
      </c>
      <c r="N2049" t="e">
        <f>VLOOKUP(B2049,ubah!$B$2:$L$234,6,FALSE)</f>
        <v>#N/A</v>
      </c>
    </row>
    <row r="2050" spans="1:14" hidden="1" x14ac:dyDescent="0.35">
      <c r="A2050" s="21">
        <v>1905354</v>
      </c>
      <c r="B2050" s="22" t="str">
        <f>"3328131510950002"</f>
        <v>3328131510950002</v>
      </c>
      <c r="C2050" s="22" t="str">
        <f t="shared" si="62"/>
        <v>'3328131510950002</v>
      </c>
      <c r="D2050" s="22" t="str">
        <f t="shared" si="63"/>
        <v>tidak ganda</v>
      </c>
      <c r="E2050" s="22" t="s">
        <v>4467</v>
      </c>
      <c r="F2050" s="22" t="s">
        <v>10</v>
      </c>
      <c r="G2050" s="22" t="s">
        <v>11</v>
      </c>
      <c r="H2050" s="22" t="s">
        <v>18</v>
      </c>
      <c r="I2050" s="22" t="s">
        <v>19</v>
      </c>
      <c r="J2050" s="22" t="s">
        <v>4290</v>
      </c>
      <c r="K2050" s="23" t="s">
        <v>4298</v>
      </c>
      <c r="L2050" t="e">
        <f>VLOOKUP(B2050,ubah!$B$2:$L$234,4,FALSE)</f>
        <v>#N/A</v>
      </c>
      <c r="M2050" t="e">
        <f>VLOOKUP(B2050,ubah!$B$2:$L$234,5,FALSE)</f>
        <v>#N/A</v>
      </c>
      <c r="N2050" t="e">
        <f>VLOOKUP(B2050,ubah!$B$2:$L$234,6,FALSE)</f>
        <v>#N/A</v>
      </c>
    </row>
    <row r="2051" spans="1:14" hidden="1" x14ac:dyDescent="0.35">
      <c r="A2051" s="21">
        <v>2466438</v>
      </c>
      <c r="B2051" s="22" t="str">
        <f>"3328131511030002"</f>
        <v>3328131511030002</v>
      </c>
      <c r="C2051" s="22" t="str">
        <f t="shared" ref="C2051:C2114" si="64">"'"&amp;B2051</f>
        <v>'3328131511030002</v>
      </c>
      <c r="D2051" s="22" t="str">
        <f t="shared" ref="D2051:D2114" si="65">IF(COUNTIF($C:$C,C2051)&gt;1,"ganda","tidak ganda")</f>
        <v>ganda</v>
      </c>
      <c r="E2051" s="22" t="s">
        <v>4468</v>
      </c>
      <c r="F2051" s="22" t="s">
        <v>10</v>
      </c>
      <c r="G2051" s="22" t="s">
        <v>11</v>
      </c>
      <c r="H2051" s="22" t="s">
        <v>18</v>
      </c>
      <c r="I2051" s="22" t="s">
        <v>19</v>
      </c>
      <c r="J2051" s="22" t="s">
        <v>4290</v>
      </c>
      <c r="K2051" s="23" t="s">
        <v>2513</v>
      </c>
      <c r="L2051" t="e">
        <f>VLOOKUP(B2051,ubah!$B$2:$L$234,4,FALSE)</f>
        <v>#N/A</v>
      </c>
      <c r="M2051" t="e">
        <f>VLOOKUP(B2051,ubah!$B$2:$L$234,5,FALSE)</f>
        <v>#N/A</v>
      </c>
      <c r="N2051" t="e">
        <f>VLOOKUP(B2051,ubah!$B$2:$L$234,6,FALSE)</f>
        <v>#N/A</v>
      </c>
    </row>
    <row r="2052" spans="1:14" hidden="1" x14ac:dyDescent="0.35">
      <c r="A2052" s="21">
        <v>1351194</v>
      </c>
      <c r="B2052" s="22" t="str">
        <f>"3328131511030002"</f>
        <v>3328131511030002</v>
      </c>
      <c r="C2052" s="22" t="str">
        <f t="shared" si="64"/>
        <v>'3328131511030002</v>
      </c>
      <c r="D2052" s="22" t="str">
        <f t="shared" si="65"/>
        <v>ganda</v>
      </c>
      <c r="E2052" s="22" t="s">
        <v>4468</v>
      </c>
      <c r="F2052" s="22" t="s">
        <v>10</v>
      </c>
      <c r="G2052" s="22" t="s">
        <v>57</v>
      </c>
      <c r="H2052" s="22" t="s">
        <v>303</v>
      </c>
      <c r="I2052" s="22" t="s">
        <v>608</v>
      </c>
      <c r="J2052" s="22" t="s">
        <v>609</v>
      </c>
      <c r="K2052" s="23" t="s">
        <v>610</v>
      </c>
    </row>
    <row r="2053" spans="1:14" hidden="1" x14ac:dyDescent="0.35">
      <c r="A2053" s="21">
        <v>2406354</v>
      </c>
      <c r="B2053" s="22" t="str">
        <f>"3328131511840007"</f>
        <v>3328131511840007</v>
      </c>
      <c r="C2053" s="22" t="str">
        <f t="shared" si="64"/>
        <v>'3328131511840007</v>
      </c>
      <c r="D2053" s="22" t="str">
        <f t="shared" si="65"/>
        <v>tidak ganda</v>
      </c>
      <c r="E2053" s="22" t="s">
        <v>4469</v>
      </c>
      <c r="F2053" s="22" t="s">
        <v>10</v>
      </c>
      <c r="G2053" s="22" t="s">
        <v>11</v>
      </c>
      <c r="H2053" s="22" t="s">
        <v>18</v>
      </c>
      <c r="I2053" s="22" t="s">
        <v>19</v>
      </c>
      <c r="J2053" s="22" t="s">
        <v>4290</v>
      </c>
      <c r="K2053" s="23" t="s">
        <v>1381</v>
      </c>
      <c r="L2053" t="e">
        <f>VLOOKUP(B2053,ubah!$B$2:$L$234,4,FALSE)</f>
        <v>#N/A</v>
      </c>
      <c r="M2053" t="e">
        <f>VLOOKUP(B2053,ubah!$B$2:$L$234,5,FALSE)</f>
        <v>#N/A</v>
      </c>
      <c r="N2053" t="e">
        <f>VLOOKUP(B2053,ubah!$B$2:$L$234,6,FALSE)</f>
        <v>#N/A</v>
      </c>
    </row>
    <row r="2054" spans="1:14" hidden="1" x14ac:dyDescent="0.35">
      <c r="A2054" s="21">
        <v>1903152</v>
      </c>
      <c r="B2054" s="22" t="str">
        <f>"3328131607670001"</f>
        <v>3328131607670001</v>
      </c>
      <c r="C2054" s="22" t="str">
        <f t="shared" si="64"/>
        <v>'3328131607670001</v>
      </c>
      <c r="D2054" s="22" t="str">
        <f t="shared" si="65"/>
        <v>tidak ganda</v>
      </c>
      <c r="E2054" s="22" t="s">
        <v>4471</v>
      </c>
      <c r="F2054" s="22" t="s">
        <v>10</v>
      </c>
      <c r="G2054" s="22" t="s">
        <v>11</v>
      </c>
      <c r="H2054" s="22" t="s">
        <v>18</v>
      </c>
      <c r="I2054" s="22" t="s">
        <v>19</v>
      </c>
      <c r="J2054" s="22" t="s">
        <v>4290</v>
      </c>
      <c r="K2054" s="23" t="s">
        <v>4298</v>
      </c>
      <c r="L2054" t="e">
        <f>VLOOKUP(B2054,ubah!$B$2:$L$234,4,FALSE)</f>
        <v>#N/A</v>
      </c>
      <c r="M2054" t="e">
        <f>VLOOKUP(B2054,ubah!$B$2:$L$234,5,FALSE)</f>
        <v>#N/A</v>
      </c>
      <c r="N2054" t="e">
        <f>VLOOKUP(B2054,ubah!$B$2:$L$234,6,FALSE)</f>
        <v>#N/A</v>
      </c>
    </row>
    <row r="2055" spans="1:14" hidden="1" x14ac:dyDescent="0.35">
      <c r="A2055" s="21">
        <v>1902211</v>
      </c>
      <c r="B2055" s="22" t="str">
        <f>"3328131607860002"</f>
        <v>3328131607860002</v>
      </c>
      <c r="C2055" s="22" t="str">
        <f t="shared" si="64"/>
        <v>'3328131607860002</v>
      </c>
      <c r="D2055" s="22" t="str">
        <f t="shared" si="65"/>
        <v>tidak ganda</v>
      </c>
      <c r="E2055" s="22" t="s">
        <v>4473</v>
      </c>
      <c r="F2055" s="22" t="s">
        <v>10</v>
      </c>
      <c r="G2055" s="22" t="s">
        <v>11</v>
      </c>
      <c r="H2055" s="22" t="s">
        <v>18</v>
      </c>
      <c r="I2055" s="22" t="s">
        <v>19</v>
      </c>
      <c r="J2055" s="22" t="s">
        <v>4290</v>
      </c>
      <c r="K2055" s="23" t="s">
        <v>4358</v>
      </c>
      <c r="L2055" t="e">
        <f>VLOOKUP(B2055,ubah!$B$2:$L$234,4,FALSE)</f>
        <v>#N/A</v>
      </c>
      <c r="M2055" t="e">
        <f>VLOOKUP(B2055,ubah!$B$2:$L$234,5,FALSE)</f>
        <v>#N/A</v>
      </c>
      <c r="N2055" t="e">
        <f>VLOOKUP(B2055,ubah!$B$2:$L$234,6,FALSE)</f>
        <v>#N/A</v>
      </c>
    </row>
    <row r="2056" spans="1:14" hidden="1" x14ac:dyDescent="0.35">
      <c r="A2056" s="21">
        <v>1910245</v>
      </c>
      <c r="B2056" s="22" t="str">
        <f>"3328131701850004"</f>
        <v>3328131701850004</v>
      </c>
      <c r="C2056" s="22" t="str">
        <f t="shared" si="64"/>
        <v>'3328131701850004</v>
      </c>
      <c r="D2056" s="22" t="str">
        <f t="shared" si="65"/>
        <v>tidak ganda</v>
      </c>
      <c r="E2056" s="22" t="s">
        <v>4474</v>
      </c>
      <c r="F2056" s="22" t="s">
        <v>10</v>
      </c>
      <c r="G2056" s="22" t="s">
        <v>11</v>
      </c>
      <c r="H2056" s="22" t="s">
        <v>18</v>
      </c>
      <c r="I2056" s="22" t="s">
        <v>19</v>
      </c>
      <c r="J2056" s="22" t="s">
        <v>4290</v>
      </c>
      <c r="K2056" s="23" t="s">
        <v>4475</v>
      </c>
      <c r="L2056" t="e">
        <f>VLOOKUP(B2056,ubah!$B$2:$L$234,4,FALSE)</f>
        <v>#N/A</v>
      </c>
      <c r="M2056" t="e">
        <f>VLOOKUP(B2056,ubah!$B$2:$L$234,5,FALSE)</f>
        <v>#N/A</v>
      </c>
      <c r="N2056" t="e">
        <f>VLOOKUP(B2056,ubah!$B$2:$L$234,6,FALSE)</f>
        <v>#N/A</v>
      </c>
    </row>
    <row r="2057" spans="1:14" hidden="1" x14ac:dyDescent="0.35">
      <c r="A2057" s="21">
        <v>1478694</v>
      </c>
      <c r="B2057" s="22" t="str">
        <f>"3328131708940011"</f>
        <v>3328131708940011</v>
      </c>
      <c r="C2057" s="22" t="str">
        <f t="shared" si="64"/>
        <v>'3328131708940011</v>
      </c>
      <c r="D2057" s="22" t="str">
        <f t="shared" si="65"/>
        <v>tidak ganda</v>
      </c>
      <c r="E2057" s="22" t="s">
        <v>4478</v>
      </c>
      <c r="F2057" s="22" t="s">
        <v>10</v>
      </c>
      <c r="G2057" s="22" t="s">
        <v>11</v>
      </c>
      <c r="H2057" s="22" t="s">
        <v>18</v>
      </c>
      <c r="I2057" s="22" t="s">
        <v>19</v>
      </c>
      <c r="J2057" s="22" t="s">
        <v>4290</v>
      </c>
      <c r="K2057" s="23" t="s">
        <v>4436</v>
      </c>
      <c r="L2057" t="e">
        <f>VLOOKUP(B2057,ubah!$B$2:$L$234,4,FALSE)</f>
        <v>#N/A</v>
      </c>
      <c r="M2057" t="e">
        <f>VLOOKUP(B2057,ubah!$B$2:$L$234,5,FALSE)</f>
        <v>#N/A</v>
      </c>
      <c r="N2057" t="e">
        <f>VLOOKUP(B2057,ubah!$B$2:$L$234,6,FALSE)</f>
        <v>#N/A</v>
      </c>
    </row>
    <row r="2058" spans="1:14" hidden="1" x14ac:dyDescent="0.35">
      <c r="A2058" s="21">
        <v>1908124</v>
      </c>
      <c r="B2058" s="22" t="str">
        <f>"3328131805040002"</f>
        <v>3328131805040002</v>
      </c>
      <c r="C2058" s="22" t="str">
        <f t="shared" si="64"/>
        <v>'3328131805040002</v>
      </c>
      <c r="D2058" s="22" t="str">
        <f t="shared" si="65"/>
        <v>ganda</v>
      </c>
      <c r="E2058" s="22" t="s">
        <v>4479</v>
      </c>
      <c r="F2058" s="22" t="s">
        <v>10</v>
      </c>
      <c r="G2058" s="22" t="s">
        <v>11</v>
      </c>
      <c r="H2058" s="22" t="s">
        <v>18</v>
      </c>
      <c r="I2058" s="22" t="s">
        <v>19</v>
      </c>
      <c r="J2058" s="22" t="s">
        <v>4290</v>
      </c>
      <c r="K2058" s="23" t="s">
        <v>4298</v>
      </c>
      <c r="L2058" t="e">
        <f>VLOOKUP(B2058,ubah!$B$2:$L$234,4,FALSE)</f>
        <v>#N/A</v>
      </c>
      <c r="M2058" t="e">
        <f>VLOOKUP(B2058,ubah!$B$2:$L$234,5,FALSE)</f>
        <v>#N/A</v>
      </c>
      <c r="N2058" t="e">
        <f>VLOOKUP(B2058,ubah!$B$2:$L$234,6,FALSE)</f>
        <v>#N/A</v>
      </c>
    </row>
    <row r="2059" spans="1:14" hidden="1" x14ac:dyDescent="0.35">
      <c r="A2059" s="21">
        <v>1351197</v>
      </c>
      <c r="B2059" s="22" t="str">
        <f>"3328131805040002"</f>
        <v>3328131805040002</v>
      </c>
      <c r="C2059" s="22" t="str">
        <f t="shared" si="64"/>
        <v>'3328131805040002</v>
      </c>
      <c r="D2059" s="22" t="str">
        <f t="shared" si="65"/>
        <v>ganda</v>
      </c>
      <c r="E2059" s="22" t="s">
        <v>4479</v>
      </c>
      <c r="F2059" s="22" t="s">
        <v>10</v>
      </c>
      <c r="G2059" s="22" t="s">
        <v>57</v>
      </c>
      <c r="H2059" s="22" t="s">
        <v>303</v>
      </c>
      <c r="I2059" s="22" t="s">
        <v>608</v>
      </c>
      <c r="J2059" s="22" t="s">
        <v>609</v>
      </c>
      <c r="K2059" s="23" t="s">
        <v>610</v>
      </c>
    </row>
    <row r="2060" spans="1:14" hidden="1" x14ac:dyDescent="0.35">
      <c r="A2060" s="21">
        <v>1879569</v>
      </c>
      <c r="B2060" s="22" t="str">
        <f>"3328131805050005"</f>
        <v>3328131805050005</v>
      </c>
      <c r="C2060" s="22" t="str">
        <f t="shared" si="64"/>
        <v>'3328131805050005</v>
      </c>
      <c r="D2060" s="22" t="str">
        <f t="shared" si="65"/>
        <v>tidak ganda</v>
      </c>
      <c r="E2060" s="22" t="s">
        <v>4480</v>
      </c>
      <c r="F2060" s="22" t="s">
        <v>10</v>
      </c>
      <c r="G2060" s="22" t="s">
        <v>11</v>
      </c>
      <c r="H2060" s="22" t="s">
        <v>18</v>
      </c>
      <c r="I2060" s="22" t="s">
        <v>19</v>
      </c>
      <c r="J2060" s="22" t="s">
        <v>4290</v>
      </c>
      <c r="K2060" s="23" t="s">
        <v>4303</v>
      </c>
      <c r="L2060" t="e">
        <f>VLOOKUP(B2060,ubah!$B$2:$L$234,4,FALSE)</f>
        <v>#N/A</v>
      </c>
      <c r="M2060" t="e">
        <f>VLOOKUP(B2060,ubah!$B$2:$L$234,5,FALSE)</f>
        <v>#N/A</v>
      </c>
      <c r="N2060" t="e">
        <f>VLOOKUP(B2060,ubah!$B$2:$L$234,6,FALSE)</f>
        <v>#N/A</v>
      </c>
    </row>
    <row r="2061" spans="1:14" hidden="1" x14ac:dyDescent="0.35">
      <c r="A2061" s="21">
        <v>1875790</v>
      </c>
      <c r="B2061" s="22" t="str">
        <f>"3328131810920004"</f>
        <v>3328131810920004</v>
      </c>
      <c r="C2061" s="22" t="str">
        <f t="shared" si="64"/>
        <v>'3328131810920004</v>
      </c>
      <c r="D2061" s="22" t="str">
        <f t="shared" si="65"/>
        <v>tidak ganda</v>
      </c>
      <c r="E2061" s="22" t="s">
        <v>4482</v>
      </c>
      <c r="F2061" s="22" t="s">
        <v>10</v>
      </c>
      <c r="G2061" s="22" t="s">
        <v>11</v>
      </c>
      <c r="H2061" s="22" t="s">
        <v>18</v>
      </c>
      <c r="I2061" s="22" t="s">
        <v>19</v>
      </c>
      <c r="J2061" s="22" t="s">
        <v>4290</v>
      </c>
      <c r="K2061" s="23" t="s">
        <v>344</v>
      </c>
      <c r="L2061" t="e">
        <f>VLOOKUP(B2061,ubah!$B$2:$L$234,4,FALSE)</f>
        <v>#N/A</v>
      </c>
      <c r="M2061" t="e">
        <f>VLOOKUP(B2061,ubah!$B$2:$L$234,5,FALSE)</f>
        <v>#N/A</v>
      </c>
      <c r="N2061" t="e">
        <f>VLOOKUP(B2061,ubah!$B$2:$L$234,6,FALSE)</f>
        <v>#N/A</v>
      </c>
    </row>
    <row r="2062" spans="1:14" hidden="1" x14ac:dyDescent="0.35">
      <c r="A2062" s="21">
        <v>1442766</v>
      </c>
      <c r="B2062" s="22" t="str">
        <f>"3328132005860009"</f>
        <v>3328132005860009</v>
      </c>
      <c r="C2062" s="22" t="str">
        <f t="shared" si="64"/>
        <v>'3328132005860009</v>
      </c>
      <c r="D2062" s="22" t="str">
        <f t="shared" si="65"/>
        <v>tidak ganda</v>
      </c>
      <c r="E2062" s="22" t="s">
        <v>4485</v>
      </c>
      <c r="F2062" s="22" t="s">
        <v>10</v>
      </c>
      <c r="G2062" s="22" t="s">
        <v>11</v>
      </c>
      <c r="H2062" s="22" t="s">
        <v>18</v>
      </c>
      <c r="I2062" s="22" t="s">
        <v>19</v>
      </c>
      <c r="J2062" s="22" t="s">
        <v>4290</v>
      </c>
      <c r="K2062" s="23" t="s">
        <v>878</v>
      </c>
      <c r="L2062" t="e">
        <f>VLOOKUP(B2062,ubah!$B$2:$L$234,4,FALSE)</f>
        <v>#N/A</v>
      </c>
      <c r="M2062" t="e">
        <f>VLOOKUP(B2062,ubah!$B$2:$L$234,5,FALSE)</f>
        <v>#N/A</v>
      </c>
      <c r="N2062" t="e">
        <f>VLOOKUP(B2062,ubah!$B$2:$L$234,6,FALSE)</f>
        <v>#N/A</v>
      </c>
    </row>
    <row r="2063" spans="1:14" hidden="1" x14ac:dyDescent="0.35">
      <c r="A2063" s="21">
        <v>1900856</v>
      </c>
      <c r="B2063" s="22" t="str">
        <f>"3328132101930002"</f>
        <v>3328132101930002</v>
      </c>
      <c r="C2063" s="22" t="str">
        <f t="shared" si="64"/>
        <v>'3328132101930002</v>
      </c>
      <c r="D2063" s="22" t="str">
        <f t="shared" si="65"/>
        <v>tidak ganda</v>
      </c>
      <c r="E2063" s="22" t="s">
        <v>672</v>
      </c>
      <c r="F2063" s="22" t="s">
        <v>10</v>
      </c>
      <c r="G2063" s="22" t="s">
        <v>11</v>
      </c>
      <c r="H2063" s="22" t="s">
        <v>18</v>
      </c>
      <c r="I2063" s="22" t="s">
        <v>19</v>
      </c>
      <c r="J2063" s="22" t="s">
        <v>4290</v>
      </c>
      <c r="K2063" s="23" t="s">
        <v>4358</v>
      </c>
      <c r="L2063" t="e">
        <f>VLOOKUP(B2063,ubah!$B$2:$L$234,4,FALSE)</f>
        <v>#N/A</v>
      </c>
      <c r="M2063" t="e">
        <f>VLOOKUP(B2063,ubah!$B$2:$L$234,5,FALSE)</f>
        <v>#N/A</v>
      </c>
      <c r="N2063" t="e">
        <f>VLOOKUP(B2063,ubah!$B$2:$L$234,6,FALSE)</f>
        <v>#N/A</v>
      </c>
    </row>
    <row r="2064" spans="1:14" hidden="1" x14ac:dyDescent="0.35">
      <c r="A2064" s="21">
        <v>1295624</v>
      </c>
      <c r="B2064" s="22" t="str">
        <f>"3328132105900001"</f>
        <v>3328132105900001</v>
      </c>
      <c r="C2064" s="22" t="str">
        <f t="shared" si="64"/>
        <v>'3328132105900001</v>
      </c>
      <c r="D2064" s="22" t="str">
        <f t="shared" si="65"/>
        <v>tidak ganda</v>
      </c>
      <c r="E2064" s="22" t="s">
        <v>4490</v>
      </c>
      <c r="F2064" s="22" t="s">
        <v>10</v>
      </c>
      <c r="G2064" s="22" t="s">
        <v>11</v>
      </c>
      <c r="H2064" s="22" t="s">
        <v>667</v>
      </c>
      <c r="I2064" s="22" t="s">
        <v>4491</v>
      </c>
      <c r="J2064" s="22" t="s">
        <v>4492</v>
      </c>
      <c r="K2064" s="23" t="s">
        <v>2066</v>
      </c>
    </row>
    <row r="2065" spans="1:14" hidden="1" x14ac:dyDescent="0.35">
      <c r="A2065" s="21">
        <v>1909058</v>
      </c>
      <c r="B2065" s="22" t="str">
        <f>"3328132107970005"</f>
        <v>3328132107970005</v>
      </c>
      <c r="C2065" s="22" t="str">
        <f t="shared" si="64"/>
        <v>'3328132107970005</v>
      </c>
      <c r="D2065" s="22" t="str">
        <f t="shared" si="65"/>
        <v>tidak ganda</v>
      </c>
      <c r="E2065" s="22" t="s">
        <v>4493</v>
      </c>
      <c r="F2065" s="22" t="s">
        <v>10</v>
      </c>
      <c r="G2065" s="22" t="s">
        <v>11</v>
      </c>
      <c r="H2065" s="22" t="s">
        <v>18</v>
      </c>
      <c r="I2065" s="22" t="s">
        <v>19</v>
      </c>
      <c r="J2065" s="22" t="s">
        <v>4290</v>
      </c>
      <c r="K2065" s="23" t="s">
        <v>4475</v>
      </c>
      <c r="L2065" t="e">
        <f>VLOOKUP(B2065,ubah!$B$2:$L$234,4,FALSE)</f>
        <v>#N/A</v>
      </c>
      <c r="M2065" t="e">
        <f>VLOOKUP(B2065,ubah!$B$2:$L$234,5,FALSE)</f>
        <v>#N/A</v>
      </c>
      <c r="N2065" t="e">
        <f>VLOOKUP(B2065,ubah!$B$2:$L$234,6,FALSE)</f>
        <v>#N/A</v>
      </c>
    </row>
    <row r="2066" spans="1:14" hidden="1" x14ac:dyDescent="0.35">
      <c r="A2066" s="21">
        <v>1889915</v>
      </c>
      <c r="B2066" s="22" t="str">
        <f>"3328132210950005"</f>
        <v>3328132210950005</v>
      </c>
      <c r="C2066" s="22" t="str">
        <f t="shared" si="64"/>
        <v>'3328132210950005</v>
      </c>
      <c r="D2066" s="22" t="str">
        <f t="shared" si="65"/>
        <v>tidak ganda</v>
      </c>
      <c r="E2066" s="22" t="s">
        <v>4495</v>
      </c>
      <c r="F2066" s="22" t="s">
        <v>10</v>
      </c>
      <c r="G2066" s="22" t="s">
        <v>11</v>
      </c>
      <c r="H2066" s="22" t="s">
        <v>18</v>
      </c>
      <c r="I2066" s="22" t="s">
        <v>19</v>
      </c>
      <c r="J2066" s="22" t="s">
        <v>4290</v>
      </c>
      <c r="K2066" s="23" t="s">
        <v>4315</v>
      </c>
      <c r="L2066" t="e">
        <f>VLOOKUP(B2066,ubah!$B$2:$L$234,4,FALSE)</f>
        <v>#N/A</v>
      </c>
      <c r="M2066" t="e">
        <f>VLOOKUP(B2066,ubah!$B$2:$L$234,5,FALSE)</f>
        <v>#N/A</v>
      </c>
      <c r="N2066" t="e">
        <f>VLOOKUP(B2066,ubah!$B$2:$L$234,6,FALSE)</f>
        <v>#N/A</v>
      </c>
    </row>
    <row r="2067" spans="1:14" hidden="1" x14ac:dyDescent="0.35">
      <c r="A2067" s="21">
        <v>318116</v>
      </c>
      <c r="B2067" s="22" t="str">
        <f>"3328132307890002"</f>
        <v>3328132307890002</v>
      </c>
      <c r="C2067" s="22" t="str">
        <f t="shared" si="64"/>
        <v>'3328132307890002</v>
      </c>
      <c r="D2067" s="22" t="str">
        <f t="shared" si="65"/>
        <v>tidak ganda</v>
      </c>
      <c r="E2067" s="22" t="s">
        <v>4497</v>
      </c>
      <c r="F2067" s="22" t="s">
        <v>10</v>
      </c>
      <c r="G2067" s="22" t="s">
        <v>11</v>
      </c>
      <c r="H2067" s="22" t="s">
        <v>91</v>
      </c>
      <c r="I2067" s="22" t="s">
        <v>92</v>
      </c>
      <c r="J2067" s="22" t="s">
        <v>237</v>
      </c>
      <c r="K2067" s="23" t="s">
        <v>4498</v>
      </c>
    </row>
    <row r="2068" spans="1:14" hidden="1" x14ac:dyDescent="0.35">
      <c r="A2068" s="21">
        <v>2110758</v>
      </c>
      <c r="B2068" s="22" t="str">
        <f>"3328132403010001"</f>
        <v>3328132403010001</v>
      </c>
      <c r="C2068" s="22" t="str">
        <f t="shared" si="64"/>
        <v>'3328132403010001</v>
      </c>
      <c r="D2068" s="22" t="str">
        <f t="shared" si="65"/>
        <v>ganda</v>
      </c>
      <c r="E2068" s="22" t="s">
        <v>4499</v>
      </c>
      <c r="F2068" s="22" t="s">
        <v>10</v>
      </c>
      <c r="G2068" s="22" t="s">
        <v>11</v>
      </c>
      <c r="H2068" s="22" t="s">
        <v>18</v>
      </c>
      <c r="I2068" s="22" t="s">
        <v>19</v>
      </c>
      <c r="J2068" s="22" t="s">
        <v>4290</v>
      </c>
      <c r="K2068" s="23" t="s">
        <v>4347</v>
      </c>
      <c r="L2068" t="e">
        <f>VLOOKUP(B2068,ubah!$B$2:$L$234,4,FALSE)</f>
        <v>#N/A</v>
      </c>
      <c r="M2068" t="e">
        <f>VLOOKUP(B2068,ubah!$B$2:$L$234,5,FALSE)</f>
        <v>#N/A</v>
      </c>
      <c r="N2068" t="e">
        <f>VLOOKUP(B2068,ubah!$B$2:$L$234,6,FALSE)</f>
        <v>#N/A</v>
      </c>
    </row>
    <row r="2069" spans="1:14" hidden="1" x14ac:dyDescent="0.35">
      <c r="A2069" s="21">
        <v>1351193</v>
      </c>
      <c r="B2069" s="22" t="str">
        <f>"3328132403010001"</f>
        <v>3328132403010001</v>
      </c>
      <c r="C2069" s="22" t="str">
        <f t="shared" si="64"/>
        <v>'3328132403010001</v>
      </c>
      <c r="D2069" s="22" t="str">
        <f t="shared" si="65"/>
        <v>ganda</v>
      </c>
      <c r="E2069" s="22" t="s">
        <v>4499</v>
      </c>
      <c r="F2069" s="22" t="s">
        <v>10</v>
      </c>
      <c r="G2069" s="22" t="s">
        <v>57</v>
      </c>
      <c r="H2069" s="22" t="s">
        <v>303</v>
      </c>
      <c r="I2069" s="22" t="s">
        <v>608</v>
      </c>
      <c r="J2069" s="22" t="s">
        <v>609</v>
      </c>
      <c r="K2069" s="23" t="s">
        <v>610</v>
      </c>
    </row>
    <row r="2070" spans="1:14" hidden="1" x14ac:dyDescent="0.35">
      <c r="A2070" s="21">
        <v>1904098</v>
      </c>
      <c r="B2070" s="22" t="str">
        <f>"3328132405890001"</f>
        <v>3328132405890001</v>
      </c>
      <c r="C2070" s="22" t="str">
        <f t="shared" si="64"/>
        <v>'3328132405890001</v>
      </c>
      <c r="D2070" s="22" t="str">
        <f t="shared" si="65"/>
        <v>tidak ganda</v>
      </c>
      <c r="E2070" s="22" t="s">
        <v>4500</v>
      </c>
      <c r="F2070" s="22" t="s">
        <v>10</v>
      </c>
      <c r="G2070" s="22" t="s">
        <v>11</v>
      </c>
      <c r="H2070" s="22" t="s">
        <v>18</v>
      </c>
      <c r="I2070" s="22" t="s">
        <v>19</v>
      </c>
      <c r="J2070" s="22" t="s">
        <v>4290</v>
      </c>
      <c r="K2070" s="23" t="s">
        <v>4298</v>
      </c>
      <c r="L2070" t="e">
        <f>VLOOKUP(B2070,ubah!$B$2:$L$234,4,FALSE)</f>
        <v>#N/A</v>
      </c>
      <c r="M2070" t="e">
        <f>VLOOKUP(B2070,ubah!$B$2:$L$234,5,FALSE)</f>
        <v>#N/A</v>
      </c>
      <c r="N2070" t="e">
        <f>VLOOKUP(B2070,ubah!$B$2:$L$234,6,FALSE)</f>
        <v>#N/A</v>
      </c>
    </row>
    <row r="2071" spans="1:14" hidden="1" x14ac:dyDescent="0.35">
      <c r="A2071" s="21">
        <v>2410418</v>
      </c>
      <c r="B2071" s="22" t="str">
        <f>"3328132409960003"</f>
        <v>3328132409960003</v>
      </c>
      <c r="C2071" s="22" t="str">
        <f t="shared" si="64"/>
        <v>'3328132409960003</v>
      </c>
      <c r="D2071" s="22" t="str">
        <f t="shared" si="65"/>
        <v>tidak ganda</v>
      </c>
      <c r="E2071" s="22" t="s">
        <v>4501</v>
      </c>
      <c r="F2071" s="22" t="s">
        <v>10</v>
      </c>
      <c r="G2071" s="22" t="s">
        <v>11</v>
      </c>
      <c r="H2071" s="22" t="s">
        <v>18</v>
      </c>
      <c r="I2071" s="22" t="s">
        <v>19</v>
      </c>
      <c r="J2071" s="22" t="s">
        <v>4290</v>
      </c>
      <c r="K2071" s="23" t="s">
        <v>1381</v>
      </c>
      <c r="L2071" t="e">
        <f>VLOOKUP(B2071,ubah!$B$2:$L$234,4,FALSE)</f>
        <v>#N/A</v>
      </c>
      <c r="M2071" t="e">
        <f>VLOOKUP(B2071,ubah!$B$2:$L$234,5,FALSE)</f>
        <v>#N/A</v>
      </c>
      <c r="N2071" t="e">
        <f>VLOOKUP(B2071,ubah!$B$2:$L$234,6,FALSE)</f>
        <v>#N/A</v>
      </c>
    </row>
    <row r="2072" spans="1:14" hidden="1" x14ac:dyDescent="0.35">
      <c r="A2072" s="21">
        <v>1888231</v>
      </c>
      <c r="B2072" s="22" t="str">
        <f>"3328132503850003"</f>
        <v>3328132503850003</v>
      </c>
      <c r="C2072" s="22" t="str">
        <f t="shared" si="64"/>
        <v>'3328132503850003</v>
      </c>
      <c r="D2072" s="22" t="str">
        <f t="shared" si="65"/>
        <v>tidak ganda</v>
      </c>
      <c r="E2072" s="22" t="s">
        <v>4503</v>
      </c>
      <c r="F2072" s="22" t="s">
        <v>10</v>
      </c>
      <c r="G2072" s="22" t="s">
        <v>11</v>
      </c>
      <c r="H2072" s="22" t="s">
        <v>18</v>
      </c>
      <c r="I2072" s="22" t="s">
        <v>19</v>
      </c>
      <c r="J2072" s="22" t="s">
        <v>4290</v>
      </c>
      <c r="K2072" s="23" t="s">
        <v>4315</v>
      </c>
      <c r="L2072" t="e">
        <f>VLOOKUP(B2072,ubah!$B$2:$L$234,4,FALSE)</f>
        <v>#N/A</v>
      </c>
      <c r="M2072" t="e">
        <f>VLOOKUP(B2072,ubah!$B$2:$L$234,5,FALSE)</f>
        <v>#N/A</v>
      </c>
      <c r="N2072" t="e">
        <f>VLOOKUP(B2072,ubah!$B$2:$L$234,6,FALSE)</f>
        <v>#N/A</v>
      </c>
    </row>
    <row r="2073" spans="1:14" hidden="1" x14ac:dyDescent="0.35">
      <c r="A2073" s="21">
        <v>1887325</v>
      </c>
      <c r="B2073" s="22" t="str">
        <f>"3328132506960003"</f>
        <v>3328132506960003</v>
      </c>
      <c r="C2073" s="22" t="str">
        <f t="shared" si="64"/>
        <v>'3328132506960003</v>
      </c>
      <c r="D2073" s="22" t="str">
        <f t="shared" si="65"/>
        <v>tidak ganda</v>
      </c>
      <c r="E2073" s="22" t="s">
        <v>4504</v>
      </c>
      <c r="F2073" s="22" t="s">
        <v>10</v>
      </c>
      <c r="G2073" s="22" t="s">
        <v>11</v>
      </c>
      <c r="H2073" s="22" t="s">
        <v>18</v>
      </c>
      <c r="I2073" s="22" t="s">
        <v>19</v>
      </c>
      <c r="J2073" s="22" t="s">
        <v>4290</v>
      </c>
      <c r="K2073" s="23" t="s">
        <v>4315</v>
      </c>
      <c r="L2073" t="e">
        <f>VLOOKUP(B2073,ubah!$B$2:$L$234,4,FALSE)</f>
        <v>#N/A</v>
      </c>
      <c r="M2073" t="e">
        <f>VLOOKUP(B2073,ubah!$B$2:$L$234,5,FALSE)</f>
        <v>#N/A</v>
      </c>
      <c r="N2073" t="e">
        <f>VLOOKUP(B2073,ubah!$B$2:$L$234,6,FALSE)</f>
        <v>#N/A</v>
      </c>
    </row>
    <row r="2074" spans="1:14" hidden="1" x14ac:dyDescent="0.35">
      <c r="A2074" s="21">
        <v>1905811</v>
      </c>
      <c r="B2074" s="22" t="str">
        <f>"3328132510800003"</f>
        <v>3328132510800003</v>
      </c>
      <c r="C2074" s="22" t="str">
        <f t="shared" si="64"/>
        <v>'3328132510800003</v>
      </c>
      <c r="D2074" s="22" t="str">
        <f t="shared" si="65"/>
        <v>tidak ganda</v>
      </c>
      <c r="E2074" s="22" t="s">
        <v>4506</v>
      </c>
      <c r="F2074" s="22" t="s">
        <v>10</v>
      </c>
      <c r="G2074" s="22" t="s">
        <v>11</v>
      </c>
      <c r="H2074" s="22" t="s">
        <v>18</v>
      </c>
      <c r="I2074" s="22" t="s">
        <v>19</v>
      </c>
      <c r="J2074" s="22" t="s">
        <v>4290</v>
      </c>
      <c r="K2074" s="23" t="s">
        <v>4298</v>
      </c>
      <c r="L2074" t="e">
        <f>VLOOKUP(B2074,ubah!$B$2:$L$234,4,FALSE)</f>
        <v>#N/A</v>
      </c>
      <c r="M2074" t="e">
        <f>VLOOKUP(B2074,ubah!$B$2:$L$234,5,FALSE)</f>
        <v>#N/A</v>
      </c>
      <c r="N2074" t="e">
        <f>VLOOKUP(B2074,ubah!$B$2:$L$234,6,FALSE)</f>
        <v>#N/A</v>
      </c>
    </row>
    <row r="2075" spans="1:14" hidden="1" x14ac:dyDescent="0.35">
      <c r="A2075" s="21">
        <v>1943785</v>
      </c>
      <c r="B2075" s="22" t="str">
        <f>"3328132601930002"</f>
        <v>3328132601930002</v>
      </c>
      <c r="C2075" s="22" t="str">
        <f t="shared" si="64"/>
        <v>'3328132601930002</v>
      </c>
      <c r="D2075" s="22" t="str">
        <f t="shared" si="65"/>
        <v>tidak ganda</v>
      </c>
      <c r="E2075" s="22" t="s">
        <v>4507</v>
      </c>
      <c r="F2075" s="22" t="s">
        <v>10</v>
      </c>
      <c r="G2075" s="22" t="s">
        <v>11</v>
      </c>
      <c r="H2075" s="22" t="s">
        <v>18</v>
      </c>
      <c r="I2075" s="22" t="s">
        <v>19</v>
      </c>
      <c r="J2075" s="22" t="s">
        <v>4290</v>
      </c>
      <c r="K2075" s="23" t="s">
        <v>4329</v>
      </c>
      <c r="L2075" t="e">
        <f>VLOOKUP(B2075,ubah!$B$2:$L$234,4,FALSE)</f>
        <v>#N/A</v>
      </c>
      <c r="M2075" t="e">
        <f>VLOOKUP(B2075,ubah!$B$2:$L$234,5,FALSE)</f>
        <v>#N/A</v>
      </c>
      <c r="N2075" t="e">
        <f>VLOOKUP(B2075,ubah!$B$2:$L$234,6,FALSE)</f>
        <v>#N/A</v>
      </c>
    </row>
    <row r="2076" spans="1:14" hidden="1" x14ac:dyDescent="0.35">
      <c r="A2076" s="21">
        <v>1439759</v>
      </c>
      <c r="B2076" s="22" t="str">
        <f>"3328132603690002"</f>
        <v>3328132603690002</v>
      </c>
      <c r="C2076" s="22" t="str">
        <f t="shared" si="64"/>
        <v>'3328132603690002</v>
      </c>
      <c r="D2076" s="22" t="str">
        <f t="shared" si="65"/>
        <v>tidak ganda</v>
      </c>
      <c r="E2076" s="22" t="s">
        <v>4510</v>
      </c>
      <c r="F2076" s="22" t="s">
        <v>10</v>
      </c>
      <c r="G2076" s="22" t="s">
        <v>11</v>
      </c>
      <c r="H2076" s="22" t="s">
        <v>18</v>
      </c>
      <c r="I2076" s="22" t="s">
        <v>19</v>
      </c>
      <c r="J2076" s="22" t="s">
        <v>4290</v>
      </c>
      <c r="K2076" s="23" t="s">
        <v>878</v>
      </c>
      <c r="L2076" t="e">
        <f>VLOOKUP(B2076,ubah!$B$2:$L$234,4,FALSE)</f>
        <v>#N/A</v>
      </c>
      <c r="M2076" t="e">
        <f>VLOOKUP(B2076,ubah!$B$2:$L$234,5,FALSE)</f>
        <v>#N/A</v>
      </c>
      <c r="N2076" t="e">
        <f>VLOOKUP(B2076,ubah!$B$2:$L$234,6,FALSE)</f>
        <v>#N/A</v>
      </c>
    </row>
    <row r="2077" spans="1:14" hidden="1" x14ac:dyDescent="0.35">
      <c r="A2077" s="21">
        <v>325856</v>
      </c>
      <c r="B2077" s="22" t="str">
        <f>"3328132705880001"</f>
        <v>3328132705880001</v>
      </c>
      <c r="C2077" s="22" t="str">
        <f t="shared" si="64"/>
        <v>'3328132705880001</v>
      </c>
      <c r="D2077" s="22" t="str">
        <f t="shared" si="65"/>
        <v>tidak ganda</v>
      </c>
      <c r="E2077" s="22" t="s">
        <v>4511</v>
      </c>
      <c r="F2077" s="22" t="s">
        <v>10</v>
      </c>
      <c r="G2077" s="22" t="s">
        <v>11</v>
      </c>
      <c r="H2077" s="22" t="s">
        <v>18</v>
      </c>
      <c r="I2077" s="22" t="s">
        <v>268</v>
      </c>
      <c r="J2077" s="22" t="s">
        <v>269</v>
      </c>
      <c r="K2077" s="23" t="s">
        <v>4408</v>
      </c>
    </row>
    <row r="2078" spans="1:14" hidden="1" x14ac:dyDescent="0.35">
      <c r="A2078" s="21">
        <v>1940699</v>
      </c>
      <c r="B2078" s="22" t="str">
        <f>"3328132707020004"</f>
        <v>3328132707020004</v>
      </c>
      <c r="C2078" s="22" t="str">
        <f t="shared" si="64"/>
        <v>'3328132707020004</v>
      </c>
      <c r="D2078" s="22" t="str">
        <f t="shared" si="65"/>
        <v>ganda</v>
      </c>
      <c r="E2078" s="22" t="s">
        <v>4514</v>
      </c>
      <c r="F2078" s="22" t="s">
        <v>10</v>
      </c>
      <c r="G2078" s="22" t="s">
        <v>11</v>
      </c>
      <c r="H2078" s="22" t="s">
        <v>18</v>
      </c>
      <c r="I2078" s="22" t="s">
        <v>19</v>
      </c>
      <c r="J2078" s="22" t="s">
        <v>4290</v>
      </c>
      <c r="K2078" s="23" t="s">
        <v>4329</v>
      </c>
      <c r="L2078" t="e">
        <f>VLOOKUP(B2078,ubah!$B$2:$L$234,4,FALSE)</f>
        <v>#N/A</v>
      </c>
      <c r="M2078" t="e">
        <f>VLOOKUP(B2078,ubah!$B$2:$L$234,5,FALSE)</f>
        <v>#N/A</v>
      </c>
      <c r="N2078" t="e">
        <f>VLOOKUP(B2078,ubah!$B$2:$L$234,6,FALSE)</f>
        <v>#N/A</v>
      </c>
    </row>
    <row r="2079" spans="1:14" hidden="1" x14ac:dyDescent="0.35">
      <c r="A2079" s="21">
        <v>1351199</v>
      </c>
      <c r="B2079" s="22" t="str">
        <f>"3328132707020004"</f>
        <v>3328132707020004</v>
      </c>
      <c r="C2079" s="22" t="str">
        <f t="shared" si="64"/>
        <v>'3328132707020004</v>
      </c>
      <c r="D2079" s="22" t="str">
        <f t="shared" si="65"/>
        <v>ganda</v>
      </c>
      <c r="E2079" s="22" t="s">
        <v>4515</v>
      </c>
      <c r="F2079" s="22" t="s">
        <v>10</v>
      </c>
      <c r="G2079" s="22" t="s">
        <v>57</v>
      </c>
      <c r="H2079" s="22" t="s">
        <v>303</v>
      </c>
      <c r="I2079" s="22" t="s">
        <v>608</v>
      </c>
      <c r="J2079" s="22" t="s">
        <v>609</v>
      </c>
      <c r="K2079" s="23" t="s">
        <v>610</v>
      </c>
    </row>
    <row r="2080" spans="1:14" hidden="1" x14ac:dyDescent="0.35">
      <c r="A2080" s="21">
        <v>2110382</v>
      </c>
      <c r="B2080" s="22" t="str">
        <f>"3328132707990005"</f>
        <v>3328132707990005</v>
      </c>
      <c r="C2080" s="22" t="str">
        <f t="shared" si="64"/>
        <v>'3328132707990005</v>
      </c>
      <c r="D2080" s="22" t="str">
        <f t="shared" si="65"/>
        <v>tidak ganda</v>
      </c>
      <c r="E2080" s="22" t="s">
        <v>4516</v>
      </c>
      <c r="F2080" s="22" t="s">
        <v>10</v>
      </c>
      <c r="G2080" s="22" t="s">
        <v>11</v>
      </c>
      <c r="H2080" s="22" t="s">
        <v>18</v>
      </c>
      <c r="I2080" s="22" t="s">
        <v>19</v>
      </c>
      <c r="J2080" s="22" t="s">
        <v>4290</v>
      </c>
      <c r="K2080" s="23" t="s">
        <v>4347</v>
      </c>
      <c r="L2080" t="e">
        <f>VLOOKUP(B2080,ubah!$B$2:$L$234,4,FALSE)</f>
        <v>#N/A</v>
      </c>
      <c r="M2080" t="e">
        <f>VLOOKUP(B2080,ubah!$B$2:$L$234,5,FALSE)</f>
        <v>#N/A</v>
      </c>
      <c r="N2080" t="e">
        <f>VLOOKUP(B2080,ubah!$B$2:$L$234,6,FALSE)</f>
        <v>#N/A</v>
      </c>
    </row>
    <row r="2081" spans="1:14" hidden="1" x14ac:dyDescent="0.35">
      <c r="A2081" s="21">
        <v>1893895</v>
      </c>
      <c r="B2081" s="22" t="str">
        <f>"3328132708730005"</f>
        <v>3328132708730005</v>
      </c>
      <c r="C2081" s="22" t="str">
        <f t="shared" si="64"/>
        <v>'3328132708730005</v>
      </c>
      <c r="D2081" s="22" t="str">
        <f t="shared" si="65"/>
        <v>tidak ganda</v>
      </c>
      <c r="E2081" s="22" t="s">
        <v>4517</v>
      </c>
      <c r="F2081" s="22" t="s">
        <v>10</v>
      </c>
      <c r="G2081" s="22" t="s">
        <v>11</v>
      </c>
      <c r="H2081" s="22" t="s">
        <v>18</v>
      </c>
      <c r="I2081" s="22" t="s">
        <v>19</v>
      </c>
      <c r="J2081" s="22" t="s">
        <v>4290</v>
      </c>
      <c r="K2081" s="23" t="s">
        <v>4315</v>
      </c>
      <c r="L2081" t="e">
        <f>VLOOKUP(B2081,ubah!$B$2:$L$234,4,FALSE)</f>
        <v>#N/A</v>
      </c>
      <c r="M2081" t="e">
        <f>VLOOKUP(B2081,ubah!$B$2:$L$234,5,FALSE)</f>
        <v>#N/A</v>
      </c>
      <c r="N2081" t="e">
        <f>VLOOKUP(B2081,ubah!$B$2:$L$234,6,FALSE)</f>
        <v>#N/A</v>
      </c>
    </row>
    <row r="2082" spans="1:14" hidden="1" x14ac:dyDescent="0.35">
      <c r="A2082" s="21">
        <v>2108789</v>
      </c>
      <c r="B2082" s="22" t="str">
        <f>"3328132708890005"</f>
        <v>3328132708890005</v>
      </c>
      <c r="C2082" s="22" t="str">
        <f t="shared" si="64"/>
        <v>'3328132708890005</v>
      </c>
      <c r="D2082" s="22" t="str">
        <f t="shared" si="65"/>
        <v>tidak ganda</v>
      </c>
      <c r="E2082" s="22" t="s">
        <v>4519</v>
      </c>
      <c r="F2082" s="22" t="s">
        <v>10</v>
      </c>
      <c r="G2082" s="22" t="s">
        <v>11</v>
      </c>
      <c r="H2082" s="22" t="s">
        <v>18</v>
      </c>
      <c r="I2082" s="22" t="s">
        <v>19</v>
      </c>
      <c r="J2082" s="22" t="s">
        <v>4290</v>
      </c>
      <c r="K2082" s="23" t="s">
        <v>4347</v>
      </c>
      <c r="L2082" t="e">
        <f>VLOOKUP(B2082,ubah!$B$2:$L$234,4,FALSE)</f>
        <v>#N/A</v>
      </c>
      <c r="M2082" t="e">
        <f>VLOOKUP(B2082,ubah!$B$2:$L$234,5,FALSE)</f>
        <v>#N/A</v>
      </c>
      <c r="N2082" t="e">
        <f>VLOOKUP(B2082,ubah!$B$2:$L$234,6,FALSE)</f>
        <v>#N/A</v>
      </c>
    </row>
    <row r="2083" spans="1:14" hidden="1" x14ac:dyDescent="0.35">
      <c r="A2083" s="21">
        <v>1910045</v>
      </c>
      <c r="B2083" s="22" t="str">
        <f>"3328132801740005"</f>
        <v>3328132801740005</v>
      </c>
      <c r="C2083" s="22" t="str">
        <f t="shared" si="64"/>
        <v>'3328132801740005</v>
      </c>
      <c r="D2083" s="22" t="str">
        <f t="shared" si="65"/>
        <v>tidak ganda</v>
      </c>
      <c r="E2083" s="22" t="s">
        <v>4521</v>
      </c>
      <c r="F2083" s="22" t="s">
        <v>10</v>
      </c>
      <c r="G2083" s="22" t="s">
        <v>11</v>
      </c>
      <c r="H2083" s="22" t="s">
        <v>18</v>
      </c>
      <c r="I2083" s="22" t="s">
        <v>19</v>
      </c>
      <c r="J2083" s="22" t="s">
        <v>4290</v>
      </c>
      <c r="K2083" s="23" t="s">
        <v>4475</v>
      </c>
      <c r="L2083" t="e">
        <f>VLOOKUP(B2083,ubah!$B$2:$L$234,4,FALSE)</f>
        <v>#N/A</v>
      </c>
      <c r="M2083" t="e">
        <f>VLOOKUP(B2083,ubah!$B$2:$L$234,5,FALSE)</f>
        <v>#N/A</v>
      </c>
      <c r="N2083" t="e">
        <f>VLOOKUP(B2083,ubah!$B$2:$L$234,6,FALSE)</f>
        <v>#N/A</v>
      </c>
    </row>
    <row r="2084" spans="1:14" hidden="1" x14ac:dyDescent="0.35">
      <c r="A2084" s="21">
        <v>1439758</v>
      </c>
      <c r="B2084" s="22" t="str">
        <f>"3328132806020005"</f>
        <v>3328132806020005</v>
      </c>
      <c r="C2084" s="22" t="str">
        <f t="shared" si="64"/>
        <v>'3328132806020005</v>
      </c>
      <c r="D2084" s="22" t="str">
        <f t="shared" si="65"/>
        <v>tidak ganda</v>
      </c>
      <c r="E2084" s="22" t="s">
        <v>4523</v>
      </c>
      <c r="F2084" s="22" t="s">
        <v>10</v>
      </c>
      <c r="G2084" s="22" t="s">
        <v>11</v>
      </c>
      <c r="H2084" s="22" t="s">
        <v>18</v>
      </c>
      <c r="I2084" s="22" t="s">
        <v>19</v>
      </c>
      <c r="J2084" s="22" t="s">
        <v>4290</v>
      </c>
      <c r="K2084" s="23" t="s">
        <v>878</v>
      </c>
      <c r="L2084" t="e">
        <f>VLOOKUP(B2084,ubah!$B$2:$L$234,4,FALSE)</f>
        <v>#N/A</v>
      </c>
      <c r="M2084" t="e">
        <f>VLOOKUP(B2084,ubah!$B$2:$L$234,5,FALSE)</f>
        <v>#N/A</v>
      </c>
      <c r="N2084" t="e">
        <f>VLOOKUP(B2084,ubah!$B$2:$L$234,6,FALSE)</f>
        <v>#N/A</v>
      </c>
    </row>
    <row r="2085" spans="1:14" hidden="1" x14ac:dyDescent="0.35">
      <c r="A2085" s="21">
        <v>1745495</v>
      </c>
      <c r="B2085" s="22" t="str">
        <f>"3328132811030006"</f>
        <v>3328132811030006</v>
      </c>
      <c r="C2085" s="22" t="str">
        <f t="shared" si="64"/>
        <v>'3328132811030006</v>
      </c>
      <c r="D2085" s="22" t="str">
        <f t="shared" si="65"/>
        <v>ganda</v>
      </c>
      <c r="E2085" s="22" t="s">
        <v>4525</v>
      </c>
      <c r="F2085" s="22" t="s">
        <v>10</v>
      </c>
      <c r="G2085" s="22" t="s">
        <v>11</v>
      </c>
      <c r="H2085" s="22" t="s">
        <v>18</v>
      </c>
      <c r="I2085" s="22" t="s">
        <v>19</v>
      </c>
      <c r="J2085" s="22" t="s">
        <v>4290</v>
      </c>
      <c r="K2085" s="23" t="s">
        <v>4426</v>
      </c>
      <c r="L2085" t="e">
        <f>VLOOKUP(B2085,ubah!$B$2:$L$234,4,FALSE)</f>
        <v>#N/A</v>
      </c>
      <c r="M2085" t="e">
        <f>VLOOKUP(B2085,ubah!$B$2:$L$234,5,FALSE)</f>
        <v>#N/A</v>
      </c>
      <c r="N2085" t="e">
        <f>VLOOKUP(B2085,ubah!$B$2:$L$234,6,FALSE)</f>
        <v>#N/A</v>
      </c>
    </row>
    <row r="2086" spans="1:14" hidden="1" x14ac:dyDescent="0.35">
      <c r="A2086" s="21">
        <v>1351198</v>
      </c>
      <c r="B2086" s="22" t="str">
        <f>"3328132811030006"</f>
        <v>3328132811030006</v>
      </c>
      <c r="C2086" s="22" t="str">
        <f t="shared" si="64"/>
        <v>'3328132811030006</v>
      </c>
      <c r="D2086" s="22" t="str">
        <f t="shared" si="65"/>
        <v>ganda</v>
      </c>
      <c r="E2086" s="22" t="s">
        <v>4525</v>
      </c>
      <c r="F2086" s="22" t="s">
        <v>10</v>
      </c>
      <c r="G2086" s="22" t="s">
        <v>57</v>
      </c>
      <c r="H2086" s="22" t="s">
        <v>303</v>
      </c>
      <c r="I2086" s="22" t="s">
        <v>608</v>
      </c>
      <c r="J2086" s="22" t="s">
        <v>609</v>
      </c>
      <c r="K2086" s="23" t="s">
        <v>610</v>
      </c>
    </row>
    <row r="2087" spans="1:14" hidden="1" x14ac:dyDescent="0.35">
      <c r="A2087" s="21">
        <v>2109598</v>
      </c>
      <c r="B2087" s="22" t="str">
        <f>"3328133005960006"</f>
        <v>3328133005960006</v>
      </c>
      <c r="C2087" s="22" t="str">
        <f t="shared" si="64"/>
        <v>'3328133005960006</v>
      </c>
      <c r="D2087" s="22" t="str">
        <f t="shared" si="65"/>
        <v>tidak ganda</v>
      </c>
      <c r="E2087" s="22" t="s">
        <v>4526</v>
      </c>
      <c r="F2087" s="22" t="s">
        <v>10</v>
      </c>
      <c r="G2087" s="22" t="s">
        <v>11</v>
      </c>
      <c r="H2087" s="22" t="s">
        <v>18</v>
      </c>
      <c r="I2087" s="22" t="s">
        <v>19</v>
      </c>
      <c r="J2087" s="22" t="s">
        <v>4290</v>
      </c>
      <c r="K2087" s="23" t="s">
        <v>4347</v>
      </c>
      <c r="L2087" t="e">
        <f>VLOOKUP(B2087,ubah!$B$2:$L$234,4,FALSE)</f>
        <v>#N/A</v>
      </c>
      <c r="M2087" t="e">
        <f>VLOOKUP(B2087,ubah!$B$2:$L$234,5,FALSE)</f>
        <v>#N/A</v>
      </c>
      <c r="N2087" t="e">
        <f>VLOOKUP(B2087,ubah!$B$2:$L$234,6,FALSE)</f>
        <v>#N/A</v>
      </c>
    </row>
    <row r="2088" spans="1:14" hidden="1" x14ac:dyDescent="0.35">
      <c r="A2088" s="21">
        <v>1744396</v>
      </c>
      <c r="B2088" s="22" t="str">
        <f>"3328133006830005"</f>
        <v>3328133006830005</v>
      </c>
      <c r="C2088" s="22" t="str">
        <f t="shared" si="64"/>
        <v>'3328133006830005</v>
      </c>
      <c r="D2088" s="22" t="str">
        <f t="shared" si="65"/>
        <v>tidak ganda</v>
      </c>
      <c r="E2088" s="22" t="s">
        <v>2757</v>
      </c>
      <c r="F2088" s="22" t="s">
        <v>10</v>
      </c>
      <c r="G2088" s="22" t="s">
        <v>11</v>
      </c>
      <c r="H2088" s="22" t="s">
        <v>18</v>
      </c>
      <c r="I2088" s="22" t="s">
        <v>19</v>
      </c>
      <c r="J2088" s="22" t="s">
        <v>4290</v>
      </c>
      <c r="K2088" s="23" t="s">
        <v>4426</v>
      </c>
      <c r="L2088" t="e">
        <f>VLOOKUP(B2088,ubah!$B$2:$L$234,4,FALSE)</f>
        <v>#N/A</v>
      </c>
      <c r="M2088" t="e">
        <f>VLOOKUP(B2088,ubah!$B$2:$L$234,5,FALSE)</f>
        <v>#N/A</v>
      </c>
      <c r="N2088" t="e">
        <f>VLOOKUP(B2088,ubah!$B$2:$L$234,6,FALSE)</f>
        <v>#N/A</v>
      </c>
    </row>
    <row r="2089" spans="1:14" hidden="1" x14ac:dyDescent="0.35">
      <c r="A2089" s="21">
        <v>1843701</v>
      </c>
      <c r="B2089" s="22" t="str">
        <f>"3328133108930004"</f>
        <v>3328133108930004</v>
      </c>
      <c r="C2089" s="22" t="str">
        <f t="shared" si="64"/>
        <v>'3328133108930004</v>
      </c>
      <c r="D2089" s="22" t="str">
        <f t="shared" si="65"/>
        <v>tidak ganda</v>
      </c>
      <c r="E2089" s="22" t="s">
        <v>4530</v>
      </c>
      <c r="F2089" s="22" t="s">
        <v>10</v>
      </c>
      <c r="G2089" s="22" t="s">
        <v>11</v>
      </c>
      <c r="H2089" s="22" t="s">
        <v>18</v>
      </c>
      <c r="I2089" s="22" t="s">
        <v>19</v>
      </c>
      <c r="J2089" s="22" t="s">
        <v>4290</v>
      </c>
      <c r="K2089" s="23" t="s">
        <v>4318</v>
      </c>
      <c r="L2089" t="e">
        <f>VLOOKUP(B2089,ubah!$B$2:$L$234,4,FALSE)</f>
        <v>#N/A</v>
      </c>
      <c r="M2089" t="e">
        <f>VLOOKUP(B2089,ubah!$B$2:$L$234,5,FALSE)</f>
        <v>#N/A</v>
      </c>
      <c r="N2089" t="e">
        <f>VLOOKUP(B2089,ubah!$B$2:$L$234,6,FALSE)</f>
        <v>#N/A</v>
      </c>
    </row>
    <row r="2090" spans="1:14" hidden="1" x14ac:dyDescent="0.35">
      <c r="A2090" s="21">
        <v>2409275</v>
      </c>
      <c r="B2090" s="22" t="str">
        <f>"3328133112750041"</f>
        <v>3328133112750041</v>
      </c>
      <c r="C2090" s="22" t="str">
        <f t="shared" si="64"/>
        <v>'3328133112750041</v>
      </c>
      <c r="D2090" s="22" t="str">
        <f t="shared" si="65"/>
        <v>tidak ganda</v>
      </c>
      <c r="E2090" s="22" t="s">
        <v>4532</v>
      </c>
      <c r="F2090" s="22" t="s">
        <v>10</v>
      </c>
      <c r="G2090" s="22" t="s">
        <v>11</v>
      </c>
      <c r="H2090" s="22" t="s">
        <v>18</v>
      </c>
      <c r="I2090" s="22" t="s">
        <v>19</v>
      </c>
      <c r="J2090" s="22" t="s">
        <v>4290</v>
      </c>
      <c r="K2090" s="23" t="s">
        <v>1381</v>
      </c>
      <c r="L2090" t="e">
        <f>VLOOKUP(B2090,ubah!$B$2:$L$234,4,FALSE)</f>
        <v>#N/A</v>
      </c>
      <c r="M2090" t="e">
        <f>VLOOKUP(B2090,ubah!$B$2:$L$234,5,FALSE)</f>
        <v>#N/A</v>
      </c>
      <c r="N2090" t="e">
        <f>VLOOKUP(B2090,ubah!$B$2:$L$234,6,FALSE)</f>
        <v>#N/A</v>
      </c>
    </row>
    <row r="2091" spans="1:14" hidden="1" x14ac:dyDescent="0.35">
      <c r="A2091" s="21">
        <v>1900152</v>
      </c>
      <c r="B2091" s="22" t="str">
        <f>"3328134110840007"</f>
        <v>3328134110840007</v>
      </c>
      <c r="C2091" s="22" t="str">
        <f t="shared" si="64"/>
        <v>'3328134110840007</v>
      </c>
      <c r="D2091" s="22" t="str">
        <f t="shared" si="65"/>
        <v>tidak ganda</v>
      </c>
      <c r="E2091" s="22" t="s">
        <v>4535</v>
      </c>
      <c r="F2091" s="22" t="s">
        <v>10</v>
      </c>
      <c r="G2091" s="22" t="s">
        <v>11</v>
      </c>
      <c r="H2091" s="22" t="s">
        <v>18</v>
      </c>
      <c r="I2091" s="22" t="s">
        <v>19</v>
      </c>
      <c r="J2091" s="22" t="s">
        <v>4290</v>
      </c>
      <c r="K2091" s="23" t="s">
        <v>4358</v>
      </c>
      <c r="L2091" t="e">
        <f>VLOOKUP(B2091,ubah!$B$2:$L$234,4,FALSE)</f>
        <v>#N/A</v>
      </c>
      <c r="M2091" t="e">
        <f>VLOOKUP(B2091,ubah!$B$2:$L$234,5,FALSE)</f>
        <v>#N/A</v>
      </c>
      <c r="N2091" t="e">
        <f>VLOOKUP(B2091,ubah!$B$2:$L$234,6,FALSE)</f>
        <v>#N/A</v>
      </c>
    </row>
    <row r="2092" spans="1:14" hidden="1" x14ac:dyDescent="0.35">
      <c r="A2092" s="21">
        <v>1476028</v>
      </c>
      <c r="B2092" s="22" t="str">
        <f>"3328134201900005"</f>
        <v>3328134201900005</v>
      </c>
      <c r="C2092" s="22" t="str">
        <f t="shared" si="64"/>
        <v>'3328134201900005</v>
      </c>
      <c r="D2092" s="22" t="str">
        <f t="shared" si="65"/>
        <v>tidak ganda</v>
      </c>
      <c r="E2092" s="22" t="s">
        <v>4538</v>
      </c>
      <c r="F2092" s="22" t="s">
        <v>10</v>
      </c>
      <c r="G2092" s="22" t="s">
        <v>11</v>
      </c>
      <c r="H2092" s="22" t="s">
        <v>18</v>
      </c>
      <c r="I2092" s="22" t="s">
        <v>19</v>
      </c>
      <c r="J2092" s="22" t="s">
        <v>4290</v>
      </c>
      <c r="K2092" s="23" t="s">
        <v>4436</v>
      </c>
      <c r="L2092" t="e">
        <f>VLOOKUP(B2092,ubah!$B$2:$L$234,4,FALSE)</f>
        <v>#N/A</v>
      </c>
      <c r="M2092" t="e">
        <f>VLOOKUP(B2092,ubah!$B$2:$L$234,5,FALSE)</f>
        <v>#N/A</v>
      </c>
      <c r="N2092" t="e">
        <f>VLOOKUP(B2092,ubah!$B$2:$L$234,6,FALSE)</f>
        <v>#N/A</v>
      </c>
    </row>
    <row r="2093" spans="1:14" hidden="1" x14ac:dyDescent="0.35">
      <c r="A2093" s="21">
        <v>353617</v>
      </c>
      <c r="B2093" s="22" t="str">
        <f>"3328134302980003"</f>
        <v>3328134302980003</v>
      </c>
      <c r="C2093" s="22" t="str">
        <f t="shared" si="64"/>
        <v>'3328134302980003</v>
      </c>
      <c r="D2093" s="22" t="str">
        <f t="shared" si="65"/>
        <v>tidak ganda</v>
      </c>
      <c r="E2093" s="22" t="s">
        <v>4541</v>
      </c>
      <c r="F2093" s="22" t="s">
        <v>10</v>
      </c>
      <c r="G2093" s="22" t="s">
        <v>11</v>
      </c>
      <c r="H2093" s="22" t="s">
        <v>18</v>
      </c>
      <c r="I2093" s="22" t="s">
        <v>268</v>
      </c>
      <c r="J2093" s="22" t="s">
        <v>269</v>
      </c>
      <c r="K2093" s="23" t="s">
        <v>270</v>
      </c>
    </row>
    <row r="2094" spans="1:14" hidden="1" x14ac:dyDescent="0.35">
      <c r="A2094" s="21">
        <v>366866</v>
      </c>
      <c r="B2094" s="22" t="str">
        <f>"3328134402060003"</f>
        <v>3328134402060003</v>
      </c>
      <c r="C2094" s="22" t="str">
        <f t="shared" si="64"/>
        <v>'3328134402060003</v>
      </c>
      <c r="D2094" s="22" t="str">
        <f t="shared" si="65"/>
        <v>tidak ganda</v>
      </c>
      <c r="E2094" s="22" t="s">
        <v>4544</v>
      </c>
      <c r="F2094" s="22" t="s">
        <v>10</v>
      </c>
      <c r="G2094" s="22" t="s">
        <v>11</v>
      </c>
      <c r="H2094" s="22" t="s">
        <v>18</v>
      </c>
      <c r="I2094" s="22" t="s">
        <v>268</v>
      </c>
      <c r="J2094" s="22" t="s">
        <v>269</v>
      </c>
      <c r="K2094" s="23" t="s">
        <v>996</v>
      </c>
    </row>
    <row r="2095" spans="1:14" hidden="1" x14ac:dyDescent="0.35">
      <c r="A2095" s="21">
        <v>732845</v>
      </c>
      <c r="B2095" s="22" t="str">
        <f>"3328134504890005"</f>
        <v>3328134504890005</v>
      </c>
      <c r="C2095" s="22" t="str">
        <f t="shared" si="64"/>
        <v>'3328134504890005</v>
      </c>
      <c r="D2095" s="22" t="str">
        <f t="shared" si="65"/>
        <v>tidak ganda</v>
      </c>
      <c r="E2095" s="22" t="s">
        <v>4546</v>
      </c>
      <c r="F2095" s="22" t="s">
        <v>10</v>
      </c>
      <c r="G2095" s="22" t="s">
        <v>11</v>
      </c>
      <c r="H2095" s="22" t="s">
        <v>50</v>
      </c>
      <c r="I2095" s="22" t="s">
        <v>86</v>
      </c>
      <c r="J2095" s="22" t="s">
        <v>530</v>
      </c>
      <c r="K2095" s="23" t="s">
        <v>534</v>
      </c>
    </row>
    <row r="2096" spans="1:14" hidden="1" x14ac:dyDescent="0.35">
      <c r="A2096" s="21">
        <v>1439760</v>
      </c>
      <c r="B2096" s="22" t="str">
        <f>"3328134510970002"</f>
        <v>3328134510970002</v>
      </c>
      <c r="C2096" s="22" t="str">
        <f t="shared" si="64"/>
        <v>'3328134510970002</v>
      </c>
      <c r="D2096" s="22" t="str">
        <f t="shared" si="65"/>
        <v>tidak ganda</v>
      </c>
      <c r="E2096" s="22" t="s">
        <v>4547</v>
      </c>
      <c r="F2096" s="22" t="s">
        <v>10</v>
      </c>
      <c r="G2096" s="22" t="s">
        <v>11</v>
      </c>
      <c r="H2096" s="22" t="s">
        <v>18</v>
      </c>
      <c r="I2096" s="22" t="s">
        <v>19</v>
      </c>
      <c r="J2096" s="22" t="s">
        <v>4290</v>
      </c>
      <c r="K2096" s="23" t="s">
        <v>878</v>
      </c>
      <c r="L2096" t="e">
        <f>VLOOKUP(B2096,ubah!$B$2:$L$234,4,FALSE)</f>
        <v>#N/A</v>
      </c>
      <c r="M2096" t="e">
        <f>VLOOKUP(B2096,ubah!$B$2:$L$234,5,FALSE)</f>
        <v>#N/A</v>
      </c>
      <c r="N2096" t="e">
        <f>VLOOKUP(B2096,ubah!$B$2:$L$234,6,FALSE)</f>
        <v>#N/A</v>
      </c>
    </row>
    <row r="2097" spans="1:14" hidden="1" x14ac:dyDescent="0.35">
      <c r="A2097" s="21">
        <v>1888230</v>
      </c>
      <c r="B2097" s="22" t="str">
        <f>"3328134605900003"</f>
        <v>3328134605900003</v>
      </c>
      <c r="C2097" s="22" t="str">
        <f t="shared" si="64"/>
        <v>'3328134605900003</v>
      </c>
      <c r="D2097" s="22" t="str">
        <f t="shared" si="65"/>
        <v>tidak ganda</v>
      </c>
      <c r="E2097" s="22" t="s">
        <v>2973</v>
      </c>
      <c r="F2097" s="22" t="s">
        <v>10</v>
      </c>
      <c r="G2097" s="22" t="s">
        <v>11</v>
      </c>
      <c r="H2097" s="22" t="s">
        <v>18</v>
      </c>
      <c r="I2097" s="22" t="s">
        <v>19</v>
      </c>
      <c r="J2097" s="22" t="s">
        <v>4290</v>
      </c>
      <c r="K2097" s="23" t="s">
        <v>4315</v>
      </c>
      <c r="L2097" t="e">
        <f>VLOOKUP(B2097,ubah!$B$2:$L$234,4,FALSE)</f>
        <v>#N/A</v>
      </c>
      <c r="M2097" t="e">
        <f>VLOOKUP(B2097,ubah!$B$2:$L$234,5,FALSE)</f>
        <v>#N/A</v>
      </c>
      <c r="N2097" t="e">
        <f>VLOOKUP(B2097,ubah!$B$2:$L$234,6,FALSE)</f>
        <v>#N/A</v>
      </c>
    </row>
    <row r="2098" spans="1:14" hidden="1" x14ac:dyDescent="0.35">
      <c r="A2098" s="21">
        <v>2257137</v>
      </c>
      <c r="B2098" s="22" t="str">
        <f>"3328134606610003"</f>
        <v>3328134606610003</v>
      </c>
      <c r="C2098" s="22" t="str">
        <f t="shared" si="64"/>
        <v>'3328134606610003</v>
      </c>
      <c r="D2098" s="22" t="str">
        <f t="shared" si="65"/>
        <v>tidak ganda</v>
      </c>
      <c r="E2098" s="22" t="s">
        <v>4548</v>
      </c>
      <c r="F2098" s="22" t="s">
        <v>10</v>
      </c>
      <c r="G2098" s="22" t="s">
        <v>11</v>
      </c>
      <c r="H2098" s="22" t="s">
        <v>67</v>
      </c>
      <c r="I2098" s="22" t="s">
        <v>512</v>
      </c>
      <c r="J2098" s="22" t="s">
        <v>330</v>
      </c>
      <c r="K2098" s="23" t="s">
        <v>4402</v>
      </c>
    </row>
    <row r="2099" spans="1:14" hidden="1" x14ac:dyDescent="0.35">
      <c r="A2099" s="21">
        <v>296408</v>
      </c>
      <c r="B2099" s="22" t="str">
        <f>"3328134702010001"</f>
        <v>3328134702010001</v>
      </c>
      <c r="C2099" s="22" t="str">
        <f t="shared" si="64"/>
        <v>'3328134702010001</v>
      </c>
      <c r="D2099" s="22" t="str">
        <f t="shared" si="65"/>
        <v>tidak ganda</v>
      </c>
      <c r="E2099" s="22" t="s">
        <v>4550</v>
      </c>
      <c r="F2099" s="22" t="s">
        <v>10</v>
      </c>
      <c r="G2099" s="22" t="s">
        <v>11</v>
      </c>
      <c r="H2099" s="22" t="s">
        <v>18</v>
      </c>
      <c r="I2099" s="22" t="s">
        <v>268</v>
      </c>
      <c r="J2099" s="22" t="s">
        <v>277</v>
      </c>
      <c r="K2099" s="23" t="s">
        <v>2762</v>
      </c>
    </row>
    <row r="2100" spans="1:14" hidden="1" x14ac:dyDescent="0.35">
      <c r="A2100" s="21">
        <v>2150529</v>
      </c>
      <c r="B2100" s="22" t="str">
        <f>"3328134705010003"</f>
        <v>3328134705010003</v>
      </c>
      <c r="C2100" s="22" t="str">
        <f t="shared" si="64"/>
        <v>'3328134705010003</v>
      </c>
      <c r="D2100" s="22" t="str">
        <f t="shared" si="65"/>
        <v>tidak ganda</v>
      </c>
      <c r="E2100" s="22" t="s">
        <v>4551</v>
      </c>
      <c r="F2100" s="22" t="s">
        <v>10</v>
      </c>
      <c r="G2100" s="22" t="s">
        <v>11</v>
      </c>
      <c r="H2100" s="22" t="s">
        <v>18</v>
      </c>
      <c r="I2100" s="22" t="s">
        <v>19</v>
      </c>
      <c r="J2100" s="22" t="s">
        <v>4290</v>
      </c>
      <c r="K2100" s="23" t="s">
        <v>4290</v>
      </c>
      <c r="L2100" t="e">
        <f>VLOOKUP(B2100,ubah!$B$2:$L$234,4,FALSE)</f>
        <v>#N/A</v>
      </c>
      <c r="M2100" t="e">
        <f>VLOOKUP(B2100,ubah!$B$2:$L$234,5,FALSE)</f>
        <v>#N/A</v>
      </c>
      <c r="N2100" t="e">
        <f>VLOOKUP(B2100,ubah!$B$2:$L$234,6,FALSE)</f>
        <v>#N/A</v>
      </c>
    </row>
    <row r="2101" spans="1:14" hidden="1" x14ac:dyDescent="0.35">
      <c r="A2101" s="21">
        <v>257671</v>
      </c>
      <c r="B2101" s="22" t="str">
        <f>"3328134706030003"</f>
        <v>3328134706030003</v>
      </c>
      <c r="C2101" s="22" t="str">
        <f t="shared" si="64"/>
        <v>'3328134706030003</v>
      </c>
      <c r="D2101" s="22" t="str">
        <f t="shared" si="65"/>
        <v>tidak ganda</v>
      </c>
      <c r="E2101" s="22" t="s">
        <v>4552</v>
      </c>
      <c r="F2101" s="22" t="s">
        <v>10</v>
      </c>
      <c r="G2101" s="22" t="s">
        <v>11</v>
      </c>
      <c r="H2101" s="22" t="s">
        <v>18</v>
      </c>
      <c r="I2101" s="22" t="s">
        <v>268</v>
      </c>
      <c r="J2101" s="22" t="s">
        <v>371</v>
      </c>
      <c r="K2101" s="23" t="s">
        <v>497</v>
      </c>
    </row>
    <row r="2102" spans="1:14" hidden="1" x14ac:dyDescent="0.35">
      <c r="A2102" s="21">
        <v>194196</v>
      </c>
      <c r="B2102" s="22" t="str">
        <f>"3328134711000002"</f>
        <v>3328134711000002</v>
      </c>
      <c r="C2102" s="22" t="str">
        <f t="shared" si="64"/>
        <v>'3328134711000002</v>
      </c>
      <c r="D2102" s="22" t="str">
        <f t="shared" si="65"/>
        <v>tidak ganda</v>
      </c>
      <c r="E2102" s="22" t="s">
        <v>4554</v>
      </c>
      <c r="F2102" s="22" t="s">
        <v>10</v>
      </c>
      <c r="G2102" s="22" t="s">
        <v>11</v>
      </c>
      <c r="H2102" s="22" t="s">
        <v>91</v>
      </c>
      <c r="I2102" s="22" t="s">
        <v>101</v>
      </c>
      <c r="J2102" s="22" t="s">
        <v>4555</v>
      </c>
      <c r="K2102" s="23" t="s">
        <v>4556</v>
      </c>
    </row>
    <row r="2103" spans="1:14" hidden="1" x14ac:dyDescent="0.35">
      <c r="A2103" s="21">
        <v>1442217</v>
      </c>
      <c r="B2103" s="22" t="str">
        <f>"3328134804020004"</f>
        <v>3328134804020004</v>
      </c>
      <c r="C2103" s="22" t="str">
        <f t="shared" si="64"/>
        <v>'3328134804020004</v>
      </c>
      <c r="D2103" s="22" t="str">
        <f t="shared" si="65"/>
        <v>ganda</v>
      </c>
      <c r="E2103" s="22" t="s">
        <v>4557</v>
      </c>
      <c r="F2103" s="22" t="s">
        <v>10</v>
      </c>
      <c r="G2103" s="22" t="s">
        <v>11</v>
      </c>
      <c r="H2103" s="22" t="s">
        <v>18</v>
      </c>
      <c r="I2103" s="22" t="s">
        <v>19</v>
      </c>
      <c r="J2103" s="22" t="s">
        <v>4290</v>
      </c>
      <c r="K2103" s="23" t="s">
        <v>878</v>
      </c>
      <c r="L2103" t="e">
        <f>VLOOKUP(B2103,ubah!$B$2:$L$234,4,FALSE)</f>
        <v>#N/A</v>
      </c>
      <c r="M2103" t="e">
        <f>VLOOKUP(B2103,ubah!$B$2:$L$234,5,FALSE)</f>
        <v>#N/A</v>
      </c>
      <c r="N2103" t="e">
        <f>VLOOKUP(B2103,ubah!$B$2:$L$234,6,FALSE)</f>
        <v>#N/A</v>
      </c>
    </row>
    <row r="2104" spans="1:14" hidden="1" x14ac:dyDescent="0.35">
      <c r="A2104" s="21">
        <v>1352895</v>
      </c>
      <c r="B2104" s="22" t="str">
        <f>"3328134804020004"</f>
        <v>3328134804020004</v>
      </c>
      <c r="C2104" s="22" t="str">
        <f t="shared" si="64"/>
        <v>'3328134804020004</v>
      </c>
      <c r="D2104" s="22" t="str">
        <f t="shared" si="65"/>
        <v>ganda</v>
      </c>
      <c r="E2104" s="22" t="s">
        <v>4558</v>
      </c>
      <c r="F2104" s="22" t="s">
        <v>10</v>
      </c>
      <c r="G2104" s="22" t="s">
        <v>57</v>
      </c>
      <c r="H2104" s="22" t="s">
        <v>303</v>
      </c>
      <c r="I2104" s="22" t="s">
        <v>608</v>
      </c>
      <c r="J2104" s="22" t="s">
        <v>609</v>
      </c>
      <c r="K2104" s="23" t="s">
        <v>610</v>
      </c>
    </row>
    <row r="2105" spans="1:14" hidden="1" x14ac:dyDescent="0.35">
      <c r="A2105" s="21">
        <v>1907406</v>
      </c>
      <c r="B2105" s="22" t="str">
        <f>"3328134807040003"</f>
        <v>3328134807040003</v>
      </c>
      <c r="C2105" s="22" t="str">
        <f t="shared" si="64"/>
        <v>'3328134807040003</v>
      </c>
      <c r="D2105" s="22" t="str">
        <f t="shared" si="65"/>
        <v>ganda</v>
      </c>
      <c r="E2105" s="22" t="s">
        <v>4559</v>
      </c>
      <c r="F2105" s="22" t="s">
        <v>10</v>
      </c>
      <c r="G2105" s="22" t="s">
        <v>11</v>
      </c>
      <c r="H2105" s="22" t="s">
        <v>18</v>
      </c>
      <c r="I2105" s="22" t="s">
        <v>19</v>
      </c>
      <c r="J2105" s="22" t="s">
        <v>4290</v>
      </c>
      <c r="K2105" s="23" t="s">
        <v>4298</v>
      </c>
      <c r="L2105" t="e">
        <f>VLOOKUP(B2105,ubah!$B$2:$L$234,4,FALSE)</f>
        <v>#N/A</v>
      </c>
      <c r="M2105" t="e">
        <f>VLOOKUP(B2105,ubah!$B$2:$L$234,5,FALSE)</f>
        <v>#N/A</v>
      </c>
      <c r="N2105" t="e">
        <f>VLOOKUP(B2105,ubah!$B$2:$L$234,6,FALSE)</f>
        <v>#N/A</v>
      </c>
    </row>
    <row r="2106" spans="1:14" hidden="1" x14ac:dyDescent="0.35">
      <c r="A2106" s="21">
        <v>762645</v>
      </c>
      <c r="B2106" s="22" t="str">
        <f>"3328134807040003"</f>
        <v>3328134807040003</v>
      </c>
      <c r="C2106" s="22" t="str">
        <f t="shared" si="64"/>
        <v>'3328134807040003</v>
      </c>
      <c r="D2106" s="22" t="str">
        <f t="shared" si="65"/>
        <v>ganda</v>
      </c>
      <c r="E2106" s="22" t="s">
        <v>4560</v>
      </c>
      <c r="F2106" s="22" t="s">
        <v>10</v>
      </c>
      <c r="G2106" s="22" t="s">
        <v>57</v>
      </c>
      <c r="H2106" s="22" t="s">
        <v>379</v>
      </c>
      <c r="I2106" s="22" t="s">
        <v>711</v>
      </c>
      <c r="J2106" s="22" t="s">
        <v>718</v>
      </c>
      <c r="K2106" s="23" t="s">
        <v>719</v>
      </c>
    </row>
    <row r="2107" spans="1:14" hidden="1" x14ac:dyDescent="0.35">
      <c r="A2107" s="21">
        <v>554076</v>
      </c>
      <c r="B2107" s="22" t="str">
        <f>"3328134905910004"</f>
        <v>3328134905910004</v>
      </c>
      <c r="C2107" s="22" t="str">
        <f t="shared" si="64"/>
        <v>'3328134905910004</v>
      </c>
      <c r="D2107" s="22" t="str">
        <f t="shared" si="65"/>
        <v>tidak ganda</v>
      </c>
      <c r="E2107" s="22" t="s">
        <v>4561</v>
      </c>
      <c r="F2107" s="22" t="s">
        <v>10</v>
      </c>
      <c r="G2107" s="22" t="s">
        <v>11</v>
      </c>
      <c r="H2107" s="22" t="s">
        <v>67</v>
      </c>
      <c r="I2107" s="22" t="s">
        <v>696</v>
      </c>
      <c r="J2107" s="22" t="s">
        <v>375</v>
      </c>
      <c r="K2107" s="23" t="s">
        <v>1477</v>
      </c>
    </row>
    <row r="2108" spans="1:14" hidden="1" x14ac:dyDescent="0.35">
      <c r="A2108" s="21">
        <v>1559920</v>
      </c>
      <c r="B2108" s="22" t="str">
        <f>"3328134908010006"</f>
        <v>3328134908010006</v>
      </c>
      <c r="C2108" s="22" t="str">
        <f t="shared" si="64"/>
        <v>'3328134908010006</v>
      </c>
      <c r="D2108" s="22" t="str">
        <f t="shared" si="65"/>
        <v>tidak ganda</v>
      </c>
      <c r="E2108" s="22" t="s">
        <v>4562</v>
      </c>
      <c r="F2108" s="22" t="s">
        <v>10</v>
      </c>
      <c r="G2108" s="22" t="s">
        <v>11</v>
      </c>
      <c r="H2108" s="22" t="s">
        <v>91</v>
      </c>
      <c r="I2108" s="22" t="s">
        <v>320</v>
      </c>
      <c r="J2108" s="22" t="s">
        <v>2523</v>
      </c>
      <c r="K2108" s="23" t="s">
        <v>4563</v>
      </c>
    </row>
    <row r="2109" spans="1:14" hidden="1" x14ac:dyDescent="0.35">
      <c r="A2109" s="21">
        <v>1942568</v>
      </c>
      <c r="B2109" s="22" t="str">
        <f>"3328134912960001"</f>
        <v>3328134912960001</v>
      </c>
      <c r="C2109" s="22" t="str">
        <f t="shared" si="64"/>
        <v>'3328134912960001</v>
      </c>
      <c r="D2109" s="22" t="str">
        <f t="shared" si="65"/>
        <v>tidak ganda</v>
      </c>
      <c r="E2109" s="22" t="s">
        <v>4564</v>
      </c>
      <c r="F2109" s="22" t="s">
        <v>10</v>
      </c>
      <c r="G2109" s="22" t="s">
        <v>11</v>
      </c>
      <c r="H2109" s="22" t="s">
        <v>18</v>
      </c>
      <c r="I2109" s="22" t="s">
        <v>19</v>
      </c>
      <c r="J2109" s="22" t="s">
        <v>4290</v>
      </c>
      <c r="K2109" s="23" t="s">
        <v>4329</v>
      </c>
      <c r="L2109" t="e">
        <f>VLOOKUP(B2109,ubah!$B$2:$L$234,4,FALSE)</f>
        <v>#N/A</v>
      </c>
      <c r="M2109" t="e">
        <f>VLOOKUP(B2109,ubah!$B$2:$L$234,5,FALSE)</f>
        <v>#N/A</v>
      </c>
      <c r="N2109" t="e">
        <f>VLOOKUP(B2109,ubah!$B$2:$L$234,6,FALSE)</f>
        <v>#N/A</v>
      </c>
    </row>
    <row r="2110" spans="1:14" hidden="1" x14ac:dyDescent="0.35">
      <c r="A2110" s="21">
        <v>1884859</v>
      </c>
      <c r="B2110" s="22" t="str">
        <f>"3328135012830003"</f>
        <v>3328135012830003</v>
      </c>
      <c r="C2110" s="22" t="str">
        <f t="shared" si="64"/>
        <v>'3328135012830003</v>
      </c>
      <c r="D2110" s="22" t="str">
        <f t="shared" si="65"/>
        <v>tidak ganda</v>
      </c>
      <c r="E2110" s="22" t="s">
        <v>4565</v>
      </c>
      <c r="F2110" s="22" t="s">
        <v>10</v>
      </c>
      <c r="G2110" s="22" t="s">
        <v>11</v>
      </c>
      <c r="H2110" s="22" t="s">
        <v>18</v>
      </c>
      <c r="I2110" s="22" t="s">
        <v>19</v>
      </c>
      <c r="J2110" s="22" t="s">
        <v>4290</v>
      </c>
      <c r="K2110" s="23" t="s">
        <v>4303</v>
      </c>
      <c r="L2110" t="e">
        <f>VLOOKUP(B2110,ubah!$B$2:$L$234,4,FALSE)</f>
        <v>#N/A</v>
      </c>
      <c r="M2110" t="e">
        <f>VLOOKUP(B2110,ubah!$B$2:$L$234,5,FALSE)</f>
        <v>#N/A</v>
      </c>
      <c r="N2110" t="e">
        <f>VLOOKUP(B2110,ubah!$B$2:$L$234,6,FALSE)</f>
        <v>#N/A</v>
      </c>
    </row>
    <row r="2111" spans="1:14" hidden="1" x14ac:dyDescent="0.35">
      <c r="A2111" s="21">
        <v>914332</v>
      </c>
      <c r="B2111" s="22" t="str">
        <f>"3328135104850001"</f>
        <v>3328135104850001</v>
      </c>
      <c r="C2111" s="22" t="str">
        <f t="shared" si="64"/>
        <v>'3328135104850001</v>
      </c>
      <c r="D2111" s="22" t="str">
        <f t="shared" si="65"/>
        <v>tidak ganda</v>
      </c>
      <c r="E2111" s="22" t="s">
        <v>4568</v>
      </c>
      <c r="F2111" s="22" t="s">
        <v>10</v>
      </c>
      <c r="G2111" s="22" t="s">
        <v>11</v>
      </c>
      <c r="H2111" s="22" t="s">
        <v>50</v>
      </c>
      <c r="I2111" s="22" t="s">
        <v>86</v>
      </c>
      <c r="J2111" s="22" t="s">
        <v>530</v>
      </c>
      <c r="K2111" s="23" t="s">
        <v>537</v>
      </c>
    </row>
    <row r="2112" spans="1:14" hidden="1" x14ac:dyDescent="0.35">
      <c r="A2112" s="21">
        <v>1476241</v>
      </c>
      <c r="B2112" s="22" t="str">
        <f>"3328135106770003"</f>
        <v>3328135106770003</v>
      </c>
      <c r="C2112" s="22" t="str">
        <f t="shared" si="64"/>
        <v>'3328135106770003</v>
      </c>
      <c r="D2112" s="22" t="str">
        <f t="shared" si="65"/>
        <v>ganda</v>
      </c>
      <c r="E2112" s="22" t="s">
        <v>4569</v>
      </c>
      <c r="F2112" s="22" t="s">
        <v>10</v>
      </c>
      <c r="G2112" s="22" t="s">
        <v>11</v>
      </c>
      <c r="H2112" s="22" t="s">
        <v>18</v>
      </c>
      <c r="I2112" s="22" t="s">
        <v>19</v>
      </c>
      <c r="J2112" s="22" t="s">
        <v>4290</v>
      </c>
      <c r="K2112" s="23" t="s">
        <v>4436</v>
      </c>
      <c r="L2112" t="e">
        <f>VLOOKUP(B2112,ubah!$B$2:$L$234,4,FALSE)</f>
        <v>#N/A</v>
      </c>
      <c r="M2112" t="e">
        <f>VLOOKUP(B2112,ubah!$B$2:$L$234,5,FALSE)</f>
        <v>#N/A</v>
      </c>
      <c r="N2112" t="e">
        <f>VLOOKUP(B2112,ubah!$B$2:$L$234,6,FALSE)</f>
        <v>#N/A</v>
      </c>
    </row>
    <row r="2113" spans="1:14" hidden="1" x14ac:dyDescent="0.35">
      <c r="A2113" s="21">
        <v>1352173</v>
      </c>
      <c r="B2113" s="22" t="str">
        <f>"3328135106770003"</f>
        <v>3328135106770003</v>
      </c>
      <c r="C2113" s="22" t="str">
        <f t="shared" si="64"/>
        <v>'3328135106770003</v>
      </c>
      <c r="D2113" s="22" t="str">
        <f t="shared" si="65"/>
        <v>ganda</v>
      </c>
      <c r="E2113" s="22" t="s">
        <v>4570</v>
      </c>
      <c r="F2113" s="22" t="s">
        <v>10</v>
      </c>
      <c r="G2113" s="22" t="s">
        <v>57</v>
      </c>
      <c r="H2113" s="22" t="s">
        <v>303</v>
      </c>
      <c r="I2113" s="22" t="s">
        <v>608</v>
      </c>
      <c r="J2113" s="22" t="s">
        <v>609</v>
      </c>
      <c r="K2113" s="23" t="s">
        <v>610</v>
      </c>
    </row>
    <row r="2114" spans="1:14" hidden="1" x14ac:dyDescent="0.35">
      <c r="A2114" s="21">
        <v>1477217</v>
      </c>
      <c r="B2114" s="22" t="str">
        <f>"3328135110950004"</f>
        <v>3328135110950004</v>
      </c>
      <c r="C2114" s="22" t="str">
        <f t="shared" si="64"/>
        <v>'3328135110950004</v>
      </c>
      <c r="D2114" s="22" t="str">
        <f t="shared" si="65"/>
        <v>tidak ganda</v>
      </c>
      <c r="E2114" s="22" t="s">
        <v>4571</v>
      </c>
      <c r="F2114" s="22" t="s">
        <v>10</v>
      </c>
      <c r="G2114" s="22" t="s">
        <v>11</v>
      </c>
      <c r="H2114" s="22" t="s">
        <v>18</v>
      </c>
      <c r="I2114" s="22" t="s">
        <v>19</v>
      </c>
      <c r="J2114" s="22" t="s">
        <v>4290</v>
      </c>
      <c r="K2114" s="23" t="s">
        <v>4436</v>
      </c>
      <c r="L2114" t="e">
        <f>VLOOKUP(B2114,ubah!$B$2:$L$234,4,FALSE)</f>
        <v>#N/A</v>
      </c>
      <c r="M2114" t="e">
        <f>VLOOKUP(B2114,ubah!$B$2:$L$234,5,FALSE)</f>
        <v>#N/A</v>
      </c>
      <c r="N2114" t="e">
        <f>VLOOKUP(B2114,ubah!$B$2:$L$234,6,FALSE)</f>
        <v>#N/A</v>
      </c>
    </row>
    <row r="2115" spans="1:14" hidden="1" x14ac:dyDescent="0.35">
      <c r="A2115" s="21">
        <v>1907704</v>
      </c>
      <c r="B2115" s="22" t="str">
        <f>"3328135305970002"</f>
        <v>3328135305970002</v>
      </c>
      <c r="C2115" s="22" t="str">
        <f t="shared" ref="C2115:C2178" si="66">"'"&amp;B2115</f>
        <v>'3328135305970002</v>
      </c>
      <c r="D2115" s="22" t="str">
        <f t="shared" ref="D2115:D2178" si="67">IF(COUNTIF($C:$C,C2115)&gt;1,"ganda","tidak ganda")</f>
        <v>tidak ganda</v>
      </c>
      <c r="E2115" s="22" t="s">
        <v>4572</v>
      </c>
      <c r="F2115" s="22" t="s">
        <v>10</v>
      </c>
      <c r="G2115" s="22" t="s">
        <v>11</v>
      </c>
      <c r="H2115" s="22" t="s">
        <v>18</v>
      </c>
      <c r="I2115" s="22" t="s">
        <v>19</v>
      </c>
      <c r="J2115" s="22" t="s">
        <v>4290</v>
      </c>
      <c r="K2115" s="23" t="s">
        <v>4298</v>
      </c>
      <c r="L2115" t="e">
        <f>VLOOKUP(B2115,ubah!$B$2:$L$234,4,FALSE)</f>
        <v>#N/A</v>
      </c>
      <c r="M2115" t="e">
        <f>VLOOKUP(B2115,ubah!$B$2:$L$234,5,FALSE)</f>
        <v>#N/A</v>
      </c>
      <c r="N2115" t="e">
        <f>VLOOKUP(B2115,ubah!$B$2:$L$234,6,FALSE)</f>
        <v>#N/A</v>
      </c>
    </row>
    <row r="2116" spans="1:14" hidden="1" x14ac:dyDescent="0.35">
      <c r="A2116" s="21">
        <v>1880757</v>
      </c>
      <c r="B2116" s="22" t="str">
        <f>"3328135402850004"</f>
        <v>3328135402850004</v>
      </c>
      <c r="C2116" s="22" t="str">
        <f t="shared" si="66"/>
        <v>'3328135402850004</v>
      </c>
      <c r="D2116" s="22" t="str">
        <f t="shared" si="67"/>
        <v>tidak ganda</v>
      </c>
      <c r="E2116" s="22" t="s">
        <v>4574</v>
      </c>
      <c r="F2116" s="22" t="s">
        <v>10</v>
      </c>
      <c r="G2116" s="22" t="s">
        <v>11</v>
      </c>
      <c r="H2116" s="22" t="s">
        <v>18</v>
      </c>
      <c r="I2116" s="22" t="s">
        <v>19</v>
      </c>
      <c r="J2116" s="22" t="s">
        <v>4290</v>
      </c>
      <c r="K2116" s="23" t="s">
        <v>4303</v>
      </c>
      <c r="L2116" t="e">
        <f>VLOOKUP(B2116,ubah!$B$2:$L$234,4,FALSE)</f>
        <v>#N/A</v>
      </c>
      <c r="M2116" t="e">
        <f>VLOOKUP(B2116,ubah!$B$2:$L$234,5,FALSE)</f>
        <v>#N/A</v>
      </c>
      <c r="N2116" t="e">
        <f>VLOOKUP(B2116,ubah!$B$2:$L$234,6,FALSE)</f>
        <v>#N/A</v>
      </c>
    </row>
    <row r="2117" spans="1:14" hidden="1" x14ac:dyDescent="0.35">
      <c r="A2117" s="21">
        <v>1479131</v>
      </c>
      <c r="B2117" s="22" t="str">
        <f>"3328135411940009"</f>
        <v>3328135411940009</v>
      </c>
      <c r="C2117" s="22" t="str">
        <f t="shared" si="66"/>
        <v>'3328135411940009</v>
      </c>
      <c r="D2117" s="22" t="str">
        <f t="shared" si="67"/>
        <v>tidak ganda</v>
      </c>
      <c r="E2117" s="22" t="s">
        <v>4577</v>
      </c>
      <c r="F2117" s="22" t="s">
        <v>10</v>
      </c>
      <c r="G2117" s="22" t="s">
        <v>11</v>
      </c>
      <c r="H2117" s="22" t="s">
        <v>18</v>
      </c>
      <c r="I2117" s="22" t="s">
        <v>19</v>
      </c>
      <c r="J2117" s="22" t="s">
        <v>4290</v>
      </c>
      <c r="K2117" s="23" t="s">
        <v>4436</v>
      </c>
      <c r="L2117" t="e">
        <f>VLOOKUP(B2117,ubah!$B$2:$L$234,4,FALSE)</f>
        <v>#N/A</v>
      </c>
      <c r="M2117" t="e">
        <f>VLOOKUP(B2117,ubah!$B$2:$L$234,5,FALSE)</f>
        <v>#N/A</v>
      </c>
      <c r="N2117" t="e">
        <f>VLOOKUP(B2117,ubah!$B$2:$L$234,6,FALSE)</f>
        <v>#N/A</v>
      </c>
    </row>
    <row r="2118" spans="1:14" hidden="1" x14ac:dyDescent="0.35">
      <c r="A2118" s="21">
        <v>269008</v>
      </c>
      <c r="B2118" s="22" t="str">
        <f>"3328135505700001"</f>
        <v>3328135505700001</v>
      </c>
      <c r="C2118" s="22" t="str">
        <f t="shared" si="66"/>
        <v>'3328135505700001</v>
      </c>
      <c r="D2118" s="22" t="str">
        <f t="shared" si="67"/>
        <v>tidak ganda</v>
      </c>
      <c r="E2118" s="22" t="s">
        <v>4578</v>
      </c>
      <c r="F2118" s="22" t="s">
        <v>10</v>
      </c>
      <c r="G2118" s="22" t="s">
        <v>11</v>
      </c>
      <c r="H2118" s="22" t="s">
        <v>91</v>
      </c>
      <c r="I2118" s="22" t="s">
        <v>155</v>
      </c>
      <c r="J2118" s="22" t="s">
        <v>4579</v>
      </c>
      <c r="K2118" s="23" t="s">
        <v>4580</v>
      </c>
    </row>
    <row r="2119" spans="1:14" hidden="1" x14ac:dyDescent="0.35">
      <c r="A2119" s="21">
        <v>1905812</v>
      </c>
      <c r="B2119" s="22" t="str">
        <f>"3328135506880006"</f>
        <v>3328135506880006</v>
      </c>
      <c r="C2119" s="22" t="str">
        <f t="shared" si="66"/>
        <v>'3328135506880006</v>
      </c>
      <c r="D2119" s="22" t="str">
        <f t="shared" si="67"/>
        <v>tidak ganda</v>
      </c>
      <c r="E2119" s="22" t="s">
        <v>4581</v>
      </c>
      <c r="F2119" s="22" t="s">
        <v>10</v>
      </c>
      <c r="G2119" s="22" t="s">
        <v>11</v>
      </c>
      <c r="H2119" s="22" t="s">
        <v>18</v>
      </c>
      <c r="I2119" s="22" t="s">
        <v>19</v>
      </c>
      <c r="J2119" s="22" t="s">
        <v>4290</v>
      </c>
      <c r="K2119" s="23" t="s">
        <v>4298</v>
      </c>
      <c r="L2119" t="e">
        <f>VLOOKUP(B2119,ubah!$B$2:$L$234,4,FALSE)</f>
        <v>#N/A</v>
      </c>
      <c r="M2119" t="e">
        <f>VLOOKUP(B2119,ubah!$B$2:$L$234,5,FALSE)</f>
        <v>#N/A</v>
      </c>
      <c r="N2119" t="e">
        <f>VLOOKUP(B2119,ubah!$B$2:$L$234,6,FALSE)</f>
        <v>#N/A</v>
      </c>
    </row>
    <row r="2120" spans="1:14" hidden="1" x14ac:dyDescent="0.35">
      <c r="A2120" s="21">
        <v>1877069</v>
      </c>
      <c r="B2120" s="22" t="str">
        <f>"3328135507920005"</f>
        <v>3328135507920005</v>
      </c>
      <c r="C2120" s="22" t="str">
        <f t="shared" si="66"/>
        <v>'3328135507920005</v>
      </c>
      <c r="D2120" s="22" t="str">
        <f t="shared" si="67"/>
        <v>tidak ganda</v>
      </c>
      <c r="E2120" s="22" t="s">
        <v>4582</v>
      </c>
      <c r="F2120" s="22" t="s">
        <v>10</v>
      </c>
      <c r="G2120" s="22" t="s">
        <v>11</v>
      </c>
      <c r="H2120" s="22" t="s">
        <v>18</v>
      </c>
      <c r="I2120" s="22" t="s">
        <v>19</v>
      </c>
      <c r="J2120" s="22" t="s">
        <v>4290</v>
      </c>
      <c r="K2120" s="23" t="s">
        <v>344</v>
      </c>
      <c r="L2120" t="e">
        <f>VLOOKUP(B2120,ubah!$B$2:$L$234,4,FALSE)</f>
        <v>#N/A</v>
      </c>
      <c r="M2120" t="e">
        <f>VLOOKUP(B2120,ubah!$B$2:$L$234,5,FALSE)</f>
        <v>#N/A</v>
      </c>
      <c r="N2120" t="e">
        <f>VLOOKUP(B2120,ubah!$B$2:$L$234,6,FALSE)</f>
        <v>#N/A</v>
      </c>
    </row>
    <row r="2121" spans="1:14" hidden="1" x14ac:dyDescent="0.35">
      <c r="A2121" s="21">
        <v>1901030</v>
      </c>
      <c r="B2121" s="22" t="str">
        <f>"3328135608970001"</f>
        <v>3328135608970001</v>
      </c>
      <c r="C2121" s="22" t="str">
        <f t="shared" si="66"/>
        <v>'3328135608970001</v>
      </c>
      <c r="D2121" s="22" t="str">
        <f t="shared" si="67"/>
        <v>tidak ganda</v>
      </c>
      <c r="E2121" s="22" t="s">
        <v>4585</v>
      </c>
      <c r="F2121" s="22" t="s">
        <v>10</v>
      </c>
      <c r="G2121" s="22" t="s">
        <v>11</v>
      </c>
      <c r="H2121" s="22" t="s">
        <v>18</v>
      </c>
      <c r="I2121" s="22" t="s">
        <v>19</v>
      </c>
      <c r="J2121" s="22" t="s">
        <v>4290</v>
      </c>
      <c r="K2121" s="23" t="s">
        <v>4358</v>
      </c>
      <c r="L2121" t="e">
        <f>VLOOKUP(B2121,ubah!$B$2:$L$234,4,FALSE)</f>
        <v>#N/A</v>
      </c>
      <c r="M2121" t="e">
        <f>VLOOKUP(B2121,ubah!$B$2:$L$234,5,FALSE)</f>
        <v>#N/A</v>
      </c>
      <c r="N2121" t="e">
        <f>VLOOKUP(B2121,ubah!$B$2:$L$234,6,FALSE)</f>
        <v>#N/A</v>
      </c>
    </row>
    <row r="2122" spans="1:14" hidden="1" x14ac:dyDescent="0.35">
      <c r="A2122" s="21">
        <v>369519</v>
      </c>
      <c r="B2122" s="22" t="str">
        <f>"3328135701670002"</f>
        <v>3328135701670002</v>
      </c>
      <c r="C2122" s="22" t="str">
        <f t="shared" si="66"/>
        <v>'3328135701670002</v>
      </c>
      <c r="D2122" s="22" t="str">
        <f t="shared" si="67"/>
        <v>tidak ganda</v>
      </c>
      <c r="E2122" s="22" t="s">
        <v>4586</v>
      </c>
      <c r="F2122" s="22" t="s">
        <v>10</v>
      </c>
      <c r="G2122" s="22" t="s">
        <v>11</v>
      </c>
      <c r="H2122" s="22" t="s">
        <v>18</v>
      </c>
      <c r="I2122" s="22" t="s">
        <v>268</v>
      </c>
      <c r="J2122" s="22" t="s">
        <v>269</v>
      </c>
      <c r="K2122" s="23" t="s">
        <v>996</v>
      </c>
    </row>
    <row r="2123" spans="1:14" hidden="1" x14ac:dyDescent="0.35">
      <c r="A2123" s="21">
        <v>214658</v>
      </c>
      <c r="B2123" s="22" t="str">
        <f>"3328135702910003"</f>
        <v>3328135702910003</v>
      </c>
      <c r="C2123" s="22" t="str">
        <f t="shared" si="66"/>
        <v>'3328135702910003</v>
      </c>
      <c r="D2123" s="22" t="str">
        <f t="shared" si="67"/>
        <v>tidak ganda</v>
      </c>
      <c r="E2123" s="22" t="s">
        <v>4588</v>
      </c>
      <c r="F2123" s="22" t="s">
        <v>10</v>
      </c>
      <c r="G2123" s="22" t="s">
        <v>11</v>
      </c>
      <c r="H2123" s="22" t="s">
        <v>18</v>
      </c>
      <c r="I2123" s="22" t="s">
        <v>268</v>
      </c>
      <c r="J2123" s="22" t="s">
        <v>371</v>
      </c>
      <c r="K2123" s="23" t="s">
        <v>2772</v>
      </c>
    </row>
    <row r="2124" spans="1:14" hidden="1" x14ac:dyDescent="0.35">
      <c r="A2124" s="21">
        <v>1790618</v>
      </c>
      <c r="B2124" s="22" t="str">
        <f>"3328135705970005"</f>
        <v>3328135705970005</v>
      </c>
      <c r="C2124" s="22" t="str">
        <f t="shared" si="66"/>
        <v>'3328135705970005</v>
      </c>
      <c r="D2124" s="22" t="str">
        <f t="shared" si="67"/>
        <v>tidak ganda</v>
      </c>
      <c r="E2124" s="22" t="s">
        <v>4589</v>
      </c>
      <c r="F2124" s="22" t="s">
        <v>10</v>
      </c>
      <c r="G2124" s="22" t="s">
        <v>11</v>
      </c>
      <c r="H2124" s="22" t="s">
        <v>67</v>
      </c>
      <c r="I2124" s="22" t="s">
        <v>791</v>
      </c>
      <c r="J2124" s="22" t="s">
        <v>4590</v>
      </c>
      <c r="K2124" s="23" t="s">
        <v>4590</v>
      </c>
    </row>
    <row r="2125" spans="1:14" hidden="1" x14ac:dyDescent="0.35">
      <c r="A2125" s="21">
        <v>1940874</v>
      </c>
      <c r="B2125" s="22" t="str">
        <f>"3328135707840003"</f>
        <v>3328135707840003</v>
      </c>
      <c r="C2125" s="22" t="str">
        <f t="shared" si="66"/>
        <v>'3328135707840003</v>
      </c>
      <c r="D2125" s="22" t="str">
        <f t="shared" si="67"/>
        <v>tidak ganda</v>
      </c>
      <c r="E2125" s="22" t="s">
        <v>4592</v>
      </c>
      <c r="F2125" s="22" t="s">
        <v>10</v>
      </c>
      <c r="G2125" s="22" t="s">
        <v>11</v>
      </c>
      <c r="H2125" s="22" t="s">
        <v>18</v>
      </c>
      <c r="I2125" s="22" t="s">
        <v>19</v>
      </c>
      <c r="J2125" s="22" t="s">
        <v>4290</v>
      </c>
      <c r="K2125" s="23" t="s">
        <v>4329</v>
      </c>
      <c r="L2125" t="e">
        <f>VLOOKUP(B2125,ubah!$B$2:$L$234,4,FALSE)</f>
        <v>#N/A</v>
      </c>
      <c r="M2125" t="e">
        <f>VLOOKUP(B2125,ubah!$B$2:$L$234,5,FALSE)</f>
        <v>#N/A</v>
      </c>
      <c r="N2125" t="e">
        <f>VLOOKUP(B2125,ubah!$B$2:$L$234,6,FALSE)</f>
        <v>#N/A</v>
      </c>
    </row>
    <row r="2126" spans="1:14" hidden="1" x14ac:dyDescent="0.35">
      <c r="A2126" s="21">
        <v>1904626</v>
      </c>
      <c r="B2126" s="22" t="str">
        <f>"3328135709640002"</f>
        <v>3328135709640002</v>
      </c>
      <c r="C2126" s="22" t="str">
        <f t="shared" si="66"/>
        <v>'3328135709640002</v>
      </c>
      <c r="D2126" s="22" t="str">
        <f t="shared" si="67"/>
        <v>tidak ganda</v>
      </c>
      <c r="E2126" s="22" t="s">
        <v>4594</v>
      </c>
      <c r="F2126" s="22" t="s">
        <v>10</v>
      </c>
      <c r="G2126" s="22" t="s">
        <v>11</v>
      </c>
      <c r="H2126" s="22" t="s">
        <v>18</v>
      </c>
      <c r="I2126" s="22" t="s">
        <v>19</v>
      </c>
      <c r="J2126" s="22" t="s">
        <v>4290</v>
      </c>
      <c r="K2126" s="23" t="s">
        <v>4298</v>
      </c>
      <c r="L2126" t="e">
        <f>VLOOKUP(B2126,ubah!$B$2:$L$234,4,FALSE)</f>
        <v>#N/A</v>
      </c>
      <c r="M2126" t="e">
        <f>VLOOKUP(B2126,ubah!$B$2:$L$234,5,FALSE)</f>
        <v>#N/A</v>
      </c>
      <c r="N2126" t="e">
        <f>VLOOKUP(B2126,ubah!$B$2:$L$234,6,FALSE)</f>
        <v>#N/A</v>
      </c>
    </row>
    <row r="2127" spans="1:14" hidden="1" x14ac:dyDescent="0.35">
      <c r="A2127" s="21">
        <v>1941848</v>
      </c>
      <c r="B2127" s="22" t="str">
        <f>"3328135710880003"</f>
        <v>3328135710880003</v>
      </c>
      <c r="C2127" s="22" t="str">
        <f t="shared" si="66"/>
        <v>'3328135710880003</v>
      </c>
      <c r="D2127" s="22" t="str">
        <f t="shared" si="67"/>
        <v>tidak ganda</v>
      </c>
      <c r="E2127" s="22" t="s">
        <v>4595</v>
      </c>
      <c r="F2127" s="22" t="s">
        <v>10</v>
      </c>
      <c r="G2127" s="22" t="s">
        <v>11</v>
      </c>
      <c r="H2127" s="22" t="s">
        <v>18</v>
      </c>
      <c r="I2127" s="22" t="s">
        <v>19</v>
      </c>
      <c r="J2127" s="22" t="s">
        <v>4290</v>
      </c>
      <c r="K2127" s="23" t="s">
        <v>4329</v>
      </c>
      <c r="L2127" t="e">
        <f>VLOOKUP(B2127,ubah!$B$2:$L$234,4,FALSE)</f>
        <v>#N/A</v>
      </c>
      <c r="M2127" t="e">
        <f>VLOOKUP(B2127,ubah!$B$2:$L$234,5,FALSE)</f>
        <v>#N/A</v>
      </c>
      <c r="N2127" t="e">
        <f>VLOOKUP(B2127,ubah!$B$2:$L$234,6,FALSE)</f>
        <v>#N/A</v>
      </c>
    </row>
    <row r="2128" spans="1:14" hidden="1" x14ac:dyDescent="0.35">
      <c r="A2128" s="21">
        <v>1901343</v>
      </c>
      <c r="B2128" s="22" t="str">
        <f>"3328135801030001"</f>
        <v>3328135801030001</v>
      </c>
      <c r="C2128" s="22" t="str">
        <f t="shared" si="66"/>
        <v>'3328135801030001</v>
      </c>
      <c r="D2128" s="22" t="str">
        <f t="shared" si="67"/>
        <v>ganda</v>
      </c>
      <c r="E2128" s="22" t="s">
        <v>4599</v>
      </c>
      <c r="F2128" s="22" t="s">
        <v>10</v>
      </c>
      <c r="G2128" s="22" t="s">
        <v>11</v>
      </c>
      <c r="H2128" s="22" t="s">
        <v>18</v>
      </c>
      <c r="I2128" s="22" t="s">
        <v>19</v>
      </c>
      <c r="J2128" s="22" t="s">
        <v>4290</v>
      </c>
      <c r="K2128" s="23" t="s">
        <v>4358</v>
      </c>
      <c r="L2128" t="e">
        <f>VLOOKUP(B2128,ubah!$B$2:$L$234,4,FALSE)</f>
        <v>#N/A</v>
      </c>
      <c r="M2128" t="e">
        <f>VLOOKUP(B2128,ubah!$B$2:$L$234,5,FALSE)</f>
        <v>#N/A</v>
      </c>
      <c r="N2128" t="e">
        <f>VLOOKUP(B2128,ubah!$B$2:$L$234,6,FALSE)</f>
        <v>#N/A</v>
      </c>
    </row>
    <row r="2129" spans="1:14" hidden="1" x14ac:dyDescent="0.35">
      <c r="A2129" s="21">
        <v>1352898</v>
      </c>
      <c r="B2129" s="22" t="str">
        <f>"3328135801030001"</f>
        <v>3328135801030001</v>
      </c>
      <c r="C2129" s="22" t="str">
        <f t="shared" si="66"/>
        <v>'3328135801030001</v>
      </c>
      <c r="D2129" s="22" t="str">
        <f t="shared" si="67"/>
        <v>ganda</v>
      </c>
      <c r="E2129" s="22" t="s">
        <v>4600</v>
      </c>
      <c r="F2129" s="22" t="s">
        <v>10</v>
      </c>
      <c r="G2129" s="22" t="s">
        <v>57</v>
      </c>
      <c r="H2129" s="22" t="s">
        <v>303</v>
      </c>
      <c r="I2129" s="22" t="s">
        <v>608</v>
      </c>
      <c r="J2129" s="22" t="s">
        <v>609</v>
      </c>
      <c r="K2129" s="23" t="s">
        <v>610</v>
      </c>
    </row>
    <row r="2130" spans="1:14" hidden="1" x14ac:dyDescent="0.35">
      <c r="A2130" s="21">
        <v>1885427</v>
      </c>
      <c r="B2130" s="22" t="str">
        <f>"3328135906030002"</f>
        <v>3328135906030002</v>
      </c>
      <c r="C2130" s="22" t="str">
        <f t="shared" si="66"/>
        <v>'3328135906030002</v>
      </c>
      <c r="D2130" s="22" t="str">
        <f t="shared" si="67"/>
        <v>tidak ganda</v>
      </c>
      <c r="E2130" s="22" t="s">
        <v>4601</v>
      </c>
      <c r="F2130" s="22" t="s">
        <v>10</v>
      </c>
      <c r="G2130" s="22" t="s">
        <v>11</v>
      </c>
      <c r="H2130" s="22" t="s">
        <v>18</v>
      </c>
      <c r="I2130" s="22" t="s">
        <v>19</v>
      </c>
      <c r="J2130" s="22" t="s">
        <v>4290</v>
      </c>
      <c r="K2130" s="23" t="s">
        <v>4303</v>
      </c>
      <c r="L2130" t="e">
        <f>VLOOKUP(B2130,ubah!$B$2:$L$234,4,FALSE)</f>
        <v>#N/A</v>
      </c>
      <c r="M2130" t="e">
        <f>VLOOKUP(B2130,ubah!$B$2:$L$234,5,FALSE)</f>
        <v>#N/A</v>
      </c>
      <c r="N2130" t="e">
        <f>VLOOKUP(B2130,ubah!$B$2:$L$234,6,FALSE)</f>
        <v>#N/A</v>
      </c>
    </row>
    <row r="2131" spans="1:14" hidden="1" x14ac:dyDescent="0.35">
      <c r="A2131" s="21">
        <v>2087716</v>
      </c>
      <c r="B2131" s="22" t="str">
        <f>"3328135911860009"</f>
        <v>3328135911860009</v>
      </c>
      <c r="C2131" s="22" t="str">
        <f t="shared" si="66"/>
        <v>'3328135911860009</v>
      </c>
      <c r="D2131" s="22" t="str">
        <f t="shared" si="67"/>
        <v>tidak ganda</v>
      </c>
      <c r="E2131" s="22" t="s">
        <v>4602</v>
      </c>
      <c r="F2131" s="22" t="s">
        <v>10</v>
      </c>
      <c r="G2131" s="22" t="s">
        <v>11</v>
      </c>
      <c r="H2131" s="22" t="s">
        <v>18</v>
      </c>
      <c r="I2131" s="22" t="s">
        <v>19</v>
      </c>
      <c r="J2131" s="22" t="s">
        <v>4290</v>
      </c>
      <c r="K2131" s="23" t="s">
        <v>4309</v>
      </c>
      <c r="L2131" t="e">
        <f>VLOOKUP(B2131,ubah!$B$2:$L$234,4,FALSE)</f>
        <v>#N/A</v>
      </c>
      <c r="M2131" t="e">
        <f>VLOOKUP(B2131,ubah!$B$2:$L$234,5,FALSE)</f>
        <v>#N/A</v>
      </c>
      <c r="N2131" t="e">
        <f>VLOOKUP(B2131,ubah!$B$2:$L$234,6,FALSE)</f>
        <v>#N/A</v>
      </c>
    </row>
    <row r="2132" spans="1:14" hidden="1" x14ac:dyDescent="0.35">
      <c r="A2132" s="21">
        <v>2464906</v>
      </c>
      <c r="B2132" s="22" t="str">
        <f>"3328136104970003"</f>
        <v>3328136104970003</v>
      </c>
      <c r="C2132" s="22" t="str">
        <f t="shared" si="66"/>
        <v>'3328136104970003</v>
      </c>
      <c r="D2132" s="22" t="str">
        <f t="shared" si="67"/>
        <v>tidak ganda</v>
      </c>
      <c r="E2132" s="22" t="s">
        <v>4609</v>
      </c>
      <c r="F2132" s="22" t="s">
        <v>10</v>
      </c>
      <c r="G2132" s="22" t="s">
        <v>11</v>
      </c>
      <c r="H2132" s="22" t="s">
        <v>18</v>
      </c>
      <c r="I2132" s="22" t="s">
        <v>19</v>
      </c>
      <c r="J2132" s="22" t="s">
        <v>4290</v>
      </c>
      <c r="K2132" s="23" t="s">
        <v>2513</v>
      </c>
      <c r="L2132" t="e">
        <f>VLOOKUP(B2132,ubah!$B$2:$L$234,4,FALSE)</f>
        <v>#N/A</v>
      </c>
      <c r="M2132" t="e">
        <f>VLOOKUP(B2132,ubah!$B$2:$L$234,5,FALSE)</f>
        <v>#N/A</v>
      </c>
      <c r="N2132" t="e">
        <f>VLOOKUP(B2132,ubah!$B$2:$L$234,6,FALSE)</f>
        <v>#N/A</v>
      </c>
    </row>
    <row r="2133" spans="1:14" hidden="1" x14ac:dyDescent="0.35">
      <c r="A2133" s="21">
        <v>2514284</v>
      </c>
      <c r="B2133" s="22" t="str">
        <f>"3328136205850001"</f>
        <v>3328136205850001</v>
      </c>
      <c r="C2133" s="22" t="str">
        <f t="shared" si="66"/>
        <v>'3328136205850001</v>
      </c>
      <c r="D2133" s="22" t="str">
        <f t="shared" si="67"/>
        <v>tidak ganda</v>
      </c>
      <c r="E2133" s="22" t="s">
        <v>4610</v>
      </c>
      <c r="F2133" s="22" t="s">
        <v>10</v>
      </c>
      <c r="G2133" s="22" t="s">
        <v>11</v>
      </c>
      <c r="H2133" s="22" t="s">
        <v>18</v>
      </c>
      <c r="I2133" s="22" t="s">
        <v>19</v>
      </c>
      <c r="J2133" s="22" t="s">
        <v>4290</v>
      </c>
      <c r="K2133" s="23" t="s">
        <v>4513</v>
      </c>
      <c r="L2133" t="e">
        <f>VLOOKUP(B2133,ubah!$B$2:$L$234,4,FALSE)</f>
        <v>#N/A</v>
      </c>
      <c r="M2133" t="e">
        <f>VLOOKUP(B2133,ubah!$B$2:$L$234,5,FALSE)</f>
        <v>#N/A</v>
      </c>
      <c r="N2133" t="e">
        <f>VLOOKUP(B2133,ubah!$B$2:$L$234,6,FALSE)</f>
        <v>#N/A</v>
      </c>
    </row>
    <row r="2134" spans="1:14" hidden="1" x14ac:dyDescent="0.35">
      <c r="A2134" s="21">
        <v>1392353</v>
      </c>
      <c r="B2134" s="22" t="str">
        <f>"3328136302020006"</f>
        <v>3328136302020006</v>
      </c>
      <c r="C2134" s="22" t="str">
        <f t="shared" si="66"/>
        <v>'3328136302020006</v>
      </c>
      <c r="D2134" s="22" t="str">
        <f t="shared" si="67"/>
        <v>tidak ganda</v>
      </c>
      <c r="E2134" s="22" t="s">
        <v>4615</v>
      </c>
      <c r="F2134" s="22" t="s">
        <v>10</v>
      </c>
      <c r="G2134" s="22" t="s">
        <v>57</v>
      </c>
      <c r="H2134" s="22" t="s">
        <v>303</v>
      </c>
      <c r="I2134" s="22" t="s">
        <v>608</v>
      </c>
      <c r="J2134" s="22" t="s">
        <v>1089</v>
      </c>
      <c r="K2134" s="23" t="s">
        <v>4616</v>
      </c>
    </row>
    <row r="2135" spans="1:14" hidden="1" x14ac:dyDescent="0.35">
      <c r="A2135" s="21">
        <v>381030</v>
      </c>
      <c r="B2135" s="22" t="str">
        <f>"3328136302910002"</f>
        <v>3328136302910002</v>
      </c>
      <c r="C2135" s="22" t="str">
        <f t="shared" si="66"/>
        <v>'3328136302910002</v>
      </c>
      <c r="D2135" s="22" t="str">
        <f t="shared" si="67"/>
        <v>tidak ganda</v>
      </c>
      <c r="E2135" s="22" t="s">
        <v>4617</v>
      </c>
      <c r="F2135" s="22" t="s">
        <v>10</v>
      </c>
      <c r="G2135" s="22" t="s">
        <v>11</v>
      </c>
      <c r="H2135" s="22" t="s">
        <v>18</v>
      </c>
      <c r="I2135" s="22" t="s">
        <v>268</v>
      </c>
      <c r="J2135" s="22" t="s">
        <v>448</v>
      </c>
      <c r="K2135" s="23" t="s">
        <v>449</v>
      </c>
    </row>
    <row r="2136" spans="1:14" hidden="1" x14ac:dyDescent="0.35">
      <c r="A2136" s="21">
        <v>1018730</v>
      </c>
      <c r="B2136" s="22" t="str">
        <f>"3328136307890001"</f>
        <v>3328136307890001</v>
      </c>
      <c r="C2136" s="22" t="str">
        <f t="shared" si="66"/>
        <v>'3328136307890001</v>
      </c>
      <c r="D2136" s="22" t="str">
        <f t="shared" si="67"/>
        <v>tidak ganda</v>
      </c>
      <c r="E2136" s="22" t="s">
        <v>4618</v>
      </c>
      <c r="F2136" s="22" t="s">
        <v>10</v>
      </c>
      <c r="G2136" s="22" t="s">
        <v>11</v>
      </c>
      <c r="H2136" s="22" t="s">
        <v>18</v>
      </c>
      <c r="I2136" s="22" t="s">
        <v>264</v>
      </c>
      <c r="J2136" s="22" t="s">
        <v>264</v>
      </c>
      <c r="K2136" s="23" t="s">
        <v>4619</v>
      </c>
    </row>
    <row r="2137" spans="1:14" hidden="1" x14ac:dyDescent="0.35">
      <c r="A2137" s="21">
        <v>269007</v>
      </c>
      <c r="B2137" s="22" t="str">
        <f>"3328136309010003"</f>
        <v>3328136309010003</v>
      </c>
      <c r="C2137" s="22" t="str">
        <f t="shared" si="66"/>
        <v>'3328136309010003</v>
      </c>
      <c r="D2137" s="22" t="str">
        <f t="shared" si="67"/>
        <v>tidak ganda</v>
      </c>
      <c r="E2137" s="22" t="s">
        <v>4620</v>
      </c>
      <c r="F2137" s="22" t="s">
        <v>10</v>
      </c>
      <c r="G2137" s="22" t="s">
        <v>11</v>
      </c>
      <c r="H2137" s="22" t="s">
        <v>91</v>
      </c>
      <c r="I2137" s="22" t="s">
        <v>155</v>
      </c>
      <c r="J2137" s="22" t="s">
        <v>4579</v>
      </c>
      <c r="K2137" s="23" t="s">
        <v>4580</v>
      </c>
    </row>
    <row r="2138" spans="1:14" hidden="1" x14ac:dyDescent="0.35">
      <c r="A2138" s="21">
        <v>2109393</v>
      </c>
      <c r="B2138" s="22" t="str">
        <f>"3328136309960004"</f>
        <v>3328136309960004</v>
      </c>
      <c r="C2138" s="22" t="str">
        <f t="shared" si="66"/>
        <v>'3328136309960004</v>
      </c>
      <c r="D2138" s="22" t="str">
        <f t="shared" si="67"/>
        <v>tidak ganda</v>
      </c>
      <c r="E2138" s="22" t="s">
        <v>4621</v>
      </c>
      <c r="F2138" s="22" t="s">
        <v>10</v>
      </c>
      <c r="G2138" s="22" t="s">
        <v>11</v>
      </c>
      <c r="H2138" s="22" t="s">
        <v>18</v>
      </c>
      <c r="I2138" s="22" t="s">
        <v>19</v>
      </c>
      <c r="J2138" s="22" t="s">
        <v>4290</v>
      </c>
      <c r="K2138" s="23" t="s">
        <v>4347</v>
      </c>
      <c r="L2138" t="e">
        <f>VLOOKUP(B2138,ubah!$B$2:$L$234,4,FALSE)</f>
        <v>#N/A</v>
      </c>
      <c r="M2138" t="e">
        <f>VLOOKUP(B2138,ubah!$B$2:$L$234,5,FALSE)</f>
        <v>#N/A</v>
      </c>
      <c r="N2138" t="e">
        <f>VLOOKUP(B2138,ubah!$B$2:$L$234,6,FALSE)</f>
        <v>#N/A</v>
      </c>
    </row>
    <row r="2139" spans="1:14" hidden="1" x14ac:dyDescent="0.35">
      <c r="A2139" s="21">
        <v>296409</v>
      </c>
      <c r="B2139" s="22" t="str">
        <f>"3328136312770002"</f>
        <v>3328136312770002</v>
      </c>
      <c r="C2139" s="22" t="str">
        <f t="shared" si="66"/>
        <v>'3328136312770002</v>
      </c>
      <c r="D2139" s="22" t="str">
        <f t="shared" si="67"/>
        <v>tidak ganda</v>
      </c>
      <c r="E2139" s="22" t="s">
        <v>4622</v>
      </c>
      <c r="F2139" s="22" t="s">
        <v>10</v>
      </c>
      <c r="G2139" s="22" t="s">
        <v>11</v>
      </c>
      <c r="H2139" s="22" t="s">
        <v>18</v>
      </c>
      <c r="I2139" s="22" t="s">
        <v>268</v>
      </c>
      <c r="J2139" s="22" t="s">
        <v>277</v>
      </c>
      <c r="K2139" s="23" t="s">
        <v>2762</v>
      </c>
    </row>
    <row r="2140" spans="1:14" hidden="1" x14ac:dyDescent="0.35">
      <c r="A2140" s="21">
        <v>325857</v>
      </c>
      <c r="B2140" s="22" t="str">
        <f>"3328136404880004"</f>
        <v>3328136404880004</v>
      </c>
      <c r="C2140" s="22" t="str">
        <f t="shared" si="66"/>
        <v>'3328136404880004</v>
      </c>
      <c r="D2140" s="22" t="str">
        <f t="shared" si="67"/>
        <v>tidak ganda</v>
      </c>
      <c r="E2140" s="22" t="s">
        <v>4574</v>
      </c>
      <c r="F2140" s="22" t="s">
        <v>10</v>
      </c>
      <c r="G2140" s="22" t="s">
        <v>11</v>
      </c>
      <c r="H2140" s="22" t="s">
        <v>18</v>
      </c>
      <c r="I2140" s="22" t="s">
        <v>268</v>
      </c>
      <c r="J2140" s="22" t="s">
        <v>269</v>
      </c>
      <c r="K2140" s="23" t="s">
        <v>4408</v>
      </c>
    </row>
    <row r="2141" spans="1:14" hidden="1" x14ac:dyDescent="0.35">
      <c r="A2141" s="21">
        <v>1897421</v>
      </c>
      <c r="B2141" s="22" t="str">
        <f>"3328136412030001"</f>
        <v>3328136412030001</v>
      </c>
      <c r="C2141" s="22" t="str">
        <f t="shared" si="66"/>
        <v>'3328136412030001</v>
      </c>
      <c r="D2141" s="22" t="str">
        <f t="shared" si="67"/>
        <v>ganda</v>
      </c>
      <c r="E2141" s="22" t="s">
        <v>4623</v>
      </c>
      <c r="F2141" s="22" t="s">
        <v>10</v>
      </c>
      <c r="G2141" s="22" t="s">
        <v>11</v>
      </c>
      <c r="H2141" s="22" t="s">
        <v>18</v>
      </c>
      <c r="I2141" s="22" t="s">
        <v>19</v>
      </c>
      <c r="J2141" s="22" t="s">
        <v>4290</v>
      </c>
      <c r="K2141" s="23" t="s">
        <v>4606</v>
      </c>
      <c r="L2141" t="e">
        <f>VLOOKUP(B2141,ubah!$B$2:$L$234,4,FALSE)</f>
        <v>#N/A</v>
      </c>
      <c r="M2141" t="e">
        <f>VLOOKUP(B2141,ubah!$B$2:$L$234,5,FALSE)</f>
        <v>#N/A</v>
      </c>
      <c r="N2141" t="e">
        <f>VLOOKUP(B2141,ubah!$B$2:$L$234,6,FALSE)</f>
        <v>#N/A</v>
      </c>
    </row>
    <row r="2142" spans="1:14" hidden="1" x14ac:dyDescent="0.35">
      <c r="A2142" s="21">
        <v>1352896</v>
      </c>
      <c r="B2142" s="22" t="str">
        <f>"3328136412030001"</f>
        <v>3328136412030001</v>
      </c>
      <c r="C2142" s="22" t="str">
        <f t="shared" si="66"/>
        <v>'3328136412030001</v>
      </c>
      <c r="D2142" s="22" t="str">
        <f t="shared" si="67"/>
        <v>ganda</v>
      </c>
      <c r="E2142" s="22" t="s">
        <v>4623</v>
      </c>
      <c r="F2142" s="22" t="s">
        <v>10</v>
      </c>
      <c r="G2142" s="22" t="s">
        <v>57</v>
      </c>
      <c r="H2142" s="22" t="s">
        <v>303</v>
      </c>
      <c r="I2142" s="22" t="s">
        <v>608</v>
      </c>
      <c r="J2142" s="22" t="s">
        <v>609</v>
      </c>
      <c r="K2142" s="23" t="s">
        <v>610</v>
      </c>
    </row>
    <row r="2143" spans="1:14" hidden="1" x14ac:dyDescent="0.35">
      <c r="A2143" s="21">
        <v>1911141</v>
      </c>
      <c r="B2143" s="22" t="str">
        <f>"3328136606940002"</f>
        <v>3328136606940002</v>
      </c>
      <c r="C2143" s="22" t="str">
        <f t="shared" si="66"/>
        <v>'3328136606940002</v>
      </c>
      <c r="D2143" s="22" t="str">
        <f t="shared" si="67"/>
        <v>tidak ganda</v>
      </c>
      <c r="E2143" s="22" t="s">
        <v>4624</v>
      </c>
      <c r="F2143" s="22" t="s">
        <v>10</v>
      </c>
      <c r="G2143" s="22" t="s">
        <v>11</v>
      </c>
      <c r="H2143" s="22" t="s">
        <v>18</v>
      </c>
      <c r="I2143" s="22" t="s">
        <v>19</v>
      </c>
      <c r="J2143" s="22" t="s">
        <v>4290</v>
      </c>
      <c r="K2143" s="23" t="s">
        <v>4475</v>
      </c>
      <c r="L2143" t="e">
        <f>VLOOKUP(B2143,ubah!$B$2:$L$234,4,FALSE)</f>
        <v>#N/A</v>
      </c>
      <c r="M2143" t="e">
        <f>VLOOKUP(B2143,ubah!$B$2:$L$234,5,FALSE)</f>
        <v>#N/A</v>
      </c>
      <c r="N2143" t="e">
        <f>VLOOKUP(B2143,ubah!$B$2:$L$234,6,FALSE)</f>
        <v>#N/A</v>
      </c>
    </row>
    <row r="2144" spans="1:14" hidden="1" x14ac:dyDescent="0.35">
      <c r="A2144" s="21">
        <v>2409758</v>
      </c>
      <c r="B2144" s="22" t="str">
        <f>"3328136612850001"</f>
        <v>3328136612850001</v>
      </c>
      <c r="C2144" s="22" t="str">
        <f t="shared" si="66"/>
        <v>'3328136612850001</v>
      </c>
      <c r="D2144" s="22" t="str">
        <f t="shared" si="67"/>
        <v>tidak ganda</v>
      </c>
      <c r="E2144" s="22" t="s">
        <v>4626</v>
      </c>
      <c r="F2144" s="22" t="s">
        <v>10</v>
      </c>
      <c r="G2144" s="22" t="s">
        <v>11</v>
      </c>
      <c r="H2144" s="22" t="s">
        <v>18</v>
      </c>
      <c r="I2144" s="22" t="s">
        <v>19</v>
      </c>
      <c r="J2144" s="22" t="s">
        <v>4290</v>
      </c>
      <c r="K2144" s="23" t="s">
        <v>1381</v>
      </c>
      <c r="L2144" t="e">
        <f>VLOOKUP(B2144,ubah!$B$2:$L$234,4,FALSE)</f>
        <v>#N/A</v>
      </c>
      <c r="M2144" t="e">
        <f>VLOOKUP(B2144,ubah!$B$2:$L$234,5,FALSE)</f>
        <v>#N/A</v>
      </c>
      <c r="N2144" t="e">
        <f>VLOOKUP(B2144,ubah!$B$2:$L$234,6,FALSE)</f>
        <v>#N/A</v>
      </c>
    </row>
    <row r="2145" spans="1:14" hidden="1" x14ac:dyDescent="0.35">
      <c r="A2145" s="21">
        <v>2409657</v>
      </c>
      <c r="B2145" s="22" t="str">
        <f>"3328136804030001"</f>
        <v>3328136804030001</v>
      </c>
      <c r="C2145" s="22" t="str">
        <f t="shared" si="66"/>
        <v>'3328136804030001</v>
      </c>
      <c r="D2145" s="22" t="str">
        <f t="shared" si="67"/>
        <v>ganda</v>
      </c>
      <c r="E2145" s="22" t="s">
        <v>4627</v>
      </c>
      <c r="F2145" s="22" t="s">
        <v>10</v>
      </c>
      <c r="G2145" s="22" t="s">
        <v>11</v>
      </c>
      <c r="H2145" s="22" t="s">
        <v>18</v>
      </c>
      <c r="I2145" s="22" t="s">
        <v>19</v>
      </c>
      <c r="J2145" s="22" t="s">
        <v>4290</v>
      </c>
      <c r="K2145" s="23" t="s">
        <v>1381</v>
      </c>
      <c r="L2145" t="e">
        <f>VLOOKUP(B2145,ubah!$B$2:$L$234,4,FALSE)</f>
        <v>#N/A</v>
      </c>
      <c r="M2145" t="e">
        <f>VLOOKUP(B2145,ubah!$B$2:$L$234,5,FALSE)</f>
        <v>#N/A</v>
      </c>
      <c r="N2145" t="e">
        <f>VLOOKUP(B2145,ubah!$B$2:$L$234,6,FALSE)</f>
        <v>#N/A</v>
      </c>
    </row>
    <row r="2146" spans="1:14" hidden="1" x14ac:dyDescent="0.35">
      <c r="A2146" s="21">
        <v>1352897</v>
      </c>
      <c r="B2146" s="22" t="str">
        <f>"3328136804030001"</f>
        <v>3328136804030001</v>
      </c>
      <c r="C2146" s="22" t="str">
        <f t="shared" si="66"/>
        <v>'3328136804030001</v>
      </c>
      <c r="D2146" s="22" t="str">
        <f t="shared" si="67"/>
        <v>ganda</v>
      </c>
      <c r="E2146" s="22" t="s">
        <v>4627</v>
      </c>
      <c r="F2146" s="22" t="s">
        <v>10</v>
      </c>
      <c r="G2146" s="22" t="s">
        <v>57</v>
      </c>
      <c r="H2146" s="22" t="s">
        <v>303</v>
      </c>
      <c r="I2146" s="22" t="s">
        <v>608</v>
      </c>
      <c r="J2146" s="22" t="s">
        <v>609</v>
      </c>
      <c r="K2146" s="23" t="s">
        <v>610</v>
      </c>
    </row>
    <row r="2147" spans="1:14" hidden="1" x14ac:dyDescent="0.35">
      <c r="A2147" s="21">
        <v>1744464</v>
      </c>
      <c r="B2147" s="22" t="str">
        <f>"3328136805920003"</f>
        <v>3328136805920003</v>
      </c>
      <c r="C2147" s="22" t="str">
        <f t="shared" si="66"/>
        <v>'3328136805920003</v>
      </c>
      <c r="D2147" s="22" t="str">
        <f t="shared" si="67"/>
        <v>tidak ganda</v>
      </c>
      <c r="E2147" s="22" t="s">
        <v>4628</v>
      </c>
      <c r="F2147" s="22" t="s">
        <v>10</v>
      </c>
      <c r="G2147" s="22" t="s">
        <v>11</v>
      </c>
      <c r="H2147" s="22" t="s">
        <v>18</v>
      </c>
      <c r="I2147" s="22" t="s">
        <v>19</v>
      </c>
      <c r="J2147" s="22" t="s">
        <v>4290</v>
      </c>
      <c r="K2147" s="23" t="s">
        <v>4426</v>
      </c>
      <c r="L2147" t="e">
        <f>VLOOKUP(B2147,ubah!$B$2:$L$234,4,FALSE)</f>
        <v>#N/A</v>
      </c>
      <c r="M2147" t="e">
        <f>VLOOKUP(B2147,ubah!$B$2:$L$234,5,FALSE)</f>
        <v>#N/A</v>
      </c>
      <c r="N2147" t="e">
        <f>VLOOKUP(B2147,ubah!$B$2:$L$234,6,FALSE)</f>
        <v>#N/A</v>
      </c>
    </row>
    <row r="2148" spans="1:14" hidden="1" x14ac:dyDescent="0.35">
      <c r="A2148" s="21">
        <v>1858136</v>
      </c>
      <c r="B2148" s="22" t="str">
        <f>"3328136906840006"</f>
        <v>3328136906840006</v>
      </c>
      <c r="C2148" s="22" t="str">
        <f t="shared" si="66"/>
        <v>'3328136906840006</v>
      </c>
      <c r="D2148" s="22" t="str">
        <f t="shared" si="67"/>
        <v>tidak ganda</v>
      </c>
      <c r="E2148" s="22" t="s">
        <v>153</v>
      </c>
      <c r="F2148" s="22" t="s">
        <v>10</v>
      </c>
      <c r="G2148" s="22" t="s">
        <v>11</v>
      </c>
      <c r="H2148" s="22" t="s">
        <v>50</v>
      </c>
      <c r="I2148" s="22" t="s">
        <v>58</v>
      </c>
      <c r="J2148" s="22" t="s">
        <v>97</v>
      </c>
      <c r="K2148" s="23" t="s">
        <v>342</v>
      </c>
    </row>
    <row r="2149" spans="1:14" hidden="1" x14ac:dyDescent="0.35">
      <c r="A2149" s="21">
        <v>213496</v>
      </c>
      <c r="B2149" s="22" t="str">
        <f>"3328137011920004"</f>
        <v>3328137011920004</v>
      </c>
      <c r="C2149" s="22" t="str">
        <f t="shared" si="66"/>
        <v>'3328137011920004</v>
      </c>
      <c r="D2149" s="22" t="str">
        <f t="shared" si="67"/>
        <v>tidak ganda</v>
      </c>
      <c r="E2149" s="22" t="s">
        <v>4631</v>
      </c>
      <c r="F2149" s="22" t="s">
        <v>10</v>
      </c>
      <c r="G2149" s="22" t="s">
        <v>11</v>
      </c>
      <c r="H2149" s="22" t="s">
        <v>18</v>
      </c>
      <c r="I2149" s="22" t="s">
        <v>268</v>
      </c>
      <c r="J2149" s="22" t="s">
        <v>371</v>
      </c>
      <c r="K2149" s="23" t="s">
        <v>2772</v>
      </c>
    </row>
    <row r="2150" spans="1:14" hidden="1" x14ac:dyDescent="0.35">
      <c r="A2150" s="21">
        <v>2083802</v>
      </c>
      <c r="B2150" s="22" t="str">
        <f>"3328137107030001"</f>
        <v>3328137107030001</v>
      </c>
      <c r="C2150" s="22" t="str">
        <f t="shared" si="66"/>
        <v>'3328137107030001</v>
      </c>
      <c r="D2150" s="22" t="str">
        <f t="shared" si="67"/>
        <v>ganda</v>
      </c>
      <c r="E2150" s="22" t="s">
        <v>4632</v>
      </c>
      <c r="F2150" s="22" t="s">
        <v>10</v>
      </c>
      <c r="G2150" s="22" t="s">
        <v>11</v>
      </c>
      <c r="H2150" s="22" t="s">
        <v>18</v>
      </c>
      <c r="I2150" s="22" t="s">
        <v>19</v>
      </c>
      <c r="J2150" s="22" t="s">
        <v>4290</v>
      </c>
      <c r="K2150" s="23" t="s">
        <v>4309</v>
      </c>
      <c r="L2150" t="e">
        <f>VLOOKUP(B2150,ubah!$B$2:$L$234,4,FALSE)</f>
        <v>#N/A</v>
      </c>
      <c r="M2150" t="e">
        <f>VLOOKUP(B2150,ubah!$B$2:$L$234,5,FALSE)</f>
        <v>#N/A</v>
      </c>
      <c r="N2150" t="e">
        <f>VLOOKUP(B2150,ubah!$B$2:$L$234,6,FALSE)</f>
        <v>#N/A</v>
      </c>
    </row>
    <row r="2151" spans="1:14" hidden="1" x14ac:dyDescent="0.35">
      <c r="A2151" s="21">
        <v>1352899</v>
      </c>
      <c r="B2151" s="22" t="str">
        <f>"3328137107030001"</f>
        <v>3328137107030001</v>
      </c>
      <c r="C2151" s="22" t="str">
        <f t="shared" si="66"/>
        <v>'3328137107030001</v>
      </c>
      <c r="D2151" s="22" t="str">
        <f t="shared" si="67"/>
        <v>ganda</v>
      </c>
      <c r="E2151" s="22" t="s">
        <v>4632</v>
      </c>
      <c r="F2151" s="22" t="s">
        <v>10</v>
      </c>
      <c r="G2151" s="22" t="s">
        <v>57</v>
      </c>
      <c r="H2151" s="22" t="s">
        <v>303</v>
      </c>
      <c r="I2151" s="22" t="s">
        <v>608</v>
      </c>
      <c r="J2151" s="22" t="s">
        <v>609</v>
      </c>
      <c r="K2151" s="23" t="s">
        <v>610</v>
      </c>
    </row>
    <row r="2152" spans="1:14" hidden="1" x14ac:dyDescent="0.35">
      <c r="A2152" s="21">
        <v>2408492</v>
      </c>
      <c r="B2152" s="22" t="str">
        <f>"3328152610010012"</f>
        <v>3328152610010012</v>
      </c>
      <c r="C2152" s="22" t="str">
        <f t="shared" si="66"/>
        <v>'3328152610010012</v>
      </c>
      <c r="D2152" s="22" t="str">
        <f t="shared" si="67"/>
        <v>ganda</v>
      </c>
      <c r="E2152" s="22" t="s">
        <v>4633</v>
      </c>
      <c r="F2152" s="22" t="s">
        <v>10</v>
      </c>
      <c r="G2152" s="22" t="s">
        <v>11</v>
      </c>
      <c r="H2152" s="22" t="s">
        <v>18</v>
      </c>
      <c r="I2152" s="22" t="s">
        <v>19</v>
      </c>
      <c r="J2152" s="22" t="s">
        <v>4290</v>
      </c>
      <c r="K2152" s="23" t="s">
        <v>1381</v>
      </c>
      <c r="L2152" t="e">
        <f>VLOOKUP(B2152,ubah!$B$2:$L$234,4,FALSE)</f>
        <v>#N/A</v>
      </c>
      <c r="M2152" t="e">
        <f>VLOOKUP(B2152,ubah!$B$2:$L$234,5,FALSE)</f>
        <v>#N/A</v>
      </c>
      <c r="N2152" t="e">
        <f>VLOOKUP(B2152,ubah!$B$2:$L$234,6,FALSE)</f>
        <v>#N/A</v>
      </c>
    </row>
    <row r="2153" spans="1:14" hidden="1" x14ac:dyDescent="0.35">
      <c r="A2153" s="21">
        <v>423825</v>
      </c>
      <c r="B2153" s="22" t="str">
        <f>"3328152610010012"</f>
        <v>3328152610010012</v>
      </c>
      <c r="C2153" s="22" t="str">
        <f t="shared" si="66"/>
        <v>'3328152610010012</v>
      </c>
      <c r="D2153" s="22" t="str">
        <f t="shared" si="67"/>
        <v>ganda</v>
      </c>
      <c r="E2153" s="22" t="s">
        <v>4634</v>
      </c>
      <c r="F2153" s="22" t="s">
        <v>10</v>
      </c>
      <c r="G2153" s="22" t="s">
        <v>57</v>
      </c>
      <c r="H2153" s="22" t="s">
        <v>18</v>
      </c>
      <c r="I2153" s="22" t="s">
        <v>268</v>
      </c>
      <c r="J2153" s="22" t="s">
        <v>277</v>
      </c>
      <c r="K2153" s="23" t="s">
        <v>278</v>
      </c>
    </row>
    <row r="2154" spans="1:14" hidden="1" x14ac:dyDescent="0.35">
      <c r="A2154" s="21">
        <v>1442602</v>
      </c>
      <c r="B2154" s="22" t="str">
        <f>"3329034505870007"</f>
        <v>3329034505870007</v>
      </c>
      <c r="C2154" s="22" t="str">
        <f t="shared" si="66"/>
        <v>'3329034505870007</v>
      </c>
      <c r="D2154" s="22" t="str">
        <f t="shared" si="67"/>
        <v>tidak ganda</v>
      </c>
      <c r="E2154" s="22" t="s">
        <v>4635</v>
      </c>
      <c r="F2154" s="22" t="s">
        <v>10</v>
      </c>
      <c r="G2154" s="22" t="s">
        <v>11</v>
      </c>
      <c r="H2154" s="22" t="s">
        <v>18</v>
      </c>
      <c r="I2154" s="22" t="s">
        <v>19</v>
      </c>
      <c r="J2154" s="22" t="s">
        <v>4290</v>
      </c>
      <c r="K2154" s="23" t="s">
        <v>878</v>
      </c>
      <c r="L2154" t="e">
        <f>VLOOKUP(B2154,ubah!$B$2:$L$234,4,FALSE)</f>
        <v>#N/A</v>
      </c>
      <c r="M2154" t="e">
        <f>VLOOKUP(B2154,ubah!$B$2:$L$234,5,FALSE)</f>
        <v>#N/A</v>
      </c>
      <c r="N2154" t="e">
        <f>VLOOKUP(B2154,ubah!$B$2:$L$234,6,FALSE)</f>
        <v>#N/A</v>
      </c>
    </row>
    <row r="2155" spans="1:14" hidden="1" x14ac:dyDescent="0.35">
      <c r="A2155" s="21">
        <v>1185994</v>
      </c>
      <c r="B2155" s="22" t="str">
        <f>"3329040712840001"</f>
        <v>3329040712840001</v>
      </c>
      <c r="C2155" s="22" t="str">
        <f t="shared" si="66"/>
        <v>'3329040712840001</v>
      </c>
      <c r="D2155" s="22" t="str">
        <f t="shared" si="67"/>
        <v>tidak ganda</v>
      </c>
      <c r="E2155" s="22" t="s">
        <v>4636</v>
      </c>
      <c r="F2155" s="22" t="s">
        <v>10</v>
      </c>
      <c r="G2155" s="22" t="s">
        <v>11</v>
      </c>
      <c r="H2155" s="22" t="s">
        <v>18</v>
      </c>
      <c r="I2155" s="22" t="s">
        <v>264</v>
      </c>
      <c r="J2155" s="22" t="s">
        <v>396</v>
      </c>
      <c r="K2155" s="23" t="s">
        <v>844</v>
      </c>
    </row>
    <row r="2156" spans="1:14" hidden="1" x14ac:dyDescent="0.35">
      <c r="A2156" s="21">
        <v>1319852</v>
      </c>
      <c r="B2156" s="22" t="str">
        <f>"3329051001930001"</f>
        <v>3329051001930001</v>
      </c>
      <c r="C2156" s="22" t="str">
        <f t="shared" si="66"/>
        <v>'3329051001930001</v>
      </c>
      <c r="D2156" s="22" t="str">
        <f t="shared" si="67"/>
        <v>tidak ganda</v>
      </c>
      <c r="E2156" s="22" t="s">
        <v>4637</v>
      </c>
      <c r="F2156" s="22" t="s">
        <v>10</v>
      </c>
      <c r="G2156" s="22" t="s">
        <v>11</v>
      </c>
      <c r="H2156" s="22" t="s">
        <v>18</v>
      </c>
      <c r="I2156" s="22" t="s">
        <v>264</v>
      </c>
      <c r="J2156" s="22" t="s">
        <v>289</v>
      </c>
      <c r="K2156" s="23" t="s">
        <v>290</v>
      </c>
    </row>
    <row r="2157" spans="1:14" hidden="1" x14ac:dyDescent="0.35">
      <c r="A2157" s="21">
        <v>637703</v>
      </c>
      <c r="B2157" s="22" t="str">
        <f>"3329081208890017"</f>
        <v>3329081208890017</v>
      </c>
      <c r="C2157" s="22" t="str">
        <f t="shared" si="66"/>
        <v>'3329081208890017</v>
      </c>
      <c r="D2157" s="22" t="str">
        <f t="shared" si="67"/>
        <v>tidak ganda</v>
      </c>
      <c r="E2157" s="22" t="s">
        <v>4638</v>
      </c>
      <c r="F2157" s="22" t="s">
        <v>10</v>
      </c>
      <c r="G2157" s="22" t="s">
        <v>11</v>
      </c>
      <c r="H2157" s="22" t="s">
        <v>18</v>
      </c>
      <c r="I2157" s="22" t="s">
        <v>264</v>
      </c>
      <c r="J2157" s="22" t="s">
        <v>248</v>
      </c>
      <c r="K2157" s="23" t="s">
        <v>4639</v>
      </c>
    </row>
    <row r="2158" spans="1:14" hidden="1" x14ac:dyDescent="0.35">
      <c r="A2158" s="21">
        <v>1941781</v>
      </c>
      <c r="B2158" s="22" t="str">
        <f>"3329081507650002"</f>
        <v>3329081507650002</v>
      </c>
      <c r="C2158" s="22" t="str">
        <f t="shared" si="66"/>
        <v>'3329081507650002</v>
      </c>
      <c r="D2158" s="22" t="str">
        <f t="shared" si="67"/>
        <v>tidak ganda</v>
      </c>
      <c r="E2158" s="22" t="s">
        <v>4640</v>
      </c>
      <c r="F2158" s="22" t="s">
        <v>10</v>
      </c>
      <c r="G2158" s="22" t="s">
        <v>11</v>
      </c>
      <c r="H2158" s="22" t="s">
        <v>18</v>
      </c>
      <c r="I2158" s="22" t="s">
        <v>19</v>
      </c>
      <c r="J2158" s="22" t="s">
        <v>4290</v>
      </c>
      <c r="K2158" s="23" t="s">
        <v>4329</v>
      </c>
      <c r="L2158" t="e">
        <f>VLOOKUP(B2158,ubah!$B$2:$L$234,4,FALSE)</f>
        <v>#N/A</v>
      </c>
      <c r="M2158" t="e">
        <f>VLOOKUP(B2158,ubah!$B$2:$L$234,5,FALSE)</f>
        <v>#N/A</v>
      </c>
      <c r="N2158" t="e">
        <f>VLOOKUP(B2158,ubah!$B$2:$L$234,6,FALSE)</f>
        <v>#N/A</v>
      </c>
    </row>
    <row r="2159" spans="1:14" hidden="1" x14ac:dyDescent="0.35">
      <c r="A2159" s="21">
        <v>1940873</v>
      </c>
      <c r="B2159" s="22" t="str">
        <f>"3329082804840013"</f>
        <v>3329082804840013</v>
      </c>
      <c r="C2159" s="22" t="str">
        <f t="shared" si="66"/>
        <v>'3329082804840013</v>
      </c>
      <c r="D2159" s="22" t="str">
        <f t="shared" si="67"/>
        <v>tidak ganda</v>
      </c>
      <c r="E2159" s="22" t="s">
        <v>4641</v>
      </c>
      <c r="F2159" s="22" t="s">
        <v>10</v>
      </c>
      <c r="G2159" s="22" t="s">
        <v>11</v>
      </c>
      <c r="H2159" s="22" t="s">
        <v>18</v>
      </c>
      <c r="I2159" s="22" t="s">
        <v>19</v>
      </c>
      <c r="J2159" s="22" t="s">
        <v>4290</v>
      </c>
      <c r="K2159" s="23" t="s">
        <v>4329</v>
      </c>
      <c r="L2159" t="e">
        <f>VLOOKUP(B2159,ubah!$B$2:$L$234,4,FALSE)</f>
        <v>#N/A</v>
      </c>
      <c r="M2159" t="e">
        <f>VLOOKUP(B2159,ubah!$B$2:$L$234,5,FALSE)</f>
        <v>#N/A</v>
      </c>
      <c r="N2159" t="e">
        <f>VLOOKUP(B2159,ubah!$B$2:$L$234,6,FALSE)</f>
        <v>#N/A</v>
      </c>
    </row>
    <row r="2160" spans="1:14" hidden="1" x14ac:dyDescent="0.35">
      <c r="A2160" s="21">
        <v>865678</v>
      </c>
      <c r="B2160" s="22" t="str">
        <f>"3329086610020004"</f>
        <v>3329086610020004</v>
      </c>
      <c r="C2160" s="22" t="str">
        <f t="shared" si="66"/>
        <v>'3329086610020004</v>
      </c>
      <c r="D2160" s="22" t="str">
        <f t="shared" si="67"/>
        <v>tidak ganda</v>
      </c>
      <c r="E2160" s="22" t="s">
        <v>4643</v>
      </c>
      <c r="F2160" s="22" t="s">
        <v>10</v>
      </c>
      <c r="G2160" s="22" t="s">
        <v>11</v>
      </c>
      <c r="H2160" s="22" t="s">
        <v>18</v>
      </c>
      <c r="I2160" s="22" t="s">
        <v>264</v>
      </c>
      <c r="J2160" s="22" t="s">
        <v>248</v>
      </c>
      <c r="K2160" s="23" t="s">
        <v>992</v>
      </c>
    </row>
    <row r="2161" spans="1:14" hidden="1" x14ac:dyDescent="0.35">
      <c r="A2161" s="21">
        <v>835814</v>
      </c>
      <c r="B2161" s="22" t="str">
        <f>"3329096508960006"</f>
        <v>3329096508960006</v>
      </c>
      <c r="C2161" s="22" t="str">
        <f t="shared" si="66"/>
        <v>'3329096508960006</v>
      </c>
      <c r="D2161" s="22" t="str">
        <f t="shared" si="67"/>
        <v>tidak ganda</v>
      </c>
      <c r="E2161" s="22" t="s">
        <v>4645</v>
      </c>
      <c r="F2161" s="22" t="s">
        <v>10</v>
      </c>
      <c r="G2161" s="22" t="s">
        <v>11</v>
      </c>
      <c r="H2161" s="22" t="s">
        <v>18</v>
      </c>
      <c r="I2161" s="22" t="s">
        <v>264</v>
      </c>
      <c r="J2161" s="22" t="s">
        <v>264</v>
      </c>
      <c r="K2161" s="23" t="s">
        <v>264</v>
      </c>
    </row>
    <row r="2162" spans="1:14" hidden="1" x14ac:dyDescent="0.35">
      <c r="A2162" s="21">
        <v>1879716</v>
      </c>
      <c r="B2162" s="22" t="str">
        <f>"3329100302760004"</f>
        <v>3329100302760004</v>
      </c>
      <c r="C2162" s="22" t="str">
        <f t="shared" si="66"/>
        <v>'3329100302760004</v>
      </c>
      <c r="D2162" s="22" t="str">
        <f t="shared" si="67"/>
        <v>tidak ganda</v>
      </c>
      <c r="E2162" s="22" t="s">
        <v>4007</v>
      </c>
      <c r="F2162" s="22" t="s">
        <v>10</v>
      </c>
      <c r="G2162" s="22" t="s">
        <v>11</v>
      </c>
      <c r="H2162" s="22" t="s">
        <v>18</v>
      </c>
      <c r="I2162" s="22" t="s">
        <v>19</v>
      </c>
      <c r="J2162" s="22" t="s">
        <v>4290</v>
      </c>
      <c r="K2162" s="23" t="s">
        <v>4303</v>
      </c>
      <c r="L2162" t="e">
        <f>VLOOKUP(B2162,ubah!$B$2:$L$234,4,FALSE)</f>
        <v>#N/A</v>
      </c>
      <c r="M2162" t="e">
        <f>VLOOKUP(B2162,ubah!$B$2:$L$234,5,FALSE)</f>
        <v>#N/A</v>
      </c>
      <c r="N2162" t="e">
        <f>VLOOKUP(B2162,ubah!$B$2:$L$234,6,FALSE)</f>
        <v>#N/A</v>
      </c>
    </row>
    <row r="2163" spans="1:14" hidden="1" x14ac:dyDescent="0.35">
      <c r="A2163" s="21">
        <v>1440720</v>
      </c>
      <c r="B2163" s="22" t="str">
        <f>"3329104307990005"</f>
        <v>3329104307990005</v>
      </c>
      <c r="C2163" s="22" t="str">
        <f t="shared" si="66"/>
        <v>'3329104307990005</v>
      </c>
      <c r="D2163" s="22" t="str">
        <f t="shared" si="67"/>
        <v>tidak ganda</v>
      </c>
      <c r="E2163" s="22" t="s">
        <v>4648</v>
      </c>
      <c r="F2163" s="22" t="s">
        <v>10</v>
      </c>
      <c r="G2163" s="22" t="s">
        <v>11</v>
      </c>
      <c r="H2163" s="22" t="s">
        <v>18</v>
      </c>
      <c r="I2163" s="22" t="s">
        <v>264</v>
      </c>
      <c r="J2163" s="22" t="s">
        <v>273</v>
      </c>
      <c r="K2163" s="23" t="s">
        <v>875</v>
      </c>
    </row>
    <row r="2164" spans="1:14" hidden="1" x14ac:dyDescent="0.35">
      <c r="A2164" s="21">
        <v>1884655</v>
      </c>
      <c r="B2164" s="22" t="str">
        <f>"3329143112830080"</f>
        <v>3329143112830080</v>
      </c>
      <c r="C2164" s="22" t="str">
        <f t="shared" si="66"/>
        <v>'3329143112830080</v>
      </c>
      <c r="D2164" s="22" t="str">
        <f t="shared" si="67"/>
        <v>tidak ganda</v>
      </c>
      <c r="E2164" s="22" t="s">
        <v>3088</v>
      </c>
      <c r="F2164" s="22" t="s">
        <v>10</v>
      </c>
      <c r="G2164" s="22" t="s">
        <v>11</v>
      </c>
      <c r="H2164" s="22" t="s">
        <v>18</v>
      </c>
      <c r="I2164" s="22" t="s">
        <v>19</v>
      </c>
      <c r="J2164" s="22" t="s">
        <v>4290</v>
      </c>
      <c r="K2164" s="23" t="s">
        <v>4303</v>
      </c>
      <c r="L2164" t="e">
        <f>VLOOKUP(B2164,ubah!$B$2:$L$234,4,FALSE)</f>
        <v>#N/A</v>
      </c>
      <c r="M2164" t="e">
        <f>VLOOKUP(B2164,ubah!$B$2:$L$234,5,FALSE)</f>
        <v>#N/A</v>
      </c>
      <c r="N2164" t="e">
        <f>VLOOKUP(B2164,ubah!$B$2:$L$234,6,FALSE)</f>
        <v>#N/A</v>
      </c>
    </row>
    <row r="2165" spans="1:14" hidden="1" x14ac:dyDescent="0.35">
      <c r="A2165" s="21">
        <v>648285</v>
      </c>
      <c r="B2165" s="22" t="str">
        <f>"3329145701020006"</f>
        <v>3329145701020006</v>
      </c>
      <c r="C2165" s="22" t="str">
        <f t="shared" si="66"/>
        <v>'3329145701020006</v>
      </c>
      <c r="D2165" s="22" t="str">
        <f t="shared" si="67"/>
        <v>tidak ganda</v>
      </c>
      <c r="E2165" s="22" t="s">
        <v>4651</v>
      </c>
      <c r="F2165" s="22" t="s">
        <v>10</v>
      </c>
      <c r="G2165" s="22" t="s">
        <v>11</v>
      </c>
      <c r="H2165" s="22" t="s">
        <v>18</v>
      </c>
      <c r="I2165" s="22" t="s">
        <v>264</v>
      </c>
      <c r="J2165" s="22" t="s">
        <v>248</v>
      </c>
      <c r="K2165" s="23" t="s">
        <v>3414</v>
      </c>
    </row>
    <row r="2166" spans="1:14" hidden="1" x14ac:dyDescent="0.35">
      <c r="A2166" s="21">
        <v>2409274</v>
      </c>
      <c r="B2166" s="22" t="str">
        <f>"3374106305800001"</f>
        <v>3374106305800001</v>
      </c>
      <c r="C2166" s="22" t="str">
        <f t="shared" si="66"/>
        <v>'3374106305800001</v>
      </c>
      <c r="D2166" s="22" t="str">
        <f t="shared" si="67"/>
        <v>tidak ganda</v>
      </c>
      <c r="E2166" s="22" t="s">
        <v>4652</v>
      </c>
      <c r="F2166" s="22" t="s">
        <v>10</v>
      </c>
      <c r="G2166" s="22" t="s">
        <v>11</v>
      </c>
      <c r="H2166" s="22" t="s">
        <v>18</v>
      </c>
      <c r="I2166" s="22" t="s">
        <v>19</v>
      </c>
      <c r="J2166" s="22" t="s">
        <v>4290</v>
      </c>
      <c r="K2166" s="23" t="s">
        <v>1381</v>
      </c>
      <c r="L2166" t="e">
        <f>VLOOKUP(B2166,ubah!$B$2:$L$234,4,FALSE)</f>
        <v>#N/A</v>
      </c>
      <c r="M2166" t="e">
        <f>VLOOKUP(B2166,ubah!$B$2:$L$234,5,FALSE)</f>
        <v>#N/A</v>
      </c>
      <c r="N2166" t="e">
        <f>VLOOKUP(B2166,ubah!$B$2:$L$234,6,FALSE)</f>
        <v>#N/A</v>
      </c>
    </row>
    <row r="2167" spans="1:14" hidden="1" x14ac:dyDescent="0.35">
      <c r="A2167" s="21">
        <v>2515451</v>
      </c>
      <c r="B2167" s="22" t="str">
        <f>"3376014710010003"</f>
        <v>3376014710010003</v>
      </c>
      <c r="C2167" s="22" t="str">
        <f t="shared" si="66"/>
        <v>'3376014710010003</v>
      </c>
      <c r="D2167" s="22" t="str">
        <f t="shared" si="67"/>
        <v>tidak ganda</v>
      </c>
      <c r="E2167" s="22" t="s">
        <v>4653</v>
      </c>
      <c r="F2167" s="22" t="s">
        <v>10</v>
      </c>
      <c r="G2167" s="22" t="s">
        <v>11</v>
      </c>
      <c r="H2167" s="22" t="s">
        <v>18</v>
      </c>
      <c r="I2167" s="22" t="s">
        <v>19</v>
      </c>
      <c r="J2167" s="22" t="s">
        <v>4290</v>
      </c>
      <c r="K2167" s="23" t="s">
        <v>4513</v>
      </c>
      <c r="L2167" t="e">
        <f>VLOOKUP(B2167,ubah!$B$2:$L$234,4,FALSE)</f>
        <v>#N/A</v>
      </c>
      <c r="M2167" t="e">
        <f>VLOOKUP(B2167,ubah!$B$2:$L$234,5,FALSE)</f>
        <v>#N/A</v>
      </c>
      <c r="N2167" t="e">
        <f>VLOOKUP(B2167,ubah!$B$2:$L$234,6,FALSE)</f>
        <v>#N/A</v>
      </c>
    </row>
    <row r="2168" spans="1:14" hidden="1" x14ac:dyDescent="0.35">
      <c r="A2168" s="21">
        <v>3654598</v>
      </c>
      <c r="B2168" s="22" t="str">
        <f>"3376015606060002"</f>
        <v>3376015606060002</v>
      </c>
      <c r="C2168" s="22" t="str">
        <f t="shared" si="66"/>
        <v>'3376015606060002</v>
      </c>
      <c r="D2168" s="22" t="str">
        <f t="shared" si="67"/>
        <v>tidak ganda</v>
      </c>
      <c r="E2168" s="22" t="s">
        <v>4655</v>
      </c>
      <c r="F2168" s="22" t="s">
        <v>10</v>
      </c>
      <c r="G2168" s="22" t="s">
        <v>11</v>
      </c>
      <c r="H2168" s="22" t="s">
        <v>91</v>
      </c>
      <c r="I2168" s="22" t="s">
        <v>650</v>
      </c>
      <c r="J2168" s="22" t="s">
        <v>2282</v>
      </c>
      <c r="K2168" s="23" t="s">
        <v>4656</v>
      </c>
    </row>
    <row r="2169" spans="1:14" hidden="1" x14ac:dyDescent="0.35">
      <c r="A2169" s="21">
        <v>302450</v>
      </c>
      <c r="B2169" s="22" t="str">
        <f>"3376015906950001"</f>
        <v>3376015906950001</v>
      </c>
      <c r="C2169" s="22" t="str">
        <f t="shared" si="66"/>
        <v>'3376015906950001</v>
      </c>
      <c r="D2169" s="22" t="str">
        <f t="shared" si="67"/>
        <v>tidak ganda</v>
      </c>
      <c r="E2169" s="22" t="s">
        <v>4657</v>
      </c>
      <c r="F2169" s="22" t="s">
        <v>10</v>
      </c>
      <c r="G2169" s="22" t="s">
        <v>11</v>
      </c>
      <c r="H2169" s="22" t="s">
        <v>18</v>
      </c>
      <c r="I2169" s="22" t="s">
        <v>268</v>
      </c>
      <c r="J2169" s="22" t="s">
        <v>277</v>
      </c>
      <c r="K2169" s="23" t="s">
        <v>2762</v>
      </c>
    </row>
    <row r="2170" spans="1:14" hidden="1" x14ac:dyDescent="0.35">
      <c r="A2170" s="21">
        <v>213495</v>
      </c>
      <c r="B2170" s="22" t="str">
        <f>"3376021212910003"</f>
        <v>3376021212910003</v>
      </c>
      <c r="C2170" s="22" t="str">
        <f t="shared" si="66"/>
        <v>'3376021212910003</v>
      </c>
      <c r="D2170" s="22" t="str">
        <f t="shared" si="67"/>
        <v>tidak ganda</v>
      </c>
      <c r="E2170" s="22" t="s">
        <v>4659</v>
      </c>
      <c r="F2170" s="22" t="s">
        <v>10</v>
      </c>
      <c r="G2170" s="22" t="s">
        <v>11</v>
      </c>
      <c r="H2170" s="22" t="s">
        <v>18</v>
      </c>
      <c r="I2170" s="22" t="s">
        <v>268</v>
      </c>
      <c r="J2170" s="22" t="s">
        <v>371</v>
      </c>
      <c r="K2170" s="23" t="s">
        <v>2772</v>
      </c>
    </row>
    <row r="2171" spans="1:14" hidden="1" x14ac:dyDescent="0.35">
      <c r="A2171" s="21">
        <v>227691</v>
      </c>
      <c r="B2171" s="22" t="str">
        <f>"3376022005900001"</f>
        <v>3376022005900001</v>
      </c>
      <c r="C2171" s="22" t="str">
        <f t="shared" si="66"/>
        <v>'3376022005900001</v>
      </c>
      <c r="D2171" s="22" t="str">
        <f t="shared" si="67"/>
        <v>tidak ganda</v>
      </c>
      <c r="E2171" s="22" t="s">
        <v>4660</v>
      </c>
      <c r="F2171" s="22" t="s">
        <v>10</v>
      </c>
      <c r="G2171" s="22" t="s">
        <v>11</v>
      </c>
      <c r="H2171" s="22" t="s">
        <v>18</v>
      </c>
      <c r="I2171" s="22" t="s">
        <v>268</v>
      </c>
      <c r="J2171" s="22" t="s">
        <v>371</v>
      </c>
      <c r="K2171" s="23" t="s">
        <v>2346</v>
      </c>
    </row>
    <row r="2172" spans="1:14" hidden="1" x14ac:dyDescent="0.35">
      <c r="A2172" s="21">
        <v>266101</v>
      </c>
      <c r="B2172" s="22" t="str">
        <f>"3376022105960007"</f>
        <v>3376022105960007</v>
      </c>
      <c r="C2172" s="22" t="str">
        <f t="shared" si="66"/>
        <v>'3376022105960007</v>
      </c>
      <c r="D2172" s="22" t="str">
        <f t="shared" si="67"/>
        <v>tidak ganda</v>
      </c>
      <c r="E2172" s="22" t="s">
        <v>4661</v>
      </c>
      <c r="F2172" s="22" t="s">
        <v>10</v>
      </c>
      <c r="G2172" s="22" t="s">
        <v>11</v>
      </c>
      <c r="H2172" s="22" t="s">
        <v>18</v>
      </c>
      <c r="I2172" s="22" t="s">
        <v>268</v>
      </c>
      <c r="J2172" s="22" t="s">
        <v>371</v>
      </c>
      <c r="K2172" s="23" t="s">
        <v>497</v>
      </c>
    </row>
    <row r="2173" spans="1:14" hidden="1" x14ac:dyDescent="0.35">
      <c r="A2173" s="21">
        <v>251613</v>
      </c>
      <c r="B2173" s="22" t="str">
        <f>"3376024707900003"</f>
        <v>3376024707900003</v>
      </c>
      <c r="C2173" s="22" t="str">
        <f t="shared" si="66"/>
        <v>'3376024707900003</v>
      </c>
      <c r="D2173" s="22" t="str">
        <f t="shared" si="67"/>
        <v>tidak ganda</v>
      </c>
      <c r="E2173" s="22" t="s">
        <v>4662</v>
      </c>
      <c r="F2173" s="22" t="s">
        <v>10</v>
      </c>
      <c r="G2173" s="22" t="s">
        <v>11</v>
      </c>
      <c r="H2173" s="22" t="s">
        <v>18</v>
      </c>
      <c r="I2173" s="22" t="s">
        <v>268</v>
      </c>
      <c r="J2173" s="22" t="s">
        <v>371</v>
      </c>
      <c r="K2173" s="23" t="s">
        <v>497</v>
      </c>
    </row>
    <row r="2174" spans="1:14" hidden="1" x14ac:dyDescent="0.35">
      <c r="A2174" s="21">
        <v>2110663</v>
      </c>
      <c r="B2174" s="22" t="str">
        <f>"3376030112800001"</f>
        <v>3376030112800001</v>
      </c>
      <c r="C2174" s="22" t="str">
        <f t="shared" si="66"/>
        <v>'3376030112800001</v>
      </c>
      <c r="D2174" s="22" t="str">
        <f t="shared" si="67"/>
        <v>ganda</v>
      </c>
      <c r="E2174" s="22" t="s">
        <v>350</v>
      </c>
      <c r="F2174" s="22" t="s">
        <v>10</v>
      </c>
      <c r="G2174" s="22" t="s">
        <v>11</v>
      </c>
      <c r="H2174" s="22" t="s">
        <v>18</v>
      </c>
      <c r="I2174" s="22" t="s">
        <v>19</v>
      </c>
      <c r="J2174" s="22" t="s">
        <v>4290</v>
      </c>
      <c r="K2174" s="23" t="s">
        <v>4347</v>
      </c>
      <c r="L2174" t="e">
        <f>VLOOKUP(B2174,ubah!$B$2:$L$234,4,FALSE)</f>
        <v>#N/A</v>
      </c>
      <c r="M2174" t="e">
        <f>VLOOKUP(B2174,ubah!$B$2:$L$234,5,FALSE)</f>
        <v>#N/A</v>
      </c>
      <c r="N2174" t="e">
        <f>VLOOKUP(B2174,ubah!$B$2:$L$234,6,FALSE)</f>
        <v>#N/A</v>
      </c>
    </row>
    <row r="2175" spans="1:14" hidden="1" x14ac:dyDescent="0.35">
      <c r="A2175" s="21">
        <v>423808</v>
      </c>
      <c r="B2175" s="22" t="str">
        <f>"3376030112800001"</f>
        <v>3376030112800001</v>
      </c>
      <c r="C2175" s="22" t="str">
        <f t="shared" si="66"/>
        <v>'3376030112800001</v>
      </c>
      <c r="D2175" s="22" t="str">
        <f t="shared" si="67"/>
        <v>ganda</v>
      </c>
      <c r="E2175" s="22" t="s">
        <v>4663</v>
      </c>
      <c r="F2175" s="22" t="s">
        <v>10</v>
      </c>
      <c r="G2175" s="22" t="s">
        <v>57</v>
      </c>
      <c r="H2175" s="22" t="s">
        <v>18</v>
      </c>
      <c r="I2175" s="22" t="s">
        <v>268</v>
      </c>
      <c r="J2175" s="22" t="s">
        <v>277</v>
      </c>
      <c r="K2175" s="23" t="s">
        <v>278</v>
      </c>
    </row>
    <row r="2176" spans="1:14" hidden="1" x14ac:dyDescent="0.35">
      <c r="A2176" s="21">
        <v>1911140</v>
      </c>
      <c r="B2176" s="22" t="str">
        <f>"3376030204940001"</f>
        <v>3376030204940001</v>
      </c>
      <c r="C2176" s="22" t="str">
        <f t="shared" si="66"/>
        <v>'3376030204940001</v>
      </c>
      <c r="D2176" s="22" t="str">
        <f t="shared" si="67"/>
        <v>tidak ganda</v>
      </c>
      <c r="E2176" s="22" t="s">
        <v>4664</v>
      </c>
      <c r="F2176" s="22" t="s">
        <v>10</v>
      </c>
      <c r="G2176" s="22" t="s">
        <v>11</v>
      </c>
      <c r="H2176" s="22" t="s">
        <v>18</v>
      </c>
      <c r="I2176" s="22" t="s">
        <v>19</v>
      </c>
      <c r="J2176" s="22" t="s">
        <v>4290</v>
      </c>
      <c r="K2176" s="23" t="s">
        <v>4475</v>
      </c>
      <c r="L2176" t="e">
        <f>VLOOKUP(B2176,ubah!$B$2:$L$234,4,FALSE)</f>
        <v>#N/A</v>
      </c>
      <c r="M2176" t="e">
        <f>VLOOKUP(B2176,ubah!$B$2:$L$234,5,FALSE)</f>
        <v>#N/A</v>
      </c>
      <c r="N2176" t="e">
        <f>VLOOKUP(B2176,ubah!$B$2:$L$234,6,FALSE)</f>
        <v>#N/A</v>
      </c>
    </row>
    <row r="2177" spans="1:14" hidden="1" x14ac:dyDescent="0.35">
      <c r="A2177" s="21">
        <v>346143</v>
      </c>
      <c r="B2177" s="22" t="str">
        <f>"3376030410000001"</f>
        <v>3376030410000001</v>
      </c>
      <c r="C2177" s="22" t="str">
        <f t="shared" si="66"/>
        <v>'3376030410000001</v>
      </c>
      <c r="D2177" s="22" t="str">
        <f t="shared" si="67"/>
        <v>tidak ganda</v>
      </c>
      <c r="E2177" s="22" t="s">
        <v>4666</v>
      </c>
      <c r="F2177" s="22" t="s">
        <v>10</v>
      </c>
      <c r="G2177" s="22" t="s">
        <v>11</v>
      </c>
      <c r="H2177" s="22" t="s">
        <v>18</v>
      </c>
      <c r="I2177" s="22" t="s">
        <v>268</v>
      </c>
      <c r="J2177" s="22" t="s">
        <v>269</v>
      </c>
      <c r="K2177" s="23" t="s">
        <v>3140</v>
      </c>
    </row>
    <row r="2178" spans="1:14" hidden="1" x14ac:dyDescent="0.35">
      <c r="A2178" s="21">
        <v>282157</v>
      </c>
      <c r="B2178" s="22" t="str">
        <f>"3376031511710001"</f>
        <v>3376031511710001</v>
      </c>
      <c r="C2178" s="22" t="str">
        <f t="shared" si="66"/>
        <v>'3376031511710001</v>
      </c>
      <c r="D2178" s="22" t="str">
        <f t="shared" si="67"/>
        <v>tidak ganda</v>
      </c>
      <c r="E2178" s="22" t="s">
        <v>4667</v>
      </c>
      <c r="F2178" s="22" t="s">
        <v>10</v>
      </c>
      <c r="G2178" s="22" t="s">
        <v>11</v>
      </c>
      <c r="H2178" s="22" t="s">
        <v>18</v>
      </c>
      <c r="I2178" s="22" t="s">
        <v>268</v>
      </c>
      <c r="J2178" s="22" t="s">
        <v>277</v>
      </c>
      <c r="K2178" s="23" t="s">
        <v>884</v>
      </c>
    </row>
    <row r="2179" spans="1:14" hidden="1" x14ac:dyDescent="0.35">
      <c r="A2179" s="21">
        <v>1195751</v>
      </c>
      <c r="B2179" s="22" t="str">
        <f>"3376031610770001"</f>
        <v>3376031610770001</v>
      </c>
      <c r="C2179" s="22" t="str">
        <f t="shared" ref="C2179:C2242" si="68">"'"&amp;B2179</f>
        <v>'3376031610770001</v>
      </c>
      <c r="D2179" s="22" t="str">
        <f t="shared" ref="D2179:D2242" si="69">IF(COUNTIF($C:$C,C2179)&gt;1,"ganda","tidak ganda")</f>
        <v>tidak ganda</v>
      </c>
      <c r="E2179" s="22" t="s">
        <v>4669</v>
      </c>
      <c r="F2179" s="22" t="s">
        <v>10</v>
      </c>
      <c r="G2179" s="22" t="s">
        <v>11</v>
      </c>
      <c r="H2179" s="22" t="s">
        <v>18</v>
      </c>
      <c r="I2179" s="22" t="s">
        <v>733</v>
      </c>
      <c r="J2179" s="22" t="s">
        <v>1127</v>
      </c>
      <c r="K2179" s="23" t="s">
        <v>4670</v>
      </c>
    </row>
    <row r="2180" spans="1:14" hidden="1" x14ac:dyDescent="0.35">
      <c r="A2180" s="21">
        <v>1482073</v>
      </c>
      <c r="B2180" s="22" t="str">
        <f>"3376034202980001"</f>
        <v>3376034202980001</v>
      </c>
      <c r="C2180" s="22" t="str">
        <f t="shared" si="68"/>
        <v>'3376034202980001</v>
      </c>
      <c r="D2180" s="22" t="str">
        <f t="shared" si="69"/>
        <v>tidak ganda</v>
      </c>
      <c r="E2180" s="22" t="s">
        <v>4672</v>
      </c>
      <c r="F2180" s="22" t="s">
        <v>10</v>
      </c>
      <c r="G2180" s="22" t="s">
        <v>11</v>
      </c>
      <c r="H2180" s="22" t="s">
        <v>18</v>
      </c>
      <c r="I2180" s="22" t="s">
        <v>19</v>
      </c>
      <c r="J2180" s="22" t="s">
        <v>4290</v>
      </c>
      <c r="K2180" s="23" t="s">
        <v>4436</v>
      </c>
      <c r="L2180" t="e">
        <f>VLOOKUP(B2180,ubah!$B$2:$L$234,4,FALSE)</f>
        <v>#N/A</v>
      </c>
      <c r="M2180" t="e">
        <f>VLOOKUP(B2180,ubah!$B$2:$L$234,5,FALSE)</f>
        <v>#N/A</v>
      </c>
      <c r="N2180" t="e">
        <f>VLOOKUP(B2180,ubah!$B$2:$L$234,6,FALSE)</f>
        <v>#N/A</v>
      </c>
    </row>
    <row r="2181" spans="1:14" hidden="1" x14ac:dyDescent="0.35">
      <c r="A2181" s="21">
        <v>1482072</v>
      </c>
      <c r="B2181" s="22" t="str">
        <f>"3376035306030002"</f>
        <v>3376035306030002</v>
      </c>
      <c r="C2181" s="22" t="str">
        <f t="shared" si="68"/>
        <v>'3376035306030002</v>
      </c>
      <c r="D2181" s="22" t="str">
        <f t="shared" si="69"/>
        <v>tidak ganda</v>
      </c>
      <c r="E2181" s="22" t="s">
        <v>4675</v>
      </c>
      <c r="F2181" s="22" t="s">
        <v>10</v>
      </c>
      <c r="G2181" s="22" t="s">
        <v>11</v>
      </c>
      <c r="H2181" s="22" t="s">
        <v>18</v>
      </c>
      <c r="I2181" s="22" t="s">
        <v>19</v>
      </c>
      <c r="J2181" s="22" t="s">
        <v>4290</v>
      </c>
      <c r="K2181" s="23" t="s">
        <v>4436</v>
      </c>
      <c r="L2181" t="e">
        <f>VLOOKUP(B2181,ubah!$B$2:$L$234,4,FALSE)</f>
        <v>#N/A</v>
      </c>
      <c r="M2181" t="e">
        <f>VLOOKUP(B2181,ubah!$B$2:$L$234,5,FALSE)</f>
        <v>#N/A</v>
      </c>
      <c r="N2181" t="e">
        <f>VLOOKUP(B2181,ubah!$B$2:$L$234,6,FALSE)</f>
        <v>#N/A</v>
      </c>
    </row>
    <row r="2182" spans="1:14" hidden="1" x14ac:dyDescent="0.35">
      <c r="A2182" s="21">
        <v>307465</v>
      </c>
      <c r="B2182" s="22" t="str">
        <f>"3376036303960001"</f>
        <v>3376036303960001</v>
      </c>
      <c r="C2182" s="22" t="str">
        <f t="shared" si="68"/>
        <v>'3376036303960001</v>
      </c>
      <c r="D2182" s="22" t="str">
        <f t="shared" si="69"/>
        <v>tidak ganda</v>
      </c>
      <c r="E2182" s="22" t="s">
        <v>4676</v>
      </c>
      <c r="F2182" s="22" t="s">
        <v>10</v>
      </c>
      <c r="G2182" s="22" t="s">
        <v>11</v>
      </c>
      <c r="H2182" s="22" t="s">
        <v>18</v>
      </c>
      <c r="I2182" s="22" t="s">
        <v>268</v>
      </c>
      <c r="J2182" s="22" t="s">
        <v>269</v>
      </c>
      <c r="K2182" s="23" t="s">
        <v>4250</v>
      </c>
    </row>
    <row r="2183" spans="1:14" hidden="1" x14ac:dyDescent="0.35">
      <c r="A2183" s="21">
        <v>1902212</v>
      </c>
      <c r="B2183" s="22" t="str">
        <f>"3376036406840003"</f>
        <v>3376036406840003</v>
      </c>
      <c r="C2183" s="22" t="str">
        <f t="shared" si="68"/>
        <v>'3376036406840003</v>
      </c>
      <c r="D2183" s="22" t="str">
        <f t="shared" si="69"/>
        <v>tidak ganda</v>
      </c>
      <c r="E2183" s="22" t="s">
        <v>2608</v>
      </c>
      <c r="F2183" s="22" t="s">
        <v>10</v>
      </c>
      <c r="G2183" s="22" t="s">
        <v>11</v>
      </c>
      <c r="H2183" s="22" t="s">
        <v>18</v>
      </c>
      <c r="I2183" s="22" t="s">
        <v>19</v>
      </c>
      <c r="J2183" s="22" t="s">
        <v>4290</v>
      </c>
      <c r="K2183" s="23" t="s">
        <v>4358</v>
      </c>
      <c r="L2183" t="e">
        <f>VLOOKUP(B2183,ubah!$B$2:$L$234,4,FALSE)</f>
        <v>#N/A</v>
      </c>
      <c r="M2183" t="e">
        <f>VLOOKUP(B2183,ubah!$B$2:$L$234,5,FALSE)</f>
        <v>#N/A</v>
      </c>
      <c r="N2183" t="e">
        <f>VLOOKUP(B2183,ubah!$B$2:$L$234,6,FALSE)</f>
        <v>#N/A</v>
      </c>
    </row>
    <row r="2184" spans="1:14" hidden="1" x14ac:dyDescent="0.35">
      <c r="A2184" s="21">
        <v>347368</v>
      </c>
      <c r="B2184" s="22" t="str">
        <f>"3376036503950005"</f>
        <v>3376036503950005</v>
      </c>
      <c r="C2184" s="22" t="str">
        <f t="shared" si="68"/>
        <v>'3376036503950005</v>
      </c>
      <c r="D2184" s="22" t="str">
        <f t="shared" si="69"/>
        <v>tidak ganda</v>
      </c>
      <c r="E2184" s="22" t="s">
        <v>4678</v>
      </c>
      <c r="F2184" s="22" t="s">
        <v>10</v>
      </c>
      <c r="G2184" s="22" t="s">
        <v>11</v>
      </c>
      <c r="H2184" s="22" t="s">
        <v>18</v>
      </c>
      <c r="I2184" s="22" t="s">
        <v>268</v>
      </c>
      <c r="J2184" s="22" t="s">
        <v>269</v>
      </c>
      <c r="K2184" s="23" t="s">
        <v>3140</v>
      </c>
    </row>
    <row r="2185" spans="1:14" hidden="1" x14ac:dyDescent="0.35">
      <c r="A2185" s="21">
        <v>363261</v>
      </c>
      <c r="B2185" s="22" t="str">
        <f>"3376036504820002"</f>
        <v>3376036504820002</v>
      </c>
      <c r="C2185" s="22" t="str">
        <f t="shared" si="68"/>
        <v>'3376036504820002</v>
      </c>
      <c r="D2185" s="22" t="str">
        <f t="shared" si="69"/>
        <v>tidak ganda</v>
      </c>
      <c r="E2185" s="22" t="s">
        <v>4679</v>
      </c>
      <c r="F2185" s="22" t="s">
        <v>10</v>
      </c>
      <c r="G2185" s="22" t="s">
        <v>11</v>
      </c>
      <c r="H2185" s="22" t="s">
        <v>18</v>
      </c>
      <c r="I2185" s="22" t="s">
        <v>268</v>
      </c>
      <c r="J2185" s="22" t="s">
        <v>269</v>
      </c>
      <c r="K2185" s="23" t="s">
        <v>996</v>
      </c>
    </row>
    <row r="2186" spans="1:14" hidden="1" x14ac:dyDescent="0.35">
      <c r="A2186" s="21">
        <v>1482074</v>
      </c>
      <c r="B2186" s="22" t="str">
        <f>"3376036808690003"</f>
        <v>3376036808690003</v>
      </c>
      <c r="C2186" s="22" t="str">
        <f t="shared" si="68"/>
        <v>'3376036808690003</v>
      </c>
      <c r="D2186" s="22" t="str">
        <f t="shared" si="69"/>
        <v>tidak ganda</v>
      </c>
      <c r="E2186" s="22" t="s">
        <v>4680</v>
      </c>
      <c r="F2186" s="22" t="s">
        <v>10</v>
      </c>
      <c r="G2186" s="22" t="s">
        <v>11</v>
      </c>
      <c r="H2186" s="22" t="s">
        <v>18</v>
      </c>
      <c r="I2186" s="22" t="s">
        <v>19</v>
      </c>
      <c r="J2186" s="22" t="s">
        <v>4290</v>
      </c>
      <c r="K2186" s="23" t="s">
        <v>4436</v>
      </c>
      <c r="L2186" t="e">
        <f>VLOOKUP(B2186,ubah!$B$2:$L$234,4,FALSE)</f>
        <v>#N/A</v>
      </c>
      <c r="M2186" t="e">
        <f>VLOOKUP(B2186,ubah!$B$2:$L$234,5,FALSE)</f>
        <v>#N/A</v>
      </c>
      <c r="N2186" t="e">
        <f>VLOOKUP(B2186,ubah!$B$2:$L$234,6,FALSE)</f>
        <v>#N/A</v>
      </c>
    </row>
    <row r="2187" spans="1:14" hidden="1" x14ac:dyDescent="0.35">
      <c r="A2187" s="21">
        <v>390959</v>
      </c>
      <c r="B2187" s="22" t="str">
        <f>"3376040904950002"</f>
        <v>3376040904950002</v>
      </c>
      <c r="C2187" s="22" t="str">
        <f t="shared" si="68"/>
        <v>'3376040904950002</v>
      </c>
      <c r="D2187" s="22" t="str">
        <f t="shared" si="69"/>
        <v>tidak ganda</v>
      </c>
      <c r="E2187" s="22" t="s">
        <v>4681</v>
      </c>
      <c r="F2187" s="22" t="s">
        <v>10</v>
      </c>
      <c r="G2187" s="22" t="s">
        <v>11</v>
      </c>
      <c r="H2187" s="22" t="s">
        <v>18</v>
      </c>
      <c r="I2187" s="22" t="s">
        <v>268</v>
      </c>
      <c r="J2187" s="22" t="s">
        <v>448</v>
      </c>
      <c r="K2187" s="23" t="s">
        <v>3897</v>
      </c>
    </row>
    <row r="2188" spans="1:14" hidden="1" x14ac:dyDescent="0.35">
      <c r="A2188" s="21">
        <v>2150528</v>
      </c>
      <c r="B2188" s="22" t="str">
        <f>"3376041708910004"</f>
        <v>3376041708910004</v>
      </c>
      <c r="C2188" s="22" t="str">
        <f t="shared" si="68"/>
        <v>'3376041708910004</v>
      </c>
      <c r="D2188" s="22" t="str">
        <f t="shared" si="69"/>
        <v>tidak ganda</v>
      </c>
      <c r="E2188" s="22" t="s">
        <v>2926</v>
      </c>
      <c r="F2188" s="22" t="s">
        <v>10</v>
      </c>
      <c r="G2188" s="22" t="s">
        <v>11</v>
      </c>
      <c r="H2188" s="22" t="s">
        <v>18</v>
      </c>
      <c r="I2188" s="22" t="s">
        <v>19</v>
      </c>
      <c r="J2188" s="22" t="s">
        <v>4290</v>
      </c>
      <c r="K2188" s="23" t="s">
        <v>4290</v>
      </c>
      <c r="L2188" t="e">
        <f>VLOOKUP(B2188,ubah!$B$2:$L$234,4,FALSE)</f>
        <v>#N/A</v>
      </c>
      <c r="M2188" t="e">
        <f>VLOOKUP(B2188,ubah!$B$2:$L$234,5,FALSE)</f>
        <v>#N/A</v>
      </c>
      <c r="N2188" t="e">
        <f>VLOOKUP(B2188,ubah!$B$2:$L$234,6,FALSE)</f>
        <v>#N/A</v>
      </c>
    </row>
    <row r="2189" spans="1:14" hidden="1" x14ac:dyDescent="0.35">
      <c r="A2189" s="21">
        <v>374458</v>
      </c>
      <c r="B2189" s="22" t="str">
        <f>"3376045004880001"</f>
        <v>3376045004880001</v>
      </c>
      <c r="C2189" s="22" t="str">
        <f t="shared" si="68"/>
        <v>'3376045004880001</v>
      </c>
      <c r="D2189" s="22" t="str">
        <f t="shared" si="69"/>
        <v>tidak ganda</v>
      </c>
      <c r="E2189" s="22" t="s">
        <v>4683</v>
      </c>
      <c r="F2189" s="22" t="s">
        <v>10</v>
      </c>
      <c r="G2189" s="22" t="s">
        <v>11</v>
      </c>
      <c r="H2189" s="22" t="s">
        <v>18</v>
      </c>
      <c r="I2189" s="22" t="s">
        <v>268</v>
      </c>
      <c r="J2189" s="22" t="s">
        <v>448</v>
      </c>
      <c r="K2189" s="23" t="s">
        <v>2101</v>
      </c>
    </row>
    <row r="2190" spans="1:14" hidden="1" x14ac:dyDescent="0.35">
      <c r="A2190" s="21">
        <v>628474</v>
      </c>
      <c r="B2190" s="22" t="str">
        <f>"3525102711970001"</f>
        <v>3525102711970001</v>
      </c>
      <c r="C2190" s="22" t="str">
        <f t="shared" si="68"/>
        <v>'3525102711970001</v>
      </c>
      <c r="D2190" s="22" t="str">
        <f t="shared" si="69"/>
        <v>tidak ganda</v>
      </c>
      <c r="E2190" s="22" t="s">
        <v>4684</v>
      </c>
      <c r="F2190" s="22" t="s">
        <v>10</v>
      </c>
      <c r="G2190" s="22" t="s">
        <v>11</v>
      </c>
      <c r="H2190" s="22" t="s">
        <v>303</v>
      </c>
      <c r="I2190" s="22" t="s">
        <v>4685</v>
      </c>
      <c r="J2190" s="22" t="s">
        <v>4686</v>
      </c>
      <c r="K2190" s="23" t="s">
        <v>4687</v>
      </c>
    </row>
    <row r="2191" spans="1:14" hidden="1" x14ac:dyDescent="0.35">
      <c r="A2191" s="21">
        <v>805864</v>
      </c>
      <c r="B2191" s="22" t="str">
        <f>"3673052007750001"</f>
        <v>3673052007750001</v>
      </c>
      <c r="C2191" s="22" t="str">
        <f t="shared" si="68"/>
        <v>'3673052007750001</v>
      </c>
      <c r="D2191" s="22" t="str">
        <f t="shared" si="69"/>
        <v>tidak ganda</v>
      </c>
      <c r="E2191" s="22" t="s">
        <v>4688</v>
      </c>
      <c r="F2191" s="22" t="s">
        <v>10</v>
      </c>
      <c r="G2191" s="22" t="s">
        <v>11</v>
      </c>
      <c r="H2191" s="22" t="s">
        <v>67</v>
      </c>
      <c r="I2191" s="22" t="s">
        <v>696</v>
      </c>
      <c r="J2191" s="22" t="s">
        <v>4689</v>
      </c>
      <c r="K2191" s="23" t="s">
        <v>4690</v>
      </c>
    </row>
    <row r="2192" spans="1:14" hidden="1" x14ac:dyDescent="0.35">
      <c r="A2192" s="21">
        <v>122883</v>
      </c>
      <c r="B2192" s="22" t="str">
        <f>"8102101005820002"</f>
        <v>8102101005820002</v>
      </c>
      <c r="C2192" s="22" t="str">
        <f t="shared" si="68"/>
        <v>'8102101005820002</v>
      </c>
      <c r="D2192" s="22" t="str">
        <f t="shared" si="69"/>
        <v>tidak ganda</v>
      </c>
      <c r="E2192" s="22" t="s">
        <v>4023</v>
      </c>
      <c r="F2192" s="22" t="s">
        <v>10</v>
      </c>
      <c r="G2192" s="22" t="s">
        <v>11</v>
      </c>
      <c r="H2192" s="22" t="s">
        <v>1374</v>
      </c>
      <c r="I2192" s="22" t="s">
        <v>2551</v>
      </c>
      <c r="J2192" s="22" t="s">
        <v>2552</v>
      </c>
      <c r="K2192" s="23" t="s">
        <v>3319</v>
      </c>
    </row>
    <row r="2193" spans="1:11" hidden="1" x14ac:dyDescent="0.35">
      <c r="A2193" s="21">
        <v>432873</v>
      </c>
      <c r="B2193" s="22" t="str">
        <f>"9171026310720001"</f>
        <v>9171026310720001</v>
      </c>
      <c r="C2193" s="22" t="str">
        <f t="shared" si="68"/>
        <v>'9171026310720001</v>
      </c>
      <c r="D2193" s="22" t="str">
        <f t="shared" si="69"/>
        <v>tidak ganda</v>
      </c>
      <c r="E2193" s="22" t="s">
        <v>4692</v>
      </c>
      <c r="F2193" s="22" t="s">
        <v>10</v>
      </c>
      <c r="G2193" s="22" t="s">
        <v>11</v>
      </c>
      <c r="H2193" s="22" t="s">
        <v>783</v>
      </c>
      <c r="I2193" s="22" t="s">
        <v>1112</v>
      </c>
      <c r="J2193" s="22" t="s">
        <v>3651</v>
      </c>
      <c r="K2193" s="23" t="s">
        <v>4693</v>
      </c>
    </row>
    <row r="2194" spans="1:11" hidden="1" x14ac:dyDescent="0.35">
      <c r="A2194" s="21">
        <v>107246</v>
      </c>
      <c r="B2194" s="22" t="str">
        <f>"1209132104950004"</f>
        <v>1209132104950004</v>
      </c>
      <c r="C2194" s="22" t="str">
        <f t="shared" si="68"/>
        <v>'1209132104950004</v>
      </c>
      <c r="D2194" s="22" t="str">
        <f t="shared" si="69"/>
        <v>tidak ganda</v>
      </c>
      <c r="E2194" s="22" t="s">
        <v>4694</v>
      </c>
      <c r="F2194" s="22" t="s">
        <v>10</v>
      </c>
      <c r="G2194" s="22" t="s">
        <v>11</v>
      </c>
      <c r="H2194" s="22" t="s">
        <v>667</v>
      </c>
      <c r="I2194" s="22" t="s">
        <v>668</v>
      </c>
      <c r="J2194" s="22" t="s">
        <v>4695</v>
      </c>
      <c r="K2194" s="23" t="s">
        <v>4696</v>
      </c>
    </row>
    <row r="2195" spans="1:11" hidden="1" x14ac:dyDescent="0.35">
      <c r="A2195" s="21">
        <v>107245</v>
      </c>
      <c r="B2195" s="22" t="str">
        <f>"1209136106750002"</f>
        <v>1209136106750002</v>
      </c>
      <c r="C2195" s="22" t="str">
        <f t="shared" si="68"/>
        <v>'1209136106750002</v>
      </c>
      <c r="D2195" s="22" t="str">
        <f t="shared" si="69"/>
        <v>tidak ganda</v>
      </c>
      <c r="E2195" s="22" t="s">
        <v>4698</v>
      </c>
      <c r="F2195" s="22" t="s">
        <v>10</v>
      </c>
      <c r="G2195" s="22" t="s">
        <v>11</v>
      </c>
      <c r="H2195" s="22" t="s">
        <v>667</v>
      </c>
      <c r="I2195" s="22" t="s">
        <v>668</v>
      </c>
      <c r="J2195" s="22" t="s">
        <v>4695</v>
      </c>
      <c r="K2195" s="23" t="s">
        <v>4696</v>
      </c>
    </row>
    <row r="2196" spans="1:11" hidden="1" x14ac:dyDescent="0.35">
      <c r="A2196" s="21">
        <v>107244</v>
      </c>
      <c r="B2196" s="22" t="str">
        <f>"1209136308990004"</f>
        <v>1209136308990004</v>
      </c>
      <c r="C2196" s="22" t="str">
        <f t="shared" si="68"/>
        <v>'1209136308990004</v>
      </c>
      <c r="D2196" s="22" t="str">
        <f t="shared" si="69"/>
        <v>tidak ganda</v>
      </c>
      <c r="E2196" s="22" t="s">
        <v>4699</v>
      </c>
      <c r="F2196" s="22" t="s">
        <v>10</v>
      </c>
      <c r="G2196" s="22" t="s">
        <v>11</v>
      </c>
      <c r="H2196" s="22" t="s">
        <v>667</v>
      </c>
      <c r="I2196" s="22" t="s">
        <v>668</v>
      </c>
      <c r="J2196" s="22" t="s">
        <v>4695</v>
      </c>
      <c r="K2196" s="23" t="s">
        <v>4696</v>
      </c>
    </row>
    <row r="2197" spans="1:11" hidden="1" x14ac:dyDescent="0.35">
      <c r="A2197" s="21">
        <v>30746</v>
      </c>
      <c r="B2197" s="22" t="str">
        <f>"1406022006940005"</f>
        <v>1406022006940005</v>
      </c>
      <c r="C2197" s="22" t="str">
        <f t="shared" si="68"/>
        <v>'1406022006940005</v>
      </c>
      <c r="D2197" s="22" t="str">
        <f t="shared" si="69"/>
        <v>tidak ganda</v>
      </c>
      <c r="E2197" s="22" t="s">
        <v>4700</v>
      </c>
      <c r="F2197" s="22" t="s">
        <v>10</v>
      </c>
      <c r="G2197" s="22" t="s">
        <v>11</v>
      </c>
      <c r="H2197" s="22" t="s">
        <v>228</v>
      </c>
      <c r="I2197" s="22" t="s">
        <v>2142</v>
      </c>
      <c r="J2197" s="22" t="s">
        <v>4701</v>
      </c>
      <c r="K2197" s="23" t="s">
        <v>4702</v>
      </c>
    </row>
    <row r="2198" spans="1:11" hidden="1" x14ac:dyDescent="0.35">
      <c r="A2198" s="21">
        <v>365351</v>
      </c>
      <c r="B2198" s="22" t="str">
        <f>"1406090407830006"</f>
        <v>1406090407830006</v>
      </c>
      <c r="C2198" s="22" t="str">
        <f t="shared" si="68"/>
        <v>'1406090407830006</v>
      </c>
      <c r="D2198" s="22" t="str">
        <f t="shared" si="69"/>
        <v>tidak ganda</v>
      </c>
      <c r="E2198" s="22" t="s">
        <v>4704</v>
      </c>
      <c r="F2198" s="22" t="s">
        <v>10</v>
      </c>
      <c r="G2198" s="22" t="s">
        <v>11</v>
      </c>
      <c r="H2198" s="22" t="s">
        <v>228</v>
      </c>
      <c r="I2198" s="22" t="s">
        <v>2142</v>
      </c>
      <c r="J2198" s="22" t="s">
        <v>4705</v>
      </c>
      <c r="K2198" s="23" t="s">
        <v>4706</v>
      </c>
    </row>
    <row r="2199" spans="1:11" hidden="1" x14ac:dyDescent="0.35">
      <c r="A2199" s="21">
        <v>198599</v>
      </c>
      <c r="B2199" s="22" t="str">
        <f>"1806032804980003"</f>
        <v>1806032804980003</v>
      </c>
      <c r="C2199" s="22" t="str">
        <f t="shared" si="68"/>
        <v>'1806032804980003</v>
      </c>
      <c r="D2199" s="22" t="str">
        <f t="shared" si="69"/>
        <v>tidak ganda</v>
      </c>
      <c r="E2199" s="22" t="s">
        <v>4709</v>
      </c>
      <c r="F2199" s="22" t="s">
        <v>10</v>
      </c>
      <c r="G2199" s="22" t="s">
        <v>11</v>
      </c>
      <c r="H2199" s="22" t="s">
        <v>44</v>
      </c>
      <c r="I2199" s="22" t="s">
        <v>45</v>
      </c>
      <c r="J2199" s="22" t="s">
        <v>392</v>
      </c>
      <c r="K2199" s="23" t="s">
        <v>4710</v>
      </c>
    </row>
    <row r="2200" spans="1:11" hidden="1" x14ac:dyDescent="0.35">
      <c r="A2200" s="21">
        <v>219055</v>
      </c>
      <c r="B2200" s="22" t="str">
        <f>"3171046911900001"</f>
        <v>3171046911900001</v>
      </c>
      <c r="C2200" s="22" t="str">
        <f t="shared" si="68"/>
        <v>'3171046911900001</v>
      </c>
      <c r="D2200" s="22" t="str">
        <f t="shared" si="69"/>
        <v>tidak ganda</v>
      </c>
      <c r="E2200" s="22" t="s">
        <v>4712</v>
      </c>
      <c r="F2200" s="22" t="s">
        <v>10</v>
      </c>
      <c r="G2200" s="22" t="s">
        <v>11</v>
      </c>
      <c r="H2200" s="22" t="s">
        <v>50</v>
      </c>
      <c r="I2200" s="22" t="s">
        <v>280</v>
      </c>
      <c r="J2200" s="22" t="s">
        <v>2179</v>
      </c>
      <c r="K2200" s="23" t="s">
        <v>266</v>
      </c>
    </row>
    <row r="2201" spans="1:11" hidden="1" x14ac:dyDescent="0.35">
      <c r="A2201" s="21">
        <v>601491</v>
      </c>
      <c r="B2201" s="22" t="str">
        <f>"3171080808750009"</f>
        <v>3171080808750009</v>
      </c>
      <c r="C2201" s="22" t="str">
        <f t="shared" si="68"/>
        <v>'3171080808750009</v>
      </c>
      <c r="D2201" s="22" t="str">
        <f t="shared" si="69"/>
        <v>tidak ganda</v>
      </c>
      <c r="E2201" s="22" t="s">
        <v>4713</v>
      </c>
      <c r="F2201" s="22" t="s">
        <v>10</v>
      </c>
      <c r="G2201" s="22" t="s">
        <v>11</v>
      </c>
      <c r="H2201" s="22" t="s">
        <v>50</v>
      </c>
      <c r="I2201" s="22" t="s">
        <v>280</v>
      </c>
      <c r="J2201" s="22" t="s">
        <v>2507</v>
      </c>
      <c r="K2201" s="23" t="s">
        <v>3162</v>
      </c>
    </row>
    <row r="2202" spans="1:11" hidden="1" x14ac:dyDescent="0.35">
      <c r="A2202" s="21">
        <v>605068</v>
      </c>
      <c r="B2202" s="22" t="str">
        <f>"3171082003580005"</f>
        <v>3171082003580005</v>
      </c>
      <c r="C2202" s="22" t="str">
        <f t="shared" si="68"/>
        <v>'3171082003580005</v>
      </c>
      <c r="D2202" s="22" t="str">
        <f t="shared" si="69"/>
        <v>tidak ganda</v>
      </c>
      <c r="E2202" s="22" t="s">
        <v>4715</v>
      </c>
      <c r="F2202" s="22" t="s">
        <v>10</v>
      </c>
      <c r="G2202" s="22" t="s">
        <v>11</v>
      </c>
      <c r="H2202" s="22" t="s">
        <v>50</v>
      </c>
      <c r="I2202" s="22" t="s">
        <v>280</v>
      </c>
      <c r="J2202" s="22" t="s">
        <v>2507</v>
      </c>
      <c r="K2202" s="23" t="s">
        <v>3162</v>
      </c>
    </row>
    <row r="2203" spans="1:11" hidden="1" x14ac:dyDescent="0.35">
      <c r="A2203" s="21">
        <v>595906</v>
      </c>
      <c r="B2203" s="22" t="str">
        <f>"3171082008670004"</f>
        <v>3171082008670004</v>
      </c>
      <c r="C2203" s="22" t="str">
        <f t="shared" si="68"/>
        <v>'3171082008670004</v>
      </c>
      <c r="D2203" s="22" t="str">
        <f t="shared" si="69"/>
        <v>tidak ganda</v>
      </c>
      <c r="E2203" s="22" t="s">
        <v>4717</v>
      </c>
      <c r="F2203" s="22" t="s">
        <v>10</v>
      </c>
      <c r="G2203" s="22" t="s">
        <v>11</v>
      </c>
      <c r="H2203" s="22" t="s">
        <v>50</v>
      </c>
      <c r="I2203" s="22" t="s">
        <v>280</v>
      </c>
      <c r="J2203" s="22" t="s">
        <v>2507</v>
      </c>
      <c r="K2203" s="23" t="s">
        <v>3162</v>
      </c>
    </row>
    <row r="2204" spans="1:11" hidden="1" x14ac:dyDescent="0.35">
      <c r="A2204" s="21">
        <v>1089067</v>
      </c>
      <c r="B2204" s="22" t="str">
        <f>"3172015408870003"</f>
        <v>3172015408870003</v>
      </c>
      <c r="C2204" s="22" t="str">
        <f t="shared" si="68"/>
        <v>'3172015408870003</v>
      </c>
      <c r="D2204" s="22" t="str">
        <f t="shared" si="69"/>
        <v>tidak ganda</v>
      </c>
      <c r="E2204" s="22" t="s">
        <v>4718</v>
      </c>
      <c r="F2204" s="22" t="s">
        <v>10</v>
      </c>
      <c r="G2204" s="22" t="s">
        <v>11</v>
      </c>
      <c r="H2204" s="22" t="s">
        <v>50</v>
      </c>
      <c r="I2204" s="22" t="s">
        <v>51</v>
      </c>
      <c r="J2204" s="22" t="s">
        <v>52</v>
      </c>
      <c r="K2204" s="23" t="s">
        <v>52</v>
      </c>
    </row>
    <row r="2205" spans="1:11" hidden="1" x14ac:dyDescent="0.35">
      <c r="A2205" s="21">
        <v>1089016</v>
      </c>
      <c r="B2205" s="22" t="str">
        <f>"3172015703580004"</f>
        <v>3172015703580004</v>
      </c>
      <c r="C2205" s="22" t="str">
        <f t="shared" si="68"/>
        <v>'3172015703580004</v>
      </c>
      <c r="D2205" s="22" t="str">
        <f t="shared" si="69"/>
        <v>tidak ganda</v>
      </c>
      <c r="E2205" s="22" t="s">
        <v>4720</v>
      </c>
      <c r="F2205" s="22" t="s">
        <v>10</v>
      </c>
      <c r="G2205" s="22" t="s">
        <v>11</v>
      </c>
      <c r="H2205" s="22" t="s">
        <v>50</v>
      </c>
      <c r="I2205" s="22" t="s">
        <v>51</v>
      </c>
      <c r="J2205" s="22" t="s">
        <v>52</v>
      </c>
      <c r="K2205" s="23" t="s">
        <v>52</v>
      </c>
    </row>
    <row r="2206" spans="1:11" hidden="1" x14ac:dyDescent="0.35">
      <c r="A2206" s="21">
        <v>150200</v>
      </c>
      <c r="B2206" s="22" t="str">
        <f>"3172023112470016"</f>
        <v>3172023112470016</v>
      </c>
      <c r="C2206" s="22" t="str">
        <f t="shared" si="68"/>
        <v>'3172023112470016</v>
      </c>
      <c r="D2206" s="22" t="str">
        <f t="shared" si="69"/>
        <v>tidak ganda</v>
      </c>
      <c r="E2206" s="22" t="s">
        <v>4721</v>
      </c>
      <c r="F2206" s="22" t="s">
        <v>10</v>
      </c>
      <c r="G2206" s="22" t="s">
        <v>11</v>
      </c>
      <c r="H2206" s="22" t="s">
        <v>50</v>
      </c>
      <c r="I2206" s="22" t="s">
        <v>51</v>
      </c>
      <c r="J2206" s="22" t="s">
        <v>62</v>
      </c>
      <c r="K2206" s="23" t="s">
        <v>63</v>
      </c>
    </row>
    <row r="2207" spans="1:11" hidden="1" x14ac:dyDescent="0.35">
      <c r="A2207" s="21">
        <v>1322373</v>
      </c>
      <c r="B2207" s="22" t="str">
        <f>"3172035707030012"</f>
        <v>3172035707030012</v>
      </c>
      <c r="C2207" s="22" t="str">
        <f t="shared" si="68"/>
        <v>'3172035707030012</v>
      </c>
      <c r="D2207" s="22" t="str">
        <f t="shared" si="69"/>
        <v>tidak ganda</v>
      </c>
      <c r="E2207" s="22" t="s">
        <v>4723</v>
      </c>
      <c r="F2207" s="22" t="s">
        <v>10</v>
      </c>
      <c r="G2207" s="22" t="s">
        <v>11</v>
      </c>
      <c r="H2207" s="22" t="s">
        <v>50</v>
      </c>
      <c r="I2207" s="22" t="s">
        <v>51</v>
      </c>
      <c r="J2207" s="22" t="s">
        <v>284</v>
      </c>
      <c r="K2207" s="23" t="s">
        <v>285</v>
      </c>
    </row>
    <row r="2208" spans="1:11" hidden="1" x14ac:dyDescent="0.35">
      <c r="A2208" s="21">
        <v>94159</v>
      </c>
      <c r="B2208" s="22" t="str">
        <f>"3172041307780013"</f>
        <v>3172041307780013</v>
      </c>
      <c r="C2208" s="22" t="str">
        <f t="shared" si="68"/>
        <v>'3172041307780013</v>
      </c>
      <c r="D2208" s="22" t="str">
        <f t="shared" si="69"/>
        <v>tidak ganda</v>
      </c>
      <c r="E2208" s="22" t="s">
        <v>4725</v>
      </c>
      <c r="F2208" s="22" t="s">
        <v>10</v>
      </c>
      <c r="G2208" s="22" t="s">
        <v>11</v>
      </c>
      <c r="H2208" s="22" t="s">
        <v>50</v>
      </c>
      <c r="I2208" s="22" t="s">
        <v>51</v>
      </c>
      <c r="J2208" s="22" t="s">
        <v>78</v>
      </c>
      <c r="K2208" s="23" t="s">
        <v>78</v>
      </c>
    </row>
    <row r="2209" spans="1:14" hidden="1" x14ac:dyDescent="0.35">
      <c r="A2209" s="21">
        <v>1104523</v>
      </c>
      <c r="B2209" s="22" t="str">
        <f>"3173010608780024"</f>
        <v>3173010608780024</v>
      </c>
      <c r="C2209" s="22" t="str">
        <f t="shared" si="68"/>
        <v>'3173010608780024</v>
      </c>
      <c r="D2209" s="22" t="str">
        <f t="shared" si="69"/>
        <v>tidak ganda</v>
      </c>
      <c r="E2209" s="22" t="s">
        <v>4727</v>
      </c>
      <c r="F2209" s="22" t="s">
        <v>10</v>
      </c>
      <c r="G2209" s="22" t="s">
        <v>11</v>
      </c>
      <c r="H2209" s="22" t="s">
        <v>50</v>
      </c>
      <c r="I2209" s="22" t="s">
        <v>86</v>
      </c>
      <c r="J2209" s="22" t="s">
        <v>1268</v>
      </c>
      <c r="K2209" s="23" t="s">
        <v>2503</v>
      </c>
    </row>
    <row r="2210" spans="1:14" hidden="1" x14ac:dyDescent="0.35">
      <c r="A2210" s="21">
        <v>757001</v>
      </c>
      <c r="B2210" s="22" t="str">
        <f>"3173016102061005"</f>
        <v>3173016102061005</v>
      </c>
      <c r="C2210" s="22" t="str">
        <f t="shared" si="68"/>
        <v>'3173016102061005</v>
      </c>
      <c r="D2210" s="22" t="str">
        <f t="shared" si="69"/>
        <v>tidak ganda</v>
      </c>
      <c r="E2210" s="22" t="s">
        <v>4729</v>
      </c>
      <c r="F2210" s="22" t="s">
        <v>10</v>
      </c>
      <c r="G2210" s="22" t="s">
        <v>11</v>
      </c>
      <c r="H2210" s="22" t="s">
        <v>50</v>
      </c>
      <c r="I2210" s="22" t="s">
        <v>280</v>
      </c>
      <c r="J2210" s="22" t="s">
        <v>402</v>
      </c>
      <c r="K2210" s="23" t="s">
        <v>4730</v>
      </c>
    </row>
    <row r="2211" spans="1:14" hidden="1" x14ac:dyDescent="0.35">
      <c r="A2211" s="21">
        <v>158652</v>
      </c>
      <c r="B2211" s="22" t="str">
        <f>"3173022505860015"</f>
        <v>3173022505860015</v>
      </c>
      <c r="C2211" s="22" t="str">
        <f t="shared" si="68"/>
        <v>'3173022505860015</v>
      </c>
      <c r="D2211" s="22" t="str">
        <f t="shared" si="69"/>
        <v>tidak ganda</v>
      </c>
      <c r="E2211" s="22" t="s">
        <v>4732</v>
      </c>
      <c r="F2211" s="22" t="s">
        <v>10</v>
      </c>
      <c r="G2211" s="22" t="s">
        <v>11</v>
      </c>
      <c r="H2211" s="22" t="s">
        <v>50</v>
      </c>
      <c r="I2211" s="22" t="s">
        <v>86</v>
      </c>
      <c r="J2211" s="22" t="s">
        <v>205</v>
      </c>
      <c r="K2211" s="23" t="s">
        <v>1952</v>
      </c>
    </row>
    <row r="2212" spans="1:14" hidden="1" x14ac:dyDescent="0.35">
      <c r="A2212" s="21">
        <v>158651</v>
      </c>
      <c r="B2212" s="22" t="str">
        <f>"3173026003910001"</f>
        <v>3173026003910001</v>
      </c>
      <c r="C2212" s="22" t="str">
        <f t="shared" si="68"/>
        <v>'3173026003910001</v>
      </c>
      <c r="D2212" s="22" t="str">
        <f t="shared" si="69"/>
        <v>tidak ganda</v>
      </c>
      <c r="E2212" s="22" t="s">
        <v>4733</v>
      </c>
      <c r="F2212" s="22" t="s">
        <v>10</v>
      </c>
      <c r="G2212" s="22" t="s">
        <v>11</v>
      </c>
      <c r="H2212" s="22" t="s">
        <v>50</v>
      </c>
      <c r="I2212" s="22" t="s">
        <v>86</v>
      </c>
      <c r="J2212" s="22" t="s">
        <v>205</v>
      </c>
      <c r="K2212" s="23" t="s">
        <v>1952</v>
      </c>
    </row>
    <row r="2213" spans="1:14" hidden="1" x14ac:dyDescent="0.35">
      <c r="A2213" s="21">
        <v>574557</v>
      </c>
      <c r="B2213" s="22" t="str">
        <f>"3173031002900003"</f>
        <v>3173031002900003</v>
      </c>
      <c r="C2213" s="22" t="str">
        <f t="shared" si="68"/>
        <v>'3173031002900003</v>
      </c>
      <c r="D2213" s="22" t="str">
        <f t="shared" si="69"/>
        <v>tidak ganda</v>
      </c>
      <c r="E2213" s="22" t="s">
        <v>4734</v>
      </c>
      <c r="F2213" s="22" t="s">
        <v>10</v>
      </c>
      <c r="G2213" s="22" t="s">
        <v>11</v>
      </c>
      <c r="H2213" s="22" t="s">
        <v>50</v>
      </c>
      <c r="I2213" s="22" t="s">
        <v>86</v>
      </c>
      <c r="J2213" s="22" t="s">
        <v>1463</v>
      </c>
      <c r="K2213" s="23" t="s">
        <v>2210</v>
      </c>
    </row>
    <row r="2214" spans="1:14" hidden="1" x14ac:dyDescent="0.35">
      <c r="A2214" s="21">
        <v>35149</v>
      </c>
      <c r="B2214" s="22" t="str">
        <f>"3173071502730006"</f>
        <v>3173071502730006</v>
      </c>
      <c r="C2214" s="22" t="str">
        <f t="shared" si="68"/>
        <v>'3173071502730006</v>
      </c>
      <c r="D2214" s="22" t="str">
        <f t="shared" si="69"/>
        <v>tidak ganda</v>
      </c>
      <c r="E2214" s="22" t="s">
        <v>4736</v>
      </c>
      <c r="F2214" s="22" t="s">
        <v>10</v>
      </c>
      <c r="G2214" s="22" t="s">
        <v>11</v>
      </c>
      <c r="H2214" s="22" t="s">
        <v>50</v>
      </c>
      <c r="I2214" s="22" t="s">
        <v>86</v>
      </c>
      <c r="J2214" s="22" t="s">
        <v>925</v>
      </c>
      <c r="K2214" s="23" t="s">
        <v>4737</v>
      </c>
    </row>
    <row r="2215" spans="1:14" hidden="1" x14ac:dyDescent="0.35">
      <c r="A2215" s="21">
        <v>961081</v>
      </c>
      <c r="B2215" s="22" t="str">
        <f>"3173080112751001"</f>
        <v>3173080112751001</v>
      </c>
      <c r="C2215" s="22" t="str">
        <f t="shared" si="68"/>
        <v>'3173080112751001</v>
      </c>
      <c r="D2215" s="22" t="str">
        <f t="shared" si="69"/>
        <v>tidak ganda</v>
      </c>
      <c r="E2215" s="22" t="s">
        <v>4739</v>
      </c>
      <c r="F2215" s="22" t="s">
        <v>10</v>
      </c>
      <c r="G2215" s="22" t="s">
        <v>11</v>
      </c>
      <c r="H2215" s="22" t="s">
        <v>50</v>
      </c>
      <c r="I2215" s="22" t="s">
        <v>86</v>
      </c>
      <c r="J2215" s="22" t="s">
        <v>530</v>
      </c>
      <c r="K2215" s="23" t="s">
        <v>531</v>
      </c>
    </row>
    <row r="2216" spans="1:14" hidden="1" x14ac:dyDescent="0.35">
      <c r="A2216" s="21">
        <v>961086</v>
      </c>
      <c r="B2216" s="22" t="str">
        <f>"3173085707041001"</f>
        <v>3173085707041001</v>
      </c>
      <c r="C2216" s="22" t="str">
        <f t="shared" si="68"/>
        <v>'3173085707041001</v>
      </c>
      <c r="D2216" s="22" t="str">
        <f t="shared" si="69"/>
        <v>tidak ganda</v>
      </c>
      <c r="E2216" s="22" t="s">
        <v>4741</v>
      </c>
      <c r="F2216" s="22" t="s">
        <v>10</v>
      </c>
      <c r="G2216" s="22" t="s">
        <v>11</v>
      </c>
      <c r="H2216" s="22" t="s">
        <v>50</v>
      </c>
      <c r="I2216" s="22" t="s">
        <v>86</v>
      </c>
      <c r="J2216" s="22" t="s">
        <v>530</v>
      </c>
      <c r="K2216" s="23" t="s">
        <v>531</v>
      </c>
    </row>
    <row r="2217" spans="1:14" hidden="1" x14ac:dyDescent="0.35">
      <c r="A2217" s="21">
        <v>961078</v>
      </c>
      <c r="B2217" s="22" t="str">
        <f>"3173086610851003"</f>
        <v>3173086610851003</v>
      </c>
      <c r="C2217" s="22" t="str">
        <f t="shared" si="68"/>
        <v>'3173086610851003</v>
      </c>
      <c r="D2217" s="22" t="str">
        <f t="shared" si="69"/>
        <v>tidak ganda</v>
      </c>
      <c r="E2217" s="22" t="s">
        <v>4743</v>
      </c>
      <c r="F2217" s="22" t="s">
        <v>10</v>
      </c>
      <c r="G2217" s="22" t="s">
        <v>11</v>
      </c>
      <c r="H2217" s="22" t="s">
        <v>50</v>
      </c>
      <c r="I2217" s="22" t="s">
        <v>86</v>
      </c>
      <c r="J2217" s="22" t="s">
        <v>530</v>
      </c>
      <c r="K2217" s="23" t="s">
        <v>531</v>
      </c>
    </row>
    <row r="2218" spans="1:14" hidden="1" x14ac:dyDescent="0.35">
      <c r="A2218" s="21">
        <v>1779962</v>
      </c>
      <c r="B2218" s="22" t="str">
        <f>"3174032410910003"</f>
        <v>3174032410910003</v>
      </c>
      <c r="C2218" s="22" t="str">
        <f t="shared" si="68"/>
        <v>'3174032410910003</v>
      </c>
      <c r="D2218" s="22" t="str">
        <f t="shared" si="69"/>
        <v>tidak ganda</v>
      </c>
      <c r="E2218" s="22" t="s">
        <v>4745</v>
      </c>
      <c r="F2218" s="22" t="s">
        <v>10</v>
      </c>
      <c r="G2218" s="22" t="s">
        <v>11</v>
      </c>
      <c r="H2218" s="22" t="s">
        <v>50</v>
      </c>
      <c r="I2218" s="22" t="s">
        <v>72</v>
      </c>
      <c r="J2218" s="22" t="s">
        <v>1172</v>
      </c>
      <c r="K2218" s="23" t="s">
        <v>2228</v>
      </c>
    </row>
    <row r="2219" spans="1:14" hidden="1" x14ac:dyDescent="0.35">
      <c r="A2219" s="21">
        <v>1111640</v>
      </c>
      <c r="B2219" s="22" t="str">
        <f>"3174062007900004"</f>
        <v>3174062007900004</v>
      </c>
      <c r="C2219" s="22" t="str">
        <f t="shared" si="68"/>
        <v>'3174062007900004</v>
      </c>
      <c r="D2219" s="22" t="str">
        <f t="shared" si="69"/>
        <v>tidak ganda</v>
      </c>
      <c r="E2219" s="22" t="s">
        <v>565</v>
      </c>
      <c r="F2219" s="22" t="s">
        <v>10</v>
      </c>
      <c r="G2219" s="22" t="s">
        <v>11</v>
      </c>
      <c r="H2219" s="22" t="s">
        <v>50</v>
      </c>
      <c r="I2219" s="22" t="s">
        <v>72</v>
      </c>
      <c r="J2219" s="22" t="s">
        <v>1093</v>
      </c>
      <c r="K2219" s="23" t="s">
        <v>4307</v>
      </c>
    </row>
    <row r="2220" spans="1:14" hidden="1" x14ac:dyDescent="0.35">
      <c r="A2220" s="21">
        <v>1339403</v>
      </c>
      <c r="B2220" s="22" t="str">
        <f>"3174070505690003"</f>
        <v>3174070505690003</v>
      </c>
      <c r="C2220" s="22" t="str">
        <f t="shared" si="68"/>
        <v>'3174070505690003</v>
      </c>
      <c r="D2220" s="22" t="str">
        <f t="shared" si="69"/>
        <v>tidak ganda</v>
      </c>
      <c r="E2220" s="22" t="s">
        <v>4746</v>
      </c>
      <c r="F2220" s="22" t="s">
        <v>10</v>
      </c>
      <c r="G2220" s="22" t="s">
        <v>11</v>
      </c>
      <c r="H2220" s="22" t="s">
        <v>50</v>
      </c>
      <c r="I2220" s="22" t="s">
        <v>72</v>
      </c>
      <c r="J2220" s="22" t="s">
        <v>73</v>
      </c>
      <c r="K2220" s="23" t="s">
        <v>1957</v>
      </c>
    </row>
    <row r="2221" spans="1:14" hidden="1" x14ac:dyDescent="0.35">
      <c r="A2221" s="21">
        <v>793507</v>
      </c>
      <c r="B2221" s="22" t="str">
        <f>"3174072307870004"</f>
        <v>3174072307870004</v>
      </c>
      <c r="C2221" s="22" t="str">
        <f t="shared" si="68"/>
        <v>'3174072307870004</v>
      </c>
      <c r="D2221" s="22" t="str">
        <f t="shared" si="69"/>
        <v>tidak ganda</v>
      </c>
      <c r="E2221" s="22" t="s">
        <v>4747</v>
      </c>
      <c r="F2221" s="22" t="s">
        <v>10</v>
      </c>
      <c r="G2221" s="22" t="s">
        <v>11</v>
      </c>
      <c r="H2221" s="22" t="s">
        <v>50</v>
      </c>
      <c r="I2221" s="22" t="s">
        <v>72</v>
      </c>
      <c r="J2221" s="22" t="s">
        <v>73</v>
      </c>
      <c r="K2221" s="23" t="s">
        <v>74</v>
      </c>
    </row>
    <row r="2222" spans="1:14" hidden="1" x14ac:dyDescent="0.35">
      <c r="A2222" s="21">
        <v>1089068</v>
      </c>
      <c r="B2222" s="22" t="str">
        <f>"3175020305710013"</f>
        <v>3175020305710013</v>
      </c>
      <c r="C2222" s="22" t="str">
        <f t="shared" si="68"/>
        <v>'3175020305710013</v>
      </c>
      <c r="D2222" s="22" t="str">
        <f t="shared" si="69"/>
        <v>tidak ganda</v>
      </c>
      <c r="E2222" s="22" t="s">
        <v>4749</v>
      </c>
      <c r="F2222" s="22" t="s">
        <v>10</v>
      </c>
      <c r="G2222" s="22" t="s">
        <v>11</v>
      </c>
      <c r="H2222" s="22" t="s">
        <v>50</v>
      </c>
      <c r="I2222" s="22" t="s">
        <v>51</v>
      </c>
      <c r="J2222" s="22" t="s">
        <v>52</v>
      </c>
      <c r="K2222" s="23" t="s">
        <v>52</v>
      </c>
    </row>
    <row r="2223" spans="1:14" hidden="1" x14ac:dyDescent="0.35">
      <c r="A2223" s="21">
        <v>2226946</v>
      </c>
      <c r="B2223" s="22" t="str">
        <f>"3175065807050008"</f>
        <v>3175065807050008</v>
      </c>
      <c r="C2223" s="22" t="str">
        <f t="shared" si="68"/>
        <v>'3175065807050008</v>
      </c>
      <c r="D2223" s="22" t="str">
        <f t="shared" si="69"/>
        <v>tidak ganda</v>
      </c>
      <c r="E2223" s="22" t="s">
        <v>4750</v>
      </c>
      <c r="F2223" s="22" t="s">
        <v>10</v>
      </c>
      <c r="G2223" s="22" t="s">
        <v>11</v>
      </c>
      <c r="H2223" s="22" t="s">
        <v>50</v>
      </c>
      <c r="I2223" s="22" t="s">
        <v>58</v>
      </c>
      <c r="J2223" s="22" t="s">
        <v>417</v>
      </c>
      <c r="K2223" s="23" t="s">
        <v>418</v>
      </c>
    </row>
    <row r="2224" spans="1:14" hidden="1" x14ac:dyDescent="0.35">
      <c r="A2224" s="21">
        <v>1517895</v>
      </c>
      <c r="B2224" s="22" t="str">
        <f>"3201016407850013"</f>
        <v>3201016407850013</v>
      </c>
      <c r="C2224" s="22" t="str">
        <f t="shared" si="68"/>
        <v>'3201016407850013</v>
      </c>
      <c r="D2224" s="22" t="str">
        <f t="shared" si="69"/>
        <v>tidak ganda</v>
      </c>
      <c r="E2224" s="22" t="s">
        <v>4753</v>
      </c>
      <c r="F2224" s="22" t="s">
        <v>10</v>
      </c>
      <c r="G2224" s="22" t="s">
        <v>11</v>
      </c>
      <c r="H2224" s="22" t="s">
        <v>18</v>
      </c>
      <c r="I2224" s="22" t="s">
        <v>19</v>
      </c>
      <c r="J2224" s="22" t="s">
        <v>4754</v>
      </c>
      <c r="K2224" s="23" t="s">
        <v>4755</v>
      </c>
      <c r="L2224" t="e">
        <f>VLOOKUP(B2224,ubah!$B$2:$L$234,4,FALSE)</f>
        <v>#N/A</v>
      </c>
      <c r="M2224" t="e">
        <f>VLOOKUP(B2224,ubah!$B$2:$L$234,5,FALSE)</f>
        <v>#N/A</v>
      </c>
      <c r="N2224" t="e">
        <f>VLOOKUP(B2224,ubah!$B$2:$L$234,6,FALSE)</f>
        <v>#N/A</v>
      </c>
    </row>
    <row r="2225" spans="1:14" hidden="1" x14ac:dyDescent="0.35">
      <c r="A2225" s="21">
        <v>523977</v>
      </c>
      <c r="B2225" s="22" t="str">
        <f>"3201021104850015"</f>
        <v>3201021104850015</v>
      </c>
      <c r="C2225" s="22" t="str">
        <f t="shared" si="68"/>
        <v>'3201021104850015</v>
      </c>
      <c r="D2225" s="22" t="str">
        <f t="shared" si="69"/>
        <v>tidak ganda</v>
      </c>
      <c r="E2225" s="22" t="s">
        <v>4757</v>
      </c>
      <c r="F2225" s="22" t="s">
        <v>10</v>
      </c>
      <c r="G2225" s="22" t="s">
        <v>11</v>
      </c>
      <c r="H2225" s="22" t="s">
        <v>91</v>
      </c>
      <c r="I2225" s="22" t="s">
        <v>650</v>
      </c>
      <c r="J2225" s="22" t="s">
        <v>1752</v>
      </c>
      <c r="K2225" s="23" t="s">
        <v>4758</v>
      </c>
    </row>
    <row r="2226" spans="1:14" hidden="1" x14ac:dyDescent="0.35">
      <c r="A2226" s="21">
        <v>523973</v>
      </c>
      <c r="B2226" s="22" t="str">
        <f>"3201024608870008"</f>
        <v>3201024608870008</v>
      </c>
      <c r="C2226" s="22" t="str">
        <f t="shared" si="68"/>
        <v>'3201024608870008</v>
      </c>
      <c r="D2226" s="22" t="str">
        <f t="shared" si="69"/>
        <v>tidak ganda</v>
      </c>
      <c r="E2226" s="22" t="s">
        <v>4759</v>
      </c>
      <c r="F2226" s="22" t="s">
        <v>10</v>
      </c>
      <c r="G2226" s="22" t="s">
        <v>11</v>
      </c>
      <c r="H2226" s="22" t="s">
        <v>91</v>
      </c>
      <c r="I2226" s="22" t="s">
        <v>650</v>
      </c>
      <c r="J2226" s="22" t="s">
        <v>1752</v>
      </c>
      <c r="K2226" s="23" t="s">
        <v>4758</v>
      </c>
    </row>
    <row r="2227" spans="1:14" hidden="1" x14ac:dyDescent="0.35">
      <c r="A2227" s="21">
        <v>696921</v>
      </c>
      <c r="B2227" s="22" t="str">
        <f>"3201122309540002"</f>
        <v>3201122309540002</v>
      </c>
      <c r="C2227" s="22" t="str">
        <f t="shared" si="68"/>
        <v>'3201122309540002</v>
      </c>
      <c r="D2227" s="22" t="str">
        <f t="shared" si="69"/>
        <v>tidak ganda</v>
      </c>
      <c r="E2227" s="22" t="s">
        <v>4760</v>
      </c>
      <c r="F2227" s="22" t="s">
        <v>10</v>
      </c>
      <c r="G2227" s="22" t="s">
        <v>11</v>
      </c>
      <c r="H2227" s="22" t="s">
        <v>50</v>
      </c>
      <c r="I2227" s="22" t="s">
        <v>51</v>
      </c>
      <c r="J2227" s="22" t="s">
        <v>62</v>
      </c>
      <c r="K2227" s="23" t="s">
        <v>62</v>
      </c>
    </row>
    <row r="2228" spans="1:14" hidden="1" x14ac:dyDescent="0.35">
      <c r="A2228" s="21">
        <v>720097</v>
      </c>
      <c r="B2228" s="22" t="str">
        <f>"3208076303980003"</f>
        <v>3208076303980003</v>
      </c>
      <c r="C2228" s="22" t="str">
        <f t="shared" si="68"/>
        <v>'3208076303980003</v>
      </c>
      <c r="D2228" s="22" t="str">
        <f t="shared" si="69"/>
        <v>tidak ganda</v>
      </c>
      <c r="E2228" s="22" t="s">
        <v>4761</v>
      </c>
      <c r="F2228" s="22" t="s">
        <v>10</v>
      </c>
      <c r="G2228" s="22" t="s">
        <v>11</v>
      </c>
      <c r="H2228" s="22" t="s">
        <v>91</v>
      </c>
      <c r="I2228" s="22" t="s">
        <v>109</v>
      </c>
      <c r="J2228" s="22" t="s">
        <v>110</v>
      </c>
      <c r="K2228" s="23" t="s">
        <v>4762</v>
      </c>
    </row>
    <row r="2229" spans="1:14" hidden="1" x14ac:dyDescent="0.35">
      <c r="A2229" s="21">
        <v>225394</v>
      </c>
      <c r="B2229" s="22" t="str">
        <f>"3209250607920003"</f>
        <v>3209250607920003</v>
      </c>
      <c r="C2229" s="22" t="str">
        <f t="shared" si="68"/>
        <v>'3209250607920003</v>
      </c>
      <c r="D2229" s="22" t="str">
        <f t="shared" si="69"/>
        <v>tidak ganda</v>
      </c>
      <c r="E2229" s="22" t="s">
        <v>4763</v>
      </c>
      <c r="F2229" s="22" t="s">
        <v>10</v>
      </c>
      <c r="G2229" s="22" t="s">
        <v>11</v>
      </c>
      <c r="H2229" s="22" t="s">
        <v>91</v>
      </c>
      <c r="I2229" s="22" t="s">
        <v>985</v>
      </c>
      <c r="J2229" s="22" t="s">
        <v>4764</v>
      </c>
      <c r="K2229" s="23" t="s">
        <v>1381</v>
      </c>
    </row>
    <row r="2230" spans="1:14" hidden="1" x14ac:dyDescent="0.35">
      <c r="A2230" s="21">
        <v>1808076</v>
      </c>
      <c r="B2230" s="22" t="str">
        <f>"3209281412990001"</f>
        <v>3209281412990001</v>
      </c>
      <c r="C2230" s="22" t="str">
        <f t="shared" si="68"/>
        <v>'3209281412990001</v>
      </c>
      <c r="D2230" s="22" t="str">
        <f t="shared" si="69"/>
        <v>tidak ganda</v>
      </c>
      <c r="E2230" s="22" t="s">
        <v>4766</v>
      </c>
      <c r="F2230" s="22" t="s">
        <v>10</v>
      </c>
      <c r="G2230" s="22" t="s">
        <v>11</v>
      </c>
      <c r="H2230" s="22" t="s">
        <v>91</v>
      </c>
      <c r="I2230" s="22" t="s">
        <v>985</v>
      </c>
      <c r="J2230" s="22" t="s">
        <v>4767</v>
      </c>
      <c r="K2230" s="23" t="s">
        <v>4768</v>
      </c>
    </row>
    <row r="2231" spans="1:14" hidden="1" x14ac:dyDescent="0.35">
      <c r="A2231" s="21">
        <v>1727547</v>
      </c>
      <c r="B2231" s="22" t="str">
        <f>"3211032405550001"</f>
        <v>3211032405550001</v>
      </c>
      <c r="C2231" s="22" t="str">
        <f t="shared" si="68"/>
        <v>'3211032405550001</v>
      </c>
      <c r="D2231" s="22" t="str">
        <f t="shared" si="69"/>
        <v>tidak ganda</v>
      </c>
      <c r="E2231" s="22" t="s">
        <v>4770</v>
      </c>
      <c r="F2231" s="22" t="s">
        <v>10</v>
      </c>
      <c r="G2231" s="22" t="s">
        <v>11</v>
      </c>
      <c r="H2231" s="22" t="s">
        <v>18</v>
      </c>
      <c r="I2231" s="22" t="s">
        <v>19</v>
      </c>
      <c r="J2231" s="22" t="s">
        <v>3565</v>
      </c>
      <c r="K2231" s="23" t="s">
        <v>4771</v>
      </c>
      <c r="L2231" t="e">
        <f>VLOOKUP(B2231,ubah!$B$2:$L$234,4,FALSE)</f>
        <v>#N/A</v>
      </c>
      <c r="M2231" t="e">
        <f>VLOOKUP(B2231,ubah!$B$2:$L$234,5,FALSE)</f>
        <v>#N/A</v>
      </c>
      <c r="N2231" t="e">
        <f>VLOOKUP(B2231,ubah!$B$2:$L$234,6,FALSE)</f>
        <v>#N/A</v>
      </c>
    </row>
    <row r="2232" spans="1:14" hidden="1" x14ac:dyDescent="0.35">
      <c r="A2232" s="21">
        <v>1632018</v>
      </c>
      <c r="B2232" s="22" t="str">
        <f>"3211183012520002"</f>
        <v>3211183012520002</v>
      </c>
      <c r="C2232" s="22" t="str">
        <f t="shared" si="68"/>
        <v>'3211183012520002</v>
      </c>
      <c r="D2232" s="22" t="str">
        <f t="shared" si="69"/>
        <v>tidak ganda</v>
      </c>
      <c r="E2232" s="22" t="s">
        <v>4778</v>
      </c>
      <c r="F2232" s="22" t="s">
        <v>10</v>
      </c>
      <c r="G2232" s="22" t="s">
        <v>11</v>
      </c>
      <c r="H2232" s="22" t="s">
        <v>91</v>
      </c>
      <c r="I2232" s="22" t="s">
        <v>1763</v>
      </c>
      <c r="J2232" s="22" t="s">
        <v>4779</v>
      </c>
      <c r="K2232" s="23" t="s">
        <v>4780</v>
      </c>
    </row>
    <row r="2233" spans="1:14" hidden="1" x14ac:dyDescent="0.35">
      <c r="A2233" s="21">
        <v>1632019</v>
      </c>
      <c r="B2233" s="22" t="str">
        <f>"3211185511570006"</f>
        <v>3211185511570006</v>
      </c>
      <c r="C2233" s="22" t="str">
        <f t="shared" si="68"/>
        <v>'3211185511570006</v>
      </c>
      <c r="D2233" s="22" t="str">
        <f t="shared" si="69"/>
        <v>tidak ganda</v>
      </c>
      <c r="E2233" s="22" t="s">
        <v>4781</v>
      </c>
      <c r="F2233" s="22" t="s">
        <v>10</v>
      </c>
      <c r="G2233" s="22" t="s">
        <v>11</v>
      </c>
      <c r="H2233" s="22" t="s">
        <v>91</v>
      </c>
      <c r="I2233" s="22" t="s">
        <v>1763</v>
      </c>
      <c r="J2233" s="22" t="s">
        <v>4779</v>
      </c>
      <c r="K2233" s="23" t="s">
        <v>4780</v>
      </c>
    </row>
    <row r="2234" spans="1:14" hidden="1" x14ac:dyDescent="0.35">
      <c r="A2234" s="21">
        <v>1527404</v>
      </c>
      <c r="B2234" s="22" t="str">
        <f>"3211230504740008"</f>
        <v>3211230504740008</v>
      </c>
      <c r="C2234" s="22" t="str">
        <f t="shared" si="68"/>
        <v>'3211230504740008</v>
      </c>
      <c r="D2234" s="22" t="str">
        <f t="shared" si="69"/>
        <v>tidak ganda</v>
      </c>
      <c r="E2234" s="22" t="s">
        <v>4782</v>
      </c>
      <c r="F2234" s="22" t="s">
        <v>10</v>
      </c>
      <c r="G2234" s="22" t="s">
        <v>11</v>
      </c>
      <c r="H2234" s="22" t="s">
        <v>91</v>
      </c>
      <c r="I2234" s="22" t="s">
        <v>1763</v>
      </c>
      <c r="J2234" s="22" t="s">
        <v>138</v>
      </c>
      <c r="K2234" s="23" t="s">
        <v>4783</v>
      </c>
    </row>
    <row r="2235" spans="1:14" hidden="1" x14ac:dyDescent="0.35">
      <c r="A2235" s="21">
        <v>1527406</v>
      </c>
      <c r="B2235" s="22" t="str">
        <f>"3211231504970001"</f>
        <v>3211231504970001</v>
      </c>
      <c r="C2235" s="22" t="str">
        <f t="shared" si="68"/>
        <v>'3211231504970001</v>
      </c>
      <c r="D2235" s="22" t="str">
        <f t="shared" si="69"/>
        <v>tidak ganda</v>
      </c>
      <c r="E2235" s="22" t="s">
        <v>4784</v>
      </c>
      <c r="F2235" s="22" t="s">
        <v>10</v>
      </c>
      <c r="G2235" s="22" t="s">
        <v>11</v>
      </c>
      <c r="H2235" s="22" t="s">
        <v>91</v>
      </c>
      <c r="I2235" s="22" t="s">
        <v>1763</v>
      </c>
      <c r="J2235" s="22" t="s">
        <v>138</v>
      </c>
      <c r="K2235" s="23" t="s">
        <v>4783</v>
      </c>
    </row>
    <row r="2236" spans="1:14" hidden="1" x14ac:dyDescent="0.35">
      <c r="A2236" s="21">
        <v>1527405</v>
      </c>
      <c r="B2236" s="22" t="str">
        <f>"3211232008030003"</f>
        <v>3211232008030003</v>
      </c>
      <c r="C2236" s="22" t="str">
        <f t="shared" si="68"/>
        <v>'3211232008030003</v>
      </c>
      <c r="D2236" s="22" t="str">
        <f t="shared" si="69"/>
        <v>tidak ganda</v>
      </c>
      <c r="E2236" s="22" t="s">
        <v>4785</v>
      </c>
      <c r="F2236" s="22" t="s">
        <v>10</v>
      </c>
      <c r="G2236" s="22" t="s">
        <v>11</v>
      </c>
      <c r="H2236" s="22" t="s">
        <v>91</v>
      </c>
      <c r="I2236" s="22" t="s">
        <v>1763</v>
      </c>
      <c r="J2236" s="22" t="s">
        <v>138</v>
      </c>
      <c r="K2236" s="23" t="s">
        <v>4783</v>
      </c>
    </row>
    <row r="2237" spans="1:14" hidden="1" x14ac:dyDescent="0.35">
      <c r="A2237" s="21">
        <v>1527403</v>
      </c>
      <c r="B2237" s="22" t="str">
        <f>"3211235510770001"</f>
        <v>3211235510770001</v>
      </c>
      <c r="C2237" s="22" t="str">
        <f t="shared" si="68"/>
        <v>'3211235510770001</v>
      </c>
      <c r="D2237" s="22" t="str">
        <f t="shared" si="69"/>
        <v>tidak ganda</v>
      </c>
      <c r="E2237" s="22" t="s">
        <v>4786</v>
      </c>
      <c r="F2237" s="22" t="s">
        <v>10</v>
      </c>
      <c r="G2237" s="22" t="s">
        <v>11</v>
      </c>
      <c r="H2237" s="22" t="s">
        <v>91</v>
      </c>
      <c r="I2237" s="22" t="s">
        <v>1763</v>
      </c>
      <c r="J2237" s="22" t="s">
        <v>138</v>
      </c>
      <c r="K2237" s="23" t="s">
        <v>4783</v>
      </c>
    </row>
    <row r="2238" spans="1:14" hidden="1" x14ac:dyDescent="0.35">
      <c r="A2238" s="21">
        <v>831498</v>
      </c>
      <c r="B2238" s="22" t="str">
        <f>"3212112311030001"</f>
        <v>3212112311030001</v>
      </c>
      <c r="C2238" s="22" t="str">
        <f t="shared" si="68"/>
        <v>'3212112311030001</v>
      </c>
      <c r="D2238" s="22" t="str">
        <f t="shared" si="69"/>
        <v>tidak ganda</v>
      </c>
      <c r="E2238" s="22" t="s">
        <v>4787</v>
      </c>
      <c r="F2238" s="22" t="s">
        <v>10</v>
      </c>
      <c r="G2238" s="22" t="s">
        <v>11</v>
      </c>
      <c r="H2238" s="22" t="s">
        <v>91</v>
      </c>
      <c r="I2238" s="22" t="s">
        <v>114</v>
      </c>
      <c r="J2238" s="22" t="s">
        <v>4788</v>
      </c>
      <c r="K2238" s="23" t="s">
        <v>4789</v>
      </c>
    </row>
    <row r="2239" spans="1:14" hidden="1" x14ac:dyDescent="0.35">
      <c r="A2239" s="21">
        <v>1728164</v>
      </c>
      <c r="B2239" s="22" t="str">
        <f>"3216084301890002"</f>
        <v>3216084301890002</v>
      </c>
      <c r="C2239" s="22" t="str">
        <f t="shared" si="68"/>
        <v>'3216084301890002</v>
      </c>
      <c r="D2239" s="22" t="str">
        <f t="shared" si="69"/>
        <v>tidak ganda</v>
      </c>
      <c r="E2239" s="22" t="s">
        <v>4791</v>
      </c>
      <c r="F2239" s="22" t="s">
        <v>10</v>
      </c>
      <c r="G2239" s="22" t="s">
        <v>11</v>
      </c>
      <c r="H2239" s="22" t="s">
        <v>91</v>
      </c>
      <c r="I2239" s="22" t="s">
        <v>92</v>
      </c>
      <c r="J2239" s="22" t="s">
        <v>105</v>
      </c>
      <c r="K2239" s="23" t="s">
        <v>3694</v>
      </c>
    </row>
    <row r="2240" spans="1:14" hidden="1" x14ac:dyDescent="0.35">
      <c r="A2240" s="21">
        <v>357569</v>
      </c>
      <c r="B2240" s="22" t="str">
        <f>"3275024407720015"</f>
        <v>3275024407720015</v>
      </c>
      <c r="C2240" s="22" t="str">
        <f t="shared" si="68"/>
        <v>'3275024407720015</v>
      </c>
      <c r="D2240" s="22" t="str">
        <f t="shared" si="69"/>
        <v>tidak ganda</v>
      </c>
      <c r="E2240" s="22" t="s">
        <v>4793</v>
      </c>
      <c r="F2240" s="22" t="s">
        <v>10</v>
      </c>
      <c r="G2240" s="22" t="s">
        <v>11</v>
      </c>
      <c r="H2240" s="22" t="s">
        <v>91</v>
      </c>
      <c r="I2240" s="22" t="s">
        <v>159</v>
      </c>
      <c r="J2240" s="22" t="s">
        <v>1288</v>
      </c>
      <c r="K2240" s="23" t="s">
        <v>2918</v>
      </c>
    </row>
    <row r="2241" spans="1:14" hidden="1" x14ac:dyDescent="0.35">
      <c r="A2241" s="21">
        <v>67768</v>
      </c>
      <c r="B2241" s="22" t="str">
        <f>"3275031709840034"</f>
        <v>3275031709840034</v>
      </c>
      <c r="C2241" s="22" t="str">
        <f t="shared" si="68"/>
        <v>'3275031709840034</v>
      </c>
      <c r="D2241" s="22" t="str">
        <f t="shared" si="69"/>
        <v>tidak ganda</v>
      </c>
      <c r="E2241" s="22" t="s">
        <v>4794</v>
      </c>
      <c r="F2241" s="22" t="s">
        <v>10</v>
      </c>
      <c r="G2241" s="22" t="s">
        <v>11</v>
      </c>
      <c r="H2241" s="22" t="s">
        <v>91</v>
      </c>
      <c r="I2241" s="22" t="s">
        <v>159</v>
      </c>
      <c r="J2241" s="22" t="s">
        <v>1828</v>
      </c>
      <c r="K2241" s="23" t="s">
        <v>3707</v>
      </c>
    </row>
    <row r="2242" spans="1:14" hidden="1" x14ac:dyDescent="0.35">
      <c r="A2242" s="21">
        <v>1947247</v>
      </c>
      <c r="B2242" s="22" t="str">
        <f>"3305051908930001"</f>
        <v>3305051908930001</v>
      </c>
      <c r="C2242" s="22" t="str">
        <f t="shared" si="68"/>
        <v>'3305051908930001</v>
      </c>
      <c r="D2242" s="22" t="str">
        <f t="shared" si="69"/>
        <v>tidak ganda</v>
      </c>
      <c r="E2242" s="22" t="s">
        <v>4796</v>
      </c>
      <c r="F2242" s="22" t="s">
        <v>10</v>
      </c>
      <c r="G2242" s="22" t="s">
        <v>11</v>
      </c>
      <c r="H2242" s="22" t="s">
        <v>18</v>
      </c>
      <c r="I2242" s="22" t="s">
        <v>19</v>
      </c>
      <c r="J2242" s="22" t="s">
        <v>3565</v>
      </c>
      <c r="K2242" s="23" t="s">
        <v>4748</v>
      </c>
      <c r="L2242" t="e">
        <f>VLOOKUP(B2242,ubah!$B$2:$L$234,4,FALSE)</f>
        <v>#N/A</v>
      </c>
      <c r="M2242" t="e">
        <f>VLOOKUP(B2242,ubah!$B$2:$L$234,5,FALSE)</f>
        <v>#N/A</v>
      </c>
      <c r="N2242" t="e">
        <f>VLOOKUP(B2242,ubah!$B$2:$L$234,6,FALSE)</f>
        <v>#N/A</v>
      </c>
    </row>
    <row r="2243" spans="1:14" hidden="1" x14ac:dyDescent="0.35">
      <c r="A2243" s="21">
        <v>1045357</v>
      </c>
      <c r="B2243" s="22" t="str">
        <f>"3327101505840041"</f>
        <v>3327101505840041</v>
      </c>
      <c r="C2243" s="22" t="str">
        <f t="shared" ref="C2243:C2306" si="70">"'"&amp;B2243</f>
        <v>'3327101505840041</v>
      </c>
      <c r="D2243" s="22" t="str">
        <f t="shared" ref="D2243:D2306" si="71">IF(COUNTIF($C:$C,C2243)&gt;1,"ganda","tidak ganda")</f>
        <v>tidak ganda</v>
      </c>
      <c r="E2243" s="22" t="s">
        <v>4802</v>
      </c>
      <c r="F2243" s="22" t="s">
        <v>10</v>
      </c>
      <c r="G2243" s="22" t="s">
        <v>11</v>
      </c>
      <c r="H2243" s="22" t="s">
        <v>91</v>
      </c>
      <c r="I2243" s="22" t="s">
        <v>320</v>
      </c>
      <c r="J2243" s="22" t="s">
        <v>1319</v>
      </c>
      <c r="K2243" s="23" t="s">
        <v>3999</v>
      </c>
    </row>
    <row r="2244" spans="1:14" hidden="1" x14ac:dyDescent="0.35">
      <c r="A2244" s="21">
        <v>2226804</v>
      </c>
      <c r="B2244" s="22" t="str">
        <f>"3327102411780004"</f>
        <v>3327102411780004</v>
      </c>
      <c r="C2244" s="22" t="str">
        <f t="shared" si="70"/>
        <v>'3327102411780004</v>
      </c>
      <c r="D2244" s="22" t="str">
        <f t="shared" si="71"/>
        <v>tidak ganda</v>
      </c>
      <c r="E2244" s="22" t="s">
        <v>4803</v>
      </c>
      <c r="F2244" s="22" t="s">
        <v>10</v>
      </c>
      <c r="G2244" s="22" t="s">
        <v>11</v>
      </c>
      <c r="H2244" s="22" t="s">
        <v>18</v>
      </c>
      <c r="I2244" s="22" t="s">
        <v>199</v>
      </c>
      <c r="J2244" s="22" t="s">
        <v>200</v>
      </c>
      <c r="K2244" s="23" t="s">
        <v>4804</v>
      </c>
    </row>
    <row r="2245" spans="1:14" hidden="1" x14ac:dyDescent="0.35">
      <c r="A2245" s="21">
        <v>27434</v>
      </c>
      <c r="B2245" s="22" t="str">
        <f>"3328095705930002"</f>
        <v>3328095705930002</v>
      </c>
      <c r="C2245" s="22" t="str">
        <f t="shared" si="70"/>
        <v>'3328095705930002</v>
      </c>
      <c r="D2245" s="22" t="str">
        <f t="shared" si="71"/>
        <v>tidak ganda</v>
      </c>
      <c r="E2245" s="22" t="s">
        <v>4805</v>
      </c>
      <c r="F2245" s="22" t="s">
        <v>10</v>
      </c>
      <c r="G2245" s="22" t="s">
        <v>11</v>
      </c>
      <c r="H2245" s="22" t="s">
        <v>50</v>
      </c>
      <c r="I2245" s="22" t="s">
        <v>280</v>
      </c>
      <c r="J2245" s="22" t="s">
        <v>2179</v>
      </c>
      <c r="K2245" s="23" t="s">
        <v>4806</v>
      </c>
    </row>
    <row r="2246" spans="1:14" hidden="1" x14ac:dyDescent="0.35">
      <c r="A2246" s="21">
        <v>322590</v>
      </c>
      <c r="B2246" s="22" t="str">
        <f>"3328102504820002"</f>
        <v>3328102504820002</v>
      </c>
      <c r="C2246" s="22" t="str">
        <f t="shared" si="70"/>
        <v>'3328102504820002</v>
      </c>
      <c r="D2246" s="22" t="str">
        <f t="shared" si="71"/>
        <v>tidak ganda</v>
      </c>
      <c r="E2246" s="22" t="s">
        <v>4808</v>
      </c>
      <c r="F2246" s="22" t="s">
        <v>10</v>
      </c>
      <c r="G2246" s="22" t="s">
        <v>11</v>
      </c>
      <c r="H2246" s="22" t="s">
        <v>18</v>
      </c>
      <c r="I2246" s="22" t="s">
        <v>268</v>
      </c>
      <c r="J2246" s="22" t="s">
        <v>277</v>
      </c>
      <c r="K2246" s="23" t="s">
        <v>278</v>
      </c>
    </row>
    <row r="2247" spans="1:14" hidden="1" x14ac:dyDescent="0.35">
      <c r="A2247" s="21">
        <v>544596</v>
      </c>
      <c r="B2247" s="22" t="str">
        <f>"3328112904970002"</f>
        <v>3328112904970002</v>
      </c>
      <c r="C2247" s="22" t="str">
        <f t="shared" si="70"/>
        <v>'3328112904970002</v>
      </c>
      <c r="D2247" s="22" t="str">
        <f t="shared" si="71"/>
        <v>tidak ganda</v>
      </c>
      <c r="E2247" s="22" t="s">
        <v>4809</v>
      </c>
      <c r="F2247" s="22" t="s">
        <v>10</v>
      </c>
      <c r="G2247" s="22" t="s">
        <v>11</v>
      </c>
      <c r="H2247" s="22" t="s">
        <v>783</v>
      </c>
      <c r="I2247" s="22" t="s">
        <v>1112</v>
      </c>
      <c r="J2247" s="22" t="s">
        <v>1113</v>
      </c>
      <c r="K2247" s="23" t="s">
        <v>4810</v>
      </c>
    </row>
    <row r="2248" spans="1:14" hidden="1" x14ac:dyDescent="0.35">
      <c r="A2248" s="21">
        <v>353112</v>
      </c>
      <c r="B2248" s="22" t="str">
        <f>"3328117012920009"</f>
        <v>3328117012920009</v>
      </c>
      <c r="C2248" s="22" t="str">
        <f t="shared" si="70"/>
        <v>'3328117012920009</v>
      </c>
      <c r="D2248" s="22" t="str">
        <f t="shared" si="71"/>
        <v>tidak ganda</v>
      </c>
      <c r="E2248" s="22" t="s">
        <v>4811</v>
      </c>
      <c r="F2248" s="22" t="s">
        <v>10</v>
      </c>
      <c r="G2248" s="22" t="s">
        <v>11</v>
      </c>
      <c r="H2248" s="22" t="s">
        <v>18</v>
      </c>
      <c r="I2248" s="22" t="s">
        <v>268</v>
      </c>
      <c r="J2248" s="22" t="s">
        <v>269</v>
      </c>
      <c r="K2248" s="23" t="s">
        <v>270</v>
      </c>
    </row>
    <row r="2249" spans="1:14" hidden="1" x14ac:dyDescent="0.35">
      <c r="A2249" s="21">
        <v>444838</v>
      </c>
      <c r="B2249" s="22" t="str">
        <f>"3328120810870004"</f>
        <v>3328120810870004</v>
      </c>
      <c r="C2249" s="22" t="str">
        <f t="shared" si="70"/>
        <v>'3328120810870004</v>
      </c>
      <c r="D2249" s="22" t="str">
        <f t="shared" si="71"/>
        <v>tidak ganda</v>
      </c>
      <c r="E2249" s="22" t="s">
        <v>4812</v>
      </c>
      <c r="F2249" s="22" t="s">
        <v>10</v>
      </c>
      <c r="G2249" s="22" t="s">
        <v>11</v>
      </c>
      <c r="H2249" s="22" t="s">
        <v>18</v>
      </c>
      <c r="I2249" s="22" t="s">
        <v>264</v>
      </c>
      <c r="J2249" s="22" t="s">
        <v>477</v>
      </c>
      <c r="K2249" s="23" t="s">
        <v>3855</v>
      </c>
    </row>
    <row r="2250" spans="1:14" hidden="1" x14ac:dyDescent="0.35">
      <c r="A2250" s="21">
        <v>1704840</v>
      </c>
      <c r="B2250" s="22" t="str">
        <f>"3328121503830001"</f>
        <v>3328121503830001</v>
      </c>
      <c r="C2250" s="22" t="str">
        <f t="shared" si="70"/>
        <v>'3328121503830001</v>
      </c>
      <c r="D2250" s="22" t="str">
        <f t="shared" si="71"/>
        <v>tidak ganda</v>
      </c>
      <c r="E2250" s="22" t="s">
        <v>4813</v>
      </c>
      <c r="F2250" s="22" t="s">
        <v>10</v>
      </c>
      <c r="G2250" s="22" t="s">
        <v>11</v>
      </c>
      <c r="H2250" s="22" t="s">
        <v>18</v>
      </c>
      <c r="I2250" s="22" t="s">
        <v>19</v>
      </c>
      <c r="J2250" s="22" t="s">
        <v>3565</v>
      </c>
      <c r="K2250" s="23" t="s">
        <v>4814</v>
      </c>
      <c r="L2250" t="e">
        <f>VLOOKUP(B2250,ubah!$B$2:$L$234,4,FALSE)</f>
        <v>#N/A</v>
      </c>
      <c r="M2250" t="e">
        <f>VLOOKUP(B2250,ubah!$B$2:$L$234,5,FALSE)</f>
        <v>#N/A</v>
      </c>
      <c r="N2250" t="e">
        <f>VLOOKUP(B2250,ubah!$B$2:$L$234,6,FALSE)</f>
        <v>#N/A</v>
      </c>
    </row>
    <row r="2251" spans="1:14" hidden="1" x14ac:dyDescent="0.35">
      <c r="A2251" s="21">
        <v>1201510</v>
      </c>
      <c r="B2251" s="22" t="str">
        <f>"3328140106610005"</f>
        <v>3328140106610005</v>
      </c>
      <c r="C2251" s="22" t="str">
        <f t="shared" si="70"/>
        <v>'3328140106610005</v>
      </c>
      <c r="D2251" s="22" t="str">
        <f t="shared" si="71"/>
        <v>tidak ganda</v>
      </c>
      <c r="E2251" s="22" t="s">
        <v>4817</v>
      </c>
      <c r="F2251" s="22" t="s">
        <v>10</v>
      </c>
      <c r="G2251" s="22" t="s">
        <v>11</v>
      </c>
      <c r="H2251" s="22" t="s">
        <v>50</v>
      </c>
      <c r="I2251" s="22" t="s">
        <v>86</v>
      </c>
      <c r="J2251" s="22" t="s">
        <v>313</v>
      </c>
      <c r="K2251" s="23" t="s">
        <v>2219</v>
      </c>
    </row>
    <row r="2252" spans="1:14" hidden="1" x14ac:dyDescent="0.35">
      <c r="A2252" s="21">
        <v>2333842</v>
      </c>
      <c r="B2252" s="22" t="str">
        <f>"3328140307680001"</f>
        <v>3328140307680001</v>
      </c>
      <c r="C2252" s="22" t="str">
        <f t="shared" si="70"/>
        <v>'3328140307680001</v>
      </c>
      <c r="D2252" s="22" t="str">
        <f t="shared" si="71"/>
        <v>tidak ganda</v>
      </c>
      <c r="E2252" s="22" t="s">
        <v>4818</v>
      </c>
      <c r="F2252" s="22" t="s">
        <v>10</v>
      </c>
      <c r="G2252" s="22" t="s">
        <v>11</v>
      </c>
      <c r="H2252" s="22" t="s">
        <v>50</v>
      </c>
      <c r="I2252" s="22" t="s">
        <v>58</v>
      </c>
      <c r="J2252" s="22" t="s">
        <v>417</v>
      </c>
      <c r="K2252" s="23" t="s">
        <v>59</v>
      </c>
    </row>
    <row r="2253" spans="1:14" hidden="1" x14ac:dyDescent="0.35">
      <c r="A2253" s="21">
        <v>1783043</v>
      </c>
      <c r="B2253" s="22" t="str">
        <f>"3328140308900004"</f>
        <v>3328140308900004</v>
      </c>
      <c r="C2253" s="22" t="str">
        <f t="shared" si="70"/>
        <v>'3328140308900004</v>
      </c>
      <c r="D2253" s="22" t="str">
        <f t="shared" si="71"/>
        <v>tidak ganda</v>
      </c>
      <c r="E2253" s="22" t="s">
        <v>4820</v>
      </c>
      <c r="F2253" s="22" t="s">
        <v>10</v>
      </c>
      <c r="G2253" s="22" t="s">
        <v>11</v>
      </c>
      <c r="H2253" s="22" t="s">
        <v>18</v>
      </c>
      <c r="I2253" s="22" t="s">
        <v>19</v>
      </c>
      <c r="J2253" s="22" t="s">
        <v>3565</v>
      </c>
      <c r="K2253" s="23" t="s">
        <v>4156</v>
      </c>
      <c r="L2253" t="e">
        <f>VLOOKUP(B2253,ubah!$B$2:$L$234,4,FALSE)</f>
        <v>#N/A</v>
      </c>
      <c r="M2253" t="e">
        <f>VLOOKUP(B2253,ubah!$B$2:$L$234,5,FALSE)</f>
        <v>#N/A</v>
      </c>
      <c r="N2253" t="e">
        <f>VLOOKUP(B2253,ubah!$B$2:$L$234,6,FALSE)</f>
        <v>#N/A</v>
      </c>
    </row>
    <row r="2254" spans="1:14" hidden="1" x14ac:dyDescent="0.35">
      <c r="A2254" s="21">
        <v>1920324</v>
      </c>
      <c r="B2254" s="22" t="str">
        <f>"3328140402020003"</f>
        <v>3328140402020003</v>
      </c>
      <c r="C2254" s="22" t="str">
        <f t="shared" si="70"/>
        <v>'3328140402020003</v>
      </c>
      <c r="D2254" s="22" t="str">
        <f t="shared" si="71"/>
        <v>ganda</v>
      </c>
      <c r="E2254" s="22" t="s">
        <v>4822</v>
      </c>
      <c r="F2254" s="22" t="s">
        <v>10</v>
      </c>
      <c r="G2254" s="22" t="s">
        <v>11</v>
      </c>
      <c r="H2254" s="22" t="s">
        <v>18</v>
      </c>
      <c r="I2254" s="22" t="s">
        <v>19</v>
      </c>
      <c r="J2254" s="22" t="s">
        <v>3565</v>
      </c>
      <c r="K2254" s="23" t="s">
        <v>4765</v>
      </c>
      <c r="L2254" t="e">
        <f>VLOOKUP(B2254,ubah!$B$2:$L$234,4,FALSE)</f>
        <v>#N/A</v>
      </c>
      <c r="M2254" t="e">
        <f>VLOOKUP(B2254,ubah!$B$2:$L$234,5,FALSE)</f>
        <v>#N/A</v>
      </c>
      <c r="N2254" t="e">
        <f>VLOOKUP(B2254,ubah!$B$2:$L$234,6,FALSE)</f>
        <v>#N/A</v>
      </c>
    </row>
    <row r="2255" spans="1:14" hidden="1" x14ac:dyDescent="0.35">
      <c r="A2255" s="21">
        <v>1350437</v>
      </c>
      <c r="B2255" s="22" t="str">
        <f>"3328140402020003"</f>
        <v>3328140402020003</v>
      </c>
      <c r="C2255" s="22" t="str">
        <f t="shared" si="70"/>
        <v>'3328140402020003</v>
      </c>
      <c r="D2255" s="22" t="str">
        <f t="shared" si="71"/>
        <v>ganda</v>
      </c>
      <c r="E2255" s="22" t="s">
        <v>4822</v>
      </c>
      <c r="F2255" s="22" t="s">
        <v>10</v>
      </c>
      <c r="G2255" s="22" t="s">
        <v>57</v>
      </c>
      <c r="H2255" s="22" t="s">
        <v>303</v>
      </c>
      <c r="I2255" s="22" t="s">
        <v>608</v>
      </c>
      <c r="J2255" s="22" t="s">
        <v>609</v>
      </c>
      <c r="K2255" s="23" t="s">
        <v>610</v>
      </c>
    </row>
    <row r="2256" spans="1:14" hidden="1" x14ac:dyDescent="0.35">
      <c r="A2256" s="21">
        <v>770703</v>
      </c>
      <c r="B2256" s="22" t="str">
        <f>"3328140503940005"</f>
        <v>3328140503940005</v>
      </c>
      <c r="C2256" s="22" t="str">
        <f t="shared" si="70"/>
        <v>'3328140503940005</v>
      </c>
      <c r="D2256" s="22" t="str">
        <f t="shared" si="71"/>
        <v>tidak ganda</v>
      </c>
      <c r="E2256" s="22" t="s">
        <v>1292</v>
      </c>
      <c r="F2256" s="22" t="s">
        <v>10</v>
      </c>
      <c r="G2256" s="22" t="s">
        <v>11</v>
      </c>
      <c r="H2256" s="22" t="s">
        <v>50</v>
      </c>
      <c r="I2256" s="22" t="s">
        <v>51</v>
      </c>
      <c r="J2256" s="22" t="s">
        <v>284</v>
      </c>
      <c r="K2256" s="23" t="s">
        <v>284</v>
      </c>
    </row>
    <row r="2257" spans="1:14" hidden="1" x14ac:dyDescent="0.35">
      <c r="A2257" s="21">
        <v>757702</v>
      </c>
      <c r="B2257" s="22" t="str">
        <f>"3328140511750008"</f>
        <v>3328140511750008</v>
      </c>
      <c r="C2257" s="22" t="str">
        <f t="shared" si="70"/>
        <v>'3328140511750008</v>
      </c>
      <c r="D2257" s="22" t="str">
        <f t="shared" si="71"/>
        <v>tidak ganda</v>
      </c>
      <c r="E2257" s="22" t="s">
        <v>4823</v>
      </c>
      <c r="F2257" s="22" t="s">
        <v>10</v>
      </c>
      <c r="G2257" s="22" t="s">
        <v>11</v>
      </c>
      <c r="H2257" s="22" t="s">
        <v>50</v>
      </c>
      <c r="I2257" s="22" t="s">
        <v>280</v>
      </c>
      <c r="J2257" s="22" t="s">
        <v>402</v>
      </c>
      <c r="K2257" s="23" t="s">
        <v>4730</v>
      </c>
    </row>
    <row r="2258" spans="1:14" hidden="1" x14ac:dyDescent="0.35">
      <c r="A2258" s="21">
        <v>1926833</v>
      </c>
      <c r="B2258" s="22" t="str">
        <f>"3328140601010001"</f>
        <v>3328140601010001</v>
      </c>
      <c r="C2258" s="22" t="str">
        <f t="shared" si="70"/>
        <v>'3328140601010001</v>
      </c>
      <c r="D2258" s="22" t="str">
        <f t="shared" si="71"/>
        <v>ganda</v>
      </c>
      <c r="E2258" s="22" t="s">
        <v>4824</v>
      </c>
      <c r="F2258" s="22" t="s">
        <v>10</v>
      </c>
      <c r="G2258" s="22" t="s">
        <v>11</v>
      </c>
      <c r="H2258" s="22" t="s">
        <v>18</v>
      </c>
      <c r="I2258" s="22" t="s">
        <v>19</v>
      </c>
      <c r="J2258" s="22" t="s">
        <v>3565</v>
      </c>
      <c r="K2258" s="23" t="s">
        <v>678</v>
      </c>
      <c r="L2258" t="e">
        <f>VLOOKUP(B2258,ubah!$B$2:$L$234,4,FALSE)</f>
        <v>#N/A</v>
      </c>
      <c r="M2258" t="e">
        <f>VLOOKUP(B2258,ubah!$B$2:$L$234,5,FALSE)</f>
        <v>#N/A</v>
      </c>
      <c r="N2258" t="e">
        <f>VLOOKUP(B2258,ubah!$B$2:$L$234,6,FALSE)</f>
        <v>#N/A</v>
      </c>
    </row>
    <row r="2259" spans="1:14" hidden="1" x14ac:dyDescent="0.35">
      <c r="A2259" s="21">
        <v>1350439</v>
      </c>
      <c r="B2259" s="22" t="str">
        <f>"3328140601010001"</f>
        <v>3328140601010001</v>
      </c>
      <c r="C2259" s="22" t="str">
        <f t="shared" si="70"/>
        <v>'3328140601010001</v>
      </c>
      <c r="D2259" s="22" t="str">
        <f t="shared" si="71"/>
        <v>ganda</v>
      </c>
      <c r="E2259" s="22" t="s">
        <v>4825</v>
      </c>
      <c r="F2259" s="22" t="s">
        <v>10</v>
      </c>
      <c r="G2259" s="22" t="s">
        <v>57</v>
      </c>
      <c r="H2259" s="22" t="s">
        <v>303</v>
      </c>
      <c r="I2259" s="22" t="s">
        <v>608</v>
      </c>
      <c r="J2259" s="22" t="s">
        <v>609</v>
      </c>
      <c r="K2259" s="23" t="s">
        <v>610</v>
      </c>
    </row>
    <row r="2260" spans="1:14" hidden="1" x14ac:dyDescent="0.35">
      <c r="A2260" s="21">
        <v>1350435</v>
      </c>
      <c r="B2260" s="22" t="str">
        <f>"3328140605020003"</f>
        <v>3328140605020003</v>
      </c>
      <c r="C2260" s="22" t="str">
        <f t="shared" si="70"/>
        <v>'3328140605020003</v>
      </c>
      <c r="D2260" s="22" t="str">
        <f t="shared" si="71"/>
        <v>tidak ganda</v>
      </c>
      <c r="E2260" s="22" t="s">
        <v>4826</v>
      </c>
      <c r="F2260" s="22" t="s">
        <v>10</v>
      </c>
      <c r="G2260" s="22" t="s">
        <v>57</v>
      </c>
      <c r="H2260" s="22" t="s">
        <v>303</v>
      </c>
      <c r="I2260" s="22" t="s">
        <v>608</v>
      </c>
      <c r="J2260" s="22" t="s">
        <v>609</v>
      </c>
      <c r="K2260" s="23" t="s">
        <v>610</v>
      </c>
    </row>
    <row r="2261" spans="1:14" hidden="1" x14ac:dyDescent="0.35">
      <c r="A2261" s="21">
        <v>243521</v>
      </c>
      <c r="B2261" s="22" t="str">
        <f>"3328140709810004"</f>
        <v>3328140709810004</v>
      </c>
      <c r="C2261" s="22" t="str">
        <f t="shared" si="70"/>
        <v>'3328140709810004</v>
      </c>
      <c r="D2261" s="22" t="str">
        <f t="shared" si="71"/>
        <v>tidak ganda</v>
      </c>
      <c r="E2261" s="22" t="s">
        <v>4827</v>
      </c>
      <c r="F2261" s="22" t="s">
        <v>10</v>
      </c>
      <c r="G2261" s="22" t="s">
        <v>11</v>
      </c>
      <c r="H2261" s="22" t="s">
        <v>18</v>
      </c>
      <c r="I2261" s="22" t="s">
        <v>268</v>
      </c>
      <c r="J2261" s="22" t="s">
        <v>371</v>
      </c>
      <c r="K2261" s="23" t="s">
        <v>372</v>
      </c>
    </row>
    <row r="2262" spans="1:14" hidden="1" x14ac:dyDescent="0.35">
      <c r="A2262" s="21">
        <v>659597</v>
      </c>
      <c r="B2262" s="22" t="str">
        <f>"3328140908670002"</f>
        <v>3328140908670002</v>
      </c>
      <c r="C2262" s="22" t="str">
        <f t="shared" si="70"/>
        <v>'3328140908670002</v>
      </c>
      <c r="D2262" s="22" t="str">
        <f t="shared" si="71"/>
        <v>tidak ganda</v>
      </c>
      <c r="E2262" s="22" t="s">
        <v>4832</v>
      </c>
      <c r="F2262" s="22" t="s">
        <v>10</v>
      </c>
      <c r="G2262" s="22" t="s">
        <v>11</v>
      </c>
      <c r="H2262" s="22" t="s">
        <v>91</v>
      </c>
      <c r="I2262" s="22" t="s">
        <v>438</v>
      </c>
      <c r="J2262" s="22" t="s">
        <v>439</v>
      </c>
      <c r="K2262" s="23" t="s">
        <v>4833</v>
      </c>
    </row>
    <row r="2263" spans="1:14" hidden="1" x14ac:dyDescent="0.35">
      <c r="A2263" s="21">
        <v>616279</v>
      </c>
      <c r="B2263" s="22" t="str">
        <f>"3328141001690004"</f>
        <v>3328141001690004</v>
      </c>
      <c r="C2263" s="22" t="str">
        <f t="shared" si="70"/>
        <v>'3328141001690004</v>
      </c>
      <c r="D2263" s="22" t="str">
        <f t="shared" si="71"/>
        <v>tidak ganda</v>
      </c>
      <c r="E2263" s="22" t="s">
        <v>4091</v>
      </c>
      <c r="F2263" s="22" t="s">
        <v>10</v>
      </c>
      <c r="G2263" s="22" t="s">
        <v>11</v>
      </c>
      <c r="H2263" s="22" t="s">
        <v>50</v>
      </c>
      <c r="I2263" s="22" t="s">
        <v>280</v>
      </c>
      <c r="J2263" s="22" t="s">
        <v>1121</v>
      </c>
      <c r="K2263" s="23" t="s">
        <v>4834</v>
      </c>
    </row>
    <row r="2264" spans="1:14" hidden="1" x14ac:dyDescent="0.35">
      <c r="A2264" s="21">
        <v>1350436</v>
      </c>
      <c r="B2264" s="22" t="str">
        <f>"3328141004060002"</f>
        <v>3328141004060002</v>
      </c>
      <c r="C2264" s="22" t="str">
        <f t="shared" si="70"/>
        <v>'3328141004060002</v>
      </c>
      <c r="D2264" s="22" t="str">
        <f t="shared" si="71"/>
        <v>tidak ganda</v>
      </c>
      <c r="E2264" s="22" t="s">
        <v>4837</v>
      </c>
      <c r="F2264" s="22" t="s">
        <v>10</v>
      </c>
      <c r="G2264" s="22" t="s">
        <v>57</v>
      </c>
      <c r="H2264" s="22" t="s">
        <v>303</v>
      </c>
      <c r="I2264" s="22" t="s">
        <v>608</v>
      </c>
      <c r="J2264" s="22" t="s">
        <v>609</v>
      </c>
      <c r="K2264" s="23" t="s">
        <v>610</v>
      </c>
    </row>
    <row r="2265" spans="1:14" hidden="1" x14ac:dyDescent="0.35">
      <c r="A2265" s="21">
        <v>2013828</v>
      </c>
      <c r="B2265" s="22" t="str">
        <f>"3328141007720003"</f>
        <v>3328141007720003</v>
      </c>
      <c r="C2265" s="22" t="str">
        <f t="shared" si="70"/>
        <v>'3328141007720003</v>
      </c>
      <c r="D2265" s="22" t="str">
        <f t="shared" si="71"/>
        <v>tidak ganda</v>
      </c>
      <c r="E2265" s="22" t="s">
        <v>4838</v>
      </c>
      <c r="F2265" s="22" t="s">
        <v>10</v>
      </c>
      <c r="G2265" s="22" t="s">
        <v>11</v>
      </c>
      <c r="H2265" s="22" t="s">
        <v>67</v>
      </c>
      <c r="I2265" s="22" t="s">
        <v>68</v>
      </c>
      <c r="J2265" s="22" t="s">
        <v>678</v>
      </c>
      <c r="K2265" s="23" t="s">
        <v>4839</v>
      </c>
    </row>
    <row r="2266" spans="1:14" hidden="1" x14ac:dyDescent="0.35">
      <c r="A2266" s="21">
        <v>1436554</v>
      </c>
      <c r="B2266" s="22" t="str">
        <f>"3328141102880003"</f>
        <v>3328141102880003</v>
      </c>
      <c r="C2266" s="22" t="str">
        <f t="shared" si="70"/>
        <v>'3328141102880003</v>
      </c>
      <c r="D2266" s="22" t="str">
        <f t="shared" si="71"/>
        <v>tidak ganda</v>
      </c>
      <c r="E2266" s="22" t="s">
        <v>4840</v>
      </c>
      <c r="F2266" s="22" t="s">
        <v>10</v>
      </c>
      <c r="G2266" s="22" t="s">
        <v>11</v>
      </c>
      <c r="H2266" s="22" t="s">
        <v>67</v>
      </c>
      <c r="I2266" s="22" t="s">
        <v>68</v>
      </c>
      <c r="J2266" s="22" t="s">
        <v>2817</v>
      </c>
      <c r="K2266" s="23" t="s">
        <v>317</v>
      </c>
    </row>
    <row r="2267" spans="1:14" hidden="1" x14ac:dyDescent="0.35">
      <c r="A2267" s="21">
        <v>1919933</v>
      </c>
      <c r="B2267" s="22" t="str">
        <f>"3328141106780003"</f>
        <v>3328141106780003</v>
      </c>
      <c r="C2267" s="22" t="str">
        <f t="shared" si="70"/>
        <v>'3328141106780003</v>
      </c>
      <c r="D2267" s="22" t="str">
        <f t="shared" si="71"/>
        <v>tidak ganda</v>
      </c>
      <c r="E2267" s="22" t="s">
        <v>4841</v>
      </c>
      <c r="F2267" s="22" t="s">
        <v>10</v>
      </c>
      <c r="G2267" s="22" t="s">
        <v>11</v>
      </c>
      <c r="H2267" s="22" t="s">
        <v>18</v>
      </c>
      <c r="I2267" s="22" t="s">
        <v>19</v>
      </c>
      <c r="J2267" s="22" t="s">
        <v>3565</v>
      </c>
      <c r="K2267" s="23" t="s">
        <v>4765</v>
      </c>
      <c r="L2267" t="e">
        <f>VLOOKUP(B2267,ubah!$B$2:$L$234,4,FALSE)</f>
        <v>#N/A</v>
      </c>
      <c r="M2267" t="e">
        <f>VLOOKUP(B2267,ubah!$B$2:$L$234,5,FALSE)</f>
        <v>#N/A</v>
      </c>
      <c r="N2267" t="e">
        <f>VLOOKUP(B2267,ubah!$B$2:$L$234,6,FALSE)</f>
        <v>#N/A</v>
      </c>
    </row>
    <row r="2268" spans="1:14" hidden="1" x14ac:dyDescent="0.35">
      <c r="A2268" s="21">
        <v>2503824</v>
      </c>
      <c r="B2268" s="22" t="str">
        <f>"3328141302950006"</f>
        <v>3328141302950006</v>
      </c>
      <c r="C2268" s="22" t="str">
        <f t="shared" si="70"/>
        <v>'3328141302950006</v>
      </c>
      <c r="D2268" s="22" t="str">
        <f t="shared" si="71"/>
        <v>tidak ganda</v>
      </c>
      <c r="E2268" s="22" t="s">
        <v>4843</v>
      </c>
      <c r="F2268" s="22" t="s">
        <v>10</v>
      </c>
      <c r="G2268" s="22" t="s">
        <v>11</v>
      </c>
      <c r="H2268" s="22" t="s">
        <v>67</v>
      </c>
      <c r="I2268" s="22" t="s">
        <v>375</v>
      </c>
      <c r="J2268" s="22" t="s">
        <v>4411</v>
      </c>
      <c r="K2268" s="23" t="s">
        <v>4844</v>
      </c>
    </row>
    <row r="2269" spans="1:14" hidden="1" x14ac:dyDescent="0.35">
      <c r="A2269" s="21">
        <v>866971</v>
      </c>
      <c r="B2269" s="22" t="str">
        <f>"3328141402940001"</f>
        <v>3328141402940001</v>
      </c>
      <c r="C2269" s="22" t="str">
        <f t="shared" si="70"/>
        <v>'3328141402940001</v>
      </c>
      <c r="D2269" s="22" t="str">
        <f t="shared" si="71"/>
        <v>tidak ganda</v>
      </c>
      <c r="E2269" s="22" t="s">
        <v>4845</v>
      </c>
      <c r="F2269" s="22" t="s">
        <v>10</v>
      </c>
      <c r="G2269" s="22" t="s">
        <v>11</v>
      </c>
      <c r="H2269" s="22" t="s">
        <v>50</v>
      </c>
      <c r="I2269" s="22" t="s">
        <v>72</v>
      </c>
      <c r="J2269" s="22" t="s">
        <v>73</v>
      </c>
      <c r="K2269" s="23" t="s">
        <v>800</v>
      </c>
    </row>
    <row r="2270" spans="1:14" hidden="1" x14ac:dyDescent="0.35">
      <c r="A2270" s="21">
        <v>1315754</v>
      </c>
      <c r="B2270" s="22" t="str">
        <f>"3328141405750004"</f>
        <v>3328141405750004</v>
      </c>
      <c r="C2270" s="22" t="str">
        <f t="shared" si="70"/>
        <v>'3328141405750004</v>
      </c>
      <c r="D2270" s="22" t="str">
        <f t="shared" si="71"/>
        <v>tidak ganda</v>
      </c>
      <c r="E2270" s="22" t="s">
        <v>4846</v>
      </c>
      <c r="F2270" s="22" t="s">
        <v>10</v>
      </c>
      <c r="G2270" s="22" t="s">
        <v>11</v>
      </c>
      <c r="H2270" s="22" t="s">
        <v>50</v>
      </c>
      <c r="I2270" s="22" t="s">
        <v>86</v>
      </c>
      <c r="J2270" s="22" t="s">
        <v>1268</v>
      </c>
      <c r="K2270" s="23" t="s">
        <v>2203</v>
      </c>
    </row>
    <row r="2271" spans="1:14" hidden="1" x14ac:dyDescent="0.35">
      <c r="A2271" s="21">
        <v>1350434</v>
      </c>
      <c r="B2271" s="22" t="str">
        <f>"3328141409050004"</f>
        <v>3328141409050004</v>
      </c>
      <c r="C2271" s="22" t="str">
        <f t="shared" si="70"/>
        <v>'3328141409050004</v>
      </c>
      <c r="D2271" s="22" t="str">
        <f t="shared" si="71"/>
        <v>tidak ganda</v>
      </c>
      <c r="E2271" s="22" t="s">
        <v>4848</v>
      </c>
      <c r="F2271" s="22" t="s">
        <v>10</v>
      </c>
      <c r="G2271" s="22" t="s">
        <v>57</v>
      </c>
      <c r="H2271" s="22" t="s">
        <v>303</v>
      </c>
      <c r="I2271" s="22" t="s">
        <v>608</v>
      </c>
      <c r="J2271" s="22" t="s">
        <v>609</v>
      </c>
      <c r="K2271" s="23" t="s">
        <v>610</v>
      </c>
    </row>
    <row r="2272" spans="1:14" hidden="1" x14ac:dyDescent="0.35">
      <c r="A2272" s="21">
        <v>154079</v>
      </c>
      <c r="B2272" s="22" t="str">
        <f>"3328141507560001"</f>
        <v>3328141507560001</v>
      </c>
      <c r="C2272" s="22" t="str">
        <f t="shared" si="70"/>
        <v>'3328141507560001</v>
      </c>
      <c r="D2272" s="22" t="str">
        <f t="shared" si="71"/>
        <v>tidak ganda</v>
      </c>
      <c r="E2272" s="22" t="s">
        <v>4849</v>
      </c>
      <c r="F2272" s="22" t="s">
        <v>10</v>
      </c>
      <c r="G2272" s="22" t="s">
        <v>11</v>
      </c>
      <c r="H2272" s="22" t="s">
        <v>50</v>
      </c>
      <c r="I2272" s="22" t="s">
        <v>86</v>
      </c>
      <c r="J2272" s="22" t="s">
        <v>205</v>
      </c>
      <c r="K2272" s="23" t="s">
        <v>1952</v>
      </c>
    </row>
    <row r="2273" spans="1:14" hidden="1" x14ac:dyDescent="0.35">
      <c r="A2273" s="21">
        <v>1233670</v>
      </c>
      <c r="B2273" s="22" t="str">
        <f>"3328141508720001"</f>
        <v>3328141508720001</v>
      </c>
      <c r="C2273" s="22" t="str">
        <f t="shared" si="70"/>
        <v>'3328141508720001</v>
      </c>
      <c r="D2273" s="22" t="str">
        <f t="shared" si="71"/>
        <v>tidak ganda</v>
      </c>
      <c r="E2273" s="22" t="s">
        <v>4850</v>
      </c>
      <c r="F2273" s="22" t="s">
        <v>10</v>
      </c>
      <c r="G2273" s="22" t="s">
        <v>11</v>
      </c>
      <c r="H2273" s="22" t="s">
        <v>18</v>
      </c>
      <c r="I2273" s="22" t="s">
        <v>264</v>
      </c>
      <c r="J2273" s="22" t="s">
        <v>248</v>
      </c>
      <c r="K2273" s="23" t="s">
        <v>868</v>
      </c>
    </row>
    <row r="2274" spans="1:14" hidden="1" x14ac:dyDescent="0.35">
      <c r="A2274" s="21">
        <v>1874141</v>
      </c>
      <c r="B2274" s="22" t="str">
        <f>"3328141510850004"</f>
        <v>3328141510850004</v>
      </c>
      <c r="C2274" s="22" t="str">
        <f t="shared" si="70"/>
        <v>'3328141510850004</v>
      </c>
      <c r="D2274" s="22" t="str">
        <f t="shared" si="71"/>
        <v>tidak ganda</v>
      </c>
      <c r="E2274" s="22" t="s">
        <v>4851</v>
      </c>
      <c r="F2274" s="22" t="s">
        <v>10</v>
      </c>
      <c r="G2274" s="22" t="s">
        <v>11</v>
      </c>
      <c r="H2274" s="22" t="s">
        <v>18</v>
      </c>
      <c r="I2274" s="22" t="s">
        <v>19</v>
      </c>
      <c r="J2274" s="22" t="s">
        <v>3565</v>
      </c>
      <c r="K2274" s="23" t="s">
        <v>4752</v>
      </c>
      <c r="L2274" t="e">
        <f>VLOOKUP(B2274,ubah!$B$2:$L$234,4,FALSE)</f>
        <v>#N/A</v>
      </c>
      <c r="M2274" t="e">
        <f>VLOOKUP(B2274,ubah!$B$2:$L$234,5,FALSE)</f>
        <v>#N/A</v>
      </c>
      <c r="N2274" t="e">
        <f>VLOOKUP(B2274,ubah!$B$2:$L$234,6,FALSE)</f>
        <v>#N/A</v>
      </c>
    </row>
    <row r="2275" spans="1:14" hidden="1" x14ac:dyDescent="0.35">
      <c r="A2275" s="21">
        <v>1800999</v>
      </c>
      <c r="B2275" s="22" t="str">
        <f>"3328141512990001"</f>
        <v>3328141512990001</v>
      </c>
      <c r="C2275" s="22" t="str">
        <f t="shared" si="70"/>
        <v>'3328141512990001</v>
      </c>
      <c r="D2275" s="22" t="str">
        <f t="shared" si="71"/>
        <v>ganda</v>
      </c>
      <c r="E2275" s="22" t="s">
        <v>4852</v>
      </c>
      <c r="F2275" s="22" t="s">
        <v>10</v>
      </c>
      <c r="G2275" s="22" t="s">
        <v>11</v>
      </c>
      <c r="H2275" s="22" t="s">
        <v>18</v>
      </c>
      <c r="I2275" s="22" t="s">
        <v>19</v>
      </c>
      <c r="J2275" s="22" t="s">
        <v>3565</v>
      </c>
      <c r="K2275" s="23" t="s">
        <v>4703</v>
      </c>
      <c r="L2275" t="e">
        <f>VLOOKUP(B2275,ubah!$B$2:$L$234,4,FALSE)</f>
        <v>#N/A</v>
      </c>
      <c r="M2275" t="e">
        <f>VLOOKUP(B2275,ubah!$B$2:$L$234,5,FALSE)</f>
        <v>#N/A</v>
      </c>
      <c r="N2275" t="e">
        <f>VLOOKUP(B2275,ubah!$B$2:$L$234,6,FALSE)</f>
        <v>#N/A</v>
      </c>
    </row>
    <row r="2276" spans="1:14" hidden="1" x14ac:dyDescent="0.35">
      <c r="A2276" s="21">
        <v>252397</v>
      </c>
      <c r="B2276" s="22" t="str">
        <f>"3328141512990001"</f>
        <v>3328141512990001</v>
      </c>
      <c r="C2276" s="22" t="str">
        <f t="shared" si="70"/>
        <v>'3328141512990001</v>
      </c>
      <c r="D2276" s="22" t="str">
        <f t="shared" si="71"/>
        <v>ganda</v>
      </c>
      <c r="E2276" s="22" t="s">
        <v>4852</v>
      </c>
      <c r="F2276" s="22" t="s">
        <v>10</v>
      </c>
      <c r="G2276" s="22" t="s">
        <v>57</v>
      </c>
      <c r="H2276" s="22" t="s">
        <v>521</v>
      </c>
      <c r="I2276" s="22" t="s">
        <v>657</v>
      </c>
      <c r="J2276" s="22" t="s">
        <v>658</v>
      </c>
      <c r="K2276" s="23" t="s">
        <v>3357</v>
      </c>
    </row>
    <row r="2277" spans="1:14" hidden="1" x14ac:dyDescent="0.35">
      <c r="A2277" s="21">
        <v>141845</v>
      </c>
      <c r="B2277" s="22" t="str">
        <f>"3328142402710002"</f>
        <v>3328142402710002</v>
      </c>
      <c r="C2277" s="22" t="str">
        <f t="shared" si="70"/>
        <v>'3328142402710002</v>
      </c>
      <c r="D2277" s="22" t="str">
        <f t="shared" si="71"/>
        <v>tidak ganda</v>
      </c>
      <c r="E2277" s="22" t="s">
        <v>4853</v>
      </c>
      <c r="F2277" s="22" t="s">
        <v>10</v>
      </c>
      <c r="G2277" s="22" t="s">
        <v>11</v>
      </c>
      <c r="H2277" s="22" t="s">
        <v>50</v>
      </c>
      <c r="I2277" s="22" t="s">
        <v>72</v>
      </c>
      <c r="J2277" s="22" t="s">
        <v>1840</v>
      </c>
      <c r="K2277" s="23" t="s">
        <v>3787</v>
      </c>
    </row>
    <row r="2278" spans="1:14" hidden="1" x14ac:dyDescent="0.35">
      <c r="A2278" s="21">
        <v>2613995</v>
      </c>
      <c r="B2278" s="22" t="str">
        <f>"3328142503980007"</f>
        <v>3328142503980007</v>
      </c>
      <c r="C2278" s="22" t="str">
        <f t="shared" si="70"/>
        <v>'3328142503980007</v>
      </c>
      <c r="D2278" s="22" t="str">
        <f t="shared" si="71"/>
        <v>tidak ganda</v>
      </c>
      <c r="E2278" s="22" t="s">
        <v>4855</v>
      </c>
      <c r="F2278" s="22" t="s">
        <v>10</v>
      </c>
      <c r="G2278" s="22" t="s">
        <v>57</v>
      </c>
      <c r="H2278" s="22" t="s">
        <v>18</v>
      </c>
      <c r="I2278" s="22" t="s">
        <v>1438</v>
      </c>
      <c r="J2278" s="22" t="s">
        <v>3511</v>
      </c>
      <c r="K2278" s="23" t="s">
        <v>3086</v>
      </c>
    </row>
    <row r="2279" spans="1:14" hidden="1" x14ac:dyDescent="0.35">
      <c r="A2279" s="21">
        <v>1313076</v>
      </c>
      <c r="B2279" s="22" t="str">
        <f>"3328142705950004"</f>
        <v>3328142705950004</v>
      </c>
      <c r="C2279" s="22" t="str">
        <f t="shared" si="70"/>
        <v>'3328142705950004</v>
      </c>
      <c r="D2279" s="22" t="str">
        <f t="shared" si="71"/>
        <v>tidak ganda</v>
      </c>
      <c r="E2279" s="22" t="s">
        <v>4856</v>
      </c>
      <c r="F2279" s="22" t="s">
        <v>10</v>
      </c>
      <c r="G2279" s="22" t="s">
        <v>11</v>
      </c>
      <c r="H2279" s="22" t="s">
        <v>50</v>
      </c>
      <c r="I2279" s="22" t="s">
        <v>51</v>
      </c>
      <c r="J2279" s="22" t="s">
        <v>284</v>
      </c>
      <c r="K2279" s="23" t="s">
        <v>285</v>
      </c>
    </row>
    <row r="2280" spans="1:14" hidden="1" x14ac:dyDescent="0.35">
      <c r="A2280" s="21">
        <v>1055567</v>
      </c>
      <c r="B2280" s="22" t="str">
        <f>"3328142811000003"</f>
        <v>3328142811000003</v>
      </c>
      <c r="C2280" s="22" t="str">
        <f t="shared" si="70"/>
        <v>'3328142811000003</v>
      </c>
      <c r="D2280" s="22" t="str">
        <f t="shared" si="71"/>
        <v>tidak ganda</v>
      </c>
      <c r="E2280" s="22" t="s">
        <v>4859</v>
      </c>
      <c r="F2280" s="22" t="s">
        <v>10</v>
      </c>
      <c r="G2280" s="22" t="s">
        <v>11</v>
      </c>
      <c r="H2280" s="22" t="s">
        <v>91</v>
      </c>
      <c r="I2280" s="22" t="s">
        <v>320</v>
      </c>
      <c r="J2280" s="22" t="s">
        <v>409</v>
      </c>
      <c r="K2280" s="23" t="s">
        <v>4860</v>
      </c>
    </row>
    <row r="2281" spans="1:14" hidden="1" x14ac:dyDescent="0.35">
      <c r="A2281" s="21">
        <v>1872117</v>
      </c>
      <c r="B2281" s="22" t="str">
        <f>"3328142903950004"</f>
        <v>3328142903950004</v>
      </c>
      <c r="C2281" s="22" t="str">
        <f t="shared" si="70"/>
        <v>'3328142903950004</v>
      </c>
      <c r="D2281" s="22" t="str">
        <f t="shared" si="71"/>
        <v>tidak ganda</v>
      </c>
      <c r="E2281" s="22" t="s">
        <v>4861</v>
      </c>
      <c r="F2281" s="22" t="s">
        <v>10</v>
      </c>
      <c r="G2281" s="22" t="s">
        <v>11</v>
      </c>
      <c r="H2281" s="22" t="s">
        <v>18</v>
      </c>
      <c r="I2281" s="22" t="s">
        <v>19</v>
      </c>
      <c r="J2281" s="22" t="s">
        <v>3565</v>
      </c>
      <c r="K2281" s="23" t="s">
        <v>3565</v>
      </c>
      <c r="L2281" t="e">
        <f>VLOOKUP(B2281,ubah!$B$2:$L$234,4,FALSE)</f>
        <v>#N/A</v>
      </c>
      <c r="M2281" t="e">
        <f>VLOOKUP(B2281,ubah!$B$2:$L$234,5,FALSE)</f>
        <v>#N/A</v>
      </c>
      <c r="N2281" t="e">
        <f>VLOOKUP(B2281,ubah!$B$2:$L$234,6,FALSE)</f>
        <v>#N/A</v>
      </c>
    </row>
    <row r="2282" spans="1:14" hidden="1" x14ac:dyDescent="0.35">
      <c r="A2282" s="21">
        <v>146727</v>
      </c>
      <c r="B2282" s="22" t="str">
        <f>"3328143009020001"</f>
        <v>3328143009020001</v>
      </c>
      <c r="C2282" s="22" t="str">
        <f t="shared" si="70"/>
        <v>'3328143009020001</v>
      </c>
      <c r="D2282" s="22" t="str">
        <f t="shared" si="71"/>
        <v>tidak ganda</v>
      </c>
      <c r="E2282" s="22" t="s">
        <v>4866</v>
      </c>
      <c r="F2282" s="22" t="s">
        <v>10</v>
      </c>
      <c r="G2282" s="22" t="s">
        <v>11</v>
      </c>
      <c r="H2282" s="22" t="s">
        <v>1959</v>
      </c>
      <c r="I2282" s="22" t="s">
        <v>4867</v>
      </c>
      <c r="J2282" s="22" t="s">
        <v>4868</v>
      </c>
      <c r="K2282" s="23" t="s">
        <v>4869</v>
      </c>
    </row>
    <row r="2283" spans="1:14" hidden="1" x14ac:dyDescent="0.35">
      <c r="A2283" s="21">
        <v>1350440</v>
      </c>
      <c r="B2283" s="22" t="str">
        <f>"3328143108060001"</f>
        <v>3328143108060001</v>
      </c>
      <c r="C2283" s="22" t="str">
        <f t="shared" si="70"/>
        <v>'3328143108060001</v>
      </c>
      <c r="D2283" s="22" t="str">
        <f t="shared" si="71"/>
        <v>tidak ganda</v>
      </c>
      <c r="E2283" s="22" t="s">
        <v>4870</v>
      </c>
      <c r="F2283" s="22" t="s">
        <v>10</v>
      </c>
      <c r="G2283" s="22" t="s">
        <v>57</v>
      </c>
      <c r="H2283" s="22" t="s">
        <v>303</v>
      </c>
      <c r="I2283" s="22" t="s">
        <v>608</v>
      </c>
      <c r="J2283" s="22" t="s">
        <v>609</v>
      </c>
      <c r="K2283" s="23" t="s">
        <v>610</v>
      </c>
    </row>
    <row r="2284" spans="1:14" hidden="1" x14ac:dyDescent="0.35">
      <c r="A2284" s="21">
        <v>1127991</v>
      </c>
      <c r="B2284" s="22" t="str">
        <f>"3328144102870002"</f>
        <v>3328144102870002</v>
      </c>
      <c r="C2284" s="22" t="str">
        <f t="shared" si="70"/>
        <v>'3328144102870002</v>
      </c>
      <c r="D2284" s="22" t="str">
        <f t="shared" si="71"/>
        <v>tidak ganda</v>
      </c>
      <c r="E2284" s="22" t="s">
        <v>4872</v>
      </c>
      <c r="F2284" s="22" t="s">
        <v>10</v>
      </c>
      <c r="G2284" s="22" t="s">
        <v>11</v>
      </c>
      <c r="H2284" s="22" t="s">
        <v>91</v>
      </c>
      <c r="I2284" s="22" t="s">
        <v>159</v>
      </c>
      <c r="J2284" s="22" t="s">
        <v>1828</v>
      </c>
      <c r="K2284" s="23" t="s">
        <v>3289</v>
      </c>
    </row>
    <row r="2285" spans="1:14" hidden="1" x14ac:dyDescent="0.35">
      <c r="A2285" s="21">
        <v>67770</v>
      </c>
      <c r="B2285" s="22" t="str">
        <f>"3328144104790003"</f>
        <v>3328144104790003</v>
      </c>
      <c r="C2285" s="22" t="str">
        <f t="shared" si="70"/>
        <v>'3328144104790003</v>
      </c>
      <c r="D2285" s="22" t="str">
        <f t="shared" si="71"/>
        <v>tidak ganda</v>
      </c>
      <c r="E2285" s="22" t="s">
        <v>4874</v>
      </c>
      <c r="F2285" s="22" t="s">
        <v>10</v>
      </c>
      <c r="G2285" s="22" t="s">
        <v>11</v>
      </c>
      <c r="H2285" s="22" t="s">
        <v>91</v>
      </c>
      <c r="I2285" s="22" t="s">
        <v>159</v>
      </c>
      <c r="J2285" s="22" t="s">
        <v>1828</v>
      </c>
      <c r="K2285" s="23" t="s">
        <v>3707</v>
      </c>
    </row>
    <row r="2286" spans="1:14" hidden="1" x14ac:dyDescent="0.35">
      <c r="A2286" s="21">
        <v>600831</v>
      </c>
      <c r="B2286" s="22" t="str">
        <f>"3328144110060006"</f>
        <v>3328144110060006</v>
      </c>
      <c r="C2286" s="22" t="str">
        <f t="shared" si="70"/>
        <v>'3328144110060006</v>
      </c>
      <c r="D2286" s="22" t="str">
        <f t="shared" si="71"/>
        <v>tidak ganda</v>
      </c>
      <c r="E2286" s="22" t="s">
        <v>4876</v>
      </c>
      <c r="F2286" s="22" t="s">
        <v>10</v>
      </c>
      <c r="G2286" s="22" t="s">
        <v>11</v>
      </c>
      <c r="H2286" s="22" t="s">
        <v>303</v>
      </c>
      <c r="I2286" s="22" t="s">
        <v>2791</v>
      </c>
      <c r="J2286" s="22" t="s">
        <v>2791</v>
      </c>
      <c r="K2286" s="23" t="s">
        <v>4877</v>
      </c>
    </row>
    <row r="2287" spans="1:14" hidden="1" x14ac:dyDescent="0.35">
      <c r="A2287" s="21">
        <v>1919934</v>
      </c>
      <c r="B2287" s="22" t="str">
        <f>"3328144112780001"</f>
        <v>3328144112780001</v>
      </c>
      <c r="C2287" s="22" t="str">
        <f t="shared" si="70"/>
        <v>'3328144112780001</v>
      </c>
      <c r="D2287" s="22" t="str">
        <f t="shared" si="71"/>
        <v>tidak ganda</v>
      </c>
      <c r="E2287" s="22" t="s">
        <v>4878</v>
      </c>
      <c r="F2287" s="22" t="s">
        <v>10</v>
      </c>
      <c r="G2287" s="22" t="s">
        <v>11</v>
      </c>
      <c r="H2287" s="22" t="s">
        <v>18</v>
      </c>
      <c r="I2287" s="22" t="s">
        <v>19</v>
      </c>
      <c r="J2287" s="22" t="s">
        <v>3565</v>
      </c>
      <c r="K2287" s="23" t="s">
        <v>4765</v>
      </c>
      <c r="L2287" t="e">
        <f>VLOOKUP(B2287,ubah!$B$2:$L$234,4,FALSE)</f>
        <v>#N/A</v>
      </c>
      <c r="M2287" t="e">
        <f>VLOOKUP(B2287,ubah!$B$2:$L$234,5,FALSE)</f>
        <v>#N/A</v>
      </c>
      <c r="N2287" t="e">
        <f>VLOOKUP(B2287,ubah!$B$2:$L$234,6,FALSE)</f>
        <v>#N/A</v>
      </c>
    </row>
    <row r="2288" spans="1:14" hidden="1" x14ac:dyDescent="0.35">
      <c r="A2288" s="21">
        <v>1946845</v>
      </c>
      <c r="B2288" s="22" t="str">
        <f>"3328144212640003"</f>
        <v>3328144212640003</v>
      </c>
      <c r="C2288" s="22" t="str">
        <f t="shared" si="70"/>
        <v>'3328144212640003</v>
      </c>
      <c r="D2288" s="22" t="str">
        <f t="shared" si="71"/>
        <v>tidak ganda</v>
      </c>
      <c r="E2288" s="22" t="s">
        <v>4879</v>
      </c>
      <c r="F2288" s="22" t="s">
        <v>10</v>
      </c>
      <c r="G2288" s="22" t="s">
        <v>11</v>
      </c>
      <c r="H2288" s="22" t="s">
        <v>18</v>
      </c>
      <c r="I2288" s="22" t="s">
        <v>19</v>
      </c>
      <c r="J2288" s="22" t="s">
        <v>3565</v>
      </c>
      <c r="K2288" s="23" t="s">
        <v>4748</v>
      </c>
      <c r="L2288" t="e">
        <f>VLOOKUP(B2288,ubah!$B$2:$L$234,4,FALSE)</f>
        <v>#N/A</v>
      </c>
      <c r="M2288" t="e">
        <f>VLOOKUP(B2288,ubah!$B$2:$L$234,5,FALSE)</f>
        <v>#N/A</v>
      </c>
      <c r="N2288" t="e">
        <f>VLOOKUP(B2288,ubah!$B$2:$L$234,6,FALSE)</f>
        <v>#N/A</v>
      </c>
    </row>
    <row r="2289" spans="1:14" hidden="1" x14ac:dyDescent="0.35">
      <c r="A2289" s="21">
        <v>1169431</v>
      </c>
      <c r="B2289" s="22" t="str">
        <f>"3328144401880002"</f>
        <v>3328144401880002</v>
      </c>
      <c r="C2289" s="22" t="str">
        <f t="shared" si="70"/>
        <v>'3328144401880002</v>
      </c>
      <c r="D2289" s="22" t="str">
        <f t="shared" si="71"/>
        <v>tidak ganda</v>
      </c>
      <c r="E2289" s="22" t="s">
        <v>4881</v>
      </c>
      <c r="F2289" s="22" t="s">
        <v>10</v>
      </c>
      <c r="G2289" s="22" t="s">
        <v>11</v>
      </c>
      <c r="H2289" s="22" t="s">
        <v>303</v>
      </c>
      <c r="I2289" s="22" t="s">
        <v>304</v>
      </c>
      <c r="J2289" s="22" t="s">
        <v>505</v>
      </c>
      <c r="K2289" s="23" t="s">
        <v>506</v>
      </c>
    </row>
    <row r="2290" spans="1:14" hidden="1" x14ac:dyDescent="0.35">
      <c r="A2290" s="21">
        <v>250255</v>
      </c>
      <c r="B2290" s="22" t="str">
        <f>"3328144403050004"</f>
        <v>3328144403050004</v>
      </c>
      <c r="C2290" s="22" t="str">
        <f t="shared" si="70"/>
        <v>'3328144403050004</v>
      </c>
      <c r="D2290" s="22" t="str">
        <f t="shared" si="71"/>
        <v>tidak ganda</v>
      </c>
      <c r="E2290" s="22" t="s">
        <v>4882</v>
      </c>
      <c r="F2290" s="22" t="s">
        <v>10</v>
      </c>
      <c r="G2290" s="22" t="s">
        <v>11</v>
      </c>
      <c r="H2290" s="22" t="s">
        <v>18</v>
      </c>
      <c r="I2290" s="22" t="s">
        <v>268</v>
      </c>
      <c r="J2290" s="22" t="s">
        <v>371</v>
      </c>
      <c r="K2290" s="23" t="s">
        <v>497</v>
      </c>
    </row>
    <row r="2291" spans="1:14" hidden="1" x14ac:dyDescent="0.35">
      <c r="A2291" s="21">
        <v>1750051</v>
      </c>
      <c r="B2291" s="22" t="str">
        <f>"3328144411950003"</f>
        <v>3328144411950003</v>
      </c>
      <c r="C2291" s="22" t="str">
        <f t="shared" si="70"/>
        <v>'3328144411950003</v>
      </c>
      <c r="D2291" s="22" t="str">
        <f t="shared" si="71"/>
        <v>tidak ganda</v>
      </c>
      <c r="E2291" s="22" t="s">
        <v>4884</v>
      </c>
      <c r="F2291" s="22" t="s">
        <v>10</v>
      </c>
      <c r="G2291" s="22" t="s">
        <v>11</v>
      </c>
      <c r="H2291" s="22" t="s">
        <v>50</v>
      </c>
      <c r="I2291" s="22" t="s">
        <v>86</v>
      </c>
      <c r="J2291" s="22" t="s">
        <v>445</v>
      </c>
      <c r="K2291" s="23" t="s">
        <v>446</v>
      </c>
    </row>
    <row r="2292" spans="1:14" hidden="1" x14ac:dyDescent="0.35">
      <c r="A2292" s="21">
        <v>1664709</v>
      </c>
      <c r="B2292" s="22" t="str">
        <f>"3328144606920004"</f>
        <v>3328144606920004</v>
      </c>
      <c r="C2292" s="22" t="str">
        <f t="shared" si="70"/>
        <v>'3328144606920004</v>
      </c>
      <c r="D2292" s="22" t="str">
        <f t="shared" si="71"/>
        <v>tidak ganda</v>
      </c>
      <c r="E2292" s="22" t="s">
        <v>4885</v>
      </c>
      <c r="F2292" s="22" t="s">
        <v>10</v>
      </c>
      <c r="G2292" s="22" t="s">
        <v>11</v>
      </c>
      <c r="H2292" s="22" t="s">
        <v>18</v>
      </c>
      <c r="I2292" s="22" t="s">
        <v>19</v>
      </c>
      <c r="J2292" s="22" t="s">
        <v>3565</v>
      </c>
      <c r="K2292" s="23" t="s">
        <v>4708</v>
      </c>
      <c r="L2292" t="e">
        <f>VLOOKUP(B2292,ubah!$B$2:$L$234,4,FALSE)</f>
        <v>#N/A</v>
      </c>
      <c r="M2292" t="e">
        <f>VLOOKUP(B2292,ubah!$B$2:$L$234,5,FALSE)</f>
        <v>#N/A</v>
      </c>
      <c r="N2292" t="e">
        <f>VLOOKUP(B2292,ubah!$B$2:$L$234,6,FALSE)</f>
        <v>#N/A</v>
      </c>
    </row>
    <row r="2293" spans="1:14" hidden="1" x14ac:dyDescent="0.35">
      <c r="A2293" s="21">
        <v>1116585</v>
      </c>
      <c r="B2293" s="22" t="str">
        <f>"3328144709990003"</f>
        <v>3328144709990003</v>
      </c>
      <c r="C2293" s="22" t="str">
        <f t="shared" si="70"/>
        <v>'3328144709990003</v>
      </c>
      <c r="D2293" s="22" t="str">
        <f t="shared" si="71"/>
        <v>tidak ganda</v>
      </c>
      <c r="E2293" s="22" t="s">
        <v>4886</v>
      </c>
      <c r="F2293" s="22" t="s">
        <v>10</v>
      </c>
      <c r="G2293" s="22" t="s">
        <v>11</v>
      </c>
      <c r="H2293" s="22" t="s">
        <v>67</v>
      </c>
      <c r="I2293" s="22" t="s">
        <v>68</v>
      </c>
      <c r="J2293" s="22" t="s">
        <v>4887</v>
      </c>
      <c r="K2293" s="23" t="s">
        <v>4888</v>
      </c>
    </row>
    <row r="2294" spans="1:14" hidden="1" x14ac:dyDescent="0.35">
      <c r="A2294" s="21">
        <v>1728887</v>
      </c>
      <c r="B2294" s="22" t="str">
        <f>"3328144803890010"</f>
        <v>3328144803890010</v>
      </c>
      <c r="C2294" s="22" t="str">
        <f t="shared" si="70"/>
        <v>'3328144803890010</v>
      </c>
      <c r="D2294" s="22" t="str">
        <f t="shared" si="71"/>
        <v>tidak ganda</v>
      </c>
      <c r="E2294" s="22" t="s">
        <v>4889</v>
      </c>
      <c r="F2294" s="22" t="s">
        <v>10</v>
      </c>
      <c r="G2294" s="22" t="s">
        <v>11</v>
      </c>
      <c r="H2294" s="22" t="s">
        <v>18</v>
      </c>
      <c r="I2294" s="22" t="s">
        <v>19</v>
      </c>
      <c r="J2294" s="22" t="s">
        <v>3565</v>
      </c>
      <c r="K2294" s="23" t="s">
        <v>4771</v>
      </c>
      <c r="L2294" t="e">
        <f>VLOOKUP(B2294,ubah!$B$2:$L$234,4,FALSE)</f>
        <v>#N/A</v>
      </c>
      <c r="M2294" t="e">
        <f>VLOOKUP(B2294,ubah!$B$2:$L$234,5,FALSE)</f>
        <v>#N/A</v>
      </c>
      <c r="N2294" t="e">
        <f>VLOOKUP(B2294,ubah!$B$2:$L$234,6,FALSE)</f>
        <v>#N/A</v>
      </c>
    </row>
    <row r="2295" spans="1:14" hidden="1" x14ac:dyDescent="0.35">
      <c r="A2295" s="21">
        <v>1505831</v>
      </c>
      <c r="B2295" s="22" t="str">
        <f>"3328144810000002"</f>
        <v>3328144810000002</v>
      </c>
      <c r="C2295" s="22" t="str">
        <f t="shared" si="70"/>
        <v>'3328144810000002</v>
      </c>
      <c r="D2295" s="22" t="str">
        <f t="shared" si="71"/>
        <v>tidak ganda</v>
      </c>
      <c r="E2295" s="22" t="s">
        <v>4891</v>
      </c>
      <c r="F2295" s="22" t="s">
        <v>10</v>
      </c>
      <c r="G2295" s="22" t="s">
        <v>11</v>
      </c>
      <c r="H2295" s="22" t="s">
        <v>91</v>
      </c>
      <c r="I2295" s="22" t="s">
        <v>159</v>
      </c>
      <c r="J2295" s="22" t="s">
        <v>160</v>
      </c>
      <c r="K2295" s="23" t="s">
        <v>980</v>
      </c>
    </row>
    <row r="2296" spans="1:14" hidden="1" x14ac:dyDescent="0.35">
      <c r="A2296" s="21">
        <v>1727683</v>
      </c>
      <c r="B2296" s="22" t="str">
        <f>"3328145101650001"</f>
        <v>3328145101650001</v>
      </c>
      <c r="C2296" s="22" t="str">
        <f t="shared" si="70"/>
        <v>'3328145101650001</v>
      </c>
      <c r="D2296" s="22" t="str">
        <f t="shared" si="71"/>
        <v>tidak ganda</v>
      </c>
      <c r="E2296" s="22" t="s">
        <v>4892</v>
      </c>
      <c r="F2296" s="22" t="s">
        <v>10</v>
      </c>
      <c r="G2296" s="22" t="s">
        <v>11</v>
      </c>
      <c r="H2296" s="22" t="s">
        <v>18</v>
      </c>
      <c r="I2296" s="22" t="s">
        <v>19</v>
      </c>
      <c r="J2296" s="22" t="s">
        <v>3565</v>
      </c>
      <c r="K2296" s="23" t="s">
        <v>4771</v>
      </c>
      <c r="L2296" t="e">
        <f>VLOOKUP(B2296,ubah!$B$2:$L$234,4,FALSE)</f>
        <v>#N/A</v>
      </c>
      <c r="M2296" t="e">
        <f>VLOOKUP(B2296,ubah!$B$2:$L$234,5,FALSE)</f>
        <v>#N/A</v>
      </c>
      <c r="N2296" t="e">
        <f>VLOOKUP(B2296,ubah!$B$2:$L$234,6,FALSE)</f>
        <v>#N/A</v>
      </c>
    </row>
    <row r="2297" spans="1:14" hidden="1" x14ac:dyDescent="0.35">
      <c r="A2297" s="21">
        <v>1352917</v>
      </c>
      <c r="B2297" s="22" t="str">
        <f>"3328145504030005"</f>
        <v>3328145504030005</v>
      </c>
      <c r="C2297" s="22" t="str">
        <f t="shared" si="70"/>
        <v>'3328145504030005</v>
      </c>
      <c r="D2297" s="22" t="str">
        <f t="shared" si="71"/>
        <v>tidak ganda</v>
      </c>
      <c r="E2297" s="22" t="s">
        <v>4895</v>
      </c>
      <c r="F2297" s="22" t="s">
        <v>10</v>
      </c>
      <c r="G2297" s="22" t="s">
        <v>57</v>
      </c>
      <c r="H2297" s="22" t="s">
        <v>303</v>
      </c>
      <c r="I2297" s="22" t="s">
        <v>608</v>
      </c>
      <c r="J2297" s="22" t="s">
        <v>609</v>
      </c>
      <c r="K2297" s="23" t="s">
        <v>610</v>
      </c>
    </row>
    <row r="2298" spans="1:14" hidden="1" x14ac:dyDescent="0.35">
      <c r="A2298" s="21">
        <v>321302</v>
      </c>
      <c r="B2298" s="22" t="str">
        <f>"3328145504930011"</f>
        <v>3328145504930011</v>
      </c>
      <c r="C2298" s="22" t="str">
        <f t="shared" si="70"/>
        <v>'3328145504930011</v>
      </c>
      <c r="D2298" s="22" t="str">
        <f t="shared" si="71"/>
        <v>tidak ganda</v>
      </c>
      <c r="E2298" s="22" t="s">
        <v>4896</v>
      </c>
      <c r="F2298" s="22" t="s">
        <v>10</v>
      </c>
      <c r="G2298" s="22" t="s">
        <v>11</v>
      </c>
      <c r="H2298" s="22" t="s">
        <v>18</v>
      </c>
      <c r="I2298" s="22" t="s">
        <v>268</v>
      </c>
      <c r="J2298" s="22" t="s">
        <v>277</v>
      </c>
      <c r="K2298" s="23" t="s">
        <v>278</v>
      </c>
    </row>
    <row r="2299" spans="1:14" hidden="1" x14ac:dyDescent="0.35">
      <c r="A2299" s="21">
        <v>757703</v>
      </c>
      <c r="B2299" s="22" t="str">
        <f>"3328145709840005"</f>
        <v>3328145709840005</v>
      </c>
      <c r="C2299" s="22" t="str">
        <f t="shared" si="70"/>
        <v>'3328145709840005</v>
      </c>
      <c r="D2299" s="22" t="str">
        <f t="shared" si="71"/>
        <v>tidak ganda</v>
      </c>
      <c r="E2299" s="22" t="s">
        <v>3965</v>
      </c>
      <c r="F2299" s="22" t="s">
        <v>10</v>
      </c>
      <c r="G2299" s="22" t="s">
        <v>11</v>
      </c>
      <c r="H2299" s="22" t="s">
        <v>50</v>
      </c>
      <c r="I2299" s="22" t="s">
        <v>280</v>
      </c>
      <c r="J2299" s="22" t="s">
        <v>402</v>
      </c>
      <c r="K2299" s="23" t="s">
        <v>4730</v>
      </c>
    </row>
    <row r="2300" spans="1:14" hidden="1" x14ac:dyDescent="0.35">
      <c r="A2300" s="21">
        <v>400109</v>
      </c>
      <c r="B2300" s="22" t="str">
        <f>"3328145910990006"</f>
        <v>3328145910990006</v>
      </c>
      <c r="C2300" s="22" t="str">
        <f t="shared" si="70"/>
        <v>'3328145910990006</v>
      </c>
      <c r="D2300" s="22" t="str">
        <f t="shared" si="71"/>
        <v>tidak ganda</v>
      </c>
      <c r="E2300" s="22" t="s">
        <v>4897</v>
      </c>
      <c r="F2300" s="22" t="s">
        <v>10</v>
      </c>
      <c r="G2300" s="22" t="s">
        <v>11</v>
      </c>
      <c r="H2300" s="22" t="s">
        <v>18</v>
      </c>
      <c r="I2300" s="22" t="s">
        <v>268</v>
      </c>
      <c r="J2300" s="22" t="s">
        <v>448</v>
      </c>
      <c r="K2300" s="23" t="s">
        <v>448</v>
      </c>
    </row>
    <row r="2301" spans="1:14" hidden="1" x14ac:dyDescent="0.35">
      <c r="A2301" s="21">
        <v>982652</v>
      </c>
      <c r="B2301" s="22" t="str">
        <f>"3328146201050004"</f>
        <v>3328146201050004</v>
      </c>
      <c r="C2301" s="22" t="str">
        <f t="shared" si="70"/>
        <v>'3328146201050004</v>
      </c>
      <c r="D2301" s="22" t="str">
        <f t="shared" si="71"/>
        <v>tidak ganda</v>
      </c>
      <c r="E2301" s="22" t="s">
        <v>4899</v>
      </c>
      <c r="F2301" s="22" t="s">
        <v>10</v>
      </c>
      <c r="G2301" s="22" t="s">
        <v>11</v>
      </c>
      <c r="H2301" s="22" t="s">
        <v>91</v>
      </c>
      <c r="I2301" s="22" t="s">
        <v>2364</v>
      </c>
      <c r="J2301" s="22" t="s">
        <v>4900</v>
      </c>
      <c r="K2301" s="23" t="s">
        <v>4901</v>
      </c>
    </row>
    <row r="2302" spans="1:14" hidden="1" x14ac:dyDescent="0.35">
      <c r="A2302" s="21">
        <v>1045360</v>
      </c>
      <c r="B2302" s="22" t="str">
        <f>"3328146207910003"</f>
        <v>3328146207910003</v>
      </c>
      <c r="C2302" s="22" t="str">
        <f t="shared" si="70"/>
        <v>'3328146207910003</v>
      </c>
      <c r="D2302" s="22" t="str">
        <f t="shared" si="71"/>
        <v>tidak ganda</v>
      </c>
      <c r="E2302" s="22" t="s">
        <v>4902</v>
      </c>
      <c r="F2302" s="22" t="s">
        <v>10</v>
      </c>
      <c r="G2302" s="22" t="s">
        <v>11</v>
      </c>
      <c r="H2302" s="22" t="s">
        <v>91</v>
      </c>
      <c r="I2302" s="22" t="s">
        <v>320</v>
      </c>
      <c r="J2302" s="22" t="s">
        <v>1319</v>
      </c>
      <c r="K2302" s="23" t="s">
        <v>3999</v>
      </c>
    </row>
    <row r="2303" spans="1:14" hidden="1" x14ac:dyDescent="0.35">
      <c r="A2303" s="21">
        <v>1661764</v>
      </c>
      <c r="B2303" s="22" t="str">
        <f>"3328146304880007"</f>
        <v>3328146304880007</v>
      </c>
      <c r="C2303" s="22" t="str">
        <f t="shared" si="70"/>
        <v>'3328146304880007</v>
      </c>
      <c r="D2303" s="22" t="str">
        <f t="shared" si="71"/>
        <v>tidak ganda</v>
      </c>
      <c r="E2303" s="22" t="s">
        <v>4903</v>
      </c>
      <c r="F2303" s="22" t="s">
        <v>10</v>
      </c>
      <c r="G2303" s="22" t="s">
        <v>11</v>
      </c>
      <c r="H2303" s="22" t="s">
        <v>18</v>
      </c>
      <c r="I2303" s="22" t="s">
        <v>19</v>
      </c>
      <c r="J2303" s="22" t="s">
        <v>3565</v>
      </c>
      <c r="K2303" s="23" t="s">
        <v>4708</v>
      </c>
      <c r="L2303" t="e">
        <f>VLOOKUP(B2303,ubah!$B$2:$L$234,4,FALSE)</f>
        <v>#N/A</v>
      </c>
      <c r="M2303" t="e">
        <f>VLOOKUP(B2303,ubah!$B$2:$L$234,5,FALSE)</f>
        <v>#N/A</v>
      </c>
      <c r="N2303" t="e">
        <f>VLOOKUP(B2303,ubah!$B$2:$L$234,6,FALSE)</f>
        <v>#N/A</v>
      </c>
    </row>
    <row r="2304" spans="1:14" hidden="1" x14ac:dyDescent="0.35">
      <c r="A2304" s="21">
        <v>2141330</v>
      </c>
      <c r="B2304" s="22" t="str">
        <f>"3328146411950003"</f>
        <v>3328146411950003</v>
      </c>
      <c r="C2304" s="22" t="str">
        <f t="shared" si="70"/>
        <v>'3328146411950003</v>
      </c>
      <c r="D2304" s="22" t="str">
        <f t="shared" si="71"/>
        <v>tidak ganda</v>
      </c>
      <c r="E2304" s="22" t="s">
        <v>3338</v>
      </c>
      <c r="F2304" s="22" t="s">
        <v>10</v>
      </c>
      <c r="G2304" s="22" t="s">
        <v>11</v>
      </c>
      <c r="H2304" s="22" t="s">
        <v>91</v>
      </c>
      <c r="I2304" s="22" t="s">
        <v>101</v>
      </c>
      <c r="J2304" s="22" t="s">
        <v>287</v>
      </c>
      <c r="K2304" s="23" t="s">
        <v>4906</v>
      </c>
    </row>
    <row r="2305" spans="1:14" hidden="1" x14ac:dyDescent="0.35">
      <c r="A2305" s="21">
        <v>1915210</v>
      </c>
      <c r="B2305" s="22" t="str">
        <f>"3328146512050001"</f>
        <v>3328146512050001</v>
      </c>
      <c r="C2305" s="22" t="str">
        <f t="shared" si="70"/>
        <v>'3328146512050001</v>
      </c>
      <c r="D2305" s="22" t="str">
        <f t="shared" si="71"/>
        <v>tidak ganda</v>
      </c>
      <c r="E2305" s="22" t="s">
        <v>4907</v>
      </c>
      <c r="F2305" s="22" t="s">
        <v>10</v>
      </c>
      <c r="G2305" s="22" t="s">
        <v>11</v>
      </c>
      <c r="H2305" s="22" t="s">
        <v>18</v>
      </c>
      <c r="I2305" s="22" t="s">
        <v>19</v>
      </c>
      <c r="J2305" s="22" t="s">
        <v>3565</v>
      </c>
      <c r="K2305" s="23" t="s">
        <v>4719</v>
      </c>
      <c r="L2305" t="e">
        <f>VLOOKUP(B2305,ubah!$B$2:$L$234,4,FALSE)</f>
        <v>#N/A</v>
      </c>
      <c r="M2305" t="e">
        <f>VLOOKUP(B2305,ubah!$B$2:$L$234,5,FALSE)</f>
        <v>#N/A</v>
      </c>
      <c r="N2305" t="e">
        <f>VLOOKUP(B2305,ubah!$B$2:$L$234,6,FALSE)</f>
        <v>#N/A</v>
      </c>
    </row>
    <row r="2306" spans="1:14" hidden="1" x14ac:dyDescent="0.35">
      <c r="A2306" s="21">
        <v>793506</v>
      </c>
      <c r="B2306" s="22" t="str">
        <f>"3328146707890002"</f>
        <v>3328146707890002</v>
      </c>
      <c r="C2306" s="22" t="str">
        <f t="shared" si="70"/>
        <v>'3328146707890002</v>
      </c>
      <c r="D2306" s="22" t="str">
        <f t="shared" si="71"/>
        <v>tidak ganda</v>
      </c>
      <c r="E2306" s="22" t="s">
        <v>4909</v>
      </c>
      <c r="F2306" s="22" t="s">
        <v>10</v>
      </c>
      <c r="G2306" s="22" t="s">
        <v>11</v>
      </c>
      <c r="H2306" s="22" t="s">
        <v>50</v>
      </c>
      <c r="I2306" s="22" t="s">
        <v>72</v>
      </c>
      <c r="J2306" s="22" t="s">
        <v>73</v>
      </c>
      <c r="K2306" s="23" t="s">
        <v>74</v>
      </c>
    </row>
    <row r="2307" spans="1:14" hidden="1" x14ac:dyDescent="0.35">
      <c r="A2307" s="21">
        <v>1512361</v>
      </c>
      <c r="B2307" s="22" t="str">
        <f>"3328147112060003"</f>
        <v>3328147112060003</v>
      </c>
      <c r="C2307" s="22" t="str">
        <f t="shared" ref="C2307:C2370" si="72">"'"&amp;B2307</f>
        <v>'3328147112060003</v>
      </c>
      <c r="D2307" s="22" t="str">
        <f t="shared" ref="D2307:D2370" si="73">IF(COUNTIF($C:$C,C2307)&gt;1,"ganda","tidak ganda")</f>
        <v>tidak ganda</v>
      </c>
      <c r="E2307" s="22" t="s">
        <v>4910</v>
      </c>
      <c r="F2307" s="22" t="s">
        <v>10</v>
      </c>
      <c r="G2307" s="22" t="s">
        <v>11</v>
      </c>
      <c r="H2307" s="22" t="s">
        <v>18</v>
      </c>
      <c r="I2307" s="22" t="s">
        <v>19</v>
      </c>
      <c r="J2307" s="22" t="s">
        <v>4754</v>
      </c>
      <c r="K2307" s="23" t="s">
        <v>882</v>
      </c>
      <c r="L2307" t="e">
        <f>VLOOKUP(B2307,ubah!$B$2:$L$234,4,FALSE)</f>
        <v>#N/A</v>
      </c>
      <c r="M2307" t="e">
        <f>VLOOKUP(B2307,ubah!$B$2:$L$234,5,FALSE)</f>
        <v>#N/A</v>
      </c>
      <c r="N2307" t="e">
        <f>VLOOKUP(B2307,ubah!$B$2:$L$234,6,FALSE)</f>
        <v>#N/A</v>
      </c>
    </row>
    <row r="2308" spans="1:14" hidden="1" x14ac:dyDescent="0.35">
      <c r="A2308" s="21">
        <v>70033</v>
      </c>
      <c r="B2308" s="22" t="str">
        <f>"3328150102900006"</f>
        <v>3328150102900006</v>
      </c>
      <c r="C2308" s="22" t="str">
        <f t="shared" si="72"/>
        <v>'3328150102900006</v>
      </c>
      <c r="D2308" s="22" t="str">
        <f t="shared" si="73"/>
        <v>tidak ganda</v>
      </c>
      <c r="E2308" s="22" t="s">
        <v>2317</v>
      </c>
      <c r="F2308" s="22" t="s">
        <v>10</v>
      </c>
      <c r="G2308" s="22" t="s">
        <v>11</v>
      </c>
      <c r="H2308" s="22" t="s">
        <v>228</v>
      </c>
      <c r="I2308" s="22" t="s">
        <v>4911</v>
      </c>
      <c r="J2308" s="22" t="s">
        <v>4912</v>
      </c>
      <c r="K2308" s="23" t="s">
        <v>4912</v>
      </c>
    </row>
    <row r="2309" spans="1:14" hidden="1" x14ac:dyDescent="0.35">
      <c r="A2309" s="21">
        <v>1914791</v>
      </c>
      <c r="B2309" s="22" t="str">
        <f>"3328150107910076"</f>
        <v>3328150107910076</v>
      </c>
      <c r="C2309" s="22" t="str">
        <f t="shared" si="72"/>
        <v>'3328150107910076</v>
      </c>
      <c r="D2309" s="22" t="str">
        <f t="shared" si="73"/>
        <v>tidak ganda</v>
      </c>
      <c r="E2309" s="22" t="s">
        <v>4914</v>
      </c>
      <c r="F2309" s="22" t="s">
        <v>10</v>
      </c>
      <c r="G2309" s="22" t="s">
        <v>11</v>
      </c>
      <c r="H2309" s="22" t="s">
        <v>18</v>
      </c>
      <c r="I2309" s="22" t="s">
        <v>19</v>
      </c>
      <c r="J2309" s="22" t="s">
        <v>3565</v>
      </c>
      <c r="K2309" s="23" t="s">
        <v>4719</v>
      </c>
      <c r="L2309" t="e">
        <f>VLOOKUP(B2309,ubah!$B$2:$L$234,4,FALSE)</f>
        <v>#N/A</v>
      </c>
      <c r="M2309" t="e">
        <f>VLOOKUP(B2309,ubah!$B$2:$L$234,5,FALSE)</f>
        <v>#N/A</v>
      </c>
      <c r="N2309" t="e">
        <f>VLOOKUP(B2309,ubah!$B$2:$L$234,6,FALSE)</f>
        <v>#N/A</v>
      </c>
    </row>
    <row r="2310" spans="1:14" hidden="1" x14ac:dyDescent="0.35">
      <c r="A2310" s="21">
        <v>1872631</v>
      </c>
      <c r="B2310" s="22" t="str">
        <f>"3328157112990010"</f>
        <v>3328157112990010</v>
      </c>
      <c r="C2310" s="22" t="str">
        <f t="shared" si="72"/>
        <v>'3328157112990010</v>
      </c>
      <c r="D2310" s="22" t="str">
        <f t="shared" si="73"/>
        <v>tidak ganda</v>
      </c>
      <c r="E2310" s="22" t="s">
        <v>4917</v>
      </c>
      <c r="F2310" s="22" t="s">
        <v>10</v>
      </c>
      <c r="G2310" s="22" t="s">
        <v>11</v>
      </c>
      <c r="H2310" s="22" t="s">
        <v>18</v>
      </c>
      <c r="I2310" s="22" t="s">
        <v>19</v>
      </c>
      <c r="J2310" s="22" t="s">
        <v>3565</v>
      </c>
      <c r="K2310" s="23" t="s">
        <v>4752</v>
      </c>
      <c r="L2310" t="e">
        <f>VLOOKUP(B2310,ubah!$B$2:$L$234,4,FALSE)</f>
        <v>#N/A</v>
      </c>
      <c r="M2310" t="e">
        <f>VLOOKUP(B2310,ubah!$B$2:$L$234,5,FALSE)</f>
        <v>#N/A</v>
      </c>
      <c r="N2310" t="e">
        <f>VLOOKUP(B2310,ubah!$B$2:$L$234,6,FALSE)</f>
        <v>#N/A</v>
      </c>
    </row>
    <row r="2311" spans="1:14" hidden="1" x14ac:dyDescent="0.35">
      <c r="A2311" s="21">
        <v>1517896</v>
      </c>
      <c r="B2311" s="22" t="str">
        <f>"3328170710850004"</f>
        <v>3328170710850004</v>
      </c>
      <c r="C2311" s="22" t="str">
        <f t="shared" si="72"/>
        <v>'3328170710850004</v>
      </c>
      <c r="D2311" s="22" t="str">
        <f t="shared" si="73"/>
        <v>tidak ganda</v>
      </c>
      <c r="E2311" s="22" t="s">
        <v>4920</v>
      </c>
      <c r="F2311" s="22" t="s">
        <v>10</v>
      </c>
      <c r="G2311" s="22" t="s">
        <v>11</v>
      </c>
      <c r="H2311" s="22" t="s">
        <v>18</v>
      </c>
      <c r="I2311" s="22" t="s">
        <v>19</v>
      </c>
      <c r="J2311" s="22" t="s">
        <v>4754</v>
      </c>
      <c r="K2311" s="23" t="s">
        <v>4755</v>
      </c>
      <c r="L2311" t="e">
        <f>VLOOKUP(B2311,ubah!$B$2:$L$234,4,FALSE)</f>
        <v>#N/A</v>
      </c>
      <c r="M2311" t="e">
        <f>VLOOKUP(B2311,ubah!$B$2:$L$234,5,FALSE)</f>
        <v>#N/A</v>
      </c>
      <c r="N2311" t="e">
        <f>VLOOKUP(B2311,ubah!$B$2:$L$234,6,FALSE)</f>
        <v>#N/A</v>
      </c>
    </row>
    <row r="2312" spans="1:14" hidden="1" x14ac:dyDescent="0.35">
      <c r="A2312" s="21">
        <v>1330166</v>
      </c>
      <c r="B2312" s="22" t="str">
        <f>"3329053007900001"</f>
        <v>3329053007900001</v>
      </c>
      <c r="C2312" s="22" t="str">
        <f t="shared" si="72"/>
        <v>'3329053007900001</v>
      </c>
      <c r="D2312" s="22" t="str">
        <f t="shared" si="73"/>
        <v>tidak ganda</v>
      </c>
      <c r="E2312" s="22" t="s">
        <v>4922</v>
      </c>
      <c r="F2312" s="22" t="s">
        <v>10</v>
      </c>
      <c r="G2312" s="22" t="s">
        <v>11</v>
      </c>
      <c r="H2312" s="22" t="s">
        <v>18</v>
      </c>
      <c r="I2312" s="22" t="s">
        <v>264</v>
      </c>
      <c r="J2312" s="22" t="s">
        <v>289</v>
      </c>
      <c r="K2312" s="23" t="s">
        <v>929</v>
      </c>
    </row>
    <row r="2313" spans="1:14" hidden="1" x14ac:dyDescent="0.35">
      <c r="A2313" s="21">
        <v>1325533</v>
      </c>
      <c r="B2313" s="22" t="str">
        <f>"3329054103880001"</f>
        <v>3329054103880001</v>
      </c>
      <c r="C2313" s="22" t="str">
        <f t="shared" si="72"/>
        <v>'3329054103880001</v>
      </c>
      <c r="D2313" s="22" t="str">
        <f t="shared" si="73"/>
        <v>tidak ganda</v>
      </c>
      <c r="E2313" s="22" t="s">
        <v>4923</v>
      </c>
      <c r="F2313" s="22" t="s">
        <v>10</v>
      </c>
      <c r="G2313" s="22" t="s">
        <v>11</v>
      </c>
      <c r="H2313" s="22" t="s">
        <v>18</v>
      </c>
      <c r="I2313" s="22" t="s">
        <v>264</v>
      </c>
      <c r="J2313" s="22" t="s">
        <v>289</v>
      </c>
      <c r="K2313" s="23" t="s">
        <v>929</v>
      </c>
    </row>
    <row r="2314" spans="1:14" hidden="1" x14ac:dyDescent="0.35">
      <c r="A2314" s="21">
        <v>1439039</v>
      </c>
      <c r="B2314" s="22" t="str">
        <f>"3329054510840001"</f>
        <v>3329054510840001</v>
      </c>
      <c r="C2314" s="22" t="str">
        <f t="shared" si="72"/>
        <v>'3329054510840001</v>
      </c>
      <c r="D2314" s="22" t="str">
        <f t="shared" si="73"/>
        <v>tidak ganda</v>
      </c>
      <c r="E2314" s="22" t="s">
        <v>4924</v>
      </c>
      <c r="F2314" s="22" t="s">
        <v>10</v>
      </c>
      <c r="G2314" s="22" t="s">
        <v>11</v>
      </c>
      <c r="H2314" s="22" t="s">
        <v>18</v>
      </c>
      <c r="I2314" s="22" t="s">
        <v>264</v>
      </c>
      <c r="J2314" s="22" t="s">
        <v>289</v>
      </c>
      <c r="K2314" s="23" t="s">
        <v>3928</v>
      </c>
    </row>
    <row r="2315" spans="1:14" hidden="1" x14ac:dyDescent="0.35">
      <c r="A2315" s="21">
        <v>1300309</v>
      </c>
      <c r="B2315" s="22" t="str">
        <f>"3329070402850005"</f>
        <v>3329070402850005</v>
      </c>
      <c r="C2315" s="22" t="str">
        <f t="shared" si="72"/>
        <v>'3329070402850005</v>
      </c>
      <c r="D2315" s="22" t="str">
        <f t="shared" si="73"/>
        <v>tidak ganda</v>
      </c>
      <c r="E2315" s="22" t="s">
        <v>4925</v>
      </c>
      <c r="F2315" s="22" t="s">
        <v>10</v>
      </c>
      <c r="G2315" s="22" t="s">
        <v>11</v>
      </c>
      <c r="H2315" s="22" t="s">
        <v>18</v>
      </c>
      <c r="I2315" s="22" t="s">
        <v>264</v>
      </c>
      <c r="J2315" s="22" t="s">
        <v>265</v>
      </c>
      <c r="K2315" s="23" t="s">
        <v>459</v>
      </c>
    </row>
    <row r="2316" spans="1:14" hidden="1" x14ac:dyDescent="0.35">
      <c r="A2316" s="21">
        <v>1889450</v>
      </c>
      <c r="B2316" s="22" t="str">
        <f>"3329071506950004"</f>
        <v>3329071506950004</v>
      </c>
      <c r="C2316" s="22" t="str">
        <f t="shared" si="72"/>
        <v>'3329071506950004</v>
      </c>
      <c r="D2316" s="22" t="str">
        <f t="shared" si="73"/>
        <v>tidak ganda</v>
      </c>
      <c r="E2316" s="22" t="s">
        <v>4927</v>
      </c>
      <c r="F2316" s="22" t="s">
        <v>10</v>
      </c>
      <c r="G2316" s="22" t="s">
        <v>11</v>
      </c>
      <c r="H2316" s="22" t="s">
        <v>18</v>
      </c>
      <c r="I2316" s="22" t="s">
        <v>19</v>
      </c>
      <c r="J2316" s="22" t="s">
        <v>3565</v>
      </c>
      <c r="K2316" s="23" t="s">
        <v>4775</v>
      </c>
      <c r="L2316" t="e">
        <f>VLOOKUP(B2316,ubah!$B$2:$L$234,4,FALSE)</f>
        <v>#N/A</v>
      </c>
      <c r="M2316" t="e">
        <f>VLOOKUP(B2316,ubah!$B$2:$L$234,5,FALSE)</f>
        <v>#N/A</v>
      </c>
      <c r="N2316" t="e">
        <f>VLOOKUP(B2316,ubah!$B$2:$L$234,6,FALSE)</f>
        <v>#N/A</v>
      </c>
    </row>
    <row r="2317" spans="1:14" hidden="1" x14ac:dyDescent="0.35">
      <c r="A2317" s="21">
        <v>1243970</v>
      </c>
      <c r="B2317" s="22" t="str">
        <f>"3329071912770002"</f>
        <v>3329071912770002</v>
      </c>
      <c r="C2317" s="22" t="str">
        <f t="shared" si="72"/>
        <v>'3329071912770002</v>
      </c>
      <c r="D2317" s="22" t="str">
        <f t="shared" si="73"/>
        <v>tidak ganda</v>
      </c>
      <c r="E2317" s="22" t="s">
        <v>4929</v>
      </c>
      <c r="F2317" s="22" t="s">
        <v>10</v>
      </c>
      <c r="G2317" s="22" t="s">
        <v>11</v>
      </c>
      <c r="H2317" s="22" t="s">
        <v>18</v>
      </c>
      <c r="I2317" s="22" t="s">
        <v>264</v>
      </c>
      <c r="J2317" s="22" t="s">
        <v>265</v>
      </c>
      <c r="K2317" s="23" t="s">
        <v>1940</v>
      </c>
    </row>
    <row r="2318" spans="1:14" hidden="1" x14ac:dyDescent="0.35">
      <c r="A2318" s="21">
        <v>1919014</v>
      </c>
      <c r="B2318" s="22" t="str">
        <f>"3329082205860003"</f>
        <v>3329082205860003</v>
      </c>
      <c r="C2318" s="22" t="str">
        <f t="shared" si="72"/>
        <v>'3329082205860003</v>
      </c>
      <c r="D2318" s="22" t="str">
        <f t="shared" si="73"/>
        <v>tidak ganda</v>
      </c>
      <c r="E2318" s="22" t="s">
        <v>2260</v>
      </c>
      <c r="F2318" s="22" t="s">
        <v>10</v>
      </c>
      <c r="G2318" s="22" t="s">
        <v>11</v>
      </c>
      <c r="H2318" s="22" t="s">
        <v>18</v>
      </c>
      <c r="I2318" s="22" t="s">
        <v>19</v>
      </c>
      <c r="J2318" s="22" t="s">
        <v>3565</v>
      </c>
      <c r="K2318" s="23" t="s">
        <v>4765</v>
      </c>
      <c r="L2318" t="e">
        <f>VLOOKUP(B2318,ubah!$B$2:$L$234,4,FALSE)</f>
        <v>#N/A</v>
      </c>
      <c r="M2318" t="e">
        <f>VLOOKUP(B2318,ubah!$B$2:$L$234,5,FALSE)</f>
        <v>#N/A</v>
      </c>
      <c r="N2318" t="e">
        <f>VLOOKUP(B2318,ubah!$B$2:$L$234,6,FALSE)</f>
        <v>#N/A</v>
      </c>
    </row>
    <row r="2319" spans="1:14" hidden="1" x14ac:dyDescent="0.35">
      <c r="A2319" s="21">
        <v>1233671</v>
      </c>
      <c r="B2319" s="22" t="str">
        <f>"3329086406810001"</f>
        <v>3329086406810001</v>
      </c>
      <c r="C2319" s="22" t="str">
        <f t="shared" si="72"/>
        <v>'3329086406810001</v>
      </c>
      <c r="D2319" s="22" t="str">
        <f t="shared" si="73"/>
        <v>tidak ganda</v>
      </c>
      <c r="E2319" s="22" t="s">
        <v>4931</v>
      </c>
      <c r="F2319" s="22" t="s">
        <v>10</v>
      </c>
      <c r="G2319" s="22" t="s">
        <v>11</v>
      </c>
      <c r="H2319" s="22" t="s">
        <v>18</v>
      </c>
      <c r="I2319" s="22" t="s">
        <v>264</v>
      </c>
      <c r="J2319" s="22" t="s">
        <v>248</v>
      </c>
      <c r="K2319" s="23" t="s">
        <v>868</v>
      </c>
    </row>
    <row r="2320" spans="1:14" hidden="1" x14ac:dyDescent="0.35">
      <c r="A2320" s="21">
        <v>642866</v>
      </c>
      <c r="B2320" s="22" t="str">
        <f>"3329096609940002"</f>
        <v>3329096609940002</v>
      </c>
      <c r="C2320" s="22" t="str">
        <f t="shared" si="72"/>
        <v>'3329096609940002</v>
      </c>
      <c r="D2320" s="22" t="str">
        <f t="shared" si="73"/>
        <v>tidak ganda</v>
      </c>
      <c r="E2320" s="22" t="s">
        <v>4932</v>
      </c>
      <c r="F2320" s="22" t="s">
        <v>10</v>
      </c>
      <c r="G2320" s="22" t="s">
        <v>11</v>
      </c>
      <c r="H2320" s="22" t="s">
        <v>18</v>
      </c>
      <c r="I2320" s="22" t="s">
        <v>264</v>
      </c>
      <c r="J2320" s="22" t="s">
        <v>264</v>
      </c>
      <c r="K2320" s="23" t="s">
        <v>2982</v>
      </c>
    </row>
    <row r="2321" spans="1:14" hidden="1" x14ac:dyDescent="0.35">
      <c r="A2321" s="21">
        <v>1350628</v>
      </c>
      <c r="B2321" s="22" t="str">
        <f>"3329104101950003"</f>
        <v>3329104101950003</v>
      </c>
      <c r="C2321" s="22" t="str">
        <f t="shared" si="72"/>
        <v>'3329104101950003</v>
      </c>
      <c r="D2321" s="22" t="str">
        <f t="shared" si="73"/>
        <v>tidak ganda</v>
      </c>
      <c r="E2321" s="22" t="s">
        <v>4934</v>
      </c>
      <c r="F2321" s="22" t="s">
        <v>10</v>
      </c>
      <c r="G2321" s="22" t="s">
        <v>11</v>
      </c>
      <c r="H2321" s="22" t="s">
        <v>18</v>
      </c>
      <c r="I2321" s="22" t="s">
        <v>264</v>
      </c>
      <c r="J2321" s="22" t="s">
        <v>273</v>
      </c>
      <c r="K2321" s="23" t="s">
        <v>4935</v>
      </c>
    </row>
    <row r="2322" spans="1:14" hidden="1" x14ac:dyDescent="0.35">
      <c r="A2322" s="21">
        <v>368819</v>
      </c>
      <c r="B2322" s="22" t="str">
        <f>"3329141010850018"</f>
        <v>3329141010850018</v>
      </c>
      <c r="C2322" s="22" t="str">
        <f t="shared" si="72"/>
        <v>'3329141010850018</v>
      </c>
      <c r="D2322" s="22" t="str">
        <f t="shared" si="73"/>
        <v>tidak ganda</v>
      </c>
      <c r="E2322" s="22" t="s">
        <v>4936</v>
      </c>
      <c r="F2322" s="22" t="s">
        <v>10</v>
      </c>
      <c r="G2322" s="22" t="s">
        <v>11</v>
      </c>
      <c r="H2322" s="22" t="s">
        <v>18</v>
      </c>
      <c r="I2322" s="22" t="s">
        <v>264</v>
      </c>
      <c r="J2322" s="22" t="s">
        <v>477</v>
      </c>
      <c r="K2322" s="23" t="s">
        <v>1483</v>
      </c>
    </row>
    <row r="2323" spans="1:14" hidden="1" x14ac:dyDescent="0.35">
      <c r="A2323" s="21">
        <v>444837</v>
      </c>
      <c r="B2323" s="22" t="str">
        <f>"3329144610920009"</f>
        <v>3329144610920009</v>
      </c>
      <c r="C2323" s="22" t="str">
        <f t="shared" si="72"/>
        <v>'3329144610920009</v>
      </c>
      <c r="D2323" s="22" t="str">
        <f t="shared" si="73"/>
        <v>tidak ganda</v>
      </c>
      <c r="E2323" s="22" t="s">
        <v>4938</v>
      </c>
      <c r="F2323" s="22" t="s">
        <v>10</v>
      </c>
      <c r="G2323" s="22" t="s">
        <v>11</v>
      </c>
      <c r="H2323" s="22" t="s">
        <v>18</v>
      </c>
      <c r="I2323" s="22" t="s">
        <v>264</v>
      </c>
      <c r="J2323" s="22" t="s">
        <v>477</v>
      </c>
      <c r="K2323" s="23" t="s">
        <v>3855</v>
      </c>
    </row>
    <row r="2324" spans="1:14" hidden="1" x14ac:dyDescent="0.35">
      <c r="A2324" s="21">
        <v>819884</v>
      </c>
      <c r="B2324" s="22" t="str">
        <f>"3329161709010009"</f>
        <v>3329161709010009</v>
      </c>
      <c r="C2324" s="22" t="str">
        <f t="shared" si="72"/>
        <v>'3329161709010009</v>
      </c>
      <c r="D2324" s="22" t="str">
        <f t="shared" si="73"/>
        <v>tidak ganda</v>
      </c>
      <c r="E2324" s="22" t="s">
        <v>4939</v>
      </c>
      <c r="F2324" s="22" t="s">
        <v>10</v>
      </c>
      <c r="G2324" s="22" t="s">
        <v>11</v>
      </c>
      <c r="H2324" s="22" t="s">
        <v>18</v>
      </c>
      <c r="I2324" s="22" t="s">
        <v>264</v>
      </c>
      <c r="J2324" s="22" t="s">
        <v>344</v>
      </c>
      <c r="K2324" s="23" t="s">
        <v>345</v>
      </c>
    </row>
    <row r="2325" spans="1:14" hidden="1" x14ac:dyDescent="0.35">
      <c r="A2325" s="21">
        <v>321540</v>
      </c>
      <c r="B2325" s="22" t="str">
        <f>"3376010901980001"</f>
        <v>3376010901980001</v>
      </c>
      <c r="C2325" s="22" t="str">
        <f t="shared" si="72"/>
        <v>'3376010901980001</v>
      </c>
      <c r="D2325" s="22" t="str">
        <f t="shared" si="73"/>
        <v>tidak ganda</v>
      </c>
      <c r="E2325" s="22" t="s">
        <v>4943</v>
      </c>
      <c r="F2325" s="22" t="s">
        <v>10</v>
      </c>
      <c r="G2325" s="22" t="s">
        <v>11</v>
      </c>
      <c r="H2325" s="22" t="s">
        <v>18</v>
      </c>
      <c r="I2325" s="22" t="s">
        <v>268</v>
      </c>
      <c r="J2325" s="22" t="s">
        <v>277</v>
      </c>
      <c r="K2325" s="23" t="s">
        <v>278</v>
      </c>
    </row>
    <row r="2326" spans="1:14" hidden="1" x14ac:dyDescent="0.35">
      <c r="A2326" s="21">
        <v>301580</v>
      </c>
      <c r="B2326" s="22" t="str">
        <f>"3376015707870002"</f>
        <v>3376015707870002</v>
      </c>
      <c r="C2326" s="22" t="str">
        <f t="shared" si="72"/>
        <v>'3376015707870002</v>
      </c>
      <c r="D2326" s="22" t="str">
        <f t="shared" si="73"/>
        <v>tidak ganda</v>
      </c>
      <c r="E2326" s="22" t="s">
        <v>4945</v>
      </c>
      <c r="F2326" s="22" t="s">
        <v>10</v>
      </c>
      <c r="G2326" s="22" t="s">
        <v>11</v>
      </c>
      <c r="H2326" s="22" t="s">
        <v>18</v>
      </c>
      <c r="I2326" s="22" t="s">
        <v>268</v>
      </c>
      <c r="J2326" s="22" t="s">
        <v>277</v>
      </c>
      <c r="K2326" s="23" t="s">
        <v>2762</v>
      </c>
    </row>
    <row r="2327" spans="1:14" hidden="1" x14ac:dyDescent="0.35">
      <c r="A2327" s="21">
        <v>1800218</v>
      </c>
      <c r="B2327" s="22" t="str">
        <f>"3376022707970004"</f>
        <v>3376022707970004</v>
      </c>
      <c r="C2327" s="22" t="str">
        <f t="shared" si="72"/>
        <v>'3376022707970004</v>
      </c>
      <c r="D2327" s="22" t="str">
        <f t="shared" si="73"/>
        <v>ganda</v>
      </c>
      <c r="E2327" s="22" t="s">
        <v>4947</v>
      </c>
      <c r="F2327" s="22" t="s">
        <v>10</v>
      </c>
      <c r="G2327" s="22" t="s">
        <v>11</v>
      </c>
      <c r="H2327" s="22" t="s">
        <v>18</v>
      </c>
      <c r="I2327" s="22" t="s">
        <v>19</v>
      </c>
      <c r="J2327" s="22" t="s">
        <v>3565</v>
      </c>
      <c r="K2327" s="23" t="s">
        <v>4703</v>
      </c>
      <c r="L2327" t="e">
        <f>VLOOKUP(B2327,ubah!$B$2:$L$234,4,FALSE)</f>
        <v>#N/A</v>
      </c>
      <c r="M2327" t="e">
        <f>VLOOKUP(B2327,ubah!$B$2:$L$234,5,FALSE)</f>
        <v>#N/A</v>
      </c>
      <c r="N2327" t="e">
        <f>VLOOKUP(B2327,ubah!$B$2:$L$234,6,FALSE)</f>
        <v>#N/A</v>
      </c>
    </row>
    <row r="2328" spans="1:14" hidden="1" x14ac:dyDescent="0.35">
      <c r="A2328" s="21">
        <v>423711</v>
      </c>
      <c r="B2328" s="22" t="str">
        <f>"3376022707970004"</f>
        <v>3376022707970004</v>
      </c>
      <c r="C2328" s="22" t="str">
        <f t="shared" si="72"/>
        <v>'3376022707970004</v>
      </c>
      <c r="D2328" s="22" t="str">
        <f t="shared" si="73"/>
        <v>ganda</v>
      </c>
      <c r="E2328" s="22" t="s">
        <v>4948</v>
      </c>
      <c r="F2328" s="22" t="s">
        <v>10</v>
      </c>
      <c r="G2328" s="22" t="s">
        <v>57</v>
      </c>
      <c r="H2328" s="22" t="s">
        <v>18</v>
      </c>
      <c r="I2328" s="22" t="s">
        <v>268</v>
      </c>
      <c r="J2328" s="22" t="s">
        <v>277</v>
      </c>
      <c r="K2328" s="23" t="s">
        <v>278</v>
      </c>
    </row>
    <row r="2329" spans="1:14" hidden="1" x14ac:dyDescent="0.35">
      <c r="A2329" s="21">
        <v>750011</v>
      </c>
      <c r="B2329" s="22" t="str">
        <f>"3376025608880001"</f>
        <v>3376025608880001</v>
      </c>
      <c r="C2329" s="22" t="str">
        <f t="shared" si="72"/>
        <v>'3376025608880001</v>
      </c>
      <c r="D2329" s="22" t="str">
        <f t="shared" si="73"/>
        <v>tidak ganda</v>
      </c>
      <c r="E2329" s="22" t="s">
        <v>4949</v>
      </c>
      <c r="F2329" s="22" t="s">
        <v>10</v>
      </c>
      <c r="G2329" s="22" t="s">
        <v>11</v>
      </c>
      <c r="H2329" s="22" t="s">
        <v>18</v>
      </c>
      <c r="I2329" s="22" t="s">
        <v>385</v>
      </c>
      <c r="J2329" s="22" t="s">
        <v>4950</v>
      </c>
      <c r="K2329" s="23" t="s">
        <v>4950</v>
      </c>
    </row>
    <row r="2330" spans="1:14" hidden="1" x14ac:dyDescent="0.35">
      <c r="A2330" s="21">
        <v>210645</v>
      </c>
      <c r="B2330" s="22" t="str">
        <f>"3376025706970002"</f>
        <v>3376025706970002</v>
      </c>
      <c r="C2330" s="22" t="str">
        <f t="shared" si="72"/>
        <v>'3376025706970002</v>
      </c>
      <c r="D2330" s="22" t="str">
        <f t="shared" si="73"/>
        <v>tidak ganda</v>
      </c>
      <c r="E2330" s="22" t="s">
        <v>4951</v>
      </c>
      <c r="F2330" s="22" t="s">
        <v>10</v>
      </c>
      <c r="G2330" s="22" t="s">
        <v>11</v>
      </c>
      <c r="H2330" s="22" t="s">
        <v>18</v>
      </c>
      <c r="I2330" s="22" t="s">
        <v>268</v>
      </c>
      <c r="J2330" s="22" t="s">
        <v>371</v>
      </c>
      <c r="K2330" s="23" t="s">
        <v>2772</v>
      </c>
    </row>
    <row r="2331" spans="1:14" hidden="1" x14ac:dyDescent="0.35">
      <c r="A2331" s="21">
        <v>351567</v>
      </c>
      <c r="B2331" s="22" t="str">
        <f>"3376031312040001"</f>
        <v>3376031312040001</v>
      </c>
      <c r="C2331" s="22" t="str">
        <f t="shared" si="72"/>
        <v>'3376031312040001</v>
      </c>
      <c r="D2331" s="22" t="str">
        <f t="shared" si="73"/>
        <v>tidak ganda</v>
      </c>
      <c r="E2331" s="22" t="s">
        <v>4954</v>
      </c>
      <c r="F2331" s="22" t="s">
        <v>10</v>
      </c>
      <c r="G2331" s="22" t="s">
        <v>11</v>
      </c>
      <c r="H2331" s="22" t="s">
        <v>18</v>
      </c>
      <c r="I2331" s="22" t="s">
        <v>268</v>
      </c>
      <c r="J2331" s="22" t="s">
        <v>269</v>
      </c>
      <c r="K2331" s="23" t="s">
        <v>270</v>
      </c>
    </row>
    <row r="2332" spans="1:14" hidden="1" x14ac:dyDescent="0.35">
      <c r="A2332" s="21">
        <v>1918369</v>
      </c>
      <c r="B2332" s="22" t="str">
        <f>"3510034804920010"</f>
        <v>3510034804920010</v>
      </c>
      <c r="C2332" s="22" t="str">
        <f t="shared" si="72"/>
        <v>'3510034804920010</v>
      </c>
      <c r="D2332" s="22" t="str">
        <f t="shared" si="73"/>
        <v>tidak ganda</v>
      </c>
      <c r="E2332" s="22" t="s">
        <v>4955</v>
      </c>
      <c r="F2332" s="22" t="s">
        <v>10</v>
      </c>
      <c r="G2332" s="22" t="s">
        <v>11</v>
      </c>
      <c r="H2332" s="22" t="s">
        <v>18</v>
      </c>
      <c r="I2332" s="22" t="s">
        <v>19</v>
      </c>
      <c r="J2332" s="22" t="s">
        <v>3565</v>
      </c>
      <c r="K2332" s="23" t="s">
        <v>4719</v>
      </c>
      <c r="L2332" t="e">
        <f>VLOOKUP(B2332,ubah!$B$2:$L$234,4,FALSE)</f>
        <v>#N/A</v>
      </c>
      <c r="M2332" t="e">
        <f>VLOOKUP(B2332,ubah!$B$2:$L$234,5,FALSE)</f>
        <v>#N/A</v>
      </c>
      <c r="N2332" t="e">
        <f>VLOOKUP(B2332,ubah!$B$2:$L$234,6,FALSE)</f>
        <v>#N/A</v>
      </c>
    </row>
    <row r="2333" spans="1:14" hidden="1" x14ac:dyDescent="0.35">
      <c r="A2333" s="21">
        <v>227018</v>
      </c>
      <c r="B2333" s="22" t="str">
        <f>"3521111506770006"</f>
        <v>3521111506770006</v>
      </c>
      <c r="C2333" s="22" t="str">
        <f t="shared" si="72"/>
        <v>'3521111506770006</v>
      </c>
      <c r="D2333" s="22" t="str">
        <f t="shared" si="73"/>
        <v>tidak ganda</v>
      </c>
      <c r="E2333" s="22" t="s">
        <v>4958</v>
      </c>
      <c r="F2333" s="22" t="s">
        <v>10</v>
      </c>
      <c r="G2333" s="22" t="s">
        <v>11</v>
      </c>
      <c r="H2333" s="22" t="s">
        <v>240</v>
      </c>
      <c r="I2333" s="22" t="s">
        <v>4959</v>
      </c>
      <c r="J2333" s="22" t="s">
        <v>4960</v>
      </c>
      <c r="K2333" s="23" t="s">
        <v>4961</v>
      </c>
    </row>
    <row r="2334" spans="1:14" hidden="1" x14ac:dyDescent="0.35">
      <c r="A2334" s="21">
        <v>1919796</v>
      </c>
      <c r="B2334" s="22" t="str">
        <f>"3577022211920002"</f>
        <v>3577022211920002</v>
      </c>
      <c r="C2334" s="22" t="str">
        <f t="shared" si="72"/>
        <v>'3577022211920002</v>
      </c>
      <c r="D2334" s="22" t="str">
        <f t="shared" si="73"/>
        <v>tidak ganda</v>
      </c>
      <c r="E2334" s="22" t="s">
        <v>4962</v>
      </c>
      <c r="F2334" s="22" t="s">
        <v>10</v>
      </c>
      <c r="G2334" s="22" t="s">
        <v>11</v>
      </c>
      <c r="H2334" s="22" t="s">
        <v>18</v>
      </c>
      <c r="I2334" s="22" t="s">
        <v>19</v>
      </c>
      <c r="J2334" s="22" t="s">
        <v>3565</v>
      </c>
      <c r="K2334" s="23" t="s">
        <v>4765</v>
      </c>
      <c r="L2334" t="e">
        <f>VLOOKUP(B2334,ubah!$B$2:$L$234,4,FALSE)</f>
        <v>#N/A</v>
      </c>
      <c r="M2334" t="e">
        <f>VLOOKUP(B2334,ubah!$B$2:$L$234,5,FALSE)</f>
        <v>#N/A</v>
      </c>
      <c r="N2334" t="e">
        <f>VLOOKUP(B2334,ubah!$B$2:$L$234,6,FALSE)</f>
        <v>#N/A</v>
      </c>
    </row>
    <row r="2335" spans="1:14" hidden="1" x14ac:dyDescent="0.35">
      <c r="A2335" s="21">
        <v>1436119</v>
      </c>
      <c r="B2335" s="22" t="str">
        <f>"3674062404850019"</f>
        <v>3674062404850019</v>
      </c>
      <c r="C2335" s="22" t="str">
        <f t="shared" si="72"/>
        <v>'3674062404850019</v>
      </c>
      <c r="D2335" s="22" t="str">
        <f t="shared" si="73"/>
        <v>tidak ganda</v>
      </c>
      <c r="E2335" s="22" t="s">
        <v>4966</v>
      </c>
      <c r="F2335" s="22" t="s">
        <v>10</v>
      </c>
      <c r="G2335" s="22" t="s">
        <v>11</v>
      </c>
      <c r="H2335" s="22" t="s">
        <v>67</v>
      </c>
      <c r="I2335" s="22" t="s">
        <v>68</v>
      </c>
      <c r="J2335" s="22" t="s">
        <v>2817</v>
      </c>
      <c r="K2335" s="23" t="s">
        <v>317</v>
      </c>
    </row>
    <row r="2336" spans="1:14" hidden="1" x14ac:dyDescent="0.35">
      <c r="A2336" s="21">
        <v>196175</v>
      </c>
      <c r="B2336" s="22" t="str">
        <f>"5310121504890003"</f>
        <v>5310121504890003</v>
      </c>
      <c r="C2336" s="22" t="str">
        <f t="shared" si="72"/>
        <v>'5310121504890003</v>
      </c>
      <c r="D2336" s="22" t="str">
        <f t="shared" si="73"/>
        <v>tidak ganda</v>
      </c>
      <c r="E2336" s="22" t="s">
        <v>4967</v>
      </c>
      <c r="F2336" s="22" t="s">
        <v>10</v>
      </c>
      <c r="G2336" s="22" t="s">
        <v>11</v>
      </c>
      <c r="H2336" s="22" t="s">
        <v>2122</v>
      </c>
      <c r="I2336" s="22" t="s">
        <v>1841</v>
      </c>
      <c r="J2336" s="22" t="s">
        <v>4968</v>
      </c>
      <c r="K2336" s="23" t="s">
        <v>4969</v>
      </c>
    </row>
    <row r="2337" spans="1:14" hidden="1" x14ac:dyDescent="0.35">
      <c r="A2337" s="21">
        <v>738906</v>
      </c>
      <c r="B2337" s="22" t="str">
        <f>"1208115610000003"</f>
        <v>1208115610000003</v>
      </c>
      <c r="C2337" s="22" t="str">
        <f t="shared" si="72"/>
        <v>'1208115610000003</v>
      </c>
      <c r="D2337" s="22" t="str">
        <f t="shared" si="73"/>
        <v>tidak ganda</v>
      </c>
      <c r="E2337" s="22" t="s">
        <v>4971</v>
      </c>
      <c r="F2337" s="22" t="s">
        <v>10</v>
      </c>
      <c r="G2337" s="22" t="s">
        <v>11</v>
      </c>
      <c r="H2337" s="22" t="s">
        <v>667</v>
      </c>
      <c r="I2337" s="22" t="s">
        <v>4972</v>
      </c>
      <c r="J2337" s="22" t="s">
        <v>4973</v>
      </c>
      <c r="K2337" s="23" t="s">
        <v>4974</v>
      </c>
    </row>
    <row r="2338" spans="1:14" hidden="1" x14ac:dyDescent="0.35">
      <c r="A2338" s="21">
        <v>1314739</v>
      </c>
      <c r="B2338" s="22" t="str">
        <f>"1671047112600089"</f>
        <v>1671047112600089</v>
      </c>
      <c r="C2338" s="22" t="str">
        <f t="shared" si="72"/>
        <v>'1671047112600089</v>
      </c>
      <c r="D2338" s="22" t="str">
        <f t="shared" si="73"/>
        <v>tidak ganda</v>
      </c>
      <c r="E2338" s="22" t="s">
        <v>4977</v>
      </c>
      <c r="F2338" s="22" t="s">
        <v>10</v>
      </c>
      <c r="G2338" s="22" t="s">
        <v>11</v>
      </c>
      <c r="H2338" s="22" t="s">
        <v>18</v>
      </c>
      <c r="I2338" s="22" t="s">
        <v>19</v>
      </c>
      <c r="J2338" s="22" t="s">
        <v>266</v>
      </c>
      <c r="K2338" s="23" t="s">
        <v>1737</v>
      </c>
      <c r="L2338" t="e">
        <f>VLOOKUP(B2338,ubah!$B$2:$L$234,4,FALSE)</f>
        <v>#N/A</v>
      </c>
      <c r="M2338" t="e">
        <f>VLOOKUP(B2338,ubah!$B$2:$L$234,5,FALSE)</f>
        <v>#N/A</v>
      </c>
      <c r="N2338" t="e">
        <f>VLOOKUP(B2338,ubah!$B$2:$L$234,6,FALSE)</f>
        <v>#N/A</v>
      </c>
    </row>
    <row r="2339" spans="1:14" hidden="1" x14ac:dyDescent="0.35">
      <c r="A2339" s="21">
        <v>392297</v>
      </c>
      <c r="B2339" s="22" t="str">
        <f>"1802094909890003"</f>
        <v>1802094909890003</v>
      </c>
      <c r="C2339" s="22" t="str">
        <f t="shared" si="72"/>
        <v>'1802094909890003</v>
      </c>
      <c r="D2339" s="22" t="str">
        <f t="shared" si="73"/>
        <v>tidak ganda</v>
      </c>
      <c r="E2339" s="22" t="s">
        <v>4981</v>
      </c>
      <c r="F2339" s="22" t="s">
        <v>10</v>
      </c>
      <c r="G2339" s="22" t="s">
        <v>11</v>
      </c>
      <c r="H2339" s="22" t="s">
        <v>44</v>
      </c>
      <c r="I2339" s="22" t="s">
        <v>1040</v>
      </c>
      <c r="J2339" s="22" t="s">
        <v>4982</v>
      </c>
      <c r="K2339" s="23" t="s">
        <v>4983</v>
      </c>
    </row>
    <row r="2340" spans="1:14" hidden="1" x14ac:dyDescent="0.35">
      <c r="A2340" s="21">
        <v>45989</v>
      </c>
      <c r="B2340" s="22" t="str">
        <f>"1901054610950001"</f>
        <v>1901054610950001</v>
      </c>
      <c r="C2340" s="22" t="str">
        <f t="shared" si="72"/>
        <v>'1901054610950001</v>
      </c>
      <c r="D2340" s="22" t="str">
        <f t="shared" si="73"/>
        <v>tidak ganda</v>
      </c>
      <c r="E2340" s="22" t="s">
        <v>4986</v>
      </c>
      <c r="F2340" s="22" t="s">
        <v>10</v>
      </c>
      <c r="G2340" s="22" t="s">
        <v>11</v>
      </c>
      <c r="H2340" s="22" t="s">
        <v>225</v>
      </c>
      <c r="I2340" s="22" t="s">
        <v>226</v>
      </c>
      <c r="J2340" s="22" t="s">
        <v>4987</v>
      </c>
      <c r="K2340" s="23" t="s">
        <v>4988</v>
      </c>
    </row>
    <row r="2341" spans="1:14" hidden="1" x14ac:dyDescent="0.35">
      <c r="A2341" s="21">
        <v>506531</v>
      </c>
      <c r="B2341" s="22" t="str">
        <f>"3172021712970001"</f>
        <v>3172021712970001</v>
      </c>
      <c r="C2341" s="22" t="str">
        <f t="shared" si="72"/>
        <v>'3172021712970001</v>
      </c>
      <c r="D2341" s="22" t="str">
        <f t="shared" si="73"/>
        <v>tidak ganda</v>
      </c>
      <c r="E2341" s="22" t="s">
        <v>4989</v>
      </c>
      <c r="F2341" s="22" t="s">
        <v>10</v>
      </c>
      <c r="G2341" s="22" t="s">
        <v>11</v>
      </c>
      <c r="H2341" s="22" t="s">
        <v>50</v>
      </c>
      <c r="I2341" s="22" t="s">
        <v>51</v>
      </c>
      <c r="J2341" s="22" t="s">
        <v>62</v>
      </c>
      <c r="K2341" s="23" t="s">
        <v>2193</v>
      </c>
    </row>
    <row r="2342" spans="1:14" hidden="1" x14ac:dyDescent="0.35">
      <c r="A2342" s="21">
        <v>1046589</v>
      </c>
      <c r="B2342" s="22" t="str">
        <f>"3172030707480006"</f>
        <v>3172030707480006</v>
      </c>
      <c r="C2342" s="22" t="str">
        <f t="shared" si="72"/>
        <v>'3172030707480006</v>
      </c>
      <c r="D2342" s="22" t="str">
        <f t="shared" si="73"/>
        <v>tidak ganda</v>
      </c>
      <c r="E2342" s="22" t="s">
        <v>4991</v>
      </c>
      <c r="F2342" s="22" t="s">
        <v>10</v>
      </c>
      <c r="G2342" s="22" t="s">
        <v>11</v>
      </c>
      <c r="H2342" s="22" t="s">
        <v>50</v>
      </c>
      <c r="I2342" s="22" t="s">
        <v>51</v>
      </c>
      <c r="J2342" s="22" t="s">
        <v>284</v>
      </c>
      <c r="K2342" s="23" t="s">
        <v>4992</v>
      </c>
    </row>
    <row r="2343" spans="1:14" hidden="1" x14ac:dyDescent="0.35">
      <c r="A2343" s="21">
        <v>1014202</v>
      </c>
      <c r="B2343" s="22" t="str">
        <f>"3173061909810010"</f>
        <v>3173061909810010</v>
      </c>
      <c r="C2343" s="22" t="str">
        <f t="shared" si="72"/>
        <v>'3173061909810010</v>
      </c>
      <c r="D2343" s="22" t="str">
        <f t="shared" si="73"/>
        <v>tidak ganda</v>
      </c>
      <c r="E2343" s="22" t="s">
        <v>4995</v>
      </c>
      <c r="F2343" s="22" t="s">
        <v>10</v>
      </c>
      <c r="G2343" s="22" t="s">
        <v>11</v>
      </c>
      <c r="H2343" s="22" t="s">
        <v>50</v>
      </c>
      <c r="I2343" s="22" t="s">
        <v>86</v>
      </c>
      <c r="J2343" s="22" t="s">
        <v>87</v>
      </c>
      <c r="K2343" s="23" t="s">
        <v>88</v>
      </c>
    </row>
    <row r="2344" spans="1:14" hidden="1" x14ac:dyDescent="0.35">
      <c r="A2344" s="21">
        <v>1361518</v>
      </c>
      <c r="B2344" s="22" t="str">
        <f>"3174071208800006"</f>
        <v>3174071208800006</v>
      </c>
      <c r="C2344" s="22" t="str">
        <f t="shared" si="72"/>
        <v>'3174071208800006</v>
      </c>
      <c r="D2344" s="22" t="str">
        <f t="shared" si="73"/>
        <v>tidak ganda</v>
      </c>
      <c r="E2344" s="22" t="s">
        <v>4996</v>
      </c>
      <c r="F2344" s="22" t="s">
        <v>10</v>
      </c>
      <c r="G2344" s="22" t="s">
        <v>11</v>
      </c>
      <c r="H2344" s="22" t="s">
        <v>50</v>
      </c>
      <c r="I2344" s="22" t="s">
        <v>72</v>
      </c>
      <c r="J2344" s="22" t="s">
        <v>628</v>
      </c>
      <c r="K2344" s="23" t="s">
        <v>2252</v>
      </c>
    </row>
    <row r="2345" spans="1:14" hidden="1" x14ac:dyDescent="0.35">
      <c r="A2345" s="21">
        <v>188935</v>
      </c>
      <c r="B2345" s="22" t="str">
        <f>"3175030904750009"</f>
        <v>3175030904750009</v>
      </c>
      <c r="C2345" s="22" t="str">
        <f t="shared" si="72"/>
        <v>'3175030904750009</v>
      </c>
      <c r="D2345" s="22" t="str">
        <f t="shared" si="73"/>
        <v>tidak ganda</v>
      </c>
      <c r="E2345" s="22" t="s">
        <v>4998</v>
      </c>
      <c r="F2345" s="22" t="s">
        <v>10</v>
      </c>
      <c r="G2345" s="22" t="s">
        <v>11</v>
      </c>
      <c r="H2345" s="22" t="s">
        <v>50</v>
      </c>
      <c r="I2345" s="22" t="s">
        <v>58</v>
      </c>
      <c r="J2345" s="22" t="s">
        <v>59</v>
      </c>
      <c r="K2345" s="23" t="s">
        <v>1368</v>
      </c>
    </row>
    <row r="2346" spans="1:14" hidden="1" x14ac:dyDescent="0.35">
      <c r="A2346" s="21">
        <v>188936</v>
      </c>
      <c r="B2346" s="22" t="str">
        <f>"3175035410740008"</f>
        <v>3175035410740008</v>
      </c>
      <c r="C2346" s="22" t="str">
        <f t="shared" si="72"/>
        <v>'3175035410740008</v>
      </c>
      <c r="D2346" s="22" t="str">
        <f t="shared" si="73"/>
        <v>tidak ganda</v>
      </c>
      <c r="E2346" s="22" t="s">
        <v>5000</v>
      </c>
      <c r="F2346" s="22" t="s">
        <v>10</v>
      </c>
      <c r="G2346" s="22" t="s">
        <v>11</v>
      </c>
      <c r="H2346" s="22" t="s">
        <v>50</v>
      </c>
      <c r="I2346" s="22" t="s">
        <v>58</v>
      </c>
      <c r="J2346" s="22" t="s">
        <v>59</v>
      </c>
      <c r="K2346" s="23" t="s">
        <v>1368</v>
      </c>
    </row>
    <row r="2347" spans="1:14" hidden="1" x14ac:dyDescent="0.35">
      <c r="A2347" s="21">
        <v>1829131</v>
      </c>
      <c r="B2347" s="22" t="str">
        <f>"3202290907920009"</f>
        <v>3202290907920009</v>
      </c>
      <c r="C2347" s="22" t="str">
        <f t="shared" si="72"/>
        <v>'3202290907920009</v>
      </c>
      <c r="D2347" s="22" t="str">
        <f t="shared" si="73"/>
        <v>tidak ganda</v>
      </c>
      <c r="E2347" s="22" t="s">
        <v>5002</v>
      </c>
      <c r="F2347" s="22" t="s">
        <v>10</v>
      </c>
      <c r="G2347" s="22" t="s">
        <v>11</v>
      </c>
      <c r="H2347" s="22" t="s">
        <v>91</v>
      </c>
      <c r="I2347" s="22" t="s">
        <v>101</v>
      </c>
      <c r="J2347" s="22" t="s">
        <v>5003</v>
      </c>
      <c r="K2347" s="23" t="s">
        <v>5004</v>
      </c>
    </row>
    <row r="2348" spans="1:14" hidden="1" x14ac:dyDescent="0.35">
      <c r="A2348" s="21">
        <v>457921</v>
      </c>
      <c r="B2348" s="22" t="str">
        <f>"3209032603900011"</f>
        <v>3209032603900011</v>
      </c>
      <c r="C2348" s="22" t="str">
        <f t="shared" si="72"/>
        <v>'3209032603900011</v>
      </c>
      <c r="D2348" s="22" t="str">
        <f t="shared" si="73"/>
        <v>tidak ganda</v>
      </c>
      <c r="E2348" s="22" t="s">
        <v>5006</v>
      </c>
      <c r="F2348" s="22" t="s">
        <v>10</v>
      </c>
      <c r="G2348" s="22" t="s">
        <v>11</v>
      </c>
      <c r="H2348" s="22" t="s">
        <v>91</v>
      </c>
      <c r="I2348" s="22" t="s">
        <v>985</v>
      </c>
      <c r="J2348" s="22" t="s">
        <v>877</v>
      </c>
      <c r="K2348" s="23" t="s">
        <v>5007</v>
      </c>
    </row>
    <row r="2349" spans="1:14" hidden="1" x14ac:dyDescent="0.35">
      <c r="A2349" s="21">
        <v>1143225</v>
      </c>
      <c r="B2349" s="22" t="str">
        <f>"3273255408800003"</f>
        <v>3273255408800003</v>
      </c>
      <c r="C2349" s="22" t="str">
        <f t="shared" si="72"/>
        <v>'3273255408800003</v>
      </c>
      <c r="D2349" s="22" t="str">
        <f t="shared" si="73"/>
        <v>tidak ganda</v>
      </c>
      <c r="E2349" s="22" t="s">
        <v>5008</v>
      </c>
      <c r="F2349" s="22" t="s">
        <v>10</v>
      </c>
      <c r="G2349" s="22" t="s">
        <v>11</v>
      </c>
      <c r="H2349" s="22" t="s">
        <v>91</v>
      </c>
      <c r="I2349" s="22" t="s">
        <v>149</v>
      </c>
      <c r="J2349" s="22" t="s">
        <v>5009</v>
      </c>
      <c r="K2349" s="23" t="s">
        <v>5010</v>
      </c>
    </row>
    <row r="2350" spans="1:14" hidden="1" x14ac:dyDescent="0.35">
      <c r="A2350" s="21">
        <v>393159</v>
      </c>
      <c r="B2350" s="22" t="str">
        <f>"3275070701070001"</f>
        <v>3275070701070001</v>
      </c>
      <c r="C2350" s="22" t="str">
        <f t="shared" si="72"/>
        <v>'3275070701070001</v>
      </c>
      <c r="D2350" s="22" t="str">
        <f t="shared" si="73"/>
        <v>tidak ganda</v>
      </c>
      <c r="E2350" s="22" t="s">
        <v>5012</v>
      </c>
      <c r="F2350" s="22" t="s">
        <v>10</v>
      </c>
      <c r="G2350" s="22" t="s">
        <v>11</v>
      </c>
      <c r="H2350" s="22" t="s">
        <v>91</v>
      </c>
      <c r="I2350" s="22" t="s">
        <v>159</v>
      </c>
      <c r="J2350" s="22" t="s">
        <v>5013</v>
      </c>
      <c r="K2350" s="23" t="s">
        <v>5014</v>
      </c>
    </row>
    <row r="2351" spans="1:14" hidden="1" x14ac:dyDescent="0.35">
      <c r="A2351" s="21">
        <v>872412</v>
      </c>
      <c r="B2351" s="22" t="str">
        <f>"3303095409780003"</f>
        <v>3303095409780003</v>
      </c>
      <c r="C2351" s="22" t="str">
        <f t="shared" si="72"/>
        <v>'3303095409780003</v>
      </c>
      <c r="D2351" s="22" t="str">
        <f t="shared" si="73"/>
        <v>tidak ganda</v>
      </c>
      <c r="E2351" s="22" t="s">
        <v>5015</v>
      </c>
      <c r="F2351" s="22" t="s">
        <v>10</v>
      </c>
      <c r="G2351" s="22" t="s">
        <v>11</v>
      </c>
      <c r="H2351" s="22" t="s">
        <v>18</v>
      </c>
      <c r="I2351" s="22" t="s">
        <v>1349</v>
      </c>
      <c r="J2351" s="22" t="s">
        <v>5016</v>
      </c>
      <c r="K2351" s="23" t="s">
        <v>5017</v>
      </c>
    </row>
    <row r="2352" spans="1:14" hidden="1" x14ac:dyDescent="0.35">
      <c r="A2352" s="21">
        <v>677334</v>
      </c>
      <c r="B2352" s="22" t="str">
        <f>"3310172608000002"</f>
        <v>3310172608000002</v>
      </c>
      <c r="C2352" s="22" t="str">
        <f t="shared" si="72"/>
        <v>'3310172608000002</v>
      </c>
      <c r="D2352" s="22" t="str">
        <f t="shared" si="73"/>
        <v>tidak ganda</v>
      </c>
      <c r="E2352" s="22" t="s">
        <v>5018</v>
      </c>
      <c r="F2352" s="22" t="s">
        <v>10</v>
      </c>
      <c r="G2352" s="22" t="s">
        <v>11</v>
      </c>
      <c r="H2352" s="22" t="s">
        <v>18</v>
      </c>
      <c r="I2352" s="22" t="s">
        <v>385</v>
      </c>
      <c r="J2352" s="22" t="s">
        <v>5019</v>
      </c>
      <c r="K2352" s="23" t="s">
        <v>4207</v>
      </c>
    </row>
    <row r="2353" spans="1:14" hidden="1" x14ac:dyDescent="0.35">
      <c r="A2353" s="21">
        <v>617249</v>
      </c>
      <c r="B2353" s="22" t="str">
        <f>"3323025501920003"</f>
        <v>3323025501920003</v>
      </c>
      <c r="C2353" s="22" t="str">
        <f t="shared" si="72"/>
        <v>'3323025501920003</v>
      </c>
      <c r="D2353" s="22" t="str">
        <f t="shared" si="73"/>
        <v>tidak ganda</v>
      </c>
      <c r="E2353" s="22" t="s">
        <v>5021</v>
      </c>
      <c r="F2353" s="22" t="s">
        <v>10</v>
      </c>
      <c r="G2353" s="22" t="s">
        <v>11</v>
      </c>
      <c r="H2353" s="22" t="s">
        <v>379</v>
      </c>
      <c r="I2353" s="22" t="s">
        <v>1206</v>
      </c>
      <c r="J2353" s="22" t="s">
        <v>4136</v>
      </c>
      <c r="K2353" s="23" t="s">
        <v>5022</v>
      </c>
    </row>
    <row r="2354" spans="1:14" hidden="1" x14ac:dyDescent="0.35">
      <c r="A2354" s="21">
        <v>2115345</v>
      </c>
      <c r="B2354" s="22" t="str">
        <f>"3327100101690178"</f>
        <v>3327100101690178</v>
      </c>
      <c r="C2354" s="22" t="str">
        <f t="shared" si="72"/>
        <v>'3327100101690178</v>
      </c>
      <c r="D2354" s="22" t="str">
        <f t="shared" si="73"/>
        <v>tidak ganda</v>
      </c>
      <c r="E2354" s="22" t="s">
        <v>5025</v>
      </c>
      <c r="F2354" s="22" t="s">
        <v>10</v>
      </c>
      <c r="G2354" s="22" t="s">
        <v>11</v>
      </c>
      <c r="H2354" s="22" t="s">
        <v>18</v>
      </c>
      <c r="I2354" s="22" t="s">
        <v>199</v>
      </c>
      <c r="J2354" s="22" t="s">
        <v>200</v>
      </c>
      <c r="K2354" s="23" t="s">
        <v>5026</v>
      </c>
    </row>
    <row r="2355" spans="1:14" hidden="1" x14ac:dyDescent="0.35">
      <c r="A2355" s="21">
        <v>26513</v>
      </c>
      <c r="B2355" s="22" t="str">
        <f>"3328060606870013"</f>
        <v>3328060606870013</v>
      </c>
      <c r="C2355" s="22" t="str">
        <f t="shared" si="72"/>
        <v>'3328060606870013</v>
      </c>
      <c r="D2355" s="22" t="str">
        <f t="shared" si="73"/>
        <v>tidak ganda</v>
      </c>
      <c r="E2355" s="22" t="s">
        <v>5027</v>
      </c>
      <c r="F2355" s="22" t="s">
        <v>10</v>
      </c>
      <c r="G2355" s="22" t="s">
        <v>11</v>
      </c>
      <c r="H2355" s="22" t="s">
        <v>2889</v>
      </c>
      <c r="I2355" s="22" t="s">
        <v>2890</v>
      </c>
      <c r="J2355" s="22" t="s">
        <v>5028</v>
      </c>
      <c r="K2355" s="23" t="s">
        <v>5029</v>
      </c>
    </row>
    <row r="2356" spans="1:14" hidden="1" x14ac:dyDescent="0.35">
      <c r="A2356" s="21">
        <v>53340</v>
      </c>
      <c r="B2356" s="22" t="str">
        <f>"3328111004790010"</f>
        <v>3328111004790010</v>
      </c>
      <c r="C2356" s="22" t="str">
        <f t="shared" si="72"/>
        <v>'3328111004790010</v>
      </c>
      <c r="D2356" s="22" t="str">
        <f t="shared" si="73"/>
        <v>tidak ganda</v>
      </c>
      <c r="E2356" s="22" t="s">
        <v>5031</v>
      </c>
      <c r="F2356" s="22" t="s">
        <v>10</v>
      </c>
      <c r="G2356" s="22" t="s">
        <v>11</v>
      </c>
      <c r="H2356" s="22" t="s">
        <v>1374</v>
      </c>
      <c r="I2356" s="22" t="s">
        <v>1375</v>
      </c>
      <c r="J2356" s="22" t="s">
        <v>1376</v>
      </c>
      <c r="K2356" s="23" t="s">
        <v>1377</v>
      </c>
    </row>
    <row r="2357" spans="1:14" hidden="1" x14ac:dyDescent="0.35">
      <c r="A2357" s="21">
        <v>1648800</v>
      </c>
      <c r="B2357" s="22" t="str">
        <f>"3328131205870003"</f>
        <v>3328131205870003</v>
      </c>
      <c r="C2357" s="22" t="str">
        <f t="shared" si="72"/>
        <v>'3328131205870003</v>
      </c>
      <c r="D2357" s="22" t="str">
        <f t="shared" si="73"/>
        <v>ganda</v>
      </c>
      <c r="E2357" s="22" t="s">
        <v>5032</v>
      </c>
      <c r="F2357" s="22" t="s">
        <v>10</v>
      </c>
      <c r="G2357" s="22" t="s">
        <v>11</v>
      </c>
      <c r="H2357" s="22" t="s">
        <v>18</v>
      </c>
      <c r="I2357" s="22" t="s">
        <v>19</v>
      </c>
      <c r="J2357" s="22" t="s">
        <v>266</v>
      </c>
      <c r="K2357" s="23" t="s">
        <v>4976</v>
      </c>
      <c r="L2357" t="e">
        <f>VLOOKUP(B2357,ubah!$B$2:$L$234,4,FALSE)</f>
        <v>#N/A</v>
      </c>
      <c r="M2357" t="e">
        <f>VLOOKUP(B2357,ubah!$B$2:$L$234,5,FALSE)</f>
        <v>#N/A</v>
      </c>
      <c r="N2357" t="e">
        <f>VLOOKUP(B2357,ubah!$B$2:$L$234,6,FALSE)</f>
        <v>#N/A</v>
      </c>
    </row>
    <row r="2358" spans="1:14" hidden="1" x14ac:dyDescent="0.35">
      <c r="A2358" s="21">
        <v>269121</v>
      </c>
      <c r="B2358" s="22" t="str">
        <f>"3328131205870003"</f>
        <v>3328131205870003</v>
      </c>
      <c r="C2358" s="22" t="str">
        <f t="shared" si="72"/>
        <v>'3328131205870003</v>
      </c>
      <c r="D2358" s="22" t="str">
        <f t="shared" si="73"/>
        <v>ganda</v>
      </c>
      <c r="E2358" s="22" t="s">
        <v>5033</v>
      </c>
      <c r="F2358" s="22" t="s">
        <v>10</v>
      </c>
      <c r="G2358" s="22" t="s">
        <v>57</v>
      </c>
      <c r="H2358" s="22" t="s">
        <v>91</v>
      </c>
      <c r="I2358" s="22" t="s">
        <v>155</v>
      </c>
      <c r="J2358" s="22" t="s">
        <v>5034</v>
      </c>
      <c r="K2358" s="23" t="s">
        <v>5035</v>
      </c>
    </row>
    <row r="2359" spans="1:14" hidden="1" x14ac:dyDescent="0.35">
      <c r="A2359" s="21">
        <v>606111</v>
      </c>
      <c r="B2359" s="22" t="str">
        <f>"3328132803940014"</f>
        <v>3328132803940014</v>
      </c>
      <c r="C2359" s="22" t="str">
        <f t="shared" si="72"/>
        <v>'3328132803940014</v>
      </c>
      <c r="D2359" s="22" t="str">
        <f t="shared" si="73"/>
        <v>tidak ganda</v>
      </c>
      <c r="E2359" s="22" t="s">
        <v>5036</v>
      </c>
      <c r="F2359" s="22" t="s">
        <v>10</v>
      </c>
      <c r="G2359" s="22" t="s">
        <v>11</v>
      </c>
      <c r="H2359" s="22" t="s">
        <v>91</v>
      </c>
      <c r="I2359" s="22" t="s">
        <v>3442</v>
      </c>
      <c r="J2359" s="22" t="s">
        <v>5037</v>
      </c>
      <c r="K2359" s="23" t="s">
        <v>5037</v>
      </c>
    </row>
    <row r="2360" spans="1:14" hidden="1" x14ac:dyDescent="0.35">
      <c r="A2360" s="21">
        <v>1279269</v>
      </c>
      <c r="B2360" s="22" t="str">
        <f>"3328141901980004"</f>
        <v>3328141901980004</v>
      </c>
      <c r="C2360" s="22" t="str">
        <f t="shared" si="72"/>
        <v>'3328141901980004</v>
      </c>
      <c r="D2360" s="22" t="str">
        <f t="shared" si="73"/>
        <v>ganda</v>
      </c>
      <c r="E2360" s="22" t="s">
        <v>5039</v>
      </c>
      <c r="F2360" s="22" t="s">
        <v>10</v>
      </c>
      <c r="G2360" s="22" t="s">
        <v>11</v>
      </c>
      <c r="H2360" s="22" t="s">
        <v>18</v>
      </c>
      <c r="I2360" s="22" t="s">
        <v>19</v>
      </c>
      <c r="J2360" s="22" t="s">
        <v>266</v>
      </c>
      <c r="K2360" s="23" t="s">
        <v>266</v>
      </c>
      <c r="L2360" t="e">
        <f>VLOOKUP(B2360,ubah!$B$2:$L$234,4,FALSE)</f>
        <v>#N/A</v>
      </c>
      <c r="M2360" t="e">
        <f>VLOOKUP(B2360,ubah!$B$2:$L$234,5,FALSE)</f>
        <v>#N/A</v>
      </c>
      <c r="N2360" t="e">
        <f>VLOOKUP(B2360,ubah!$B$2:$L$234,6,FALSE)</f>
        <v>#N/A</v>
      </c>
    </row>
    <row r="2361" spans="1:14" hidden="1" x14ac:dyDescent="0.35">
      <c r="A2361" s="21">
        <v>2662283</v>
      </c>
      <c r="B2361" s="22" t="str">
        <f>"3328141901980004"</f>
        <v>3328141901980004</v>
      </c>
      <c r="C2361" s="22" t="str">
        <f t="shared" si="72"/>
        <v>'3328141901980004</v>
      </c>
      <c r="D2361" s="22" t="str">
        <f t="shared" si="73"/>
        <v>ganda</v>
      </c>
      <c r="E2361" s="22" t="s">
        <v>5040</v>
      </c>
      <c r="F2361" s="22" t="s">
        <v>10</v>
      </c>
      <c r="G2361" s="22" t="s">
        <v>57</v>
      </c>
      <c r="H2361" s="22" t="s">
        <v>18</v>
      </c>
      <c r="I2361" s="22" t="s">
        <v>199</v>
      </c>
      <c r="J2361" s="22" t="s">
        <v>199</v>
      </c>
      <c r="K2361" s="23" t="s">
        <v>839</v>
      </c>
    </row>
    <row r="2362" spans="1:14" hidden="1" x14ac:dyDescent="0.35">
      <c r="A2362" s="21">
        <v>366483</v>
      </c>
      <c r="B2362" s="22" t="str">
        <f>"3328150111020007"</f>
        <v>3328150111020007</v>
      </c>
      <c r="C2362" s="22" t="str">
        <f t="shared" si="72"/>
        <v>'3328150111020007</v>
      </c>
      <c r="D2362" s="22" t="str">
        <f t="shared" si="73"/>
        <v>tidak ganda</v>
      </c>
      <c r="E2362" s="22" t="s">
        <v>5041</v>
      </c>
      <c r="F2362" s="22" t="s">
        <v>10</v>
      </c>
      <c r="G2362" s="22" t="s">
        <v>11</v>
      </c>
      <c r="H2362" s="22" t="s">
        <v>18</v>
      </c>
      <c r="I2362" s="22" t="s">
        <v>268</v>
      </c>
      <c r="J2362" s="22" t="s">
        <v>269</v>
      </c>
      <c r="K2362" s="23" t="s">
        <v>996</v>
      </c>
    </row>
    <row r="2363" spans="1:14" hidden="1" x14ac:dyDescent="0.35">
      <c r="A2363" s="21">
        <v>1335091</v>
      </c>
      <c r="B2363" s="22" t="str">
        <f>"3328150205850006"</f>
        <v>3328150205850006</v>
      </c>
      <c r="C2363" s="22" t="str">
        <f t="shared" si="72"/>
        <v>'3328150205850006</v>
      </c>
      <c r="D2363" s="22" t="str">
        <f t="shared" si="73"/>
        <v>ganda</v>
      </c>
      <c r="E2363" s="22" t="s">
        <v>5043</v>
      </c>
      <c r="F2363" s="22" t="s">
        <v>10</v>
      </c>
      <c r="G2363" s="22" t="s">
        <v>11</v>
      </c>
      <c r="H2363" s="22" t="s">
        <v>18</v>
      </c>
      <c r="I2363" s="22" t="s">
        <v>19</v>
      </c>
      <c r="J2363" s="22" t="s">
        <v>266</v>
      </c>
      <c r="K2363" s="23" t="s">
        <v>5044</v>
      </c>
      <c r="L2363" t="e">
        <f>VLOOKUP(B2363,ubah!$B$2:$L$234,4,FALSE)</f>
        <v>#N/A</v>
      </c>
      <c r="M2363" t="e">
        <f>VLOOKUP(B2363,ubah!$B$2:$L$234,5,FALSE)</f>
        <v>#N/A</v>
      </c>
      <c r="N2363" t="e">
        <f>VLOOKUP(B2363,ubah!$B$2:$L$234,6,FALSE)</f>
        <v>#N/A</v>
      </c>
    </row>
    <row r="2364" spans="1:14" hidden="1" x14ac:dyDescent="0.35">
      <c r="A2364" s="21">
        <v>423871</v>
      </c>
      <c r="B2364" s="22" t="str">
        <f>"3328150205850006"</f>
        <v>3328150205850006</v>
      </c>
      <c r="C2364" s="22" t="str">
        <f t="shared" si="72"/>
        <v>'3328150205850006</v>
      </c>
      <c r="D2364" s="22" t="str">
        <f t="shared" si="73"/>
        <v>ganda</v>
      </c>
      <c r="E2364" s="22" t="s">
        <v>5045</v>
      </c>
      <c r="F2364" s="22" t="s">
        <v>10</v>
      </c>
      <c r="G2364" s="22" t="s">
        <v>57</v>
      </c>
      <c r="H2364" s="22" t="s">
        <v>18</v>
      </c>
      <c r="I2364" s="22" t="s">
        <v>268</v>
      </c>
      <c r="J2364" s="22" t="s">
        <v>277</v>
      </c>
      <c r="K2364" s="23" t="s">
        <v>278</v>
      </c>
    </row>
    <row r="2365" spans="1:14" hidden="1" x14ac:dyDescent="0.35">
      <c r="A2365" s="21">
        <v>1036648</v>
      </c>
      <c r="B2365" s="22" t="str">
        <f>"3328150212850005"</f>
        <v>3328150212850005</v>
      </c>
      <c r="C2365" s="22" t="str">
        <f t="shared" si="72"/>
        <v>'3328150212850005</v>
      </c>
      <c r="D2365" s="22" t="str">
        <f t="shared" si="73"/>
        <v>tidak ganda</v>
      </c>
      <c r="E2365" s="22" t="s">
        <v>5046</v>
      </c>
      <c r="F2365" s="22" t="s">
        <v>10</v>
      </c>
      <c r="G2365" s="22" t="s">
        <v>11</v>
      </c>
      <c r="H2365" s="22" t="s">
        <v>91</v>
      </c>
      <c r="I2365" s="22" t="s">
        <v>159</v>
      </c>
      <c r="J2365" s="22" t="s">
        <v>1337</v>
      </c>
      <c r="K2365" s="23" t="s">
        <v>1338</v>
      </c>
    </row>
    <row r="2366" spans="1:14" hidden="1" x14ac:dyDescent="0.35">
      <c r="A2366" s="21">
        <v>1286210</v>
      </c>
      <c r="B2366" s="22" t="str">
        <f>"3328150305020004"</f>
        <v>3328150305020004</v>
      </c>
      <c r="C2366" s="22" t="str">
        <f t="shared" si="72"/>
        <v>'3328150305020004</v>
      </c>
      <c r="D2366" s="22" t="str">
        <f t="shared" si="73"/>
        <v>ganda</v>
      </c>
      <c r="E2366" s="22" t="s">
        <v>5047</v>
      </c>
      <c r="F2366" s="22" t="s">
        <v>10</v>
      </c>
      <c r="G2366" s="22" t="s">
        <v>11</v>
      </c>
      <c r="H2366" s="22" t="s">
        <v>18</v>
      </c>
      <c r="I2366" s="22" t="s">
        <v>19</v>
      </c>
      <c r="J2366" s="22" t="s">
        <v>266</v>
      </c>
      <c r="K2366" s="23" t="s">
        <v>5048</v>
      </c>
      <c r="L2366" t="e">
        <f>VLOOKUP(B2366,ubah!$B$2:$L$234,4,FALSE)</f>
        <v>#N/A</v>
      </c>
      <c r="M2366" t="e">
        <f>VLOOKUP(B2366,ubah!$B$2:$L$234,5,FALSE)</f>
        <v>#N/A</v>
      </c>
      <c r="N2366" t="e">
        <f>VLOOKUP(B2366,ubah!$B$2:$L$234,6,FALSE)</f>
        <v>#N/A</v>
      </c>
    </row>
    <row r="2367" spans="1:14" hidden="1" x14ac:dyDescent="0.35">
      <c r="A2367" s="21">
        <v>1350381</v>
      </c>
      <c r="B2367" s="22" t="str">
        <f>"3328150305020004"</f>
        <v>3328150305020004</v>
      </c>
      <c r="C2367" s="22" t="str">
        <f t="shared" si="72"/>
        <v>'3328150305020004</v>
      </c>
      <c r="D2367" s="22" t="str">
        <f t="shared" si="73"/>
        <v>ganda</v>
      </c>
      <c r="E2367" s="22" t="s">
        <v>5047</v>
      </c>
      <c r="F2367" s="22" t="s">
        <v>10</v>
      </c>
      <c r="G2367" s="22" t="s">
        <v>57</v>
      </c>
      <c r="H2367" s="22" t="s">
        <v>303</v>
      </c>
      <c r="I2367" s="22" t="s">
        <v>608</v>
      </c>
      <c r="J2367" s="22" t="s">
        <v>609</v>
      </c>
      <c r="K2367" s="23" t="s">
        <v>610</v>
      </c>
    </row>
    <row r="2368" spans="1:14" hidden="1" x14ac:dyDescent="0.35">
      <c r="A2368" s="21">
        <v>2662148</v>
      </c>
      <c r="B2368" s="22" t="str">
        <f>"3328150308830009"</f>
        <v>3328150308830009</v>
      </c>
      <c r="C2368" s="22" t="str">
        <f t="shared" si="72"/>
        <v>'3328150308830009</v>
      </c>
      <c r="D2368" s="22" t="str">
        <f t="shared" si="73"/>
        <v>tidak ganda</v>
      </c>
      <c r="E2368" s="22" t="s">
        <v>5049</v>
      </c>
      <c r="F2368" s="22" t="s">
        <v>10</v>
      </c>
      <c r="G2368" s="22" t="s">
        <v>57</v>
      </c>
      <c r="H2368" s="22" t="s">
        <v>18</v>
      </c>
      <c r="I2368" s="22" t="s">
        <v>199</v>
      </c>
      <c r="J2368" s="22" t="s">
        <v>208</v>
      </c>
      <c r="K2368" s="23" t="s">
        <v>209</v>
      </c>
    </row>
    <row r="2369" spans="1:14" hidden="1" x14ac:dyDescent="0.35">
      <c r="A2369" s="21">
        <v>205755</v>
      </c>
      <c r="B2369" s="22" t="str">
        <f>"3328150406050008"</f>
        <v>3328150406050008</v>
      </c>
      <c r="C2369" s="22" t="str">
        <f t="shared" si="72"/>
        <v>'3328150406050008</v>
      </c>
      <c r="D2369" s="22" t="str">
        <f t="shared" si="73"/>
        <v>tidak ganda</v>
      </c>
      <c r="E2369" s="22" t="s">
        <v>5051</v>
      </c>
      <c r="F2369" s="22" t="s">
        <v>10</v>
      </c>
      <c r="G2369" s="22" t="s">
        <v>11</v>
      </c>
      <c r="H2369" s="22" t="s">
        <v>18</v>
      </c>
      <c r="I2369" s="22" t="s">
        <v>268</v>
      </c>
      <c r="J2369" s="22" t="s">
        <v>371</v>
      </c>
      <c r="K2369" s="23" t="s">
        <v>2769</v>
      </c>
    </row>
    <row r="2370" spans="1:14" hidden="1" x14ac:dyDescent="0.35">
      <c r="A2370" s="21">
        <v>268353</v>
      </c>
      <c r="B2370" s="22" t="str">
        <f>"3328150704040002"</f>
        <v>3328150704040002</v>
      </c>
      <c r="C2370" s="22" t="str">
        <f t="shared" si="72"/>
        <v>'3328150704040002</v>
      </c>
      <c r="D2370" s="22" t="str">
        <f t="shared" si="73"/>
        <v>tidak ganda</v>
      </c>
      <c r="E2370" s="22" t="s">
        <v>5052</v>
      </c>
      <c r="F2370" s="22" t="s">
        <v>10</v>
      </c>
      <c r="G2370" s="22" t="s">
        <v>11</v>
      </c>
      <c r="H2370" s="22" t="s">
        <v>211</v>
      </c>
      <c r="I2370" s="22" t="s">
        <v>5053</v>
      </c>
      <c r="J2370" s="22" t="s">
        <v>5054</v>
      </c>
      <c r="K2370" s="23" t="s">
        <v>5055</v>
      </c>
    </row>
    <row r="2371" spans="1:14" hidden="1" x14ac:dyDescent="0.35">
      <c r="A2371" s="21">
        <v>1650776</v>
      </c>
      <c r="B2371" s="22" t="str">
        <f>"3328150708920002"</f>
        <v>3328150708920002</v>
      </c>
      <c r="C2371" s="22" t="str">
        <f t="shared" ref="C2371:C2434" si="74">"'"&amp;B2371</f>
        <v>'3328150708920002</v>
      </c>
      <c r="D2371" s="22" t="str">
        <f t="shared" ref="D2371:D2434" si="75">IF(COUNTIF($C:$C,C2371)&gt;1,"ganda","tidak ganda")</f>
        <v>ganda</v>
      </c>
      <c r="E2371" s="22" t="s">
        <v>5057</v>
      </c>
      <c r="F2371" s="22" t="s">
        <v>10</v>
      </c>
      <c r="G2371" s="22" t="s">
        <v>11</v>
      </c>
      <c r="H2371" s="22" t="s">
        <v>18</v>
      </c>
      <c r="I2371" s="22" t="s">
        <v>19</v>
      </c>
      <c r="J2371" s="22" t="s">
        <v>266</v>
      </c>
      <c r="K2371" s="23" t="s">
        <v>4976</v>
      </c>
      <c r="L2371" t="e">
        <f>VLOOKUP(B2371,ubah!$B$2:$L$234,4,FALSE)</f>
        <v>#N/A</v>
      </c>
      <c r="M2371" t="e">
        <f>VLOOKUP(B2371,ubah!$B$2:$L$234,5,FALSE)</f>
        <v>#N/A</v>
      </c>
      <c r="N2371" t="e">
        <f>VLOOKUP(B2371,ubah!$B$2:$L$234,6,FALSE)</f>
        <v>#N/A</v>
      </c>
    </row>
    <row r="2372" spans="1:14" hidden="1" x14ac:dyDescent="0.35">
      <c r="A2372" s="21">
        <v>2662484</v>
      </c>
      <c r="B2372" s="22" t="str">
        <f>"3328150708920002"</f>
        <v>3328150708920002</v>
      </c>
      <c r="C2372" s="22" t="str">
        <f t="shared" si="74"/>
        <v>'3328150708920002</v>
      </c>
      <c r="D2372" s="22" t="str">
        <f t="shared" si="75"/>
        <v>ganda</v>
      </c>
      <c r="E2372" s="22" t="s">
        <v>5058</v>
      </c>
      <c r="F2372" s="22" t="s">
        <v>10</v>
      </c>
      <c r="G2372" s="22" t="s">
        <v>57</v>
      </c>
      <c r="H2372" s="22" t="s">
        <v>18</v>
      </c>
      <c r="I2372" s="22" t="s">
        <v>199</v>
      </c>
      <c r="J2372" s="22" t="s">
        <v>208</v>
      </c>
      <c r="K2372" s="23" t="s">
        <v>209</v>
      </c>
    </row>
    <row r="2373" spans="1:14" hidden="1" x14ac:dyDescent="0.35">
      <c r="A2373" s="21">
        <v>2063778</v>
      </c>
      <c r="B2373" s="22" t="str">
        <f>"3328150804880011"</f>
        <v>3328150804880011</v>
      </c>
      <c r="C2373" s="22" t="str">
        <f t="shared" si="74"/>
        <v>'3328150804880011</v>
      </c>
      <c r="D2373" s="22" t="str">
        <f t="shared" si="75"/>
        <v>tidak ganda</v>
      </c>
      <c r="E2373" s="22" t="s">
        <v>5059</v>
      </c>
      <c r="F2373" s="22" t="s">
        <v>10</v>
      </c>
      <c r="G2373" s="22" t="s">
        <v>11</v>
      </c>
      <c r="H2373" s="22" t="s">
        <v>67</v>
      </c>
      <c r="I2373" s="22" t="s">
        <v>375</v>
      </c>
      <c r="J2373" s="22" t="s">
        <v>5060</v>
      </c>
      <c r="K2373" s="23" t="s">
        <v>5061</v>
      </c>
    </row>
    <row r="2374" spans="1:14" hidden="1" x14ac:dyDescent="0.35">
      <c r="A2374" s="21">
        <v>1519110</v>
      </c>
      <c r="B2374" s="22" t="str">
        <f>"3328150808880007"</f>
        <v>3328150808880007</v>
      </c>
      <c r="C2374" s="22" t="str">
        <f t="shared" si="74"/>
        <v>'3328150808880007</v>
      </c>
      <c r="D2374" s="22" t="str">
        <f t="shared" si="75"/>
        <v>tidak ganda</v>
      </c>
      <c r="E2374" s="22" t="s">
        <v>4958</v>
      </c>
      <c r="F2374" s="22" t="s">
        <v>10</v>
      </c>
      <c r="G2374" s="22" t="s">
        <v>11</v>
      </c>
      <c r="H2374" s="22" t="s">
        <v>67</v>
      </c>
      <c r="I2374" s="22" t="s">
        <v>68</v>
      </c>
      <c r="J2374" s="22" t="s">
        <v>2955</v>
      </c>
      <c r="K2374" s="23" t="s">
        <v>776</v>
      </c>
    </row>
    <row r="2375" spans="1:14" hidden="1" x14ac:dyDescent="0.35">
      <c r="A2375" s="21">
        <v>1289295</v>
      </c>
      <c r="B2375" s="22" t="str">
        <f>"3328150907790005"</f>
        <v>3328150907790005</v>
      </c>
      <c r="C2375" s="22" t="str">
        <f t="shared" si="74"/>
        <v>'3328150907790005</v>
      </c>
      <c r="D2375" s="22" t="str">
        <f t="shared" si="75"/>
        <v>tidak ganda</v>
      </c>
      <c r="E2375" s="22" t="s">
        <v>5062</v>
      </c>
      <c r="F2375" s="22" t="s">
        <v>10</v>
      </c>
      <c r="G2375" s="22" t="s">
        <v>11</v>
      </c>
      <c r="H2375" s="22" t="s">
        <v>18</v>
      </c>
      <c r="I2375" s="22" t="s">
        <v>19</v>
      </c>
      <c r="J2375" s="22" t="s">
        <v>266</v>
      </c>
      <c r="K2375" s="23" t="s">
        <v>4994</v>
      </c>
      <c r="L2375" t="e">
        <f>VLOOKUP(B2375,ubah!$B$2:$L$234,4,FALSE)</f>
        <v>#N/A</v>
      </c>
      <c r="M2375" t="e">
        <f>VLOOKUP(B2375,ubah!$B$2:$L$234,5,FALSE)</f>
        <v>#N/A</v>
      </c>
      <c r="N2375" t="e">
        <f>VLOOKUP(B2375,ubah!$B$2:$L$234,6,FALSE)</f>
        <v>#N/A</v>
      </c>
    </row>
    <row r="2376" spans="1:14" hidden="1" x14ac:dyDescent="0.35">
      <c r="A2376" s="21">
        <v>1297368</v>
      </c>
      <c r="B2376" s="22" t="str">
        <f>"3328151509880004"</f>
        <v>3328151509880004</v>
      </c>
      <c r="C2376" s="22" t="str">
        <f t="shared" si="74"/>
        <v>'3328151509880004</v>
      </c>
      <c r="D2376" s="22" t="str">
        <f t="shared" si="75"/>
        <v>tidak ganda</v>
      </c>
      <c r="E2376" s="22" t="s">
        <v>5066</v>
      </c>
      <c r="F2376" s="22" t="s">
        <v>10</v>
      </c>
      <c r="G2376" s="22" t="s">
        <v>11</v>
      </c>
      <c r="H2376" s="22" t="s">
        <v>18</v>
      </c>
      <c r="I2376" s="22" t="s">
        <v>19</v>
      </c>
      <c r="J2376" s="22" t="s">
        <v>266</v>
      </c>
      <c r="K2376" s="23" t="s">
        <v>5067</v>
      </c>
      <c r="L2376" t="e">
        <f>VLOOKUP(B2376,ubah!$B$2:$L$234,4,FALSE)</f>
        <v>#N/A</v>
      </c>
      <c r="M2376" t="e">
        <f>VLOOKUP(B2376,ubah!$B$2:$L$234,5,FALSE)</f>
        <v>#N/A</v>
      </c>
      <c r="N2376" t="e">
        <f>VLOOKUP(B2376,ubah!$B$2:$L$234,6,FALSE)</f>
        <v>#N/A</v>
      </c>
    </row>
    <row r="2377" spans="1:14" hidden="1" x14ac:dyDescent="0.35">
      <c r="A2377" s="21">
        <v>1466898</v>
      </c>
      <c r="B2377" s="22" t="str">
        <f>"3328151512860009"</f>
        <v>3328151512860009</v>
      </c>
      <c r="C2377" s="22" t="str">
        <f t="shared" si="74"/>
        <v>'3328151512860009</v>
      </c>
      <c r="D2377" s="22" t="str">
        <f t="shared" si="75"/>
        <v>tidak ganda</v>
      </c>
      <c r="E2377" s="22" t="s">
        <v>5070</v>
      </c>
      <c r="F2377" s="22" t="s">
        <v>10</v>
      </c>
      <c r="G2377" s="22" t="s">
        <v>11</v>
      </c>
      <c r="H2377" s="22" t="s">
        <v>50</v>
      </c>
      <c r="I2377" s="22" t="s">
        <v>58</v>
      </c>
      <c r="J2377" s="22" t="s">
        <v>417</v>
      </c>
      <c r="K2377" s="23" t="s">
        <v>1936</v>
      </c>
    </row>
    <row r="2378" spans="1:14" hidden="1" x14ac:dyDescent="0.35">
      <c r="A2378" s="21">
        <v>1289519</v>
      </c>
      <c r="B2378" s="22" t="str">
        <f>"3328151602950004"</f>
        <v>3328151602950004</v>
      </c>
      <c r="C2378" s="22" t="str">
        <f t="shared" si="74"/>
        <v>'3328151602950004</v>
      </c>
      <c r="D2378" s="22" t="str">
        <f t="shared" si="75"/>
        <v>tidak ganda</v>
      </c>
      <c r="E2378" s="22" t="s">
        <v>5073</v>
      </c>
      <c r="F2378" s="22" t="s">
        <v>10</v>
      </c>
      <c r="G2378" s="22" t="s">
        <v>11</v>
      </c>
      <c r="H2378" s="22" t="s">
        <v>18</v>
      </c>
      <c r="I2378" s="22" t="s">
        <v>19</v>
      </c>
      <c r="J2378" s="22" t="s">
        <v>266</v>
      </c>
      <c r="K2378" s="23" t="s">
        <v>4994</v>
      </c>
      <c r="L2378" t="e">
        <f>VLOOKUP(B2378,ubah!$B$2:$L$234,4,FALSE)</f>
        <v>#N/A</v>
      </c>
      <c r="M2378" t="e">
        <f>VLOOKUP(B2378,ubah!$B$2:$L$234,5,FALSE)</f>
        <v>#N/A</v>
      </c>
      <c r="N2378" t="e">
        <f>VLOOKUP(B2378,ubah!$B$2:$L$234,6,FALSE)</f>
        <v>#N/A</v>
      </c>
    </row>
    <row r="2379" spans="1:14" hidden="1" x14ac:dyDescent="0.35">
      <c r="A2379" s="21">
        <v>223367</v>
      </c>
      <c r="B2379" s="22" t="str">
        <f>"3328151709790005"</f>
        <v>3328151709790005</v>
      </c>
      <c r="C2379" s="22" t="str">
        <f t="shared" si="74"/>
        <v>'3328151709790005</v>
      </c>
      <c r="D2379" s="22" t="str">
        <f t="shared" si="75"/>
        <v>tidak ganda</v>
      </c>
      <c r="E2379" s="22" t="s">
        <v>5077</v>
      </c>
      <c r="F2379" s="22" t="s">
        <v>10</v>
      </c>
      <c r="G2379" s="22" t="s">
        <v>11</v>
      </c>
      <c r="H2379" s="22" t="s">
        <v>667</v>
      </c>
      <c r="I2379" s="22" t="s">
        <v>5078</v>
      </c>
      <c r="J2379" s="22" t="s">
        <v>5079</v>
      </c>
      <c r="K2379" s="23" t="s">
        <v>5080</v>
      </c>
    </row>
    <row r="2380" spans="1:14" hidden="1" x14ac:dyDescent="0.35">
      <c r="A2380" s="21">
        <v>294738</v>
      </c>
      <c r="B2380" s="22" t="str">
        <f>"3328151803890009"</f>
        <v>3328151803890009</v>
      </c>
      <c r="C2380" s="22" t="str">
        <f t="shared" si="74"/>
        <v>'3328151803890009</v>
      </c>
      <c r="D2380" s="22" t="str">
        <f t="shared" si="75"/>
        <v>tidak ganda</v>
      </c>
      <c r="E2380" s="22" t="s">
        <v>5081</v>
      </c>
      <c r="F2380" s="22" t="s">
        <v>10</v>
      </c>
      <c r="G2380" s="22" t="s">
        <v>11</v>
      </c>
      <c r="H2380" s="22" t="s">
        <v>303</v>
      </c>
      <c r="I2380" s="22" t="s">
        <v>3472</v>
      </c>
      <c r="J2380" s="22" t="s">
        <v>4566</v>
      </c>
      <c r="K2380" s="23" t="s">
        <v>5082</v>
      </c>
    </row>
    <row r="2381" spans="1:14" hidden="1" x14ac:dyDescent="0.35">
      <c r="A2381" s="21">
        <v>1335089</v>
      </c>
      <c r="B2381" s="22" t="str">
        <f>"3328151909000009"</f>
        <v>3328151909000009</v>
      </c>
      <c r="C2381" s="22" t="str">
        <f t="shared" si="74"/>
        <v>'3328151909000009</v>
      </c>
      <c r="D2381" s="22" t="str">
        <f t="shared" si="75"/>
        <v>ganda</v>
      </c>
      <c r="E2381" s="22" t="s">
        <v>5084</v>
      </c>
      <c r="F2381" s="22" t="s">
        <v>10</v>
      </c>
      <c r="G2381" s="22" t="s">
        <v>11</v>
      </c>
      <c r="H2381" s="22" t="s">
        <v>18</v>
      </c>
      <c r="I2381" s="22" t="s">
        <v>19</v>
      </c>
      <c r="J2381" s="22" t="s">
        <v>266</v>
      </c>
      <c r="K2381" s="23" t="s">
        <v>5044</v>
      </c>
      <c r="L2381" t="e">
        <f>VLOOKUP(B2381,ubah!$B$2:$L$234,4,FALSE)</f>
        <v>#N/A</v>
      </c>
      <c r="M2381" t="e">
        <f>VLOOKUP(B2381,ubah!$B$2:$L$234,5,FALSE)</f>
        <v>#N/A</v>
      </c>
      <c r="N2381" t="e">
        <f>VLOOKUP(B2381,ubah!$B$2:$L$234,6,FALSE)</f>
        <v>#N/A</v>
      </c>
    </row>
    <row r="2382" spans="1:14" hidden="1" x14ac:dyDescent="0.35">
      <c r="A2382" s="21">
        <v>423846</v>
      </c>
      <c r="B2382" s="22" t="str">
        <f>"3328151909000009"</f>
        <v>3328151909000009</v>
      </c>
      <c r="C2382" s="22" t="str">
        <f t="shared" si="74"/>
        <v>'3328151909000009</v>
      </c>
      <c r="D2382" s="22" t="str">
        <f t="shared" si="75"/>
        <v>ganda</v>
      </c>
      <c r="E2382" s="22" t="s">
        <v>5085</v>
      </c>
      <c r="F2382" s="22" t="s">
        <v>10</v>
      </c>
      <c r="G2382" s="22" t="s">
        <v>57</v>
      </c>
      <c r="H2382" s="22" t="s">
        <v>18</v>
      </c>
      <c r="I2382" s="22" t="s">
        <v>268</v>
      </c>
      <c r="J2382" s="22" t="s">
        <v>277</v>
      </c>
      <c r="K2382" s="23" t="s">
        <v>278</v>
      </c>
    </row>
    <row r="2383" spans="1:14" hidden="1" x14ac:dyDescent="0.35">
      <c r="A2383" s="21">
        <v>1335088</v>
      </c>
      <c r="B2383" s="22" t="str">
        <f>"3328152110600003"</f>
        <v>3328152110600003</v>
      </c>
      <c r="C2383" s="22" t="str">
        <f t="shared" si="74"/>
        <v>'3328152110600003</v>
      </c>
      <c r="D2383" s="22" t="str">
        <f t="shared" si="75"/>
        <v>ganda</v>
      </c>
      <c r="E2383" s="22" t="s">
        <v>5086</v>
      </c>
      <c r="F2383" s="22" t="s">
        <v>10</v>
      </c>
      <c r="G2383" s="22" t="s">
        <v>11</v>
      </c>
      <c r="H2383" s="22" t="s">
        <v>18</v>
      </c>
      <c r="I2383" s="22" t="s">
        <v>19</v>
      </c>
      <c r="J2383" s="22" t="s">
        <v>266</v>
      </c>
      <c r="K2383" s="23" t="s">
        <v>5044</v>
      </c>
      <c r="L2383" t="e">
        <f>VLOOKUP(B2383,ubah!$B$2:$L$234,4,FALSE)</f>
        <v>#N/A</v>
      </c>
      <c r="M2383" t="e">
        <f>VLOOKUP(B2383,ubah!$B$2:$L$234,5,FALSE)</f>
        <v>#N/A</v>
      </c>
      <c r="N2383" t="e">
        <f>VLOOKUP(B2383,ubah!$B$2:$L$234,6,FALSE)</f>
        <v>#N/A</v>
      </c>
    </row>
    <row r="2384" spans="1:14" hidden="1" x14ac:dyDescent="0.35">
      <c r="A2384" s="21">
        <v>423832</v>
      </c>
      <c r="B2384" s="22" t="str">
        <f>"3328152110600003"</f>
        <v>3328152110600003</v>
      </c>
      <c r="C2384" s="22" t="str">
        <f t="shared" si="74"/>
        <v>'3328152110600003</v>
      </c>
      <c r="D2384" s="22" t="str">
        <f t="shared" si="75"/>
        <v>ganda</v>
      </c>
      <c r="E2384" s="22" t="s">
        <v>5087</v>
      </c>
      <c r="F2384" s="22" t="s">
        <v>10</v>
      </c>
      <c r="G2384" s="22" t="s">
        <v>57</v>
      </c>
      <c r="H2384" s="22" t="s">
        <v>18</v>
      </c>
      <c r="I2384" s="22" t="s">
        <v>268</v>
      </c>
      <c r="J2384" s="22" t="s">
        <v>277</v>
      </c>
      <c r="K2384" s="23" t="s">
        <v>278</v>
      </c>
    </row>
    <row r="2385" spans="1:14" hidden="1" x14ac:dyDescent="0.35">
      <c r="A2385" s="21">
        <v>291772</v>
      </c>
      <c r="B2385" s="22" t="str">
        <f>"3328152302060008"</f>
        <v>3328152302060008</v>
      </c>
      <c r="C2385" s="22" t="str">
        <f t="shared" si="74"/>
        <v>'3328152302060008</v>
      </c>
      <c r="D2385" s="22" t="str">
        <f t="shared" si="75"/>
        <v>tidak ganda</v>
      </c>
      <c r="E2385" s="22" t="s">
        <v>5090</v>
      </c>
      <c r="F2385" s="22" t="s">
        <v>10</v>
      </c>
      <c r="G2385" s="22" t="s">
        <v>11</v>
      </c>
      <c r="H2385" s="22" t="s">
        <v>18</v>
      </c>
      <c r="I2385" s="22" t="s">
        <v>268</v>
      </c>
      <c r="J2385" s="22" t="s">
        <v>277</v>
      </c>
      <c r="K2385" s="23" t="s">
        <v>2762</v>
      </c>
    </row>
    <row r="2386" spans="1:14" hidden="1" x14ac:dyDescent="0.35">
      <c r="A2386" s="21">
        <v>254679</v>
      </c>
      <c r="B2386" s="22" t="str">
        <f>"3328152310030005"</f>
        <v>3328152310030005</v>
      </c>
      <c r="C2386" s="22" t="str">
        <f t="shared" si="74"/>
        <v>'3328152310030005</v>
      </c>
      <c r="D2386" s="22" t="str">
        <f t="shared" si="75"/>
        <v>tidak ganda</v>
      </c>
      <c r="E2386" s="22" t="s">
        <v>5091</v>
      </c>
      <c r="F2386" s="22" t="s">
        <v>10</v>
      </c>
      <c r="G2386" s="22" t="s">
        <v>11</v>
      </c>
      <c r="H2386" s="22" t="s">
        <v>18</v>
      </c>
      <c r="I2386" s="22" t="s">
        <v>268</v>
      </c>
      <c r="J2386" s="22" t="s">
        <v>371</v>
      </c>
      <c r="K2386" s="23" t="s">
        <v>497</v>
      </c>
    </row>
    <row r="2387" spans="1:14" hidden="1" x14ac:dyDescent="0.35">
      <c r="A2387" s="21">
        <v>277951</v>
      </c>
      <c r="B2387" s="22" t="str">
        <f>"3328152407890006"</f>
        <v>3328152407890006</v>
      </c>
      <c r="C2387" s="22" t="str">
        <f t="shared" si="74"/>
        <v>'3328152407890006</v>
      </c>
      <c r="D2387" s="22" t="str">
        <f t="shared" si="75"/>
        <v>tidak ganda</v>
      </c>
      <c r="E2387" s="22" t="s">
        <v>5093</v>
      </c>
      <c r="F2387" s="22" t="s">
        <v>10</v>
      </c>
      <c r="G2387" s="22" t="s">
        <v>11</v>
      </c>
      <c r="H2387" s="22" t="s">
        <v>18</v>
      </c>
      <c r="I2387" s="22" t="s">
        <v>268</v>
      </c>
      <c r="J2387" s="22" t="s">
        <v>277</v>
      </c>
      <c r="K2387" s="23" t="s">
        <v>3243</v>
      </c>
    </row>
    <row r="2388" spans="1:14" hidden="1" x14ac:dyDescent="0.35">
      <c r="A2388" s="21">
        <v>366758</v>
      </c>
      <c r="B2388" s="22" t="str">
        <f>"3328152408000001"</f>
        <v>3328152408000001</v>
      </c>
      <c r="C2388" s="22" t="str">
        <f t="shared" si="74"/>
        <v>'3328152408000001</v>
      </c>
      <c r="D2388" s="22" t="str">
        <f t="shared" si="75"/>
        <v>tidak ganda</v>
      </c>
      <c r="E2388" s="22" t="s">
        <v>5094</v>
      </c>
      <c r="F2388" s="22" t="s">
        <v>10</v>
      </c>
      <c r="G2388" s="22" t="s">
        <v>11</v>
      </c>
      <c r="H2388" s="22" t="s">
        <v>18</v>
      </c>
      <c r="I2388" s="22" t="s">
        <v>268</v>
      </c>
      <c r="J2388" s="22" t="s">
        <v>269</v>
      </c>
      <c r="K2388" s="23" t="s">
        <v>996</v>
      </c>
    </row>
    <row r="2389" spans="1:14" hidden="1" x14ac:dyDescent="0.35">
      <c r="A2389" s="21">
        <v>303681</v>
      </c>
      <c r="B2389" s="22" t="str">
        <f>"3328152411040008"</f>
        <v>3328152411040008</v>
      </c>
      <c r="C2389" s="22" t="str">
        <f t="shared" si="74"/>
        <v>'3328152411040008</v>
      </c>
      <c r="D2389" s="22" t="str">
        <f t="shared" si="75"/>
        <v>tidak ganda</v>
      </c>
      <c r="E2389" s="22" t="s">
        <v>5096</v>
      </c>
      <c r="F2389" s="22" t="s">
        <v>10</v>
      </c>
      <c r="G2389" s="22" t="s">
        <v>11</v>
      </c>
      <c r="H2389" s="22" t="s">
        <v>18</v>
      </c>
      <c r="I2389" s="22" t="s">
        <v>268</v>
      </c>
      <c r="J2389" s="22" t="s">
        <v>277</v>
      </c>
      <c r="K2389" s="23" t="s">
        <v>2762</v>
      </c>
    </row>
    <row r="2390" spans="1:14" hidden="1" x14ac:dyDescent="0.35">
      <c r="A2390" s="21">
        <v>248642</v>
      </c>
      <c r="B2390" s="22" t="str">
        <f>"3328152811050005"</f>
        <v>3328152811050005</v>
      </c>
      <c r="C2390" s="22" t="str">
        <f t="shared" si="74"/>
        <v>'3328152811050005</v>
      </c>
      <c r="D2390" s="22" t="str">
        <f t="shared" si="75"/>
        <v>tidak ganda</v>
      </c>
      <c r="E2390" s="22" t="s">
        <v>5099</v>
      </c>
      <c r="F2390" s="22" t="s">
        <v>10</v>
      </c>
      <c r="G2390" s="22" t="s">
        <v>11</v>
      </c>
      <c r="H2390" s="22" t="s">
        <v>18</v>
      </c>
      <c r="I2390" s="22" t="s">
        <v>268</v>
      </c>
      <c r="J2390" s="22" t="s">
        <v>371</v>
      </c>
      <c r="K2390" s="23" t="s">
        <v>497</v>
      </c>
    </row>
    <row r="2391" spans="1:14" hidden="1" x14ac:dyDescent="0.35">
      <c r="A2391" s="21">
        <v>283100</v>
      </c>
      <c r="B2391" s="22" t="str">
        <f>"3328152901030009"</f>
        <v>3328152901030009</v>
      </c>
      <c r="C2391" s="22" t="str">
        <f t="shared" si="74"/>
        <v>'3328152901030009</v>
      </c>
      <c r="D2391" s="22" t="str">
        <f t="shared" si="75"/>
        <v>tidak ganda</v>
      </c>
      <c r="E2391" s="22" t="s">
        <v>5100</v>
      </c>
      <c r="F2391" s="22" t="s">
        <v>10</v>
      </c>
      <c r="G2391" s="22" t="s">
        <v>11</v>
      </c>
      <c r="H2391" s="22" t="s">
        <v>18</v>
      </c>
      <c r="I2391" s="22" t="s">
        <v>268</v>
      </c>
      <c r="J2391" s="22" t="s">
        <v>277</v>
      </c>
      <c r="K2391" s="23" t="s">
        <v>884</v>
      </c>
    </row>
    <row r="2392" spans="1:14" hidden="1" x14ac:dyDescent="0.35">
      <c r="A2392" s="21">
        <v>265629</v>
      </c>
      <c r="B2392" s="22" t="str">
        <f>"3328153004930002"</f>
        <v>3328153004930002</v>
      </c>
      <c r="C2392" s="22" t="str">
        <f t="shared" si="74"/>
        <v>'3328153004930002</v>
      </c>
      <c r="D2392" s="22" t="str">
        <f t="shared" si="75"/>
        <v>tidak ganda</v>
      </c>
      <c r="E2392" s="22" t="s">
        <v>5101</v>
      </c>
      <c r="F2392" s="22" t="s">
        <v>10</v>
      </c>
      <c r="G2392" s="22" t="s">
        <v>11</v>
      </c>
      <c r="H2392" s="22" t="s">
        <v>18</v>
      </c>
      <c r="I2392" s="22" t="s">
        <v>268</v>
      </c>
      <c r="J2392" s="22" t="s">
        <v>371</v>
      </c>
      <c r="K2392" s="23" t="s">
        <v>497</v>
      </c>
    </row>
    <row r="2393" spans="1:14" hidden="1" x14ac:dyDescent="0.35">
      <c r="A2393" s="21">
        <v>1282949</v>
      </c>
      <c r="B2393" s="22" t="str">
        <f>"3328153101030003"</f>
        <v>3328153101030003</v>
      </c>
      <c r="C2393" s="22" t="str">
        <f t="shared" si="74"/>
        <v>'3328153101030003</v>
      </c>
      <c r="D2393" s="22" t="str">
        <f t="shared" si="75"/>
        <v>tidak ganda</v>
      </c>
      <c r="E2393" s="22" t="s">
        <v>5102</v>
      </c>
      <c r="F2393" s="22" t="s">
        <v>10</v>
      </c>
      <c r="G2393" s="22" t="s">
        <v>11</v>
      </c>
      <c r="H2393" s="22" t="s">
        <v>91</v>
      </c>
      <c r="I2393" s="22" t="s">
        <v>159</v>
      </c>
      <c r="J2393" s="22" t="s">
        <v>3107</v>
      </c>
      <c r="K2393" s="23" t="s">
        <v>3107</v>
      </c>
    </row>
    <row r="2394" spans="1:14" hidden="1" x14ac:dyDescent="0.35">
      <c r="A2394" s="21">
        <v>1564624</v>
      </c>
      <c r="B2394" s="22" t="str">
        <f>"3328154107570206"</f>
        <v>3328154107570206</v>
      </c>
      <c r="C2394" s="22" t="str">
        <f t="shared" si="74"/>
        <v>'3328154107570206</v>
      </c>
      <c r="D2394" s="22" t="str">
        <f t="shared" si="75"/>
        <v>tidak ganda</v>
      </c>
      <c r="E2394" s="22" t="s">
        <v>5103</v>
      </c>
      <c r="F2394" s="22" t="s">
        <v>10</v>
      </c>
      <c r="G2394" s="22" t="s">
        <v>11</v>
      </c>
      <c r="H2394" s="22" t="s">
        <v>91</v>
      </c>
      <c r="I2394" s="22" t="s">
        <v>92</v>
      </c>
      <c r="J2394" s="22" t="s">
        <v>128</v>
      </c>
      <c r="K2394" s="23" t="s">
        <v>5104</v>
      </c>
    </row>
    <row r="2395" spans="1:14" hidden="1" x14ac:dyDescent="0.35">
      <c r="A2395" s="21">
        <v>346035</v>
      </c>
      <c r="B2395" s="22" t="str">
        <f>"3328154107810058"</f>
        <v>3328154107810058</v>
      </c>
      <c r="C2395" s="22" t="str">
        <f t="shared" si="74"/>
        <v>'3328154107810058</v>
      </c>
      <c r="D2395" s="22" t="str">
        <f t="shared" si="75"/>
        <v>tidak ganda</v>
      </c>
      <c r="E2395" s="22" t="s">
        <v>5107</v>
      </c>
      <c r="F2395" s="22" t="s">
        <v>10</v>
      </c>
      <c r="G2395" s="22" t="s">
        <v>11</v>
      </c>
      <c r="H2395" s="22" t="s">
        <v>18</v>
      </c>
      <c r="I2395" s="22" t="s">
        <v>268</v>
      </c>
      <c r="J2395" s="22" t="s">
        <v>269</v>
      </c>
      <c r="K2395" s="23" t="s">
        <v>3140</v>
      </c>
    </row>
    <row r="2396" spans="1:14" hidden="1" x14ac:dyDescent="0.35">
      <c r="A2396" s="21">
        <v>77839</v>
      </c>
      <c r="B2396" s="22" t="str">
        <f>"3328154109010004"</f>
        <v>3328154109010004</v>
      </c>
      <c r="C2396" s="22" t="str">
        <f t="shared" si="74"/>
        <v>'3328154109010004</v>
      </c>
      <c r="D2396" s="22" t="str">
        <f t="shared" si="75"/>
        <v>tidak ganda</v>
      </c>
      <c r="E2396" s="22" t="s">
        <v>5108</v>
      </c>
      <c r="F2396" s="22" t="s">
        <v>10</v>
      </c>
      <c r="G2396" s="22" t="s">
        <v>11</v>
      </c>
      <c r="H2396" s="22" t="s">
        <v>2545</v>
      </c>
      <c r="I2396" s="22" t="s">
        <v>2546</v>
      </c>
      <c r="J2396" s="22" t="s">
        <v>5109</v>
      </c>
      <c r="K2396" s="23" t="s">
        <v>5110</v>
      </c>
    </row>
    <row r="2397" spans="1:14" hidden="1" x14ac:dyDescent="0.35">
      <c r="A2397" s="21">
        <v>2063779</v>
      </c>
      <c r="B2397" s="22" t="str">
        <f>"3328154205920007"</f>
        <v>3328154205920007</v>
      </c>
      <c r="C2397" s="22" t="str">
        <f t="shared" si="74"/>
        <v>'3328154205920007</v>
      </c>
      <c r="D2397" s="22" t="str">
        <f t="shared" si="75"/>
        <v>tidak ganda</v>
      </c>
      <c r="E2397" s="22" t="s">
        <v>5111</v>
      </c>
      <c r="F2397" s="22" t="s">
        <v>10</v>
      </c>
      <c r="G2397" s="22" t="s">
        <v>11</v>
      </c>
      <c r="H2397" s="22" t="s">
        <v>67</v>
      </c>
      <c r="I2397" s="22" t="s">
        <v>375</v>
      </c>
      <c r="J2397" s="22" t="s">
        <v>5060</v>
      </c>
      <c r="K2397" s="23" t="s">
        <v>5061</v>
      </c>
    </row>
    <row r="2398" spans="1:14" hidden="1" x14ac:dyDescent="0.35">
      <c r="A2398" s="21">
        <v>26514</v>
      </c>
      <c r="B2398" s="22" t="str">
        <f>"3328154406900008"</f>
        <v>3328154406900008</v>
      </c>
      <c r="C2398" s="22" t="str">
        <f t="shared" si="74"/>
        <v>'3328154406900008</v>
      </c>
      <c r="D2398" s="22" t="str">
        <f t="shared" si="75"/>
        <v>tidak ganda</v>
      </c>
      <c r="E2398" s="22" t="s">
        <v>5112</v>
      </c>
      <c r="F2398" s="22" t="s">
        <v>10</v>
      </c>
      <c r="G2398" s="22" t="s">
        <v>11</v>
      </c>
      <c r="H2398" s="22" t="s">
        <v>2889</v>
      </c>
      <c r="I2398" s="22" t="s">
        <v>2890</v>
      </c>
      <c r="J2398" s="22" t="s">
        <v>5028</v>
      </c>
      <c r="K2398" s="23" t="s">
        <v>5029</v>
      </c>
    </row>
    <row r="2399" spans="1:14" hidden="1" x14ac:dyDescent="0.35">
      <c r="A2399" s="21">
        <v>1415773</v>
      </c>
      <c r="B2399" s="22" t="str">
        <f>"3328154705000002"</f>
        <v>3328154705000002</v>
      </c>
      <c r="C2399" s="22" t="str">
        <f t="shared" si="74"/>
        <v>'3328154705000002</v>
      </c>
      <c r="D2399" s="22" t="str">
        <f t="shared" si="75"/>
        <v>ganda</v>
      </c>
      <c r="E2399" s="22" t="s">
        <v>5114</v>
      </c>
      <c r="F2399" s="22" t="s">
        <v>10</v>
      </c>
      <c r="G2399" s="22" t="s">
        <v>11</v>
      </c>
      <c r="H2399" s="22" t="s">
        <v>18</v>
      </c>
      <c r="I2399" s="22" t="s">
        <v>19</v>
      </c>
      <c r="J2399" s="22" t="s">
        <v>266</v>
      </c>
      <c r="K2399" s="23" t="s">
        <v>5072</v>
      </c>
      <c r="L2399" t="e">
        <f>VLOOKUP(B2399,ubah!$B$2:$L$234,4,FALSE)</f>
        <v>#N/A</v>
      </c>
      <c r="M2399" t="e">
        <f>VLOOKUP(B2399,ubah!$B$2:$L$234,5,FALSE)</f>
        <v>#N/A</v>
      </c>
      <c r="N2399" t="e">
        <f>VLOOKUP(B2399,ubah!$B$2:$L$234,6,FALSE)</f>
        <v>#N/A</v>
      </c>
    </row>
    <row r="2400" spans="1:14" hidden="1" x14ac:dyDescent="0.35">
      <c r="A2400" s="21">
        <v>1862383</v>
      </c>
      <c r="B2400" s="22" t="str">
        <f>"3328154705000002"</f>
        <v>3328154705000002</v>
      </c>
      <c r="C2400" s="22" t="str">
        <f t="shared" si="74"/>
        <v>'3328154705000002</v>
      </c>
      <c r="D2400" s="22" t="str">
        <f t="shared" si="75"/>
        <v>ganda</v>
      </c>
      <c r="E2400" s="22" t="s">
        <v>5114</v>
      </c>
      <c r="F2400" s="22" t="s">
        <v>10</v>
      </c>
      <c r="G2400" s="22" t="s">
        <v>57</v>
      </c>
      <c r="H2400" s="22" t="s">
        <v>18</v>
      </c>
      <c r="I2400" s="22" t="s">
        <v>733</v>
      </c>
      <c r="J2400" s="22" t="s">
        <v>733</v>
      </c>
      <c r="K2400" s="23" t="s">
        <v>734</v>
      </c>
    </row>
    <row r="2401" spans="1:14" hidden="1" x14ac:dyDescent="0.35">
      <c r="A2401" s="21">
        <v>1415775</v>
      </c>
      <c r="B2401" s="22" t="str">
        <f>"3328154705000003"</f>
        <v>3328154705000003</v>
      </c>
      <c r="C2401" s="22" t="str">
        <f t="shared" si="74"/>
        <v>'3328154705000003</v>
      </c>
      <c r="D2401" s="22" t="str">
        <f t="shared" si="75"/>
        <v>ganda</v>
      </c>
      <c r="E2401" s="22" t="s">
        <v>5115</v>
      </c>
      <c r="F2401" s="22" t="s">
        <v>10</v>
      </c>
      <c r="G2401" s="22" t="s">
        <v>11</v>
      </c>
      <c r="H2401" s="22" t="s">
        <v>18</v>
      </c>
      <c r="I2401" s="22" t="s">
        <v>19</v>
      </c>
      <c r="J2401" s="22" t="s">
        <v>266</v>
      </c>
      <c r="K2401" s="23" t="s">
        <v>5072</v>
      </c>
      <c r="L2401" t="e">
        <f>VLOOKUP(B2401,ubah!$B$2:$L$234,4,FALSE)</f>
        <v>#N/A</v>
      </c>
      <c r="M2401" t="e">
        <f>VLOOKUP(B2401,ubah!$B$2:$L$234,5,FALSE)</f>
        <v>#N/A</v>
      </c>
      <c r="N2401" t="e">
        <f>VLOOKUP(B2401,ubah!$B$2:$L$234,6,FALSE)</f>
        <v>#N/A</v>
      </c>
    </row>
    <row r="2402" spans="1:14" hidden="1" x14ac:dyDescent="0.35">
      <c r="A2402" s="21">
        <v>1862384</v>
      </c>
      <c r="B2402" s="22" t="str">
        <f>"3328154705000003"</f>
        <v>3328154705000003</v>
      </c>
      <c r="C2402" s="22" t="str">
        <f t="shared" si="74"/>
        <v>'3328154705000003</v>
      </c>
      <c r="D2402" s="22" t="str">
        <f t="shared" si="75"/>
        <v>ganda</v>
      </c>
      <c r="E2402" s="22" t="s">
        <v>5115</v>
      </c>
      <c r="F2402" s="22" t="s">
        <v>10</v>
      </c>
      <c r="G2402" s="22" t="s">
        <v>57</v>
      </c>
      <c r="H2402" s="22" t="s">
        <v>18</v>
      </c>
      <c r="I2402" s="22" t="s">
        <v>733</v>
      </c>
      <c r="J2402" s="22" t="s">
        <v>733</v>
      </c>
      <c r="K2402" s="23" t="s">
        <v>734</v>
      </c>
    </row>
    <row r="2403" spans="1:14" hidden="1" x14ac:dyDescent="0.35">
      <c r="A2403" s="21">
        <v>254464</v>
      </c>
      <c r="B2403" s="22" t="str">
        <f>"3328155005060012"</f>
        <v>3328155005060012</v>
      </c>
      <c r="C2403" s="22" t="str">
        <f t="shared" si="74"/>
        <v>'3328155005060012</v>
      </c>
      <c r="D2403" s="22" t="str">
        <f t="shared" si="75"/>
        <v>tidak ganda</v>
      </c>
      <c r="E2403" s="22" t="s">
        <v>5116</v>
      </c>
      <c r="F2403" s="22" t="s">
        <v>10</v>
      </c>
      <c r="G2403" s="22" t="s">
        <v>11</v>
      </c>
      <c r="H2403" s="22" t="s">
        <v>18</v>
      </c>
      <c r="I2403" s="22" t="s">
        <v>268</v>
      </c>
      <c r="J2403" s="22" t="s">
        <v>371</v>
      </c>
      <c r="K2403" s="23" t="s">
        <v>497</v>
      </c>
    </row>
    <row r="2404" spans="1:14" hidden="1" x14ac:dyDescent="0.35">
      <c r="A2404" s="21">
        <v>585510</v>
      </c>
      <c r="B2404" s="22" t="str">
        <f>"3328155202820005"</f>
        <v>3328155202820005</v>
      </c>
      <c r="C2404" s="22" t="str">
        <f t="shared" si="74"/>
        <v>'3328155202820005</v>
      </c>
      <c r="D2404" s="22" t="str">
        <f t="shared" si="75"/>
        <v>tidak ganda</v>
      </c>
      <c r="E2404" s="22" t="s">
        <v>5120</v>
      </c>
      <c r="F2404" s="22" t="s">
        <v>10</v>
      </c>
      <c r="G2404" s="22" t="s">
        <v>11</v>
      </c>
      <c r="H2404" s="22" t="s">
        <v>379</v>
      </c>
      <c r="I2404" s="22" t="s">
        <v>1206</v>
      </c>
      <c r="J2404" s="22" t="s">
        <v>5121</v>
      </c>
      <c r="K2404" s="23" t="s">
        <v>5122</v>
      </c>
    </row>
    <row r="2405" spans="1:14" hidden="1" x14ac:dyDescent="0.35">
      <c r="A2405" s="21">
        <v>410338</v>
      </c>
      <c r="B2405" s="22" t="str">
        <f>"3328155406930002"</f>
        <v>3328155406930002</v>
      </c>
      <c r="C2405" s="22" t="str">
        <f t="shared" si="74"/>
        <v>'3328155406930002</v>
      </c>
      <c r="D2405" s="22" t="str">
        <f t="shared" si="75"/>
        <v>tidak ganda</v>
      </c>
      <c r="E2405" s="22" t="s">
        <v>5124</v>
      </c>
      <c r="F2405" s="22" t="s">
        <v>10</v>
      </c>
      <c r="G2405" s="22" t="s">
        <v>11</v>
      </c>
      <c r="H2405" s="22" t="s">
        <v>18</v>
      </c>
      <c r="I2405" s="22" t="s">
        <v>268</v>
      </c>
      <c r="J2405" s="22" t="s">
        <v>448</v>
      </c>
      <c r="K2405" s="23" t="s">
        <v>448</v>
      </c>
    </row>
    <row r="2406" spans="1:14" hidden="1" x14ac:dyDescent="0.35">
      <c r="A2406" s="21">
        <v>978714</v>
      </c>
      <c r="B2406" s="22" t="str">
        <f>"3328155504940004"</f>
        <v>3328155504940004</v>
      </c>
      <c r="C2406" s="22" t="str">
        <f t="shared" si="74"/>
        <v>'3328155504940004</v>
      </c>
      <c r="D2406" s="22" t="str">
        <f t="shared" si="75"/>
        <v>tidak ganda</v>
      </c>
      <c r="E2406" s="22" t="s">
        <v>5125</v>
      </c>
      <c r="F2406" s="22" t="s">
        <v>10</v>
      </c>
      <c r="G2406" s="22" t="s">
        <v>11</v>
      </c>
      <c r="H2406" s="22" t="s">
        <v>18</v>
      </c>
      <c r="I2406" s="22" t="s">
        <v>264</v>
      </c>
      <c r="J2406" s="22" t="s">
        <v>773</v>
      </c>
      <c r="K2406" s="23" t="s">
        <v>4079</v>
      </c>
    </row>
    <row r="2407" spans="1:14" hidden="1" x14ac:dyDescent="0.35">
      <c r="A2407" s="21">
        <v>246775</v>
      </c>
      <c r="B2407" s="22" t="str">
        <f>"3328155701060002"</f>
        <v>3328155701060002</v>
      </c>
      <c r="C2407" s="22" t="str">
        <f t="shared" si="74"/>
        <v>'3328155701060002</v>
      </c>
      <c r="D2407" s="22" t="str">
        <f t="shared" si="75"/>
        <v>tidak ganda</v>
      </c>
      <c r="E2407" s="22" t="s">
        <v>5126</v>
      </c>
      <c r="F2407" s="22" t="s">
        <v>10</v>
      </c>
      <c r="G2407" s="22" t="s">
        <v>11</v>
      </c>
      <c r="H2407" s="22" t="s">
        <v>18</v>
      </c>
      <c r="I2407" s="22" t="s">
        <v>268</v>
      </c>
      <c r="J2407" s="22" t="s">
        <v>371</v>
      </c>
      <c r="K2407" s="23" t="s">
        <v>497</v>
      </c>
    </row>
    <row r="2408" spans="1:14" hidden="1" x14ac:dyDescent="0.35">
      <c r="A2408" s="21">
        <v>106160</v>
      </c>
      <c r="B2408" s="22" t="str">
        <f>"3328155807940004"</f>
        <v>3328155807940004</v>
      </c>
      <c r="C2408" s="22" t="str">
        <f t="shared" si="74"/>
        <v>'3328155807940004</v>
      </c>
      <c r="D2408" s="22" t="str">
        <f t="shared" si="75"/>
        <v>tidak ganda</v>
      </c>
      <c r="E2408" s="22" t="s">
        <v>5127</v>
      </c>
      <c r="F2408" s="22" t="s">
        <v>10</v>
      </c>
      <c r="G2408" s="22" t="s">
        <v>11</v>
      </c>
      <c r="H2408" s="22" t="s">
        <v>5128</v>
      </c>
      <c r="I2408" s="22" t="s">
        <v>5129</v>
      </c>
      <c r="J2408" s="22" t="s">
        <v>5129</v>
      </c>
      <c r="K2408" s="23" t="s">
        <v>5130</v>
      </c>
    </row>
    <row r="2409" spans="1:14" hidden="1" x14ac:dyDescent="0.35">
      <c r="A2409" s="21">
        <v>555889</v>
      </c>
      <c r="B2409" s="22" t="str">
        <f>"3328155907850003"</f>
        <v>3328155907850003</v>
      </c>
      <c r="C2409" s="22" t="str">
        <f t="shared" si="74"/>
        <v>'3328155907850003</v>
      </c>
      <c r="D2409" s="22" t="str">
        <f t="shared" si="75"/>
        <v>tidak ganda</v>
      </c>
      <c r="E2409" s="22" t="s">
        <v>5131</v>
      </c>
      <c r="F2409" s="22" t="s">
        <v>10</v>
      </c>
      <c r="G2409" s="22" t="s">
        <v>11</v>
      </c>
      <c r="H2409" s="22" t="s">
        <v>516</v>
      </c>
      <c r="I2409" s="22" t="s">
        <v>4321</v>
      </c>
      <c r="J2409" s="22" t="s">
        <v>4322</v>
      </c>
      <c r="K2409" s="23" t="s">
        <v>5132</v>
      </c>
    </row>
    <row r="2410" spans="1:14" hidden="1" x14ac:dyDescent="0.35">
      <c r="A2410" s="21">
        <v>399935</v>
      </c>
      <c r="B2410" s="22" t="str">
        <f>"3328156112900003"</f>
        <v>3328156112900003</v>
      </c>
      <c r="C2410" s="22" t="str">
        <f t="shared" si="74"/>
        <v>'3328156112900003</v>
      </c>
      <c r="D2410" s="22" t="str">
        <f t="shared" si="75"/>
        <v>tidak ganda</v>
      </c>
      <c r="E2410" s="22" t="s">
        <v>5134</v>
      </c>
      <c r="F2410" s="22" t="s">
        <v>10</v>
      </c>
      <c r="G2410" s="22" t="s">
        <v>11</v>
      </c>
      <c r="H2410" s="22" t="s">
        <v>18</v>
      </c>
      <c r="I2410" s="22" t="s">
        <v>268</v>
      </c>
      <c r="J2410" s="22" t="s">
        <v>448</v>
      </c>
      <c r="K2410" s="23" t="s">
        <v>448</v>
      </c>
    </row>
    <row r="2411" spans="1:14" hidden="1" x14ac:dyDescent="0.35">
      <c r="A2411" s="21">
        <v>303234</v>
      </c>
      <c r="B2411" s="22" t="str">
        <f>"3328156602680003"</f>
        <v>3328156602680003</v>
      </c>
      <c r="C2411" s="22" t="str">
        <f t="shared" si="74"/>
        <v>'3328156602680003</v>
      </c>
      <c r="D2411" s="22" t="str">
        <f t="shared" si="75"/>
        <v>tidak ganda</v>
      </c>
      <c r="E2411" s="22" t="s">
        <v>5135</v>
      </c>
      <c r="F2411" s="22" t="s">
        <v>10</v>
      </c>
      <c r="G2411" s="22" t="s">
        <v>11</v>
      </c>
      <c r="H2411" s="22" t="s">
        <v>18</v>
      </c>
      <c r="I2411" s="22" t="s">
        <v>268</v>
      </c>
      <c r="J2411" s="22" t="s">
        <v>277</v>
      </c>
      <c r="K2411" s="23" t="s">
        <v>2762</v>
      </c>
    </row>
    <row r="2412" spans="1:14" hidden="1" x14ac:dyDescent="0.35">
      <c r="A2412" s="21">
        <v>1642239</v>
      </c>
      <c r="B2412" s="22" t="str">
        <f>"3328156610830003"</f>
        <v>3328156610830003</v>
      </c>
      <c r="C2412" s="22" t="str">
        <f t="shared" si="74"/>
        <v>'3328156610830003</v>
      </c>
      <c r="D2412" s="22" t="str">
        <f t="shared" si="75"/>
        <v>tidak ganda</v>
      </c>
      <c r="E2412" s="22" t="s">
        <v>5137</v>
      </c>
      <c r="F2412" s="22" t="s">
        <v>10</v>
      </c>
      <c r="G2412" s="22" t="s">
        <v>11</v>
      </c>
      <c r="H2412" s="22" t="s">
        <v>18</v>
      </c>
      <c r="I2412" s="22" t="s">
        <v>19</v>
      </c>
      <c r="J2412" s="22" t="s">
        <v>266</v>
      </c>
      <c r="K2412" s="23" t="s">
        <v>4976</v>
      </c>
      <c r="L2412" t="e">
        <f>VLOOKUP(B2412,ubah!$B$2:$L$234,4,FALSE)</f>
        <v>#N/A</v>
      </c>
      <c r="M2412" t="e">
        <f>VLOOKUP(B2412,ubah!$B$2:$L$234,5,FALSE)</f>
        <v>#N/A</v>
      </c>
      <c r="N2412" t="e">
        <f>VLOOKUP(B2412,ubah!$B$2:$L$234,6,FALSE)</f>
        <v>#N/A</v>
      </c>
    </row>
    <row r="2413" spans="1:14" hidden="1" x14ac:dyDescent="0.35">
      <c r="A2413" s="21">
        <v>2821093</v>
      </c>
      <c r="B2413" s="22" t="str">
        <f>"3328157009930002"</f>
        <v>3328157009930002</v>
      </c>
      <c r="C2413" s="22" t="str">
        <f t="shared" si="74"/>
        <v>'3328157009930002</v>
      </c>
      <c r="D2413" s="22" t="str">
        <f t="shared" si="75"/>
        <v>tidak ganda</v>
      </c>
      <c r="E2413" s="22" t="s">
        <v>5141</v>
      </c>
      <c r="F2413" s="22" t="s">
        <v>10</v>
      </c>
      <c r="G2413" s="22" t="s">
        <v>11</v>
      </c>
      <c r="H2413" s="22" t="s">
        <v>67</v>
      </c>
      <c r="I2413" s="22" t="s">
        <v>512</v>
      </c>
      <c r="J2413" s="22" t="s">
        <v>5142</v>
      </c>
      <c r="K2413" s="23" t="s">
        <v>5143</v>
      </c>
    </row>
    <row r="2414" spans="1:14" hidden="1" x14ac:dyDescent="0.35">
      <c r="A2414" s="21">
        <v>265630</v>
      </c>
      <c r="B2414" s="22" t="str">
        <f>"3328157010630004"</f>
        <v>3328157010630004</v>
      </c>
      <c r="C2414" s="22" t="str">
        <f t="shared" si="74"/>
        <v>'3328157010630004</v>
      </c>
      <c r="D2414" s="22" t="str">
        <f t="shared" si="75"/>
        <v>tidak ganda</v>
      </c>
      <c r="E2414" s="22" t="s">
        <v>5144</v>
      </c>
      <c r="F2414" s="22" t="s">
        <v>10</v>
      </c>
      <c r="G2414" s="22" t="s">
        <v>11</v>
      </c>
      <c r="H2414" s="22" t="s">
        <v>18</v>
      </c>
      <c r="I2414" s="22" t="s">
        <v>268</v>
      </c>
      <c r="J2414" s="22" t="s">
        <v>371</v>
      </c>
      <c r="K2414" s="23" t="s">
        <v>497</v>
      </c>
    </row>
    <row r="2415" spans="1:14" hidden="1" x14ac:dyDescent="0.35">
      <c r="A2415" s="21">
        <v>1216001</v>
      </c>
      <c r="B2415" s="22" t="str">
        <f>"3329070609970003"</f>
        <v>3329070609970003</v>
      </c>
      <c r="C2415" s="22" t="str">
        <f t="shared" si="74"/>
        <v>'3329070609970003</v>
      </c>
      <c r="D2415" s="22" t="str">
        <f t="shared" si="75"/>
        <v>tidak ganda</v>
      </c>
      <c r="E2415" s="22" t="s">
        <v>5145</v>
      </c>
      <c r="F2415" s="22" t="s">
        <v>10</v>
      </c>
      <c r="G2415" s="22" t="s">
        <v>11</v>
      </c>
      <c r="H2415" s="22" t="s">
        <v>18</v>
      </c>
      <c r="I2415" s="22" t="s">
        <v>264</v>
      </c>
      <c r="J2415" s="22" t="s">
        <v>265</v>
      </c>
      <c r="K2415" s="23" t="s">
        <v>863</v>
      </c>
    </row>
    <row r="2416" spans="1:14" hidden="1" x14ac:dyDescent="0.35">
      <c r="A2416" s="21">
        <v>622342</v>
      </c>
      <c r="B2416" s="22" t="str">
        <f>"3329090202880004"</f>
        <v>3329090202880004</v>
      </c>
      <c r="C2416" s="22" t="str">
        <f t="shared" si="74"/>
        <v>'3329090202880004</v>
      </c>
      <c r="D2416" s="22" t="str">
        <f t="shared" si="75"/>
        <v>tidak ganda</v>
      </c>
      <c r="E2416" s="22" t="s">
        <v>5148</v>
      </c>
      <c r="F2416" s="22" t="s">
        <v>10</v>
      </c>
      <c r="G2416" s="22" t="s">
        <v>11</v>
      </c>
      <c r="H2416" s="22" t="s">
        <v>18</v>
      </c>
      <c r="I2416" s="22" t="s">
        <v>264</v>
      </c>
      <c r="J2416" s="22" t="s">
        <v>264</v>
      </c>
      <c r="K2416" s="23" t="s">
        <v>5149</v>
      </c>
    </row>
    <row r="2417" spans="1:14" hidden="1" x14ac:dyDescent="0.35">
      <c r="A2417" s="21">
        <v>958756</v>
      </c>
      <c r="B2417" s="22" t="str">
        <f>"3329091305660006"</f>
        <v>3329091305660006</v>
      </c>
      <c r="C2417" s="22" t="str">
        <f t="shared" si="74"/>
        <v>'3329091305660006</v>
      </c>
      <c r="D2417" s="22" t="str">
        <f t="shared" si="75"/>
        <v>tidak ganda</v>
      </c>
      <c r="E2417" s="22" t="s">
        <v>5150</v>
      </c>
      <c r="F2417" s="22" t="s">
        <v>10</v>
      </c>
      <c r="G2417" s="22" t="s">
        <v>11</v>
      </c>
      <c r="H2417" s="22" t="s">
        <v>18</v>
      </c>
      <c r="I2417" s="22" t="s">
        <v>264</v>
      </c>
      <c r="J2417" s="22" t="s">
        <v>264</v>
      </c>
      <c r="K2417" s="23" t="s">
        <v>2074</v>
      </c>
    </row>
    <row r="2418" spans="1:14" hidden="1" x14ac:dyDescent="0.35">
      <c r="A2418" s="21">
        <v>1166951</v>
      </c>
      <c r="B2418" s="22" t="str">
        <f>"3329092304990003"</f>
        <v>3329092304990003</v>
      </c>
      <c r="C2418" s="22" t="str">
        <f t="shared" si="74"/>
        <v>'3329092304990003</v>
      </c>
      <c r="D2418" s="22" t="str">
        <f t="shared" si="75"/>
        <v>tidak ganda</v>
      </c>
      <c r="E2418" s="22" t="s">
        <v>5151</v>
      </c>
      <c r="F2418" s="22" t="s">
        <v>10</v>
      </c>
      <c r="G2418" s="22" t="s">
        <v>11</v>
      </c>
      <c r="H2418" s="22" t="s">
        <v>18</v>
      </c>
      <c r="I2418" s="22" t="s">
        <v>264</v>
      </c>
      <c r="J2418" s="22" t="s">
        <v>264</v>
      </c>
      <c r="K2418" s="23" t="s">
        <v>2591</v>
      </c>
    </row>
    <row r="2419" spans="1:14" hidden="1" x14ac:dyDescent="0.35">
      <c r="A2419" s="21">
        <v>978713</v>
      </c>
      <c r="B2419" s="22" t="str">
        <f>"3329130302830001"</f>
        <v>3329130302830001</v>
      </c>
      <c r="C2419" s="22" t="str">
        <f t="shared" si="74"/>
        <v>'3329130302830001</v>
      </c>
      <c r="D2419" s="22" t="str">
        <f t="shared" si="75"/>
        <v>tidak ganda</v>
      </c>
      <c r="E2419" s="22" t="s">
        <v>5152</v>
      </c>
      <c r="F2419" s="22" t="s">
        <v>10</v>
      </c>
      <c r="G2419" s="22" t="s">
        <v>11</v>
      </c>
      <c r="H2419" s="22" t="s">
        <v>18</v>
      </c>
      <c r="I2419" s="22" t="s">
        <v>264</v>
      </c>
      <c r="J2419" s="22" t="s">
        <v>773</v>
      </c>
      <c r="K2419" s="23" t="s">
        <v>4079</v>
      </c>
    </row>
    <row r="2420" spans="1:14" hidden="1" x14ac:dyDescent="0.35">
      <c r="A2420" s="21">
        <v>88173</v>
      </c>
      <c r="B2420" s="22" t="str">
        <f>"3329145402910005"</f>
        <v>3329145402910005</v>
      </c>
      <c r="C2420" s="22" t="str">
        <f t="shared" si="74"/>
        <v>'3329145402910005</v>
      </c>
      <c r="D2420" s="22" t="str">
        <f t="shared" si="75"/>
        <v>tidak ganda</v>
      </c>
      <c r="E2420" s="22" t="s">
        <v>1963</v>
      </c>
      <c r="F2420" s="22" t="s">
        <v>10</v>
      </c>
      <c r="G2420" s="22" t="s">
        <v>11</v>
      </c>
      <c r="H2420" s="22" t="s">
        <v>18</v>
      </c>
      <c r="I2420" s="22" t="s">
        <v>264</v>
      </c>
      <c r="J2420" s="22" t="s">
        <v>477</v>
      </c>
      <c r="K2420" s="23" t="s">
        <v>1639</v>
      </c>
    </row>
    <row r="2421" spans="1:14" hidden="1" x14ac:dyDescent="0.35">
      <c r="A2421" s="21">
        <v>662844</v>
      </c>
      <c r="B2421" s="22" t="str">
        <f>"3329162612810005"</f>
        <v>3329162612810005</v>
      </c>
      <c r="C2421" s="22" t="str">
        <f t="shared" si="74"/>
        <v>'3329162612810005</v>
      </c>
      <c r="D2421" s="22" t="str">
        <f t="shared" si="75"/>
        <v>tidak ganda</v>
      </c>
      <c r="E2421" s="22" t="s">
        <v>5153</v>
      </c>
      <c r="F2421" s="22" t="s">
        <v>10</v>
      </c>
      <c r="G2421" s="22" t="s">
        <v>11</v>
      </c>
      <c r="H2421" s="22" t="s">
        <v>18</v>
      </c>
      <c r="I2421" s="22" t="s">
        <v>264</v>
      </c>
      <c r="J2421" s="22" t="s">
        <v>344</v>
      </c>
      <c r="K2421" s="23" t="s">
        <v>1944</v>
      </c>
    </row>
    <row r="2422" spans="1:14" hidden="1" x14ac:dyDescent="0.35">
      <c r="A2422" s="21">
        <v>2520641</v>
      </c>
      <c r="B2422" s="22" t="str">
        <f>"3374061906660003"</f>
        <v>3374061906660003</v>
      </c>
      <c r="C2422" s="22" t="str">
        <f t="shared" si="74"/>
        <v>'3374061906660003</v>
      </c>
      <c r="D2422" s="22" t="str">
        <f t="shared" si="75"/>
        <v>tidak ganda</v>
      </c>
      <c r="E2422" s="22" t="s">
        <v>5154</v>
      </c>
      <c r="F2422" s="22" t="s">
        <v>10</v>
      </c>
      <c r="G2422" s="22" t="s">
        <v>11</v>
      </c>
      <c r="H2422" s="22" t="s">
        <v>18</v>
      </c>
      <c r="I2422" s="22" t="s">
        <v>1438</v>
      </c>
      <c r="J2422" s="22" t="s">
        <v>2738</v>
      </c>
      <c r="K2422" s="23" t="s">
        <v>2745</v>
      </c>
    </row>
    <row r="2423" spans="1:14" hidden="1" x14ac:dyDescent="0.35">
      <c r="A2423" s="21">
        <v>287183</v>
      </c>
      <c r="B2423" s="22" t="str">
        <f>"3376011008950001"</f>
        <v>3376011008950001</v>
      </c>
      <c r="C2423" s="22" t="str">
        <f t="shared" si="74"/>
        <v>'3376011008950001</v>
      </c>
      <c r="D2423" s="22" t="str">
        <f t="shared" si="75"/>
        <v>tidak ganda</v>
      </c>
      <c r="E2423" s="22" t="s">
        <v>5155</v>
      </c>
      <c r="F2423" s="22" t="s">
        <v>10</v>
      </c>
      <c r="G2423" s="22" t="s">
        <v>11</v>
      </c>
      <c r="H2423" s="22" t="s">
        <v>18</v>
      </c>
      <c r="I2423" s="22" t="s">
        <v>268</v>
      </c>
      <c r="J2423" s="22" t="s">
        <v>277</v>
      </c>
      <c r="K2423" s="23" t="s">
        <v>2665</v>
      </c>
    </row>
    <row r="2424" spans="1:14" hidden="1" x14ac:dyDescent="0.35">
      <c r="A2424" s="21">
        <v>284020</v>
      </c>
      <c r="B2424" s="22" t="str">
        <f>"3376011511710001"</f>
        <v>3376011511710001</v>
      </c>
      <c r="C2424" s="22" t="str">
        <f t="shared" si="74"/>
        <v>'3376011511710001</v>
      </c>
      <c r="D2424" s="22" t="str">
        <f t="shared" si="75"/>
        <v>tidak ganda</v>
      </c>
      <c r="E2424" s="22" t="s">
        <v>5156</v>
      </c>
      <c r="F2424" s="22" t="s">
        <v>10</v>
      </c>
      <c r="G2424" s="22" t="s">
        <v>11</v>
      </c>
      <c r="H2424" s="22" t="s">
        <v>18</v>
      </c>
      <c r="I2424" s="22" t="s">
        <v>268</v>
      </c>
      <c r="J2424" s="22" t="s">
        <v>277</v>
      </c>
      <c r="K2424" s="23" t="s">
        <v>884</v>
      </c>
    </row>
    <row r="2425" spans="1:14" hidden="1" x14ac:dyDescent="0.35">
      <c r="A2425" s="21">
        <v>341329</v>
      </c>
      <c r="B2425" s="22" t="str">
        <f>"3376012512710003"</f>
        <v>3376012512710003</v>
      </c>
      <c r="C2425" s="22" t="str">
        <f t="shared" si="74"/>
        <v>'3376012512710003</v>
      </c>
      <c r="D2425" s="22" t="str">
        <f t="shared" si="75"/>
        <v>tidak ganda</v>
      </c>
      <c r="E2425" s="22" t="s">
        <v>5158</v>
      </c>
      <c r="F2425" s="22" t="s">
        <v>10</v>
      </c>
      <c r="G2425" s="22" t="s">
        <v>11</v>
      </c>
      <c r="H2425" s="22" t="s">
        <v>18</v>
      </c>
      <c r="I2425" s="22" t="s">
        <v>268</v>
      </c>
      <c r="J2425" s="22" t="s">
        <v>277</v>
      </c>
      <c r="K2425" s="23" t="s">
        <v>278</v>
      </c>
    </row>
    <row r="2426" spans="1:14" hidden="1" x14ac:dyDescent="0.35">
      <c r="A2426" s="21">
        <v>341331</v>
      </c>
      <c r="B2426" s="22" t="str">
        <f>"3376012803040004"</f>
        <v>3376012803040004</v>
      </c>
      <c r="C2426" s="22" t="str">
        <f t="shared" si="74"/>
        <v>'3376012803040004</v>
      </c>
      <c r="D2426" s="22" t="str">
        <f t="shared" si="75"/>
        <v>tidak ganda</v>
      </c>
      <c r="E2426" s="22" t="s">
        <v>5160</v>
      </c>
      <c r="F2426" s="22" t="s">
        <v>10</v>
      </c>
      <c r="G2426" s="22" t="s">
        <v>11</v>
      </c>
      <c r="H2426" s="22" t="s">
        <v>18</v>
      </c>
      <c r="I2426" s="22" t="s">
        <v>268</v>
      </c>
      <c r="J2426" s="22" t="s">
        <v>277</v>
      </c>
      <c r="K2426" s="23" t="s">
        <v>278</v>
      </c>
    </row>
    <row r="2427" spans="1:14" hidden="1" x14ac:dyDescent="0.35">
      <c r="A2427" s="21">
        <v>295649</v>
      </c>
      <c r="B2427" s="22" t="str">
        <f>"3376016102570001"</f>
        <v>3376016102570001</v>
      </c>
      <c r="C2427" s="22" t="str">
        <f t="shared" si="74"/>
        <v>'3376016102570001</v>
      </c>
      <c r="D2427" s="22" t="str">
        <f t="shared" si="75"/>
        <v>tidak ganda</v>
      </c>
      <c r="E2427" s="22" t="s">
        <v>5162</v>
      </c>
      <c r="F2427" s="22" t="s">
        <v>10</v>
      </c>
      <c r="G2427" s="22" t="s">
        <v>11</v>
      </c>
      <c r="H2427" s="22" t="s">
        <v>18</v>
      </c>
      <c r="I2427" s="22" t="s">
        <v>268</v>
      </c>
      <c r="J2427" s="22" t="s">
        <v>277</v>
      </c>
      <c r="K2427" s="23" t="s">
        <v>2762</v>
      </c>
    </row>
    <row r="2428" spans="1:14" hidden="1" x14ac:dyDescent="0.35">
      <c r="A2428" s="21">
        <v>1646368</v>
      </c>
      <c r="B2428" s="22" t="str">
        <f>"3376020105990001"</f>
        <v>3376020105990001</v>
      </c>
      <c r="C2428" s="22" t="str">
        <f t="shared" si="74"/>
        <v>'3376020105990001</v>
      </c>
      <c r="D2428" s="22" t="str">
        <f t="shared" si="75"/>
        <v>ganda</v>
      </c>
      <c r="E2428" s="22" t="s">
        <v>5163</v>
      </c>
      <c r="F2428" s="22" t="s">
        <v>10</v>
      </c>
      <c r="G2428" s="22" t="s">
        <v>11</v>
      </c>
      <c r="H2428" s="22" t="s">
        <v>18</v>
      </c>
      <c r="I2428" s="22" t="s">
        <v>19</v>
      </c>
      <c r="J2428" s="22" t="s">
        <v>266</v>
      </c>
      <c r="K2428" s="23" t="s">
        <v>4976</v>
      </c>
      <c r="L2428" t="e">
        <f>VLOOKUP(B2428,ubah!$B$2:$L$234,4,FALSE)</f>
        <v>#N/A</v>
      </c>
      <c r="M2428" t="e">
        <f>VLOOKUP(B2428,ubah!$B$2:$L$234,5,FALSE)</f>
        <v>#N/A</v>
      </c>
      <c r="N2428" t="e">
        <f>VLOOKUP(B2428,ubah!$B$2:$L$234,6,FALSE)</f>
        <v>#N/A</v>
      </c>
    </row>
    <row r="2429" spans="1:14" hidden="1" x14ac:dyDescent="0.35">
      <c r="A2429" s="21">
        <v>423784</v>
      </c>
      <c r="B2429" s="22" t="str">
        <f>"3376020105990001"</f>
        <v>3376020105990001</v>
      </c>
      <c r="C2429" s="22" t="str">
        <f t="shared" si="74"/>
        <v>'3376020105990001</v>
      </c>
      <c r="D2429" s="22" t="str">
        <f t="shared" si="75"/>
        <v>ganda</v>
      </c>
      <c r="E2429" s="22" t="s">
        <v>5164</v>
      </c>
      <c r="F2429" s="22" t="s">
        <v>10</v>
      </c>
      <c r="G2429" s="22" t="s">
        <v>57</v>
      </c>
      <c r="H2429" s="22" t="s">
        <v>18</v>
      </c>
      <c r="I2429" s="22" t="s">
        <v>268</v>
      </c>
      <c r="J2429" s="22" t="s">
        <v>277</v>
      </c>
      <c r="K2429" s="23" t="s">
        <v>278</v>
      </c>
    </row>
    <row r="2430" spans="1:14" hidden="1" x14ac:dyDescent="0.35">
      <c r="A2430" s="21">
        <v>255396</v>
      </c>
      <c r="B2430" s="22" t="str">
        <f>"3376020211590003"</f>
        <v>3376020211590003</v>
      </c>
      <c r="C2430" s="22" t="str">
        <f t="shared" si="74"/>
        <v>'3376020211590003</v>
      </c>
      <c r="D2430" s="22" t="str">
        <f t="shared" si="75"/>
        <v>tidak ganda</v>
      </c>
      <c r="E2430" s="22" t="s">
        <v>5165</v>
      </c>
      <c r="F2430" s="22" t="s">
        <v>10</v>
      </c>
      <c r="G2430" s="22" t="s">
        <v>11</v>
      </c>
      <c r="H2430" s="22" t="s">
        <v>18</v>
      </c>
      <c r="I2430" s="22" t="s">
        <v>268</v>
      </c>
      <c r="J2430" s="22" t="s">
        <v>371</v>
      </c>
      <c r="K2430" s="23" t="s">
        <v>497</v>
      </c>
    </row>
    <row r="2431" spans="1:14" hidden="1" x14ac:dyDescent="0.35">
      <c r="A2431" s="21">
        <v>253773</v>
      </c>
      <c r="B2431" s="22" t="str">
        <f>"3376020611960004"</f>
        <v>3376020611960004</v>
      </c>
      <c r="C2431" s="22" t="str">
        <f t="shared" si="74"/>
        <v>'3376020611960004</v>
      </c>
      <c r="D2431" s="22" t="str">
        <f t="shared" si="75"/>
        <v>tidak ganda</v>
      </c>
      <c r="E2431" s="22" t="s">
        <v>5166</v>
      </c>
      <c r="F2431" s="22" t="s">
        <v>10</v>
      </c>
      <c r="G2431" s="22" t="s">
        <v>11</v>
      </c>
      <c r="H2431" s="22" t="s">
        <v>18</v>
      </c>
      <c r="I2431" s="22" t="s">
        <v>268</v>
      </c>
      <c r="J2431" s="22" t="s">
        <v>371</v>
      </c>
      <c r="K2431" s="23" t="s">
        <v>497</v>
      </c>
    </row>
    <row r="2432" spans="1:14" hidden="1" x14ac:dyDescent="0.35">
      <c r="A2432" s="21">
        <v>248228</v>
      </c>
      <c r="B2432" s="22" t="str">
        <f>"3376021606810004"</f>
        <v>3376021606810004</v>
      </c>
      <c r="C2432" s="22" t="str">
        <f t="shared" si="74"/>
        <v>'3376021606810004</v>
      </c>
      <c r="D2432" s="22" t="str">
        <f t="shared" si="75"/>
        <v>tidak ganda</v>
      </c>
      <c r="E2432" s="22" t="s">
        <v>5167</v>
      </c>
      <c r="F2432" s="22" t="s">
        <v>10</v>
      </c>
      <c r="G2432" s="22" t="s">
        <v>11</v>
      </c>
      <c r="H2432" s="22" t="s">
        <v>18</v>
      </c>
      <c r="I2432" s="22" t="s">
        <v>268</v>
      </c>
      <c r="J2432" s="22" t="s">
        <v>371</v>
      </c>
      <c r="K2432" s="23" t="s">
        <v>497</v>
      </c>
    </row>
    <row r="2433" spans="1:11" hidden="1" x14ac:dyDescent="0.35">
      <c r="A2433" s="21">
        <v>267195</v>
      </c>
      <c r="B2433" s="22" t="str">
        <f>"3376021705850001"</f>
        <v>3376021705850001</v>
      </c>
      <c r="C2433" s="22" t="str">
        <f t="shared" si="74"/>
        <v>'3376021705850001</v>
      </c>
      <c r="D2433" s="22" t="str">
        <f t="shared" si="75"/>
        <v>tidak ganda</v>
      </c>
      <c r="E2433" s="22" t="s">
        <v>5169</v>
      </c>
      <c r="F2433" s="22" t="s">
        <v>10</v>
      </c>
      <c r="G2433" s="22" t="s">
        <v>11</v>
      </c>
      <c r="H2433" s="22" t="s">
        <v>18</v>
      </c>
      <c r="I2433" s="22" t="s">
        <v>268</v>
      </c>
      <c r="J2433" s="22" t="s">
        <v>371</v>
      </c>
      <c r="K2433" s="23" t="s">
        <v>497</v>
      </c>
    </row>
    <row r="2434" spans="1:11" hidden="1" x14ac:dyDescent="0.35">
      <c r="A2434" s="21">
        <v>217240</v>
      </c>
      <c r="B2434" s="22" t="str">
        <f>"3376022104990002"</f>
        <v>3376022104990002</v>
      </c>
      <c r="C2434" s="22" t="str">
        <f t="shared" si="74"/>
        <v>'3376022104990002</v>
      </c>
      <c r="D2434" s="22" t="str">
        <f t="shared" si="75"/>
        <v>tidak ganda</v>
      </c>
      <c r="E2434" s="22" t="s">
        <v>5170</v>
      </c>
      <c r="F2434" s="22" t="s">
        <v>10</v>
      </c>
      <c r="G2434" s="22" t="s">
        <v>11</v>
      </c>
      <c r="H2434" s="22" t="s">
        <v>18</v>
      </c>
      <c r="I2434" s="22" t="s">
        <v>268</v>
      </c>
      <c r="J2434" s="22" t="s">
        <v>371</v>
      </c>
      <c r="K2434" s="23" t="s">
        <v>2772</v>
      </c>
    </row>
    <row r="2435" spans="1:11" hidden="1" x14ac:dyDescent="0.35">
      <c r="A2435" s="21">
        <v>368016</v>
      </c>
      <c r="B2435" s="22" t="str">
        <f>"3376022801050001"</f>
        <v>3376022801050001</v>
      </c>
      <c r="C2435" s="22" t="str">
        <f t="shared" ref="C2435:C2498" si="76">"'"&amp;B2435</f>
        <v>'3376022801050001</v>
      </c>
      <c r="D2435" s="22" t="str">
        <f t="shared" ref="D2435:D2498" si="77">IF(COUNTIF($C:$C,C2435)&gt;1,"ganda","tidak ganda")</f>
        <v>tidak ganda</v>
      </c>
      <c r="E2435" s="22" t="s">
        <v>5171</v>
      </c>
      <c r="F2435" s="22" t="s">
        <v>10</v>
      </c>
      <c r="G2435" s="22" t="s">
        <v>11</v>
      </c>
      <c r="H2435" s="22" t="s">
        <v>18</v>
      </c>
      <c r="I2435" s="22" t="s">
        <v>268</v>
      </c>
      <c r="J2435" s="22" t="s">
        <v>269</v>
      </c>
      <c r="K2435" s="23" t="s">
        <v>996</v>
      </c>
    </row>
    <row r="2436" spans="1:11" hidden="1" x14ac:dyDescent="0.35">
      <c r="A2436" s="21">
        <v>1118969</v>
      </c>
      <c r="B2436" s="22" t="str">
        <f>"3376024303580001"</f>
        <v>3376024303580001</v>
      </c>
      <c r="C2436" s="22" t="str">
        <f t="shared" si="76"/>
        <v>'3376024303580001</v>
      </c>
      <c r="D2436" s="22" t="str">
        <f t="shared" si="77"/>
        <v>tidak ganda</v>
      </c>
      <c r="E2436" s="22" t="s">
        <v>5172</v>
      </c>
      <c r="F2436" s="22" t="s">
        <v>10</v>
      </c>
      <c r="G2436" s="22" t="s">
        <v>11</v>
      </c>
      <c r="H2436" s="22" t="s">
        <v>667</v>
      </c>
      <c r="I2436" s="22" t="s">
        <v>2153</v>
      </c>
      <c r="J2436" s="22" t="s">
        <v>5173</v>
      </c>
      <c r="K2436" s="23" t="s">
        <v>5174</v>
      </c>
    </row>
    <row r="2437" spans="1:11" hidden="1" x14ac:dyDescent="0.35">
      <c r="A2437" s="21">
        <v>248227</v>
      </c>
      <c r="B2437" s="22" t="str">
        <f>"3376026408040001"</f>
        <v>3376026408040001</v>
      </c>
      <c r="C2437" s="22" t="str">
        <f t="shared" si="76"/>
        <v>'3376026408040001</v>
      </c>
      <c r="D2437" s="22" t="str">
        <f t="shared" si="77"/>
        <v>tidak ganda</v>
      </c>
      <c r="E2437" s="22" t="s">
        <v>5175</v>
      </c>
      <c r="F2437" s="22" t="s">
        <v>10</v>
      </c>
      <c r="G2437" s="22" t="s">
        <v>11</v>
      </c>
      <c r="H2437" s="22" t="s">
        <v>18</v>
      </c>
      <c r="I2437" s="22" t="s">
        <v>268</v>
      </c>
      <c r="J2437" s="22" t="s">
        <v>371</v>
      </c>
      <c r="K2437" s="23" t="s">
        <v>497</v>
      </c>
    </row>
    <row r="2438" spans="1:11" hidden="1" x14ac:dyDescent="0.35">
      <c r="A2438" s="21">
        <v>205761</v>
      </c>
      <c r="B2438" s="22" t="str">
        <f>"3376026410810002"</f>
        <v>3376026410810002</v>
      </c>
      <c r="C2438" s="22" t="str">
        <f t="shared" si="76"/>
        <v>'3376026410810002</v>
      </c>
      <c r="D2438" s="22" t="str">
        <f t="shared" si="77"/>
        <v>tidak ganda</v>
      </c>
      <c r="E2438" s="22" t="s">
        <v>5177</v>
      </c>
      <c r="F2438" s="22" t="s">
        <v>10</v>
      </c>
      <c r="G2438" s="22" t="s">
        <v>11</v>
      </c>
      <c r="H2438" s="22" t="s">
        <v>18</v>
      </c>
      <c r="I2438" s="22" t="s">
        <v>268</v>
      </c>
      <c r="J2438" s="22" t="s">
        <v>371</v>
      </c>
      <c r="K2438" s="23" t="s">
        <v>2769</v>
      </c>
    </row>
    <row r="2439" spans="1:11" hidden="1" x14ac:dyDescent="0.35">
      <c r="A2439" s="21">
        <v>261373</v>
      </c>
      <c r="B2439" s="22" t="str">
        <f>"3376026509940003"</f>
        <v>3376026509940003</v>
      </c>
      <c r="C2439" s="22" t="str">
        <f t="shared" si="76"/>
        <v>'3376026509940003</v>
      </c>
      <c r="D2439" s="22" t="str">
        <f t="shared" si="77"/>
        <v>tidak ganda</v>
      </c>
      <c r="E2439" s="22" t="s">
        <v>5178</v>
      </c>
      <c r="F2439" s="22" t="s">
        <v>10</v>
      </c>
      <c r="G2439" s="22" t="s">
        <v>11</v>
      </c>
      <c r="H2439" s="22" t="s">
        <v>18</v>
      </c>
      <c r="I2439" s="22" t="s">
        <v>268</v>
      </c>
      <c r="J2439" s="22" t="s">
        <v>371</v>
      </c>
      <c r="K2439" s="23" t="s">
        <v>497</v>
      </c>
    </row>
    <row r="2440" spans="1:11" hidden="1" x14ac:dyDescent="0.35">
      <c r="A2440" s="21">
        <v>255397</v>
      </c>
      <c r="B2440" s="22" t="str">
        <f>"3376026706660002"</f>
        <v>3376026706660002</v>
      </c>
      <c r="C2440" s="22" t="str">
        <f t="shared" si="76"/>
        <v>'3376026706660002</v>
      </c>
      <c r="D2440" s="22" t="str">
        <f t="shared" si="77"/>
        <v>tidak ganda</v>
      </c>
      <c r="E2440" s="22" t="s">
        <v>391</v>
      </c>
      <c r="F2440" s="22" t="s">
        <v>10</v>
      </c>
      <c r="G2440" s="22" t="s">
        <v>11</v>
      </c>
      <c r="H2440" s="22" t="s">
        <v>18</v>
      </c>
      <c r="I2440" s="22" t="s">
        <v>268</v>
      </c>
      <c r="J2440" s="22" t="s">
        <v>371</v>
      </c>
      <c r="K2440" s="23" t="s">
        <v>497</v>
      </c>
    </row>
    <row r="2441" spans="1:11" hidden="1" x14ac:dyDescent="0.35">
      <c r="A2441" s="21">
        <v>368017</v>
      </c>
      <c r="B2441" s="22" t="str">
        <f>"3376026801050003"</f>
        <v>3376026801050003</v>
      </c>
      <c r="C2441" s="22" t="str">
        <f t="shared" si="76"/>
        <v>'3376026801050003</v>
      </c>
      <c r="D2441" s="22" t="str">
        <f t="shared" si="77"/>
        <v>tidak ganda</v>
      </c>
      <c r="E2441" s="22" t="s">
        <v>5179</v>
      </c>
      <c r="F2441" s="22" t="s">
        <v>10</v>
      </c>
      <c r="G2441" s="22" t="s">
        <v>11</v>
      </c>
      <c r="H2441" s="22" t="s">
        <v>18</v>
      </c>
      <c r="I2441" s="22" t="s">
        <v>268</v>
      </c>
      <c r="J2441" s="22" t="s">
        <v>269</v>
      </c>
      <c r="K2441" s="23" t="s">
        <v>996</v>
      </c>
    </row>
    <row r="2442" spans="1:11" hidden="1" x14ac:dyDescent="0.35">
      <c r="A2442" s="21">
        <v>207705</v>
      </c>
      <c r="B2442" s="22" t="str">
        <f>"3376027006630002"</f>
        <v>3376027006630002</v>
      </c>
      <c r="C2442" s="22" t="str">
        <f t="shared" si="76"/>
        <v>'3376027006630002</v>
      </c>
      <c r="D2442" s="22" t="str">
        <f t="shared" si="77"/>
        <v>tidak ganda</v>
      </c>
      <c r="E2442" s="22" t="s">
        <v>5180</v>
      </c>
      <c r="F2442" s="22" t="s">
        <v>10</v>
      </c>
      <c r="G2442" s="22" t="s">
        <v>11</v>
      </c>
      <c r="H2442" s="22" t="s">
        <v>18</v>
      </c>
      <c r="I2442" s="22" t="s">
        <v>268</v>
      </c>
      <c r="J2442" s="22" t="s">
        <v>371</v>
      </c>
      <c r="K2442" s="23" t="s">
        <v>2769</v>
      </c>
    </row>
    <row r="2443" spans="1:11" hidden="1" x14ac:dyDescent="0.35">
      <c r="A2443" s="21">
        <v>362164</v>
      </c>
      <c r="B2443" s="22" t="str">
        <f>"3376030704060002"</f>
        <v>3376030704060002</v>
      </c>
      <c r="C2443" s="22" t="str">
        <f t="shared" si="76"/>
        <v>'3376030704060002</v>
      </c>
      <c r="D2443" s="22" t="str">
        <f t="shared" si="77"/>
        <v>tidak ganda</v>
      </c>
      <c r="E2443" s="22" t="s">
        <v>5182</v>
      </c>
      <c r="F2443" s="22" t="s">
        <v>10</v>
      </c>
      <c r="G2443" s="22" t="s">
        <v>11</v>
      </c>
      <c r="H2443" s="22" t="s">
        <v>18</v>
      </c>
      <c r="I2443" s="22" t="s">
        <v>268</v>
      </c>
      <c r="J2443" s="22" t="s">
        <v>269</v>
      </c>
      <c r="K2443" s="23" t="s">
        <v>996</v>
      </c>
    </row>
    <row r="2444" spans="1:11" hidden="1" x14ac:dyDescent="0.35">
      <c r="A2444" s="21">
        <v>348927</v>
      </c>
      <c r="B2444" s="22" t="str">
        <f>"3376031412500001"</f>
        <v>3376031412500001</v>
      </c>
      <c r="C2444" s="22" t="str">
        <f t="shared" si="76"/>
        <v>'3376031412500001</v>
      </c>
      <c r="D2444" s="22" t="str">
        <f t="shared" si="77"/>
        <v>tidak ganda</v>
      </c>
      <c r="E2444" s="22" t="s">
        <v>2906</v>
      </c>
      <c r="F2444" s="22" t="s">
        <v>10</v>
      </c>
      <c r="G2444" s="22" t="s">
        <v>11</v>
      </c>
      <c r="H2444" s="22" t="s">
        <v>18</v>
      </c>
      <c r="I2444" s="22" t="s">
        <v>268</v>
      </c>
      <c r="J2444" s="22" t="s">
        <v>269</v>
      </c>
      <c r="K2444" s="23" t="s">
        <v>270</v>
      </c>
    </row>
    <row r="2445" spans="1:11" hidden="1" x14ac:dyDescent="0.35">
      <c r="A2445" s="21">
        <v>363724</v>
      </c>
      <c r="B2445" s="22" t="str">
        <f>"3376031603920001"</f>
        <v>3376031603920001</v>
      </c>
      <c r="C2445" s="22" t="str">
        <f t="shared" si="76"/>
        <v>'3376031603920001</v>
      </c>
      <c r="D2445" s="22" t="str">
        <f t="shared" si="77"/>
        <v>tidak ganda</v>
      </c>
      <c r="E2445" s="22" t="s">
        <v>5183</v>
      </c>
      <c r="F2445" s="22" t="s">
        <v>10</v>
      </c>
      <c r="G2445" s="22" t="s">
        <v>11</v>
      </c>
      <c r="H2445" s="22" t="s">
        <v>18</v>
      </c>
      <c r="I2445" s="22" t="s">
        <v>268</v>
      </c>
      <c r="J2445" s="22" t="s">
        <v>269</v>
      </c>
      <c r="K2445" s="23" t="s">
        <v>996</v>
      </c>
    </row>
    <row r="2446" spans="1:11" hidden="1" x14ac:dyDescent="0.35">
      <c r="A2446" s="21">
        <v>1049474</v>
      </c>
      <c r="B2446" s="22" t="str">
        <f>"3514201805930001"</f>
        <v>3514201805930001</v>
      </c>
      <c r="C2446" s="22" t="str">
        <f t="shared" si="76"/>
        <v>'3514201805930001</v>
      </c>
      <c r="D2446" s="22" t="str">
        <f t="shared" si="77"/>
        <v>tidak ganda</v>
      </c>
      <c r="E2446" s="22" t="s">
        <v>5184</v>
      </c>
      <c r="F2446" s="22" t="s">
        <v>10</v>
      </c>
      <c r="G2446" s="22" t="s">
        <v>11</v>
      </c>
      <c r="H2446" s="22" t="s">
        <v>303</v>
      </c>
      <c r="I2446" s="22" t="s">
        <v>3381</v>
      </c>
      <c r="J2446" s="22" t="s">
        <v>5185</v>
      </c>
      <c r="K2446" s="23" t="s">
        <v>5186</v>
      </c>
    </row>
    <row r="2447" spans="1:11" hidden="1" x14ac:dyDescent="0.35">
      <c r="A2447" s="21">
        <v>1049489</v>
      </c>
      <c r="B2447" s="22" t="str">
        <f>"3514216406950002"</f>
        <v>3514216406950002</v>
      </c>
      <c r="C2447" s="22" t="str">
        <f t="shared" si="76"/>
        <v>'3514216406950002</v>
      </c>
      <c r="D2447" s="22" t="str">
        <f t="shared" si="77"/>
        <v>tidak ganda</v>
      </c>
      <c r="E2447" s="22" t="s">
        <v>3981</v>
      </c>
      <c r="F2447" s="22" t="s">
        <v>10</v>
      </c>
      <c r="G2447" s="22" t="s">
        <v>11</v>
      </c>
      <c r="H2447" s="22" t="s">
        <v>303</v>
      </c>
      <c r="I2447" s="22" t="s">
        <v>3381</v>
      </c>
      <c r="J2447" s="22" t="s">
        <v>5185</v>
      </c>
      <c r="K2447" s="23" t="s">
        <v>5186</v>
      </c>
    </row>
    <row r="2448" spans="1:11" hidden="1" x14ac:dyDescent="0.35">
      <c r="A2448" s="21">
        <v>410133</v>
      </c>
      <c r="B2448" s="22" t="str">
        <f>"5201130910010002"</f>
        <v>5201130910010002</v>
      </c>
      <c r="C2448" s="22" t="str">
        <f t="shared" si="76"/>
        <v>'5201130910010002</v>
      </c>
      <c r="D2448" s="22" t="str">
        <f t="shared" si="77"/>
        <v>tidak ganda</v>
      </c>
      <c r="E2448" s="22" t="s">
        <v>5187</v>
      </c>
      <c r="F2448" s="22" t="s">
        <v>10</v>
      </c>
      <c r="G2448" s="22" t="s">
        <v>11</v>
      </c>
      <c r="H2448" s="22" t="s">
        <v>2820</v>
      </c>
      <c r="I2448" s="22" t="s">
        <v>2821</v>
      </c>
      <c r="J2448" s="22" t="s">
        <v>5188</v>
      </c>
      <c r="K2448" s="23" t="s">
        <v>5189</v>
      </c>
    </row>
    <row r="2449" spans="1:14" hidden="1" x14ac:dyDescent="0.35">
      <c r="A2449" s="21">
        <v>160083</v>
      </c>
      <c r="B2449" s="22" t="str">
        <f>"6471050612760005"</f>
        <v>6471050612760005</v>
      </c>
      <c r="C2449" s="22" t="str">
        <f t="shared" si="76"/>
        <v>'6471050612760005</v>
      </c>
      <c r="D2449" s="22" t="str">
        <f t="shared" si="77"/>
        <v>tidak ganda</v>
      </c>
      <c r="E2449" s="22" t="s">
        <v>5190</v>
      </c>
      <c r="F2449" s="22" t="s">
        <v>10</v>
      </c>
      <c r="G2449" s="22" t="s">
        <v>11</v>
      </c>
      <c r="H2449" s="22" t="s">
        <v>232</v>
      </c>
      <c r="I2449" s="22" t="s">
        <v>233</v>
      </c>
      <c r="J2449" s="22" t="s">
        <v>2897</v>
      </c>
      <c r="K2449" s="23" t="s">
        <v>5191</v>
      </c>
    </row>
    <row r="2450" spans="1:14" hidden="1" x14ac:dyDescent="0.35">
      <c r="A2450" s="21">
        <v>160084</v>
      </c>
      <c r="B2450" s="22" t="str">
        <f>"6471055103030003"</f>
        <v>6471055103030003</v>
      </c>
      <c r="C2450" s="22" t="str">
        <f t="shared" si="76"/>
        <v>'6471055103030003</v>
      </c>
      <c r="D2450" s="22" t="str">
        <f t="shared" si="77"/>
        <v>tidak ganda</v>
      </c>
      <c r="E2450" s="22" t="s">
        <v>5193</v>
      </c>
      <c r="F2450" s="22" t="s">
        <v>10</v>
      </c>
      <c r="G2450" s="22" t="s">
        <v>11</v>
      </c>
      <c r="H2450" s="22" t="s">
        <v>232</v>
      </c>
      <c r="I2450" s="22" t="s">
        <v>233</v>
      </c>
      <c r="J2450" s="22" t="s">
        <v>2897</v>
      </c>
      <c r="K2450" s="23" t="s">
        <v>5191</v>
      </c>
    </row>
    <row r="2451" spans="1:14" hidden="1" x14ac:dyDescent="0.35">
      <c r="A2451" s="21">
        <v>77840</v>
      </c>
      <c r="B2451" s="22" t="str">
        <f>"7313130603960001"</f>
        <v>7313130603960001</v>
      </c>
      <c r="C2451" s="22" t="str">
        <f t="shared" si="76"/>
        <v>'7313130603960001</v>
      </c>
      <c r="D2451" s="22" t="str">
        <f t="shared" si="77"/>
        <v>tidak ganda</v>
      </c>
      <c r="E2451" s="22" t="s">
        <v>5195</v>
      </c>
      <c r="F2451" s="22" t="s">
        <v>10</v>
      </c>
      <c r="G2451" s="22" t="s">
        <v>11</v>
      </c>
      <c r="H2451" s="22" t="s">
        <v>2545</v>
      </c>
      <c r="I2451" s="22" t="s">
        <v>2546</v>
      </c>
      <c r="J2451" s="22" t="s">
        <v>5109</v>
      </c>
      <c r="K2451" s="23" t="s">
        <v>5110</v>
      </c>
    </row>
    <row r="2452" spans="1:14" hidden="1" x14ac:dyDescent="0.35">
      <c r="A2452" s="21">
        <v>427757</v>
      </c>
      <c r="B2452" s="22" t="str">
        <f>"9171022207940003"</f>
        <v>9171022207940003</v>
      </c>
      <c r="C2452" s="22" t="str">
        <f t="shared" si="76"/>
        <v>'9171022207940003</v>
      </c>
      <c r="D2452" s="22" t="str">
        <f t="shared" si="77"/>
        <v>tidak ganda</v>
      </c>
      <c r="E2452" s="22" t="s">
        <v>5196</v>
      </c>
      <c r="F2452" s="22" t="s">
        <v>10</v>
      </c>
      <c r="G2452" s="22" t="s">
        <v>11</v>
      </c>
      <c r="H2452" s="22" t="s">
        <v>783</v>
      </c>
      <c r="I2452" s="22" t="s">
        <v>1112</v>
      </c>
      <c r="J2452" s="22" t="s">
        <v>3651</v>
      </c>
      <c r="K2452" s="23" t="s">
        <v>4693</v>
      </c>
    </row>
    <row r="2453" spans="1:14" hidden="1" x14ac:dyDescent="0.35">
      <c r="A2453" s="21">
        <v>427758</v>
      </c>
      <c r="B2453" s="22" t="str">
        <f>"9171022912630004"</f>
        <v>9171022912630004</v>
      </c>
      <c r="C2453" s="22" t="str">
        <f t="shared" si="76"/>
        <v>'9171022912630004</v>
      </c>
      <c r="D2453" s="22" t="str">
        <f t="shared" si="77"/>
        <v>tidak ganda</v>
      </c>
      <c r="E2453" s="22" t="s">
        <v>2697</v>
      </c>
      <c r="F2453" s="22" t="s">
        <v>10</v>
      </c>
      <c r="G2453" s="22" t="s">
        <v>11</v>
      </c>
      <c r="H2453" s="22" t="s">
        <v>783</v>
      </c>
      <c r="I2453" s="22" t="s">
        <v>1112</v>
      </c>
      <c r="J2453" s="22" t="s">
        <v>3651</v>
      </c>
      <c r="K2453" s="23" t="s">
        <v>4693</v>
      </c>
    </row>
    <row r="2454" spans="1:14" hidden="1" x14ac:dyDescent="0.35">
      <c r="A2454" s="21">
        <v>427759</v>
      </c>
      <c r="B2454" s="22" t="str">
        <f>"9171026502660001"</f>
        <v>9171026502660001</v>
      </c>
      <c r="C2454" s="22" t="str">
        <f t="shared" si="76"/>
        <v>'9171026502660001</v>
      </c>
      <c r="D2454" s="22" t="str">
        <f t="shared" si="77"/>
        <v>tidak ganda</v>
      </c>
      <c r="E2454" s="22" t="s">
        <v>5198</v>
      </c>
      <c r="F2454" s="22" t="s">
        <v>10</v>
      </c>
      <c r="G2454" s="22" t="s">
        <v>11</v>
      </c>
      <c r="H2454" s="22" t="s">
        <v>783</v>
      </c>
      <c r="I2454" s="22" t="s">
        <v>1112</v>
      </c>
      <c r="J2454" s="22" t="s">
        <v>3651</v>
      </c>
      <c r="K2454" s="23" t="s">
        <v>4693</v>
      </c>
    </row>
    <row r="2455" spans="1:14" hidden="1" x14ac:dyDescent="0.35">
      <c r="A2455" s="21">
        <v>324867</v>
      </c>
      <c r="B2455" s="22" t="str">
        <f>"9171030104520005"</f>
        <v>9171030104520005</v>
      </c>
      <c r="C2455" s="22" t="str">
        <f t="shared" si="76"/>
        <v>'9171030104520005</v>
      </c>
      <c r="D2455" s="22" t="str">
        <f t="shared" si="77"/>
        <v>tidak ganda</v>
      </c>
      <c r="E2455" s="22" t="s">
        <v>5200</v>
      </c>
      <c r="F2455" s="22" t="s">
        <v>10</v>
      </c>
      <c r="G2455" s="22" t="s">
        <v>11</v>
      </c>
      <c r="H2455" s="22" t="s">
        <v>783</v>
      </c>
      <c r="I2455" s="22" t="s">
        <v>1112</v>
      </c>
      <c r="J2455" s="22" t="s">
        <v>5201</v>
      </c>
      <c r="K2455" s="23" t="s">
        <v>5202</v>
      </c>
    </row>
    <row r="2456" spans="1:14" hidden="1" x14ac:dyDescent="0.35">
      <c r="A2456" s="21">
        <v>238464</v>
      </c>
      <c r="B2456" s="22" t="str">
        <f>"1302102808960007"</f>
        <v>1302102808960007</v>
      </c>
      <c r="C2456" s="22" t="str">
        <f t="shared" si="76"/>
        <v>'1302102808960007</v>
      </c>
      <c r="D2456" s="22" t="str">
        <f t="shared" si="77"/>
        <v>tidak ganda</v>
      </c>
      <c r="E2456" s="22" t="s">
        <v>5204</v>
      </c>
      <c r="F2456" s="22" t="s">
        <v>10</v>
      </c>
      <c r="G2456" s="22" t="s">
        <v>11</v>
      </c>
      <c r="H2456" s="22" t="s">
        <v>12</v>
      </c>
      <c r="I2456" s="22" t="s">
        <v>13</v>
      </c>
      <c r="J2456" s="22" t="s">
        <v>5205</v>
      </c>
      <c r="K2456" s="23" t="s">
        <v>5206</v>
      </c>
    </row>
    <row r="2457" spans="1:14" hidden="1" x14ac:dyDescent="0.35">
      <c r="A2457" s="21">
        <v>1811761</v>
      </c>
      <c r="B2457" s="22" t="str">
        <f>"1702070407920002"</f>
        <v>1702070407920002</v>
      </c>
      <c r="C2457" s="22" t="str">
        <f t="shared" si="76"/>
        <v>'1702070407920002</v>
      </c>
      <c r="D2457" s="22" t="str">
        <f t="shared" si="77"/>
        <v>tidak ganda</v>
      </c>
      <c r="E2457" s="22" t="s">
        <v>5208</v>
      </c>
      <c r="F2457" s="22" t="s">
        <v>10</v>
      </c>
      <c r="G2457" s="22" t="s">
        <v>11</v>
      </c>
      <c r="H2457" s="22" t="s">
        <v>18</v>
      </c>
      <c r="I2457" s="22" t="s">
        <v>19</v>
      </c>
      <c r="J2457" s="22" t="s">
        <v>5207</v>
      </c>
      <c r="K2457" s="23" t="s">
        <v>933</v>
      </c>
      <c r="L2457" t="e">
        <f>VLOOKUP(B2457,ubah!$B$2:$L$234,4,FALSE)</f>
        <v>#N/A</v>
      </c>
      <c r="M2457" t="e">
        <f>VLOOKUP(B2457,ubah!$B$2:$L$234,5,FALSE)</f>
        <v>#N/A</v>
      </c>
      <c r="N2457" t="e">
        <f>VLOOKUP(B2457,ubah!$B$2:$L$234,6,FALSE)</f>
        <v>#N/A</v>
      </c>
    </row>
    <row r="2458" spans="1:14" hidden="1" x14ac:dyDescent="0.35">
      <c r="A2458" s="21">
        <v>1121659</v>
      </c>
      <c r="B2458" s="22" t="str">
        <f>"1807036010990005"</f>
        <v>1807036010990005</v>
      </c>
      <c r="C2458" s="22" t="str">
        <f t="shared" si="76"/>
        <v>'1807036010990005</v>
      </c>
      <c r="D2458" s="22" t="str">
        <f t="shared" si="77"/>
        <v>tidak ganda</v>
      </c>
      <c r="E2458" s="22" t="s">
        <v>5213</v>
      </c>
      <c r="F2458" s="22" t="s">
        <v>10</v>
      </c>
      <c r="G2458" s="22" t="s">
        <v>11</v>
      </c>
      <c r="H2458" s="22" t="s">
        <v>44</v>
      </c>
      <c r="I2458" s="22" t="s">
        <v>5214</v>
      </c>
      <c r="J2458" s="22" t="s">
        <v>5215</v>
      </c>
      <c r="K2458" s="23" t="s">
        <v>668</v>
      </c>
    </row>
    <row r="2459" spans="1:14" hidden="1" x14ac:dyDescent="0.35">
      <c r="A2459" s="21">
        <v>251369</v>
      </c>
      <c r="B2459" s="22" t="str">
        <f>"1807215912960002"</f>
        <v>1807215912960002</v>
      </c>
      <c r="C2459" s="22" t="str">
        <f t="shared" si="76"/>
        <v>'1807215912960002</v>
      </c>
      <c r="D2459" s="22" t="str">
        <f t="shared" si="77"/>
        <v>tidak ganda</v>
      </c>
      <c r="E2459" s="22" t="s">
        <v>5218</v>
      </c>
      <c r="F2459" s="22" t="s">
        <v>10</v>
      </c>
      <c r="G2459" s="22" t="s">
        <v>11</v>
      </c>
      <c r="H2459" s="22" t="s">
        <v>18</v>
      </c>
      <c r="I2459" s="22" t="s">
        <v>268</v>
      </c>
      <c r="J2459" s="22" t="s">
        <v>371</v>
      </c>
      <c r="K2459" s="23" t="s">
        <v>497</v>
      </c>
    </row>
    <row r="2460" spans="1:14" hidden="1" x14ac:dyDescent="0.35">
      <c r="A2460" s="21">
        <v>70374</v>
      </c>
      <c r="B2460" s="22" t="str">
        <f>"1809054301980001"</f>
        <v>1809054301980001</v>
      </c>
      <c r="C2460" s="22" t="str">
        <f t="shared" si="76"/>
        <v>'1809054301980001</v>
      </c>
      <c r="D2460" s="22" t="str">
        <f t="shared" si="77"/>
        <v>tidak ganda</v>
      </c>
      <c r="E2460" s="22" t="s">
        <v>5219</v>
      </c>
      <c r="F2460" s="22" t="s">
        <v>10</v>
      </c>
      <c r="G2460" s="22" t="s">
        <v>11</v>
      </c>
      <c r="H2460" s="22" t="s">
        <v>44</v>
      </c>
      <c r="I2460" s="22" t="s">
        <v>254</v>
      </c>
      <c r="J2460" s="22" t="s">
        <v>5220</v>
      </c>
      <c r="K2460" s="23" t="s">
        <v>5221</v>
      </c>
    </row>
    <row r="2461" spans="1:14" hidden="1" x14ac:dyDescent="0.35">
      <c r="A2461" s="21">
        <v>555764</v>
      </c>
      <c r="B2461" s="22" t="str">
        <f>"2171061006909006"</f>
        <v>2171061006909006</v>
      </c>
      <c r="C2461" s="22" t="str">
        <f t="shared" si="76"/>
        <v>'2171061006909006</v>
      </c>
      <c r="D2461" s="22" t="str">
        <f t="shared" si="77"/>
        <v>tidak ganda</v>
      </c>
      <c r="E2461" s="22" t="s">
        <v>5224</v>
      </c>
      <c r="F2461" s="22" t="s">
        <v>10</v>
      </c>
      <c r="G2461" s="22" t="s">
        <v>11</v>
      </c>
      <c r="H2461" s="22" t="s">
        <v>18</v>
      </c>
      <c r="I2461" s="22" t="s">
        <v>264</v>
      </c>
      <c r="J2461" s="22" t="s">
        <v>877</v>
      </c>
      <c r="K2461" s="23" t="s">
        <v>3950</v>
      </c>
    </row>
    <row r="2462" spans="1:14" hidden="1" x14ac:dyDescent="0.35">
      <c r="A2462" s="21">
        <v>80441</v>
      </c>
      <c r="B2462" s="22" t="str">
        <f>"3171023112730012"</f>
        <v>3171023112730012</v>
      </c>
      <c r="C2462" s="22" t="str">
        <f t="shared" si="76"/>
        <v>'3171023112730012</v>
      </c>
      <c r="D2462" s="22" t="str">
        <f t="shared" si="77"/>
        <v>tidak ganda</v>
      </c>
      <c r="E2462" s="22" t="s">
        <v>4728</v>
      </c>
      <c r="F2462" s="22" t="s">
        <v>10</v>
      </c>
      <c r="G2462" s="22" t="s">
        <v>11</v>
      </c>
      <c r="H2462" s="22" t="s">
        <v>50</v>
      </c>
      <c r="I2462" s="22" t="s">
        <v>280</v>
      </c>
      <c r="J2462" s="22" t="s">
        <v>455</v>
      </c>
      <c r="K2462" s="23" t="s">
        <v>456</v>
      </c>
    </row>
    <row r="2463" spans="1:14" hidden="1" x14ac:dyDescent="0.35">
      <c r="A2463" s="21">
        <v>586127</v>
      </c>
      <c r="B2463" s="22" t="str">
        <f>"3171081207750002"</f>
        <v>3171081207750002</v>
      </c>
      <c r="C2463" s="22" t="str">
        <f t="shared" si="76"/>
        <v>'3171081207750002</v>
      </c>
      <c r="D2463" s="22" t="str">
        <f t="shared" si="77"/>
        <v>tidak ganda</v>
      </c>
      <c r="E2463" s="22" t="s">
        <v>5226</v>
      </c>
      <c r="F2463" s="22" t="s">
        <v>10</v>
      </c>
      <c r="G2463" s="22" t="s">
        <v>11</v>
      </c>
      <c r="H2463" s="22" t="s">
        <v>50</v>
      </c>
      <c r="I2463" s="22" t="s">
        <v>280</v>
      </c>
      <c r="J2463" s="22" t="s">
        <v>2507</v>
      </c>
      <c r="K2463" s="23" t="s">
        <v>3162</v>
      </c>
    </row>
    <row r="2464" spans="1:14" hidden="1" x14ac:dyDescent="0.35">
      <c r="A2464" s="21">
        <v>1105164</v>
      </c>
      <c r="B2464" s="22" t="str">
        <f>"3172015112980006"</f>
        <v>3172015112980006</v>
      </c>
      <c r="C2464" s="22" t="str">
        <f t="shared" si="76"/>
        <v>'3172015112980006</v>
      </c>
      <c r="D2464" s="22" t="str">
        <f t="shared" si="77"/>
        <v>tidak ganda</v>
      </c>
      <c r="E2464" s="22" t="s">
        <v>5227</v>
      </c>
      <c r="F2464" s="22" t="s">
        <v>10</v>
      </c>
      <c r="G2464" s="22" t="s">
        <v>11</v>
      </c>
      <c r="H2464" s="22" t="s">
        <v>50</v>
      </c>
      <c r="I2464" s="22" t="s">
        <v>51</v>
      </c>
      <c r="J2464" s="22" t="s">
        <v>52</v>
      </c>
      <c r="K2464" s="23" t="s">
        <v>52</v>
      </c>
    </row>
    <row r="2465" spans="1:14" hidden="1" x14ac:dyDescent="0.35">
      <c r="A2465" s="21">
        <v>1816967</v>
      </c>
      <c r="B2465" s="22" t="str">
        <f>"3172040605830016"</f>
        <v>3172040605830016</v>
      </c>
      <c r="C2465" s="22" t="str">
        <f t="shared" si="76"/>
        <v>'3172040605830016</v>
      </c>
      <c r="D2465" s="22" t="str">
        <f t="shared" si="77"/>
        <v>tidak ganda</v>
      </c>
      <c r="E2465" s="22" t="s">
        <v>5228</v>
      </c>
      <c r="F2465" s="22" t="s">
        <v>10</v>
      </c>
      <c r="G2465" s="22" t="s">
        <v>11</v>
      </c>
      <c r="H2465" s="22" t="s">
        <v>18</v>
      </c>
      <c r="I2465" s="22" t="s">
        <v>19</v>
      </c>
      <c r="J2465" s="22" t="s">
        <v>5207</v>
      </c>
      <c r="K2465" s="23" t="s">
        <v>933</v>
      </c>
      <c r="L2465" t="e">
        <f>VLOOKUP(B2465,ubah!$B$2:$L$234,4,FALSE)</f>
        <v>#N/A</v>
      </c>
      <c r="M2465" t="e">
        <f>VLOOKUP(B2465,ubah!$B$2:$L$234,5,FALSE)</f>
        <v>#N/A</v>
      </c>
      <c r="N2465" t="e">
        <f>VLOOKUP(B2465,ubah!$B$2:$L$234,6,FALSE)</f>
        <v>#N/A</v>
      </c>
    </row>
    <row r="2466" spans="1:14" hidden="1" x14ac:dyDescent="0.35">
      <c r="A2466" s="21">
        <v>134419</v>
      </c>
      <c r="B2466" s="22" t="str">
        <f>"3173021307690007"</f>
        <v>3173021307690007</v>
      </c>
      <c r="C2466" s="22" t="str">
        <f t="shared" si="76"/>
        <v>'3173021307690007</v>
      </c>
      <c r="D2466" s="22" t="str">
        <f t="shared" si="77"/>
        <v>tidak ganda</v>
      </c>
      <c r="E2466" s="22" t="s">
        <v>5231</v>
      </c>
      <c r="F2466" s="22" t="s">
        <v>10</v>
      </c>
      <c r="G2466" s="22" t="s">
        <v>11</v>
      </c>
      <c r="H2466" s="22" t="s">
        <v>50</v>
      </c>
      <c r="I2466" s="22" t="s">
        <v>86</v>
      </c>
      <c r="J2466" s="22" t="s">
        <v>205</v>
      </c>
      <c r="K2466" s="23" t="s">
        <v>5232</v>
      </c>
    </row>
    <row r="2467" spans="1:14" hidden="1" x14ac:dyDescent="0.35">
      <c r="A2467" s="21">
        <v>610983</v>
      </c>
      <c r="B2467" s="22" t="str">
        <f>"3173031006720016"</f>
        <v>3173031006720016</v>
      </c>
      <c r="C2467" s="22" t="str">
        <f t="shared" si="76"/>
        <v>'3173031006720016</v>
      </c>
      <c r="D2467" s="22" t="str">
        <f t="shared" si="77"/>
        <v>tidak ganda</v>
      </c>
      <c r="E2467" s="22" t="s">
        <v>5233</v>
      </c>
      <c r="F2467" s="22" t="s">
        <v>10</v>
      </c>
      <c r="G2467" s="22" t="s">
        <v>11</v>
      </c>
      <c r="H2467" s="22" t="s">
        <v>50</v>
      </c>
      <c r="I2467" s="22" t="s">
        <v>86</v>
      </c>
      <c r="J2467" s="22" t="s">
        <v>1463</v>
      </c>
      <c r="K2467" s="23" t="s">
        <v>3175</v>
      </c>
    </row>
    <row r="2468" spans="1:14" hidden="1" x14ac:dyDescent="0.35">
      <c r="A2468" s="21">
        <v>631459</v>
      </c>
      <c r="B2468" s="22" t="str">
        <f>"3174100108060003"</f>
        <v>3174100108060003</v>
      </c>
      <c r="C2468" s="22" t="str">
        <f t="shared" si="76"/>
        <v>'3174100108060003</v>
      </c>
      <c r="D2468" s="22" t="str">
        <f t="shared" si="77"/>
        <v>tidak ganda</v>
      </c>
      <c r="E2468" s="22" t="s">
        <v>5236</v>
      </c>
      <c r="F2468" s="22" t="s">
        <v>10</v>
      </c>
      <c r="G2468" s="22" t="s">
        <v>11</v>
      </c>
      <c r="H2468" s="22" t="s">
        <v>50</v>
      </c>
      <c r="I2468" s="22" t="s">
        <v>72</v>
      </c>
      <c r="J2468" s="22" t="s">
        <v>541</v>
      </c>
      <c r="K2468" s="23" t="s">
        <v>2869</v>
      </c>
    </row>
    <row r="2469" spans="1:14" hidden="1" x14ac:dyDescent="0.35">
      <c r="A2469" s="21">
        <v>1796844</v>
      </c>
      <c r="B2469" s="22" t="str">
        <f>"3175041409890008"</f>
        <v>3175041409890008</v>
      </c>
      <c r="C2469" s="22" t="str">
        <f t="shared" si="76"/>
        <v>'3175041409890008</v>
      </c>
      <c r="D2469" s="22" t="str">
        <f t="shared" si="77"/>
        <v>tidak ganda</v>
      </c>
      <c r="E2469" s="22" t="s">
        <v>5240</v>
      </c>
      <c r="F2469" s="22" t="s">
        <v>10</v>
      </c>
      <c r="G2469" s="22" t="s">
        <v>11</v>
      </c>
      <c r="H2469" s="22" t="s">
        <v>50</v>
      </c>
      <c r="I2469" s="22" t="s">
        <v>58</v>
      </c>
      <c r="J2469" s="22" t="s">
        <v>97</v>
      </c>
      <c r="K2469" s="23" t="s">
        <v>97</v>
      </c>
    </row>
    <row r="2470" spans="1:14" hidden="1" x14ac:dyDescent="0.35">
      <c r="A2470" s="21">
        <v>271477</v>
      </c>
      <c r="B2470" s="22" t="str">
        <f>"3201252512740007"</f>
        <v>3201252512740007</v>
      </c>
      <c r="C2470" s="22" t="str">
        <f t="shared" si="76"/>
        <v>'3201252512740007</v>
      </c>
      <c r="D2470" s="22" t="str">
        <f t="shared" si="77"/>
        <v>tidak ganda</v>
      </c>
      <c r="E2470" s="22" t="s">
        <v>1893</v>
      </c>
      <c r="F2470" s="22" t="s">
        <v>10</v>
      </c>
      <c r="G2470" s="22" t="s">
        <v>11</v>
      </c>
      <c r="H2470" s="22" t="s">
        <v>91</v>
      </c>
      <c r="I2470" s="22" t="s">
        <v>650</v>
      </c>
      <c r="J2470" s="22" t="s">
        <v>138</v>
      </c>
      <c r="K2470" s="23" t="s">
        <v>5241</v>
      </c>
    </row>
    <row r="2471" spans="1:14" hidden="1" x14ac:dyDescent="0.35">
      <c r="A2471" s="21">
        <v>269018</v>
      </c>
      <c r="B2471" s="22" t="str">
        <f>"3202136310050002"</f>
        <v>3202136310050002</v>
      </c>
      <c r="C2471" s="22" t="str">
        <f t="shared" si="76"/>
        <v>'3202136310050002</v>
      </c>
      <c r="D2471" s="22" t="str">
        <f t="shared" si="77"/>
        <v>tidak ganda</v>
      </c>
      <c r="E2471" s="22" t="s">
        <v>5243</v>
      </c>
      <c r="F2471" s="22" t="s">
        <v>10</v>
      </c>
      <c r="G2471" s="22" t="s">
        <v>11</v>
      </c>
      <c r="H2471" s="22" t="s">
        <v>91</v>
      </c>
      <c r="I2471" s="22" t="s">
        <v>101</v>
      </c>
      <c r="J2471" s="22" t="s">
        <v>4555</v>
      </c>
      <c r="K2471" s="23" t="s">
        <v>5244</v>
      </c>
    </row>
    <row r="2472" spans="1:14" hidden="1" x14ac:dyDescent="0.35">
      <c r="A2472" s="21">
        <v>720953</v>
      </c>
      <c r="B2472" s="22" t="str">
        <f>"3204392808830007"</f>
        <v>3204392808830007</v>
      </c>
      <c r="C2472" s="22" t="str">
        <f t="shared" si="76"/>
        <v>'3204392808830007</v>
      </c>
      <c r="D2472" s="22" t="str">
        <f t="shared" si="77"/>
        <v>tidak ganda</v>
      </c>
      <c r="E2472" s="22" t="s">
        <v>5246</v>
      </c>
      <c r="F2472" s="22" t="s">
        <v>10</v>
      </c>
      <c r="G2472" s="22" t="s">
        <v>11</v>
      </c>
      <c r="H2472" s="22" t="s">
        <v>91</v>
      </c>
      <c r="I2472" s="22" t="s">
        <v>1398</v>
      </c>
      <c r="J2472" s="22" t="s">
        <v>5247</v>
      </c>
      <c r="K2472" s="23" t="s">
        <v>5248</v>
      </c>
    </row>
    <row r="2473" spans="1:14" hidden="1" x14ac:dyDescent="0.35">
      <c r="A2473" s="21">
        <v>966699</v>
      </c>
      <c r="B2473" s="22" t="str">
        <f>"3209060501830005"</f>
        <v>3209060501830005</v>
      </c>
      <c r="C2473" s="22" t="str">
        <f t="shared" si="76"/>
        <v>'3209060501830005</v>
      </c>
      <c r="D2473" s="22" t="str">
        <f t="shared" si="77"/>
        <v>tidak ganda</v>
      </c>
      <c r="E2473" s="22" t="s">
        <v>5250</v>
      </c>
      <c r="F2473" s="22" t="s">
        <v>10</v>
      </c>
      <c r="G2473" s="22" t="s">
        <v>11</v>
      </c>
      <c r="H2473" s="22" t="s">
        <v>91</v>
      </c>
      <c r="I2473" s="22" t="s">
        <v>985</v>
      </c>
      <c r="J2473" s="22" t="s">
        <v>1156</v>
      </c>
      <c r="K2473" s="23" t="s">
        <v>492</v>
      </c>
    </row>
    <row r="2474" spans="1:14" hidden="1" x14ac:dyDescent="0.35">
      <c r="A2474" s="21">
        <v>720584</v>
      </c>
      <c r="B2474" s="22" t="str">
        <f>"3212155008910002"</f>
        <v>3212155008910002</v>
      </c>
      <c r="C2474" s="22" t="str">
        <f t="shared" si="76"/>
        <v>'3212155008910002</v>
      </c>
      <c r="D2474" s="22" t="str">
        <f t="shared" si="77"/>
        <v>tidak ganda</v>
      </c>
      <c r="E2474" s="22" t="s">
        <v>5252</v>
      </c>
      <c r="F2474" s="22" t="s">
        <v>10</v>
      </c>
      <c r="G2474" s="22" t="s">
        <v>11</v>
      </c>
      <c r="H2474" s="22" t="s">
        <v>91</v>
      </c>
      <c r="I2474" s="22" t="s">
        <v>114</v>
      </c>
      <c r="J2474" s="22" t="s">
        <v>114</v>
      </c>
      <c r="K2474" s="23" t="s">
        <v>5253</v>
      </c>
    </row>
    <row r="2475" spans="1:14" hidden="1" x14ac:dyDescent="0.35">
      <c r="A2475" s="21">
        <v>1915911</v>
      </c>
      <c r="B2475" s="22" t="str">
        <f>"3216016707950005"</f>
        <v>3216016707950005</v>
      </c>
      <c r="C2475" s="22" t="str">
        <f t="shared" si="76"/>
        <v>'3216016707950005</v>
      </c>
      <c r="D2475" s="22" t="str">
        <f t="shared" si="77"/>
        <v>tidak ganda</v>
      </c>
      <c r="E2475" s="22" t="s">
        <v>5255</v>
      </c>
      <c r="F2475" s="22" t="s">
        <v>10</v>
      </c>
      <c r="G2475" s="22" t="s">
        <v>11</v>
      </c>
      <c r="H2475" s="22" t="s">
        <v>91</v>
      </c>
      <c r="I2475" s="22" t="s">
        <v>92</v>
      </c>
      <c r="J2475" s="22" t="s">
        <v>124</v>
      </c>
      <c r="K2475" s="23" t="s">
        <v>5256</v>
      </c>
    </row>
    <row r="2476" spans="1:14" hidden="1" x14ac:dyDescent="0.35">
      <c r="A2476" s="21">
        <v>752405</v>
      </c>
      <c r="B2476" s="22" t="str">
        <f>"3216091005880022"</f>
        <v>3216091005880022</v>
      </c>
      <c r="C2476" s="22" t="str">
        <f t="shared" si="76"/>
        <v>'3216091005880022</v>
      </c>
      <c r="D2476" s="22" t="str">
        <f t="shared" si="77"/>
        <v>tidak ganda</v>
      </c>
      <c r="E2476" s="22" t="s">
        <v>5259</v>
      </c>
      <c r="F2476" s="22" t="s">
        <v>10</v>
      </c>
      <c r="G2476" s="22" t="s">
        <v>11</v>
      </c>
      <c r="H2476" s="22" t="s">
        <v>91</v>
      </c>
      <c r="I2476" s="22" t="s">
        <v>92</v>
      </c>
      <c r="J2476" s="22" t="s">
        <v>128</v>
      </c>
      <c r="K2476" s="23" t="s">
        <v>2947</v>
      </c>
    </row>
    <row r="2477" spans="1:14" hidden="1" x14ac:dyDescent="0.35">
      <c r="A2477" s="21">
        <v>752407</v>
      </c>
      <c r="B2477" s="22" t="str">
        <f>"3216095512840011"</f>
        <v>3216095512840011</v>
      </c>
      <c r="C2477" s="22" t="str">
        <f t="shared" si="76"/>
        <v>'3216095512840011</v>
      </c>
      <c r="D2477" s="22" t="str">
        <f t="shared" si="77"/>
        <v>tidak ganda</v>
      </c>
      <c r="E2477" s="22" t="s">
        <v>5260</v>
      </c>
      <c r="F2477" s="22" t="s">
        <v>10</v>
      </c>
      <c r="G2477" s="22" t="s">
        <v>11</v>
      </c>
      <c r="H2477" s="22" t="s">
        <v>91</v>
      </c>
      <c r="I2477" s="22" t="s">
        <v>92</v>
      </c>
      <c r="J2477" s="22" t="s">
        <v>128</v>
      </c>
      <c r="K2477" s="23" t="s">
        <v>2947</v>
      </c>
    </row>
    <row r="2478" spans="1:14" hidden="1" x14ac:dyDescent="0.35">
      <c r="A2478" s="21">
        <v>654007</v>
      </c>
      <c r="B2478" s="22" t="str">
        <f>"3275053112040004"</f>
        <v>3275053112040004</v>
      </c>
      <c r="C2478" s="22" t="str">
        <f t="shared" si="76"/>
        <v>'3275053112040004</v>
      </c>
      <c r="D2478" s="22" t="str">
        <f t="shared" si="77"/>
        <v>tidak ganda</v>
      </c>
      <c r="E2478" s="22" t="s">
        <v>5261</v>
      </c>
      <c r="F2478" s="22" t="s">
        <v>10</v>
      </c>
      <c r="G2478" s="22" t="s">
        <v>11</v>
      </c>
      <c r="H2478" s="22" t="s">
        <v>91</v>
      </c>
      <c r="I2478" s="22" t="s">
        <v>92</v>
      </c>
      <c r="J2478" s="22" t="s">
        <v>105</v>
      </c>
      <c r="K2478" s="23" t="s">
        <v>5262</v>
      </c>
    </row>
    <row r="2479" spans="1:14" hidden="1" x14ac:dyDescent="0.35">
      <c r="A2479" s="21">
        <v>654008</v>
      </c>
      <c r="B2479" s="22" t="str">
        <f>"3275056204830018"</f>
        <v>3275056204830018</v>
      </c>
      <c r="C2479" s="22" t="str">
        <f t="shared" si="76"/>
        <v>'3275056204830018</v>
      </c>
      <c r="D2479" s="22" t="str">
        <f t="shared" si="77"/>
        <v>tidak ganda</v>
      </c>
      <c r="E2479" s="22" t="s">
        <v>5263</v>
      </c>
      <c r="F2479" s="22" t="s">
        <v>10</v>
      </c>
      <c r="G2479" s="22" t="s">
        <v>11</v>
      </c>
      <c r="H2479" s="22" t="s">
        <v>91</v>
      </c>
      <c r="I2479" s="22" t="s">
        <v>92</v>
      </c>
      <c r="J2479" s="22" t="s">
        <v>105</v>
      </c>
      <c r="K2479" s="23" t="s">
        <v>5262</v>
      </c>
    </row>
    <row r="2480" spans="1:14" hidden="1" x14ac:dyDescent="0.35">
      <c r="A2480" s="21">
        <v>397153</v>
      </c>
      <c r="B2480" s="22" t="str">
        <f>"3275092802800012"</f>
        <v>3275092802800012</v>
      </c>
      <c r="C2480" s="22" t="str">
        <f t="shared" si="76"/>
        <v>'3275092802800012</v>
      </c>
      <c r="D2480" s="22" t="str">
        <f t="shared" si="77"/>
        <v>tidak ganda</v>
      </c>
      <c r="E2480" s="22" t="s">
        <v>5264</v>
      </c>
      <c r="F2480" s="22" t="s">
        <v>10</v>
      </c>
      <c r="G2480" s="22" t="s">
        <v>11</v>
      </c>
      <c r="H2480" s="22" t="s">
        <v>91</v>
      </c>
      <c r="I2480" s="22" t="s">
        <v>159</v>
      </c>
      <c r="J2480" s="22" t="s">
        <v>1170</v>
      </c>
      <c r="K2480" s="23" t="s">
        <v>5265</v>
      </c>
    </row>
    <row r="2481" spans="1:14" hidden="1" x14ac:dyDescent="0.35">
      <c r="A2481" s="21">
        <v>2058896</v>
      </c>
      <c r="B2481" s="22" t="str">
        <f>"3301062005010006"</f>
        <v>3301062005010006</v>
      </c>
      <c r="C2481" s="22" t="str">
        <f t="shared" si="76"/>
        <v>'3301062005010006</v>
      </c>
      <c r="D2481" s="22" t="str">
        <f t="shared" si="77"/>
        <v>tidak ganda</v>
      </c>
      <c r="E2481" s="22" t="s">
        <v>5266</v>
      </c>
      <c r="F2481" s="22" t="s">
        <v>10</v>
      </c>
      <c r="G2481" s="22" t="s">
        <v>11</v>
      </c>
      <c r="H2481" s="22" t="s">
        <v>18</v>
      </c>
      <c r="I2481" s="22" t="s">
        <v>163</v>
      </c>
      <c r="J2481" s="22" t="s">
        <v>4597</v>
      </c>
      <c r="K2481" s="23" t="s">
        <v>5267</v>
      </c>
    </row>
    <row r="2482" spans="1:14" hidden="1" x14ac:dyDescent="0.35">
      <c r="A2482" s="21">
        <v>1898090</v>
      </c>
      <c r="B2482" s="22" t="str">
        <f>"3301070202800002"</f>
        <v>3301070202800002</v>
      </c>
      <c r="C2482" s="22" t="str">
        <f t="shared" si="76"/>
        <v>'3301070202800002</v>
      </c>
      <c r="D2482" s="22" t="str">
        <f t="shared" si="77"/>
        <v>tidak ganda</v>
      </c>
      <c r="E2482" s="22" t="s">
        <v>1267</v>
      </c>
      <c r="F2482" s="22" t="s">
        <v>10</v>
      </c>
      <c r="G2482" s="22" t="s">
        <v>11</v>
      </c>
      <c r="H2482" s="22" t="s">
        <v>18</v>
      </c>
      <c r="I2482" s="22" t="s">
        <v>163</v>
      </c>
      <c r="J2482" s="22" t="s">
        <v>5269</v>
      </c>
      <c r="K2482" s="23" t="s">
        <v>5270</v>
      </c>
    </row>
    <row r="2483" spans="1:14" hidden="1" x14ac:dyDescent="0.35">
      <c r="A2483" s="21">
        <v>1392089</v>
      </c>
      <c r="B2483" s="22" t="str">
        <f>"3302130412880002"</f>
        <v>3302130412880002</v>
      </c>
      <c r="C2483" s="22" t="str">
        <f t="shared" si="76"/>
        <v>'3302130412880002</v>
      </c>
      <c r="D2483" s="22" t="str">
        <f t="shared" si="77"/>
        <v>tidak ganda</v>
      </c>
      <c r="E2483" s="22" t="s">
        <v>5272</v>
      </c>
      <c r="F2483" s="22" t="s">
        <v>10</v>
      </c>
      <c r="G2483" s="22" t="s">
        <v>11</v>
      </c>
      <c r="H2483" s="22" t="s">
        <v>18</v>
      </c>
      <c r="I2483" s="22" t="s">
        <v>19</v>
      </c>
      <c r="J2483" s="22" t="s">
        <v>5207</v>
      </c>
      <c r="K2483" s="23" t="s">
        <v>5217</v>
      </c>
      <c r="L2483" t="e">
        <f>VLOOKUP(B2483,ubah!$B$2:$L$234,4,FALSE)</f>
        <v>#N/A</v>
      </c>
      <c r="M2483" t="e">
        <f>VLOOKUP(B2483,ubah!$B$2:$L$234,5,FALSE)</f>
        <v>#N/A</v>
      </c>
      <c r="N2483" t="e">
        <f>VLOOKUP(B2483,ubah!$B$2:$L$234,6,FALSE)</f>
        <v>#N/A</v>
      </c>
    </row>
    <row r="2484" spans="1:14" hidden="1" x14ac:dyDescent="0.35">
      <c r="A2484" s="21">
        <v>264050</v>
      </c>
      <c r="B2484" s="22" t="str">
        <f>"3304052901850005"</f>
        <v>3304052901850005</v>
      </c>
      <c r="C2484" s="22" t="str">
        <f t="shared" si="76"/>
        <v>'3304052901850005</v>
      </c>
      <c r="D2484" s="22" t="str">
        <f t="shared" si="77"/>
        <v>tidak ganda</v>
      </c>
      <c r="E2484" s="22" t="s">
        <v>5273</v>
      </c>
      <c r="F2484" s="22" t="s">
        <v>10</v>
      </c>
      <c r="G2484" s="22" t="s">
        <v>11</v>
      </c>
      <c r="H2484" s="22" t="s">
        <v>18</v>
      </c>
      <c r="I2484" s="22" t="s">
        <v>951</v>
      </c>
      <c r="J2484" s="22" t="s">
        <v>2651</v>
      </c>
      <c r="K2484" s="23" t="s">
        <v>5274</v>
      </c>
    </row>
    <row r="2485" spans="1:14" hidden="1" x14ac:dyDescent="0.35">
      <c r="A2485" s="21">
        <v>1336027</v>
      </c>
      <c r="B2485" s="22" t="str">
        <f>"3305241804870001"</f>
        <v>3305241804870001</v>
      </c>
      <c r="C2485" s="22" t="str">
        <f t="shared" si="76"/>
        <v>'3305241804870001</v>
      </c>
      <c r="D2485" s="22" t="str">
        <f t="shared" si="77"/>
        <v>tidak ganda</v>
      </c>
      <c r="E2485" s="22" t="s">
        <v>350</v>
      </c>
      <c r="F2485" s="22" t="s">
        <v>10</v>
      </c>
      <c r="G2485" s="22" t="s">
        <v>11</v>
      </c>
      <c r="H2485" s="22" t="s">
        <v>18</v>
      </c>
      <c r="I2485" s="22" t="s">
        <v>19</v>
      </c>
      <c r="J2485" s="22" t="s">
        <v>5207</v>
      </c>
      <c r="K2485" s="23" t="s">
        <v>5276</v>
      </c>
      <c r="L2485" t="e">
        <f>VLOOKUP(B2485,ubah!$B$2:$L$234,4,FALSE)</f>
        <v>#N/A</v>
      </c>
      <c r="M2485" t="e">
        <f>VLOOKUP(B2485,ubah!$B$2:$L$234,5,FALSE)</f>
        <v>#N/A</v>
      </c>
      <c r="N2485" t="e">
        <f>VLOOKUP(B2485,ubah!$B$2:$L$234,6,FALSE)</f>
        <v>#N/A</v>
      </c>
    </row>
    <row r="2486" spans="1:14" hidden="1" x14ac:dyDescent="0.35">
      <c r="A2486" s="21">
        <v>1371107</v>
      </c>
      <c r="B2486" s="22" t="str">
        <f>"3307093007930005"</f>
        <v>3307093007930005</v>
      </c>
      <c r="C2486" s="22" t="str">
        <f t="shared" si="76"/>
        <v>'3307093007930005</v>
      </c>
      <c r="D2486" s="22" t="str">
        <f t="shared" si="77"/>
        <v>tidak ganda</v>
      </c>
      <c r="E2486" s="22" t="s">
        <v>5278</v>
      </c>
      <c r="F2486" s="22" t="s">
        <v>10</v>
      </c>
      <c r="G2486" s="22" t="s">
        <v>11</v>
      </c>
      <c r="H2486" s="22" t="s">
        <v>18</v>
      </c>
      <c r="I2486" s="22" t="s">
        <v>19</v>
      </c>
      <c r="J2486" s="22" t="s">
        <v>5207</v>
      </c>
      <c r="K2486" s="23" t="s">
        <v>5223</v>
      </c>
      <c r="L2486" t="e">
        <f>VLOOKUP(B2486,ubah!$B$2:$L$234,4,FALSE)</f>
        <v>#N/A</v>
      </c>
      <c r="M2486" t="e">
        <f>VLOOKUP(B2486,ubah!$B$2:$L$234,5,FALSE)</f>
        <v>#N/A</v>
      </c>
      <c r="N2486" t="e">
        <f>VLOOKUP(B2486,ubah!$B$2:$L$234,6,FALSE)</f>
        <v>#N/A</v>
      </c>
    </row>
    <row r="2487" spans="1:14" hidden="1" x14ac:dyDescent="0.35">
      <c r="A2487" s="21">
        <v>1373133</v>
      </c>
      <c r="B2487" s="22" t="str">
        <f>"3316026907010002"</f>
        <v>3316026907010002</v>
      </c>
      <c r="C2487" s="22" t="str">
        <f t="shared" si="76"/>
        <v>'3316026907010002</v>
      </c>
      <c r="D2487" s="22" t="str">
        <f t="shared" si="77"/>
        <v>tidak ganda</v>
      </c>
      <c r="E2487" s="22" t="s">
        <v>5281</v>
      </c>
      <c r="F2487" s="22" t="s">
        <v>10</v>
      </c>
      <c r="G2487" s="22" t="s">
        <v>11</v>
      </c>
      <c r="H2487" s="22" t="s">
        <v>18</v>
      </c>
      <c r="I2487" s="22" t="s">
        <v>19</v>
      </c>
      <c r="J2487" s="22" t="s">
        <v>5207</v>
      </c>
      <c r="K2487" s="23" t="s">
        <v>5223</v>
      </c>
      <c r="L2487" t="e">
        <f>VLOOKUP(B2487,ubah!$B$2:$L$234,4,FALSE)</f>
        <v>#N/A</v>
      </c>
      <c r="M2487" t="e">
        <f>VLOOKUP(B2487,ubah!$B$2:$L$234,5,FALSE)</f>
        <v>#N/A</v>
      </c>
      <c r="N2487" t="e">
        <f>VLOOKUP(B2487,ubah!$B$2:$L$234,6,FALSE)</f>
        <v>#N/A</v>
      </c>
    </row>
    <row r="2488" spans="1:14" hidden="1" x14ac:dyDescent="0.35">
      <c r="A2488" s="21">
        <v>532231</v>
      </c>
      <c r="B2488" s="22" t="str">
        <f>"3318212903880001"</f>
        <v>3318212903880001</v>
      </c>
      <c r="C2488" s="22" t="str">
        <f t="shared" si="76"/>
        <v>'3318212903880001</v>
      </c>
      <c r="D2488" s="22" t="str">
        <f t="shared" si="77"/>
        <v>tidak ganda</v>
      </c>
      <c r="E2488" s="22" t="s">
        <v>5283</v>
      </c>
      <c r="F2488" s="22" t="s">
        <v>10</v>
      </c>
      <c r="G2488" s="22" t="s">
        <v>11</v>
      </c>
      <c r="H2488" s="22" t="s">
        <v>50</v>
      </c>
      <c r="I2488" s="22" t="s">
        <v>51</v>
      </c>
      <c r="J2488" s="22" t="s">
        <v>62</v>
      </c>
      <c r="K2488" s="23" t="s">
        <v>615</v>
      </c>
    </row>
    <row r="2489" spans="1:14" hidden="1" x14ac:dyDescent="0.35">
      <c r="A2489" s="21">
        <v>2586913</v>
      </c>
      <c r="B2489" s="22" t="str">
        <f>"3327051009910002"</f>
        <v>3327051009910002</v>
      </c>
      <c r="C2489" s="22" t="str">
        <f t="shared" si="76"/>
        <v>'3327051009910002</v>
      </c>
      <c r="D2489" s="22" t="str">
        <f t="shared" si="77"/>
        <v>tidak ganda</v>
      </c>
      <c r="E2489" s="22" t="s">
        <v>5284</v>
      </c>
      <c r="F2489" s="22" t="s">
        <v>10</v>
      </c>
      <c r="G2489" s="22" t="s">
        <v>11</v>
      </c>
      <c r="H2489" s="22" t="s">
        <v>67</v>
      </c>
      <c r="I2489" s="22" t="s">
        <v>512</v>
      </c>
      <c r="J2489" s="22" t="s">
        <v>3643</v>
      </c>
      <c r="K2489" s="23" t="s">
        <v>5285</v>
      </c>
    </row>
    <row r="2490" spans="1:14" hidden="1" x14ac:dyDescent="0.35">
      <c r="A2490" s="21">
        <v>397184</v>
      </c>
      <c r="B2490" s="22" t="str">
        <f>"3328151311820004"</f>
        <v>3328151311820004</v>
      </c>
      <c r="C2490" s="22" t="str">
        <f t="shared" si="76"/>
        <v>'3328151311820004</v>
      </c>
      <c r="D2490" s="22" t="str">
        <f t="shared" si="77"/>
        <v>tidak ganda</v>
      </c>
      <c r="E2490" s="22" t="s">
        <v>5287</v>
      </c>
      <c r="F2490" s="22" t="s">
        <v>10</v>
      </c>
      <c r="G2490" s="22" t="s">
        <v>11</v>
      </c>
      <c r="H2490" s="22" t="s">
        <v>91</v>
      </c>
      <c r="I2490" s="22" t="s">
        <v>320</v>
      </c>
      <c r="J2490" s="22" t="s">
        <v>664</v>
      </c>
      <c r="K2490" s="23" t="s">
        <v>3237</v>
      </c>
    </row>
    <row r="2491" spans="1:14" hidden="1" x14ac:dyDescent="0.35">
      <c r="A2491" s="21">
        <v>104916</v>
      </c>
      <c r="B2491" s="22" t="str">
        <f>"3328160101950007"</f>
        <v>3328160101950007</v>
      </c>
      <c r="C2491" s="22" t="str">
        <f t="shared" si="76"/>
        <v>'3328160101950007</v>
      </c>
      <c r="D2491" s="22" t="str">
        <f t="shared" si="77"/>
        <v>tidak ganda</v>
      </c>
      <c r="E2491" s="22" t="s">
        <v>5288</v>
      </c>
      <c r="F2491" s="22" t="s">
        <v>10</v>
      </c>
      <c r="G2491" s="22" t="s">
        <v>11</v>
      </c>
      <c r="H2491" s="22" t="s">
        <v>18</v>
      </c>
      <c r="I2491" s="22" t="s">
        <v>2389</v>
      </c>
      <c r="J2491" s="22" t="s">
        <v>2597</v>
      </c>
      <c r="K2491" s="23" t="s">
        <v>5289</v>
      </c>
    </row>
    <row r="2492" spans="1:14" hidden="1" x14ac:dyDescent="0.35">
      <c r="A2492" s="21">
        <v>1862881</v>
      </c>
      <c r="B2492" s="22" t="str">
        <f>"3328160102070005"</f>
        <v>3328160102070005</v>
      </c>
      <c r="C2492" s="22" t="str">
        <f t="shared" si="76"/>
        <v>'3328160102070005</v>
      </c>
      <c r="D2492" s="22" t="str">
        <f t="shared" si="77"/>
        <v>tidak ganda</v>
      </c>
      <c r="E2492" s="22" t="s">
        <v>5290</v>
      </c>
      <c r="F2492" s="22" t="s">
        <v>10</v>
      </c>
      <c r="G2492" s="22" t="s">
        <v>57</v>
      </c>
      <c r="H2492" s="22" t="s">
        <v>18</v>
      </c>
      <c r="I2492" s="22" t="s">
        <v>733</v>
      </c>
      <c r="J2492" s="22" t="s">
        <v>1127</v>
      </c>
      <c r="K2492" s="23" t="s">
        <v>1127</v>
      </c>
    </row>
    <row r="2493" spans="1:14" hidden="1" x14ac:dyDescent="0.35">
      <c r="A2493" s="21">
        <v>152406</v>
      </c>
      <c r="B2493" s="22" t="str">
        <f>"3328160105970001"</f>
        <v>3328160105970001</v>
      </c>
      <c r="C2493" s="22" t="str">
        <f t="shared" si="76"/>
        <v>'3328160105970001</v>
      </c>
      <c r="D2493" s="22" t="str">
        <f t="shared" si="77"/>
        <v>tidak ganda</v>
      </c>
      <c r="E2493" s="22" t="s">
        <v>5291</v>
      </c>
      <c r="F2493" s="22" t="s">
        <v>10</v>
      </c>
      <c r="G2493" s="22" t="s">
        <v>11</v>
      </c>
      <c r="H2493" s="22" t="s">
        <v>91</v>
      </c>
      <c r="I2493" s="22" t="s">
        <v>159</v>
      </c>
      <c r="J2493" s="22" t="s">
        <v>685</v>
      </c>
      <c r="K2493" s="23" t="s">
        <v>686</v>
      </c>
    </row>
    <row r="2494" spans="1:14" hidden="1" x14ac:dyDescent="0.35">
      <c r="A2494" s="21">
        <v>861890</v>
      </c>
      <c r="B2494" s="22" t="str">
        <f>"3328160307880005"</f>
        <v>3328160307880005</v>
      </c>
      <c r="C2494" s="22" t="str">
        <f t="shared" si="76"/>
        <v>'3328160307880005</v>
      </c>
      <c r="D2494" s="22" t="str">
        <f t="shared" si="77"/>
        <v>tidak ganda</v>
      </c>
      <c r="E2494" s="22" t="s">
        <v>5293</v>
      </c>
      <c r="F2494" s="22" t="s">
        <v>10</v>
      </c>
      <c r="G2494" s="22" t="s">
        <v>11</v>
      </c>
      <c r="H2494" s="22" t="s">
        <v>91</v>
      </c>
      <c r="I2494" s="22" t="s">
        <v>159</v>
      </c>
      <c r="J2494" s="22" t="s">
        <v>2614</v>
      </c>
      <c r="K2494" s="23" t="s">
        <v>5294</v>
      </c>
    </row>
    <row r="2495" spans="1:14" hidden="1" x14ac:dyDescent="0.35">
      <c r="A2495" s="21">
        <v>1374722</v>
      </c>
      <c r="B2495" s="22" t="str">
        <f>"3328160503780005"</f>
        <v>3328160503780005</v>
      </c>
      <c r="C2495" s="22" t="str">
        <f t="shared" si="76"/>
        <v>'3328160503780005</v>
      </c>
      <c r="D2495" s="22" t="str">
        <f t="shared" si="77"/>
        <v>tidak ganda</v>
      </c>
      <c r="E2495" s="22" t="s">
        <v>3155</v>
      </c>
      <c r="F2495" s="22" t="s">
        <v>10</v>
      </c>
      <c r="G2495" s="22" t="s">
        <v>11</v>
      </c>
      <c r="H2495" s="22" t="s">
        <v>18</v>
      </c>
      <c r="I2495" s="22" t="s">
        <v>19</v>
      </c>
      <c r="J2495" s="22" t="s">
        <v>5207</v>
      </c>
      <c r="K2495" s="23" t="s">
        <v>5242</v>
      </c>
      <c r="L2495" t="e">
        <f>VLOOKUP(B2495,ubah!$B$2:$L$234,4,FALSE)</f>
        <v>#N/A</v>
      </c>
      <c r="M2495" t="e">
        <f>VLOOKUP(B2495,ubah!$B$2:$L$234,5,FALSE)</f>
        <v>#N/A</v>
      </c>
      <c r="N2495" t="e">
        <f>VLOOKUP(B2495,ubah!$B$2:$L$234,6,FALSE)</f>
        <v>#N/A</v>
      </c>
    </row>
    <row r="2496" spans="1:14" hidden="1" x14ac:dyDescent="0.35">
      <c r="A2496" s="21">
        <v>241653</v>
      </c>
      <c r="B2496" s="22" t="str">
        <f>"3328160503800003"</f>
        <v>3328160503800003</v>
      </c>
      <c r="C2496" s="22" t="str">
        <f t="shared" si="76"/>
        <v>'3328160503800003</v>
      </c>
      <c r="D2496" s="22" t="str">
        <f t="shared" si="77"/>
        <v>tidak ganda</v>
      </c>
      <c r="E2496" s="22" t="s">
        <v>2997</v>
      </c>
      <c r="F2496" s="22" t="s">
        <v>10</v>
      </c>
      <c r="G2496" s="22" t="s">
        <v>11</v>
      </c>
      <c r="H2496" s="22" t="s">
        <v>91</v>
      </c>
      <c r="I2496" s="22" t="s">
        <v>631</v>
      </c>
      <c r="J2496" s="22" t="s">
        <v>3880</v>
      </c>
      <c r="K2496" s="23" t="s">
        <v>3880</v>
      </c>
    </row>
    <row r="2497" spans="1:14" hidden="1" x14ac:dyDescent="0.35">
      <c r="A2497" s="21">
        <v>709239</v>
      </c>
      <c r="B2497" s="22" t="str">
        <f>"3328160710830002"</f>
        <v>3328160710830002</v>
      </c>
      <c r="C2497" s="22" t="str">
        <f t="shared" si="76"/>
        <v>'3328160710830002</v>
      </c>
      <c r="D2497" s="22" t="str">
        <f t="shared" si="77"/>
        <v>tidak ganda</v>
      </c>
      <c r="E2497" s="22" t="s">
        <v>5295</v>
      </c>
      <c r="F2497" s="22" t="s">
        <v>10</v>
      </c>
      <c r="G2497" s="22" t="s">
        <v>11</v>
      </c>
      <c r="H2497" s="22" t="s">
        <v>50</v>
      </c>
      <c r="I2497" s="22" t="s">
        <v>280</v>
      </c>
      <c r="J2497" s="22" t="s">
        <v>402</v>
      </c>
      <c r="K2497" s="23" t="s">
        <v>1249</v>
      </c>
    </row>
    <row r="2498" spans="1:14" hidden="1" x14ac:dyDescent="0.35">
      <c r="A2498" s="21">
        <v>1712228</v>
      </c>
      <c r="B2498" s="22" t="str">
        <f>"3328160808000005"</f>
        <v>3328160808000005</v>
      </c>
      <c r="C2498" s="22" t="str">
        <f t="shared" si="76"/>
        <v>'3328160808000005</v>
      </c>
      <c r="D2498" s="22" t="str">
        <f t="shared" si="77"/>
        <v>tidak ganda</v>
      </c>
      <c r="E2498" s="22" t="s">
        <v>5296</v>
      </c>
      <c r="F2498" s="22" t="s">
        <v>10</v>
      </c>
      <c r="G2498" s="22" t="s">
        <v>11</v>
      </c>
      <c r="H2498" s="22" t="s">
        <v>18</v>
      </c>
      <c r="I2498" s="22" t="s">
        <v>19</v>
      </c>
      <c r="J2498" s="22" t="s">
        <v>5207</v>
      </c>
      <c r="K2498" s="23" t="s">
        <v>5258</v>
      </c>
      <c r="L2498" t="e">
        <f>VLOOKUP(B2498,ubah!$B$2:$L$234,4,FALSE)</f>
        <v>#N/A</v>
      </c>
      <c r="M2498" t="e">
        <f>VLOOKUP(B2498,ubah!$B$2:$L$234,5,FALSE)</f>
        <v>#N/A</v>
      </c>
      <c r="N2498" t="e">
        <f>VLOOKUP(B2498,ubah!$B$2:$L$234,6,FALSE)</f>
        <v>#N/A</v>
      </c>
    </row>
    <row r="2499" spans="1:14" hidden="1" x14ac:dyDescent="0.35">
      <c r="A2499" s="21">
        <v>1371961</v>
      </c>
      <c r="B2499" s="22" t="str">
        <f>"3328160808910003"</f>
        <v>3328160808910003</v>
      </c>
      <c r="C2499" s="22" t="str">
        <f t="shared" ref="C2499:C2562" si="78">"'"&amp;B2499</f>
        <v>'3328160808910003</v>
      </c>
      <c r="D2499" s="22" t="str">
        <f t="shared" ref="D2499:D2562" si="79">IF(COUNTIF($C:$C,C2499)&gt;1,"ganda","tidak ganda")</f>
        <v>tidak ganda</v>
      </c>
      <c r="E2499" s="22" t="s">
        <v>5298</v>
      </c>
      <c r="F2499" s="22" t="s">
        <v>10</v>
      </c>
      <c r="G2499" s="22" t="s">
        <v>11</v>
      </c>
      <c r="H2499" s="22" t="s">
        <v>18</v>
      </c>
      <c r="I2499" s="22" t="s">
        <v>19</v>
      </c>
      <c r="J2499" s="22" t="s">
        <v>5207</v>
      </c>
      <c r="K2499" s="23" t="s">
        <v>5223</v>
      </c>
      <c r="L2499" t="e">
        <f>VLOOKUP(B2499,ubah!$B$2:$L$234,4,FALSE)</f>
        <v>#N/A</v>
      </c>
      <c r="M2499" t="e">
        <f>VLOOKUP(B2499,ubah!$B$2:$L$234,5,FALSE)</f>
        <v>#N/A</v>
      </c>
      <c r="N2499" t="e">
        <f>VLOOKUP(B2499,ubah!$B$2:$L$234,6,FALSE)</f>
        <v>#N/A</v>
      </c>
    </row>
    <row r="2500" spans="1:14" hidden="1" x14ac:dyDescent="0.35">
      <c r="A2500" s="21">
        <v>397183</v>
      </c>
      <c r="B2500" s="22" t="str">
        <f>"3328160904900003"</f>
        <v>3328160904900003</v>
      </c>
      <c r="C2500" s="22" t="str">
        <f t="shared" si="78"/>
        <v>'3328160904900003</v>
      </c>
      <c r="D2500" s="22" t="str">
        <f t="shared" si="79"/>
        <v>tidak ganda</v>
      </c>
      <c r="E2500" s="22" t="s">
        <v>5300</v>
      </c>
      <c r="F2500" s="22" t="s">
        <v>10</v>
      </c>
      <c r="G2500" s="22" t="s">
        <v>11</v>
      </c>
      <c r="H2500" s="22" t="s">
        <v>91</v>
      </c>
      <c r="I2500" s="22" t="s">
        <v>320</v>
      </c>
      <c r="J2500" s="22" t="s">
        <v>664</v>
      </c>
      <c r="K2500" s="23" t="s">
        <v>3237</v>
      </c>
    </row>
    <row r="2501" spans="1:14" hidden="1" x14ac:dyDescent="0.35">
      <c r="A2501" s="21">
        <v>416323</v>
      </c>
      <c r="B2501" s="22" t="str">
        <f>"3328161001890012"</f>
        <v>3328161001890012</v>
      </c>
      <c r="C2501" s="22" t="str">
        <f t="shared" si="78"/>
        <v>'3328161001890012</v>
      </c>
      <c r="D2501" s="22" t="str">
        <f t="shared" si="79"/>
        <v>tidak ganda</v>
      </c>
      <c r="E2501" s="22" t="s">
        <v>5301</v>
      </c>
      <c r="F2501" s="22" t="s">
        <v>10</v>
      </c>
      <c r="G2501" s="22" t="s">
        <v>11</v>
      </c>
      <c r="H2501" s="22" t="s">
        <v>18</v>
      </c>
      <c r="I2501" s="22" t="s">
        <v>268</v>
      </c>
      <c r="J2501" s="22" t="s">
        <v>448</v>
      </c>
      <c r="K2501" s="23" t="s">
        <v>888</v>
      </c>
    </row>
    <row r="2502" spans="1:14" hidden="1" x14ac:dyDescent="0.35">
      <c r="A2502" s="21">
        <v>544988</v>
      </c>
      <c r="B2502" s="22" t="str">
        <f>"3328161012920002"</f>
        <v>3328161012920002</v>
      </c>
      <c r="C2502" s="22" t="str">
        <f t="shared" si="78"/>
        <v>'3328161012920002</v>
      </c>
      <c r="D2502" s="22" t="str">
        <f t="shared" si="79"/>
        <v>tidak ganda</v>
      </c>
      <c r="E2502" s="22" t="s">
        <v>5302</v>
      </c>
      <c r="F2502" s="22" t="s">
        <v>10</v>
      </c>
      <c r="G2502" s="22" t="s">
        <v>11</v>
      </c>
      <c r="H2502" s="22" t="s">
        <v>783</v>
      </c>
      <c r="I2502" s="22" t="s">
        <v>1112</v>
      </c>
      <c r="J2502" s="22" t="s">
        <v>1113</v>
      </c>
      <c r="K2502" s="23" t="s">
        <v>4810</v>
      </c>
    </row>
    <row r="2503" spans="1:14" hidden="1" x14ac:dyDescent="0.35">
      <c r="A2503" s="21">
        <v>1403449</v>
      </c>
      <c r="B2503" s="22" t="str">
        <f>"3328161204060007"</f>
        <v>3328161204060007</v>
      </c>
      <c r="C2503" s="22" t="str">
        <f t="shared" si="78"/>
        <v>'3328161204060007</v>
      </c>
      <c r="D2503" s="22" t="str">
        <f t="shared" si="79"/>
        <v>ganda</v>
      </c>
      <c r="E2503" s="22" t="s">
        <v>5303</v>
      </c>
      <c r="F2503" s="22" t="s">
        <v>10</v>
      </c>
      <c r="G2503" s="22" t="s">
        <v>11</v>
      </c>
      <c r="H2503" s="22" t="s">
        <v>18</v>
      </c>
      <c r="I2503" s="22" t="s">
        <v>19</v>
      </c>
      <c r="J2503" s="22" t="s">
        <v>5207</v>
      </c>
      <c r="K2503" s="23" t="s">
        <v>5235</v>
      </c>
      <c r="L2503" t="e">
        <f>VLOOKUP(B2503,ubah!$B$2:$L$234,4,FALSE)</f>
        <v>#N/A</v>
      </c>
      <c r="M2503" t="e">
        <f>VLOOKUP(B2503,ubah!$B$2:$L$234,5,FALSE)</f>
        <v>#N/A</v>
      </c>
      <c r="N2503" t="e">
        <f>VLOOKUP(B2503,ubah!$B$2:$L$234,6,FALSE)</f>
        <v>#N/A</v>
      </c>
    </row>
    <row r="2504" spans="1:14" hidden="1" x14ac:dyDescent="0.35">
      <c r="A2504" s="21">
        <v>2618025</v>
      </c>
      <c r="B2504" s="22" t="str">
        <f>"3328161204060007"</f>
        <v>3328161204060007</v>
      </c>
      <c r="C2504" s="22" t="str">
        <f t="shared" si="78"/>
        <v>'3328161204060007</v>
      </c>
      <c r="D2504" s="22" t="str">
        <f t="shared" si="79"/>
        <v>ganda</v>
      </c>
      <c r="E2504" s="22" t="s">
        <v>5303</v>
      </c>
      <c r="F2504" s="22" t="s">
        <v>10</v>
      </c>
      <c r="G2504" s="22" t="s">
        <v>57</v>
      </c>
      <c r="H2504" s="22" t="s">
        <v>18</v>
      </c>
      <c r="I2504" s="22" t="s">
        <v>1438</v>
      </c>
      <c r="J2504" s="22" t="s">
        <v>1439</v>
      </c>
      <c r="K2504" s="23" t="s">
        <v>1440</v>
      </c>
    </row>
    <row r="2505" spans="1:14" hidden="1" x14ac:dyDescent="0.35">
      <c r="A2505" s="21">
        <v>1428832</v>
      </c>
      <c r="B2505" s="22" t="str">
        <f>"3328161312960008"</f>
        <v>3328161312960008</v>
      </c>
      <c r="C2505" s="22" t="str">
        <f t="shared" si="78"/>
        <v>'3328161312960008</v>
      </c>
      <c r="D2505" s="22" t="str">
        <f t="shared" si="79"/>
        <v>tidak ganda</v>
      </c>
      <c r="E2505" s="22" t="s">
        <v>5304</v>
      </c>
      <c r="F2505" s="22" t="s">
        <v>10</v>
      </c>
      <c r="G2505" s="22" t="s">
        <v>11</v>
      </c>
      <c r="H2505" s="22" t="s">
        <v>18</v>
      </c>
      <c r="I2505" s="22" t="s">
        <v>264</v>
      </c>
      <c r="J2505" s="22" t="s">
        <v>248</v>
      </c>
      <c r="K2505" s="23" t="s">
        <v>868</v>
      </c>
    </row>
    <row r="2506" spans="1:14" hidden="1" x14ac:dyDescent="0.35">
      <c r="A2506" s="21">
        <v>1373134</v>
      </c>
      <c r="B2506" s="22" t="str">
        <f>"3328161701950006"</f>
        <v>3328161701950006</v>
      </c>
      <c r="C2506" s="22" t="str">
        <f t="shared" si="78"/>
        <v>'3328161701950006</v>
      </c>
      <c r="D2506" s="22" t="str">
        <f t="shared" si="79"/>
        <v>tidak ganda</v>
      </c>
      <c r="E2506" s="22" t="s">
        <v>5309</v>
      </c>
      <c r="F2506" s="22" t="s">
        <v>10</v>
      </c>
      <c r="G2506" s="22" t="s">
        <v>11</v>
      </c>
      <c r="H2506" s="22" t="s">
        <v>18</v>
      </c>
      <c r="I2506" s="22" t="s">
        <v>19</v>
      </c>
      <c r="J2506" s="22" t="s">
        <v>5207</v>
      </c>
      <c r="K2506" s="23" t="s">
        <v>5223</v>
      </c>
      <c r="L2506" t="e">
        <f>VLOOKUP(B2506,ubah!$B$2:$L$234,4,FALSE)</f>
        <v>#N/A</v>
      </c>
      <c r="M2506" t="e">
        <f>VLOOKUP(B2506,ubah!$B$2:$L$234,5,FALSE)</f>
        <v>#N/A</v>
      </c>
      <c r="N2506" t="e">
        <f>VLOOKUP(B2506,ubah!$B$2:$L$234,6,FALSE)</f>
        <v>#N/A</v>
      </c>
    </row>
    <row r="2507" spans="1:14" hidden="1" x14ac:dyDescent="0.35">
      <c r="A2507" s="21">
        <v>1394667</v>
      </c>
      <c r="B2507" s="22" t="str">
        <f>"3328161704000004"</f>
        <v>3328161704000004</v>
      </c>
      <c r="C2507" s="22" t="str">
        <f t="shared" si="78"/>
        <v>'3328161704000004</v>
      </c>
      <c r="D2507" s="22" t="str">
        <f t="shared" si="79"/>
        <v>ganda</v>
      </c>
      <c r="E2507" s="22" t="s">
        <v>5311</v>
      </c>
      <c r="F2507" s="22" t="s">
        <v>10</v>
      </c>
      <c r="G2507" s="22" t="s">
        <v>11</v>
      </c>
      <c r="H2507" s="22" t="s">
        <v>18</v>
      </c>
      <c r="I2507" s="22" t="s">
        <v>19</v>
      </c>
      <c r="J2507" s="22" t="s">
        <v>5207</v>
      </c>
      <c r="K2507" s="23" t="s">
        <v>5217</v>
      </c>
      <c r="L2507" t="e">
        <f>VLOOKUP(B2507,ubah!$B$2:$L$234,4,FALSE)</f>
        <v>#N/A</v>
      </c>
      <c r="M2507" t="e">
        <f>VLOOKUP(B2507,ubah!$B$2:$L$234,5,FALSE)</f>
        <v>#N/A</v>
      </c>
      <c r="N2507" t="e">
        <f>VLOOKUP(B2507,ubah!$B$2:$L$234,6,FALSE)</f>
        <v>#N/A</v>
      </c>
    </row>
    <row r="2508" spans="1:14" hidden="1" x14ac:dyDescent="0.35">
      <c r="A2508" s="21">
        <v>1350417</v>
      </c>
      <c r="B2508" s="22" t="str">
        <f>"3328161704000004"</f>
        <v>3328161704000004</v>
      </c>
      <c r="C2508" s="22" t="str">
        <f t="shared" si="78"/>
        <v>'3328161704000004</v>
      </c>
      <c r="D2508" s="22" t="str">
        <f t="shared" si="79"/>
        <v>ganda</v>
      </c>
      <c r="E2508" s="22" t="s">
        <v>5311</v>
      </c>
      <c r="F2508" s="22" t="s">
        <v>10</v>
      </c>
      <c r="G2508" s="22" t="s">
        <v>57</v>
      </c>
      <c r="H2508" s="22" t="s">
        <v>303</v>
      </c>
      <c r="I2508" s="22" t="s">
        <v>608</v>
      </c>
      <c r="J2508" s="22" t="s">
        <v>609</v>
      </c>
      <c r="K2508" s="23" t="s">
        <v>610</v>
      </c>
    </row>
    <row r="2509" spans="1:14" hidden="1" x14ac:dyDescent="0.35">
      <c r="A2509" s="21">
        <v>1375842</v>
      </c>
      <c r="B2509" s="22" t="str">
        <f>"3328161708810011"</f>
        <v>3328161708810011</v>
      </c>
      <c r="C2509" s="22" t="str">
        <f t="shared" si="78"/>
        <v>'3328161708810011</v>
      </c>
      <c r="D2509" s="22" t="str">
        <f t="shared" si="79"/>
        <v>tidak ganda</v>
      </c>
      <c r="E2509" s="22" t="s">
        <v>5312</v>
      </c>
      <c r="F2509" s="22" t="s">
        <v>10</v>
      </c>
      <c r="G2509" s="22" t="s">
        <v>11</v>
      </c>
      <c r="H2509" s="22" t="s">
        <v>18</v>
      </c>
      <c r="I2509" s="22" t="s">
        <v>19</v>
      </c>
      <c r="J2509" s="22" t="s">
        <v>5207</v>
      </c>
      <c r="K2509" s="23" t="s">
        <v>5242</v>
      </c>
      <c r="L2509" t="e">
        <f>VLOOKUP(B2509,ubah!$B$2:$L$234,4,FALSE)</f>
        <v>#N/A</v>
      </c>
      <c r="M2509" t="e">
        <f>VLOOKUP(B2509,ubah!$B$2:$L$234,5,FALSE)</f>
        <v>#N/A</v>
      </c>
      <c r="N2509" t="e">
        <f>VLOOKUP(B2509,ubah!$B$2:$L$234,6,FALSE)</f>
        <v>#N/A</v>
      </c>
    </row>
    <row r="2510" spans="1:14" hidden="1" x14ac:dyDescent="0.35">
      <c r="A2510" s="21">
        <v>615969</v>
      </c>
      <c r="B2510" s="22" t="str">
        <f>"3328161905910007"</f>
        <v>3328161905910007</v>
      </c>
      <c r="C2510" s="22" t="str">
        <f t="shared" si="78"/>
        <v>'3328161905910007</v>
      </c>
      <c r="D2510" s="22" t="str">
        <f t="shared" si="79"/>
        <v>tidak ganda</v>
      </c>
      <c r="E2510" s="22" t="s">
        <v>5313</v>
      </c>
      <c r="F2510" s="22" t="s">
        <v>10</v>
      </c>
      <c r="G2510" s="22" t="s">
        <v>11</v>
      </c>
      <c r="H2510" s="22" t="s">
        <v>50</v>
      </c>
      <c r="I2510" s="22" t="s">
        <v>51</v>
      </c>
      <c r="J2510" s="22" t="s">
        <v>425</v>
      </c>
      <c r="K2510" s="23" t="s">
        <v>5314</v>
      </c>
    </row>
    <row r="2511" spans="1:14" hidden="1" x14ac:dyDescent="0.35">
      <c r="A2511" s="21">
        <v>1116603</v>
      </c>
      <c r="B2511" s="22" t="str">
        <f>"3328162204790005"</f>
        <v>3328162204790005</v>
      </c>
      <c r="C2511" s="22" t="str">
        <f t="shared" si="78"/>
        <v>'3328162204790005</v>
      </c>
      <c r="D2511" s="22" t="str">
        <f t="shared" si="79"/>
        <v>tidak ganda</v>
      </c>
      <c r="E2511" s="22" t="s">
        <v>5316</v>
      </c>
      <c r="F2511" s="22" t="s">
        <v>10</v>
      </c>
      <c r="G2511" s="22" t="s">
        <v>11</v>
      </c>
      <c r="H2511" s="22" t="s">
        <v>91</v>
      </c>
      <c r="I2511" s="22" t="s">
        <v>2364</v>
      </c>
      <c r="J2511" s="22" t="s">
        <v>5317</v>
      </c>
      <c r="K2511" s="23" t="s">
        <v>5318</v>
      </c>
    </row>
    <row r="2512" spans="1:14" hidden="1" x14ac:dyDescent="0.35">
      <c r="A2512" s="21">
        <v>138165</v>
      </c>
      <c r="B2512" s="22" t="str">
        <f>"3328162303020004"</f>
        <v>3328162303020004</v>
      </c>
      <c r="C2512" s="22" t="str">
        <f t="shared" si="78"/>
        <v>'3328162303020004</v>
      </c>
      <c r="D2512" s="22" t="str">
        <f t="shared" si="79"/>
        <v>tidak ganda</v>
      </c>
      <c r="E2512" s="22" t="s">
        <v>5319</v>
      </c>
      <c r="F2512" s="22" t="s">
        <v>10</v>
      </c>
      <c r="G2512" s="22" t="s">
        <v>11</v>
      </c>
      <c r="H2512" s="22" t="s">
        <v>50</v>
      </c>
      <c r="I2512" s="22" t="s">
        <v>51</v>
      </c>
      <c r="J2512" s="22" t="s">
        <v>62</v>
      </c>
      <c r="K2512" s="23" t="s">
        <v>63</v>
      </c>
    </row>
    <row r="2513" spans="1:14" hidden="1" x14ac:dyDescent="0.35">
      <c r="A2513" s="21">
        <v>1375359</v>
      </c>
      <c r="B2513" s="22" t="str">
        <f>"3328162511930003"</f>
        <v>3328162511930003</v>
      </c>
      <c r="C2513" s="22" t="str">
        <f t="shared" si="78"/>
        <v>'3328162511930003</v>
      </c>
      <c r="D2513" s="22" t="str">
        <f t="shared" si="79"/>
        <v>tidak ganda</v>
      </c>
      <c r="E2513" s="22" t="s">
        <v>5076</v>
      </c>
      <c r="F2513" s="22" t="s">
        <v>10</v>
      </c>
      <c r="G2513" s="22" t="s">
        <v>11</v>
      </c>
      <c r="H2513" s="22" t="s">
        <v>18</v>
      </c>
      <c r="I2513" s="22" t="s">
        <v>19</v>
      </c>
      <c r="J2513" s="22" t="s">
        <v>5207</v>
      </c>
      <c r="K2513" s="23" t="s">
        <v>5242</v>
      </c>
      <c r="L2513" t="e">
        <f>VLOOKUP(B2513,ubah!$B$2:$L$234,4,FALSE)</f>
        <v>#N/A</v>
      </c>
      <c r="M2513" t="e">
        <f>VLOOKUP(B2513,ubah!$B$2:$L$234,5,FALSE)</f>
        <v>#N/A</v>
      </c>
      <c r="N2513" t="e">
        <f>VLOOKUP(B2513,ubah!$B$2:$L$234,6,FALSE)</f>
        <v>#N/A</v>
      </c>
    </row>
    <row r="2514" spans="1:14" hidden="1" x14ac:dyDescent="0.35">
      <c r="A2514" s="21">
        <v>1369810</v>
      </c>
      <c r="B2514" s="22" t="str">
        <f>"3328162803040004"</f>
        <v>3328162803040004</v>
      </c>
      <c r="C2514" s="22" t="str">
        <f t="shared" si="78"/>
        <v>'3328162803040004</v>
      </c>
      <c r="D2514" s="22" t="str">
        <f t="shared" si="79"/>
        <v>tidak ganda</v>
      </c>
      <c r="E2514" s="22" t="s">
        <v>5322</v>
      </c>
      <c r="F2514" s="22" t="s">
        <v>10</v>
      </c>
      <c r="G2514" s="22" t="s">
        <v>11</v>
      </c>
      <c r="H2514" s="22" t="s">
        <v>18</v>
      </c>
      <c r="I2514" s="22" t="s">
        <v>19</v>
      </c>
      <c r="J2514" s="22" t="s">
        <v>5207</v>
      </c>
      <c r="K2514" s="23" t="s">
        <v>5223</v>
      </c>
      <c r="L2514" t="e">
        <f>VLOOKUP(B2514,ubah!$B$2:$L$234,4,FALSE)</f>
        <v>#N/A</v>
      </c>
      <c r="M2514" t="e">
        <f>VLOOKUP(B2514,ubah!$B$2:$L$234,5,FALSE)</f>
        <v>#N/A</v>
      </c>
      <c r="N2514" t="e">
        <f>VLOOKUP(B2514,ubah!$B$2:$L$234,6,FALSE)</f>
        <v>#N/A</v>
      </c>
    </row>
    <row r="2515" spans="1:14" hidden="1" x14ac:dyDescent="0.35">
      <c r="A2515" s="21">
        <v>1375616</v>
      </c>
      <c r="B2515" s="22" t="str">
        <f>"3328162907940001"</f>
        <v>3328162907940001</v>
      </c>
      <c r="C2515" s="22" t="str">
        <f t="shared" si="78"/>
        <v>'3328162907940001</v>
      </c>
      <c r="D2515" s="22" t="str">
        <f t="shared" si="79"/>
        <v>tidak ganda</v>
      </c>
      <c r="E2515" s="22" t="s">
        <v>5325</v>
      </c>
      <c r="F2515" s="22" t="s">
        <v>10</v>
      </c>
      <c r="G2515" s="22" t="s">
        <v>11</v>
      </c>
      <c r="H2515" s="22" t="s">
        <v>18</v>
      </c>
      <c r="I2515" s="22" t="s">
        <v>19</v>
      </c>
      <c r="J2515" s="22" t="s">
        <v>5207</v>
      </c>
      <c r="K2515" s="23" t="s">
        <v>5242</v>
      </c>
      <c r="L2515" t="e">
        <f>VLOOKUP(B2515,ubah!$B$2:$L$234,4,FALSE)</f>
        <v>#N/A</v>
      </c>
      <c r="M2515" t="e">
        <f>VLOOKUP(B2515,ubah!$B$2:$L$234,5,FALSE)</f>
        <v>#N/A</v>
      </c>
      <c r="N2515" t="e">
        <f>VLOOKUP(B2515,ubah!$B$2:$L$234,6,FALSE)</f>
        <v>#N/A</v>
      </c>
    </row>
    <row r="2516" spans="1:14" hidden="1" x14ac:dyDescent="0.35">
      <c r="A2516" s="21">
        <v>1340643</v>
      </c>
      <c r="B2516" s="22" t="str">
        <f>"3328163004770009"</f>
        <v>3328163004770009</v>
      </c>
      <c r="C2516" s="22" t="str">
        <f t="shared" si="78"/>
        <v>'3328163004770009</v>
      </c>
      <c r="D2516" s="22" t="str">
        <f t="shared" si="79"/>
        <v>ganda</v>
      </c>
      <c r="E2516" s="22" t="s">
        <v>5326</v>
      </c>
      <c r="F2516" s="22" t="s">
        <v>10</v>
      </c>
      <c r="G2516" s="22" t="s">
        <v>11</v>
      </c>
      <c r="H2516" s="22" t="s">
        <v>18</v>
      </c>
      <c r="I2516" s="22" t="s">
        <v>19</v>
      </c>
      <c r="J2516" s="22" t="s">
        <v>5207</v>
      </c>
      <c r="K2516" s="23" t="s">
        <v>5239</v>
      </c>
      <c r="L2516" t="e">
        <f>VLOOKUP(B2516,ubah!$B$2:$L$234,4,FALSE)</f>
        <v>#N/A</v>
      </c>
      <c r="M2516" t="e">
        <f>VLOOKUP(B2516,ubah!$B$2:$L$234,5,FALSE)</f>
        <v>#N/A</v>
      </c>
      <c r="N2516" t="e">
        <f>VLOOKUP(B2516,ubah!$B$2:$L$234,6,FALSE)</f>
        <v>#N/A</v>
      </c>
    </row>
    <row r="2517" spans="1:14" hidden="1" x14ac:dyDescent="0.35">
      <c r="A2517" s="21">
        <v>423881</v>
      </c>
      <c r="B2517" s="22" t="str">
        <f>"3328163004770009"</f>
        <v>3328163004770009</v>
      </c>
      <c r="C2517" s="22" t="str">
        <f t="shared" si="78"/>
        <v>'3328163004770009</v>
      </c>
      <c r="D2517" s="22" t="str">
        <f t="shared" si="79"/>
        <v>ganda</v>
      </c>
      <c r="E2517" s="22" t="s">
        <v>5327</v>
      </c>
      <c r="F2517" s="22" t="s">
        <v>10</v>
      </c>
      <c r="G2517" s="22" t="s">
        <v>57</v>
      </c>
      <c r="H2517" s="22" t="s">
        <v>18</v>
      </c>
      <c r="I2517" s="22" t="s">
        <v>268</v>
      </c>
      <c r="J2517" s="22" t="s">
        <v>277</v>
      </c>
      <c r="K2517" s="23" t="s">
        <v>278</v>
      </c>
    </row>
    <row r="2518" spans="1:14" hidden="1" x14ac:dyDescent="0.35">
      <c r="A2518" s="21">
        <v>2552776</v>
      </c>
      <c r="B2518" s="22" t="str">
        <f>"3328164207810009"</f>
        <v>3328164207810009</v>
      </c>
      <c r="C2518" s="22" t="str">
        <f t="shared" si="78"/>
        <v>'3328164207810009</v>
      </c>
      <c r="D2518" s="22" t="str">
        <f t="shared" si="79"/>
        <v>tidak ganda</v>
      </c>
      <c r="E2518" s="22" t="s">
        <v>5328</v>
      </c>
      <c r="F2518" s="22" t="s">
        <v>10</v>
      </c>
      <c r="G2518" s="22" t="s">
        <v>11</v>
      </c>
      <c r="H2518" s="22" t="s">
        <v>67</v>
      </c>
      <c r="I2518" s="22" t="s">
        <v>512</v>
      </c>
      <c r="J2518" s="22" t="s">
        <v>513</v>
      </c>
      <c r="K2518" s="23" t="s">
        <v>514</v>
      </c>
    </row>
    <row r="2519" spans="1:14" hidden="1" x14ac:dyDescent="0.35">
      <c r="A2519" s="21">
        <v>1389582</v>
      </c>
      <c r="B2519" s="22" t="str">
        <f>"3328164405990003"</f>
        <v>3328164405990003</v>
      </c>
      <c r="C2519" s="22" t="str">
        <f t="shared" si="78"/>
        <v>'3328164405990003</v>
      </c>
      <c r="D2519" s="22" t="str">
        <f t="shared" si="79"/>
        <v>tidak ganda</v>
      </c>
      <c r="E2519" s="22" t="s">
        <v>5329</v>
      </c>
      <c r="F2519" s="22" t="s">
        <v>10</v>
      </c>
      <c r="G2519" s="22" t="s">
        <v>11</v>
      </c>
      <c r="H2519" s="22" t="s">
        <v>18</v>
      </c>
      <c r="I2519" s="22" t="s">
        <v>19</v>
      </c>
      <c r="J2519" s="22" t="s">
        <v>5207</v>
      </c>
      <c r="K2519" s="23" t="s">
        <v>5217</v>
      </c>
      <c r="L2519" t="e">
        <f>VLOOKUP(B2519,ubah!$B$2:$L$234,4,FALSE)</f>
        <v>#N/A</v>
      </c>
      <c r="M2519" t="e">
        <f>VLOOKUP(B2519,ubah!$B$2:$L$234,5,FALSE)</f>
        <v>#N/A</v>
      </c>
      <c r="N2519" t="e">
        <f>VLOOKUP(B2519,ubah!$B$2:$L$234,6,FALSE)</f>
        <v>#N/A</v>
      </c>
    </row>
    <row r="2520" spans="1:14" hidden="1" x14ac:dyDescent="0.35">
      <c r="A2520" s="21">
        <v>417846</v>
      </c>
      <c r="B2520" s="22" t="str">
        <f>"3328164406890005"</f>
        <v>3328164406890005</v>
      </c>
      <c r="C2520" s="22" t="str">
        <f t="shared" si="78"/>
        <v>'3328164406890005</v>
      </c>
      <c r="D2520" s="22" t="str">
        <f t="shared" si="79"/>
        <v>tidak ganda</v>
      </c>
      <c r="E2520" s="22" t="s">
        <v>5332</v>
      </c>
      <c r="F2520" s="22" t="s">
        <v>10</v>
      </c>
      <c r="G2520" s="22" t="s">
        <v>11</v>
      </c>
      <c r="H2520" s="22" t="s">
        <v>379</v>
      </c>
      <c r="I2520" s="22" t="s">
        <v>1202</v>
      </c>
      <c r="J2520" s="22" t="s">
        <v>5333</v>
      </c>
      <c r="K2520" s="23" t="s">
        <v>5334</v>
      </c>
    </row>
    <row r="2521" spans="1:14" hidden="1" x14ac:dyDescent="0.35">
      <c r="A2521" s="21">
        <v>1404931</v>
      </c>
      <c r="B2521" s="22" t="str">
        <f>"3328164504560001"</f>
        <v>3328164504560001</v>
      </c>
      <c r="C2521" s="22" t="str">
        <f t="shared" si="78"/>
        <v>'3328164504560001</v>
      </c>
      <c r="D2521" s="22" t="str">
        <f t="shared" si="79"/>
        <v>tidak ganda</v>
      </c>
      <c r="E2521" s="22" t="s">
        <v>1935</v>
      </c>
      <c r="F2521" s="22" t="s">
        <v>10</v>
      </c>
      <c r="G2521" s="22" t="s">
        <v>11</v>
      </c>
      <c r="H2521" s="22" t="s">
        <v>18</v>
      </c>
      <c r="I2521" s="22" t="s">
        <v>19</v>
      </c>
      <c r="J2521" s="22" t="s">
        <v>5207</v>
      </c>
      <c r="K2521" s="23" t="s">
        <v>5235</v>
      </c>
      <c r="L2521" t="e">
        <f>VLOOKUP(B2521,ubah!$B$2:$L$234,4,FALSE)</f>
        <v>#N/A</v>
      </c>
      <c r="M2521" t="e">
        <f>VLOOKUP(B2521,ubah!$B$2:$L$234,5,FALSE)</f>
        <v>#N/A</v>
      </c>
      <c r="N2521" t="e">
        <f>VLOOKUP(B2521,ubah!$B$2:$L$234,6,FALSE)</f>
        <v>#N/A</v>
      </c>
    </row>
    <row r="2522" spans="1:14" hidden="1" x14ac:dyDescent="0.35">
      <c r="A2522" s="21">
        <v>1369811</v>
      </c>
      <c r="B2522" s="22" t="str">
        <f>"3328164604820011"</f>
        <v>3328164604820011</v>
      </c>
      <c r="C2522" s="22" t="str">
        <f t="shared" si="78"/>
        <v>'3328164604820011</v>
      </c>
      <c r="D2522" s="22" t="str">
        <f t="shared" si="79"/>
        <v>tidak ganda</v>
      </c>
      <c r="E2522" s="22" t="s">
        <v>5338</v>
      </c>
      <c r="F2522" s="22" t="s">
        <v>10</v>
      </c>
      <c r="G2522" s="22" t="s">
        <v>11</v>
      </c>
      <c r="H2522" s="22" t="s">
        <v>18</v>
      </c>
      <c r="I2522" s="22" t="s">
        <v>19</v>
      </c>
      <c r="J2522" s="22" t="s">
        <v>5207</v>
      </c>
      <c r="K2522" s="23" t="s">
        <v>5223</v>
      </c>
      <c r="L2522" t="e">
        <f>VLOOKUP(B2522,ubah!$B$2:$L$234,4,FALSE)</f>
        <v>#N/A</v>
      </c>
      <c r="M2522" t="e">
        <f>VLOOKUP(B2522,ubah!$B$2:$L$234,5,FALSE)</f>
        <v>#N/A</v>
      </c>
      <c r="N2522" t="e">
        <f>VLOOKUP(B2522,ubah!$B$2:$L$234,6,FALSE)</f>
        <v>#N/A</v>
      </c>
    </row>
    <row r="2523" spans="1:14" hidden="1" x14ac:dyDescent="0.35">
      <c r="A2523" s="21">
        <v>1336500</v>
      </c>
      <c r="B2523" s="22" t="str">
        <f>"3328164608050003"</f>
        <v>3328164608050003</v>
      </c>
      <c r="C2523" s="22" t="str">
        <f t="shared" si="78"/>
        <v>'3328164608050003</v>
      </c>
      <c r="D2523" s="22" t="str">
        <f t="shared" si="79"/>
        <v>ganda</v>
      </c>
      <c r="E2523" s="22" t="s">
        <v>5339</v>
      </c>
      <c r="F2523" s="22" t="s">
        <v>10</v>
      </c>
      <c r="G2523" s="22" t="s">
        <v>11</v>
      </c>
      <c r="H2523" s="22" t="s">
        <v>18</v>
      </c>
      <c r="I2523" s="22" t="s">
        <v>19</v>
      </c>
      <c r="J2523" s="22" t="s">
        <v>5207</v>
      </c>
      <c r="K2523" s="23" t="s">
        <v>5276</v>
      </c>
      <c r="L2523" t="e">
        <f>VLOOKUP(B2523,ubah!$B$2:$L$234,4,FALSE)</f>
        <v>#N/A</v>
      </c>
      <c r="M2523" t="e">
        <f>VLOOKUP(B2523,ubah!$B$2:$L$234,5,FALSE)</f>
        <v>#N/A</v>
      </c>
      <c r="N2523" t="e">
        <f>VLOOKUP(B2523,ubah!$B$2:$L$234,6,FALSE)</f>
        <v>#N/A</v>
      </c>
    </row>
    <row r="2524" spans="1:14" hidden="1" x14ac:dyDescent="0.35">
      <c r="A2524" s="21">
        <v>1819397</v>
      </c>
      <c r="B2524" s="22" t="str">
        <f>"3328164608050003"</f>
        <v>3328164608050003</v>
      </c>
      <c r="C2524" s="22" t="str">
        <f t="shared" si="78"/>
        <v>'3328164608050003</v>
      </c>
      <c r="D2524" s="22" t="str">
        <f t="shared" si="79"/>
        <v>ganda</v>
      </c>
      <c r="E2524" s="22" t="s">
        <v>5340</v>
      </c>
      <c r="F2524" s="22" t="s">
        <v>10</v>
      </c>
      <c r="G2524" s="22" t="s">
        <v>11</v>
      </c>
      <c r="H2524" s="22" t="s">
        <v>18</v>
      </c>
      <c r="I2524" s="22" t="s">
        <v>199</v>
      </c>
      <c r="J2524" s="22" t="s">
        <v>595</v>
      </c>
      <c r="K2524" s="23" t="s">
        <v>596</v>
      </c>
    </row>
    <row r="2525" spans="1:14" hidden="1" x14ac:dyDescent="0.35">
      <c r="A2525" s="21">
        <v>1410557</v>
      </c>
      <c r="B2525" s="22" t="str">
        <f>"3328164704920007"</f>
        <v>3328164704920007</v>
      </c>
      <c r="C2525" s="22" t="str">
        <f t="shared" si="78"/>
        <v>'3328164704920007</v>
      </c>
      <c r="D2525" s="22" t="str">
        <f t="shared" si="79"/>
        <v>tidak ganda</v>
      </c>
      <c r="E2525" s="22" t="s">
        <v>5341</v>
      </c>
      <c r="F2525" s="22" t="s">
        <v>10</v>
      </c>
      <c r="G2525" s="22" t="s">
        <v>11</v>
      </c>
      <c r="H2525" s="22" t="s">
        <v>18</v>
      </c>
      <c r="I2525" s="22" t="s">
        <v>19</v>
      </c>
      <c r="J2525" s="22" t="s">
        <v>5207</v>
      </c>
      <c r="K2525" s="23" t="s">
        <v>5235</v>
      </c>
      <c r="L2525" t="e">
        <f>VLOOKUP(B2525,ubah!$B$2:$L$234,4,FALSE)</f>
        <v>#N/A</v>
      </c>
      <c r="M2525" t="e">
        <f>VLOOKUP(B2525,ubah!$B$2:$L$234,5,FALSE)</f>
        <v>#N/A</v>
      </c>
      <c r="N2525" t="e">
        <f>VLOOKUP(B2525,ubah!$B$2:$L$234,6,FALSE)</f>
        <v>#N/A</v>
      </c>
    </row>
    <row r="2526" spans="1:14" hidden="1" x14ac:dyDescent="0.35">
      <c r="A2526" s="21">
        <v>1778929</v>
      </c>
      <c r="B2526" s="22" t="str">
        <f>"3328165012900001"</f>
        <v>3328165012900001</v>
      </c>
      <c r="C2526" s="22" t="str">
        <f t="shared" si="78"/>
        <v>'3328165012900001</v>
      </c>
      <c r="D2526" s="22" t="str">
        <f t="shared" si="79"/>
        <v>tidak ganda</v>
      </c>
      <c r="E2526" s="22" t="s">
        <v>5342</v>
      </c>
      <c r="F2526" s="22" t="s">
        <v>10</v>
      </c>
      <c r="G2526" s="22" t="s">
        <v>11</v>
      </c>
      <c r="H2526" s="22" t="s">
        <v>91</v>
      </c>
      <c r="I2526" s="22" t="s">
        <v>159</v>
      </c>
      <c r="J2526" s="22" t="s">
        <v>1332</v>
      </c>
      <c r="K2526" s="23" t="s">
        <v>2200</v>
      </c>
    </row>
    <row r="2527" spans="1:14" hidden="1" x14ac:dyDescent="0.35">
      <c r="A2527" s="21">
        <v>1405688</v>
      </c>
      <c r="B2527" s="22" t="str">
        <f>"3328165012930008"</f>
        <v>3328165012930008</v>
      </c>
      <c r="C2527" s="22" t="str">
        <f t="shared" si="78"/>
        <v>'3328165012930008</v>
      </c>
      <c r="D2527" s="22" t="str">
        <f t="shared" si="79"/>
        <v>tidak ganda</v>
      </c>
      <c r="E2527" s="22" t="s">
        <v>5344</v>
      </c>
      <c r="F2527" s="22" t="s">
        <v>10</v>
      </c>
      <c r="G2527" s="22" t="s">
        <v>11</v>
      </c>
      <c r="H2527" s="22" t="s">
        <v>18</v>
      </c>
      <c r="I2527" s="22" t="s">
        <v>19</v>
      </c>
      <c r="J2527" s="22" t="s">
        <v>5207</v>
      </c>
      <c r="K2527" s="23" t="s">
        <v>5235</v>
      </c>
      <c r="L2527" t="e">
        <f>VLOOKUP(B2527,ubah!$B$2:$L$234,4,FALSE)</f>
        <v>#N/A</v>
      </c>
      <c r="M2527" t="e">
        <f>VLOOKUP(B2527,ubah!$B$2:$L$234,5,FALSE)</f>
        <v>#N/A</v>
      </c>
      <c r="N2527" t="e">
        <f>VLOOKUP(B2527,ubah!$B$2:$L$234,6,FALSE)</f>
        <v>#N/A</v>
      </c>
    </row>
    <row r="2528" spans="1:14" hidden="1" x14ac:dyDescent="0.35">
      <c r="A2528" s="21">
        <v>144752</v>
      </c>
      <c r="B2528" s="22" t="str">
        <f>"3328165202040001"</f>
        <v>3328165202040001</v>
      </c>
      <c r="C2528" s="22" t="str">
        <f t="shared" si="78"/>
        <v>'3328165202040001</v>
      </c>
      <c r="D2528" s="22" t="str">
        <f t="shared" si="79"/>
        <v>tidak ganda</v>
      </c>
      <c r="E2528" s="22" t="s">
        <v>5347</v>
      </c>
      <c r="F2528" s="22" t="s">
        <v>10</v>
      </c>
      <c r="G2528" s="22" t="s">
        <v>11</v>
      </c>
      <c r="H2528" s="22" t="s">
        <v>232</v>
      </c>
      <c r="I2528" s="22" t="s">
        <v>5348</v>
      </c>
      <c r="J2528" s="22" t="s">
        <v>5349</v>
      </c>
      <c r="K2528" s="23" t="s">
        <v>5350</v>
      </c>
    </row>
    <row r="2529" spans="1:14" hidden="1" x14ac:dyDescent="0.35">
      <c r="A2529" s="21">
        <v>1342084</v>
      </c>
      <c r="B2529" s="22" t="str">
        <f>"3328165203030003"</f>
        <v>3328165203030003</v>
      </c>
      <c r="C2529" s="22" t="str">
        <f t="shared" si="78"/>
        <v>'3328165203030003</v>
      </c>
      <c r="D2529" s="22" t="str">
        <f t="shared" si="79"/>
        <v>ganda</v>
      </c>
      <c r="E2529" s="22" t="s">
        <v>5351</v>
      </c>
      <c r="F2529" s="22" t="s">
        <v>10</v>
      </c>
      <c r="G2529" s="22" t="s">
        <v>11</v>
      </c>
      <c r="H2529" s="22" t="s">
        <v>18</v>
      </c>
      <c r="I2529" s="22" t="s">
        <v>19</v>
      </c>
      <c r="J2529" s="22" t="s">
        <v>5207</v>
      </c>
      <c r="K2529" s="23" t="s">
        <v>5239</v>
      </c>
      <c r="L2529" t="e">
        <f>VLOOKUP(B2529,ubah!$B$2:$L$234,4,FALSE)</f>
        <v>#N/A</v>
      </c>
      <c r="M2529" t="e">
        <f>VLOOKUP(B2529,ubah!$B$2:$L$234,5,FALSE)</f>
        <v>#N/A</v>
      </c>
      <c r="N2529" t="e">
        <f>VLOOKUP(B2529,ubah!$B$2:$L$234,6,FALSE)</f>
        <v>#N/A</v>
      </c>
    </row>
    <row r="2530" spans="1:14" hidden="1" x14ac:dyDescent="0.35">
      <c r="A2530" s="21">
        <v>1352914</v>
      </c>
      <c r="B2530" s="22" t="str">
        <f>"3328165203030003"</f>
        <v>3328165203030003</v>
      </c>
      <c r="C2530" s="22" t="str">
        <f t="shared" si="78"/>
        <v>'3328165203030003</v>
      </c>
      <c r="D2530" s="22" t="str">
        <f t="shared" si="79"/>
        <v>ganda</v>
      </c>
      <c r="E2530" s="22" t="s">
        <v>5352</v>
      </c>
      <c r="F2530" s="22" t="s">
        <v>10</v>
      </c>
      <c r="G2530" s="22" t="s">
        <v>57</v>
      </c>
      <c r="H2530" s="22" t="s">
        <v>303</v>
      </c>
      <c r="I2530" s="22" t="s">
        <v>608</v>
      </c>
      <c r="J2530" s="22" t="s">
        <v>609</v>
      </c>
      <c r="K2530" s="23" t="s">
        <v>610</v>
      </c>
    </row>
    <row r="2531" spans="1:14" hidden="1" x14ac:dyDescent="0.35">
      <c r="A2531" s="21">
        <v>264051</v>
      </c>
      <c r="B2531" s="22" t="str">
        <f>"3328165304880002"</f>
        <v>3328165304880002</v>
      </c>
      <c r="C2531" s="22" t="str">
        <f t="shared" si="78"/>
        <v>'3328165304880002</v>
      </c>
      <c r="D2531" s="22" t="str">
        <f t="shared" si="79"/>
        <v>tidak ganda</v>
      </c>
      <c r="E2531" s="22" t="s">
        <v>5353</v>
      </c>
      <c r="F2531" s="22" t="s">
        <v>10</v>
      </c>
      <c r="G2531" s="22" t="s">
        <v>11</v>
      </c>
      <c r="H2531" s="22" t="s">
        <v>18</v>
      </c>
      <c r="I2531" s="22" t="s">
        <v>951</v>
      </c>
      <c r="J2531" s="22" t="s">
        <v>2651</v>
      </c>
      <c r="K2531" s="23" t="s">
        <v>5274</v>
      </c>
    </row>
    <row r="2532" spans="1:14" hidden="1" x14ac:dyDescent="0.35">
      <c r="A2532" s="21">
        <v>1356590</v>
      </c>
      <c r="B2532" s="22" t="str">
        <f>"3328165501070007"</f>
        <v>3328165501070007</v>
      </c>
      <c r="C2532" s="22" t="str">
        <f t="shared" si="78"/>
        <v>'3328165501070007</v>
      </c>
      <c r="D2532" s="22" t="str">
        <f t="shared" si="79"/>
        <v>tidak ganda</v>
      </c>
      <c r="E2532" s="22" t="s">
        <v>5354</v>
      </c>
      <c r="F2532" s="22" t="s">
        <v>10</v>
      </c>
      <c r="G2532" s="22" t="s">
        <v>11</v>
      </c>
      <c r="H2532" s="22" t="s">
        <v>50</v>
      </c>
      <c r="I2532" s="22" t="s">
        <v>72</v>
      </c>
      <c r="J2532" s="22" t="s">
        <v>628</v>
      </c>
      <c r="K2532" s="23" t="s">
        <v>1469</v>
      </c>
    </row>
    <row r="2533" spans="1:14" hidden="1" x14ac:dyDescent="0.35">
      <c r="A2533" s="21">
        <v>575249</v>
      </c>
      <c r="B2533" s="22" t="str">
        <f>"3328165506810003"</f>
        <v>3328165506810003</v>
      </c>
      <c r="C2533" s="22" t="str">
        <f t="shared" si="78"/>
        <v>'3328165506810003</v>
      </c>
      <c r="D2533" s="22" t="str">
        <f t="shared" si="79"/>
        <v>tidak ganda</v>
      </c>
      <c r="E2533" s="22" t="s">
        <v>5355</v>
      </c>
      <c r="F2533" s="22" t="s">
        <v>10</v>
      </c>
      <c r="G2533" s="22" t="s">
        <v>11</v>
      </c>
      <c r="H2533" s="22" t="s">
        <v>18</v>
      </c>
      <c r="I2533" s="22" t="s">
        <v>264</v>
      </c>
      <c r="J2533" s="22" t="s">
        <v>264</v>
      </c>
      <c r="K2533" s="23" t="s">
        <v>3727</v>
      </c>
    </row>
    <row r="2534" spans="1:14" hidden="1" x14ac:dyDescent="0.35">
      <c r="A2534" s="21">
        <v>1341106</v>
      </c>
      <c r="B2534" s="22" t="str">
        <f>"3328165510780005"</f>
        <v>3328165510780005</v>
      </c>
      <c r="C2534" s="22" t="str">
        <f t="shared" si="78"/>
        <v>'3328165510780005</v>
      </c>
      <c r="D2534" s="22" t="str">
        <f t="shared" si="79"/>
        <v>ganda</v>
      </c>
      <c r="E2534" s="22" t="s">
        <v>4698</v>
      </c>
      <c r="F2534" s="22" t="s">
        <v>10</v>
      </c>
      <c r="G2534" s="22" t="s">
        <v>11</v>
      </c>
      <c r="H2534" s="22" t="s">
        <v>18</v>
      </c>
      <c r="I2534" s="22" t="s">
        <v>19</v>
      </c>
      <c r="J2534" s="22" t="s">
        <v>5207</v>
      </c>
      <c r="K2534" s="23" t="s">
        <v>5239</v>
      </c>
      <c r="L2534" t="e">
        <f>VLOOKUP(B2534,ubah!$B$2:$L$234,4,FALSE)</f>
        <v>#N/A</v>
      </c>
      <c r="M2534" t="e">
        <f>VLOOKUP(B2534,ubah!$B$2:$L$234,5,FALSE)</f>
        <v>#N/A</v>
      </c>
      <c r="N2534" t="e">
        <f>VLOOKUP(B2534,ubah!$B$2:$L$234,6,FALSE)</f>
        <v>#N/A</v>
      </c>
    </row>
    <row r="2535" spans="1:14" hidden="1" x14ac:dyDescent="0.35">
      <c r="A2535" s="21">
        <v>1349043</v>
      </c>
      <c r="B2535" s="22" t="str">
        <f>"3328165510780005"</f>
        <v>3328165510780005</v>
      </c>
      <c r="C2535" s="22" t="str">
        <f t="shared" si="78"/>
        <v>'3328165510780005</v>
      </c>
      <c r="D2535" s="22" t="str">
        <f t="shared" si="79"/>
        <v>ganda</v>
      </c>
      <c r="E2535" s="22" t="s">
        <v>5357</v>
      </c>
      <c r="F2535" s="22" t="s">
        <v>10</v>
      </c>
      <c r="G2535" s="22" t="s">
        <v>57</v>
      </c>
      <c r="H2535" s="22" t="s">
        <v>303</v>
      </c>
      <c r="I2535" s="22" t="s">
        <v>608</v>
      </c>
      <c r="J2535" s="22" t="s">
        <v>609</v>
      </c>
      <c r="K2535" s="23" t="s">
        <v>610</v>
      </c>
    </row>
    <row r="2536" spans="1:14" hidden="1" x14ac:dyDescent="0.35">
      <c r="A2536" s="21">
        <v>1343977</v>
      </c>
      <c r="B2536" s="22" t="str">
        <f>"3328165512960004"</f>
        <v>3328165512960004</v>
      </c>
      <c r="C2536" s="22" t="str">
        <f t="shared" si="78"/>
        <v>'3328165512960004</v>
      </c>
      <c r="D2536" s="22" t="str">
        <f t="shared" si="79"/>
        <v>tidak ganda</v>
      </c>
      <c r="E2536" s="22" t="s">
        <v>5358</v>
      </c>
      <c r="F2536" s="22" t="s">
        <v>10</v>
      </c>
      <c r="G2536" s="22" t="s">
        <v>11</v>
      </c>
      <c r="H2536" s="22" t="s">
        <v>18</v>
      </c>
      <c r="I2536" s="22" t="s">
        <v>19</v>
      </c>
      <c r="J2536" s="22" t="s">
        <v>5207</v>
      </c>
      <c r="K2536" s="23" t="s">
        <v>5239</v>
      </c>
      <c r="L2536" t="e">
        <f>VLOOKUP(B2536,ubah!$B$2:$L$234,4,FALSE)</f>
        <v>#N/A</v>
      </c>
      <c r="M2536" t="e">
        <f>VLOOKUP(B2536,ubah!$B$2:$L$234,5,FALSE)</f>
        <v>#N/A</v>
      </c>
      <c r="N2536" t="e">
        <f>VLOOKUP(B2536,ubah!$B$2:$L$234,6,FALSE)</f>
        <v>#N/A</v>
      </c>
    </row>
    <row r="2537" spans="1:14" hidden="1" x14ac:dyDescent="0.35">
      <c r="A2537" s="21">
        <v>117368</v>
      </c>
      <c r="B2537" s="22" t="str">
        <f>"3328166002970002"</f>
        <v>3328166002970002</v>
      </c>
      <c r="C2537" s="22" t="str">
        <f t="shared" si="78"/>
        <v>'3328166002970002</v>
      </c>
      <c r="D2537" s="22" t="str">
        <f t="shared" si="79"/>
        <v>tidak ganda</v>
      </c>
      <c r="E2537" s="22" t="s">
        <v>5360</v>
      </c>
      <c r="F2537" s="22" t="s">
        <v>10</v>
      </c>
      <c r="G2537" s="22" t="s">
        <v>11</v>
      </c>
      <c r="H2537" s="22" t="s">
        <v>44</v>
      </c>
      <c r="I2537" s="22" t="s">
        <v>5361</v>
      </c>
      <c r="J2537" s="22" t="s">
        <v>5362</v>
      </c>
      <c r="K2537" s="23" t="s">
        <v>5363</v>
      </c>
    </row>
    <row r="2538" spans="1:14" hidden="1" x14ac:dyDescent="0.35">
      <c r="A2538" s="21">
        <v>532232</v>
      </c>
      <c r="B2538" s="22" t="str">
        <f>"3328166105900002"</f>
        <v>3328166105900002</v>
      </c>
      <c r="C2538" s="22" t="str">
        <f t="shared" si="78"/>
        <v>'3328166105900002</v>
      </c>
      <c r="D2538" s="22" t="str">
        <f t="shared" si="79"/>
        <v>tidak ganda</v>
      </c>
      <c r="E2538" s="22" t="s">
        <v>5364</v>
      </c>
      <c r="F2538" s="22" t="s">
        <v>10</v>
      </c>
      <c r="G2538" s="22" t="s">
        <v>11</v>
      </c>
      <c r="H2538" s="22" t="s">
        <v>50</v>
      </c>
      <c r="I2538" s="22" t="s">
        <v>51</v>
      </c>
      <c r="J2538" s="22" t="s">
        <v>62</v>
      </c>
      <c r="K2538" s="23" t="s">
        <v>615</v>
      </c>
    </row>
    <row r="2539" spans="1:14" hidden="1" x14ac:dyDescent="0.35">
      <c r="A2539" s="21">
        <v>1342086</v>
      </c>
      <c r="B2539" s="22" t="str">
        <f>"3328166107770002"</f>
        <v>3328166107770002</v>
      </c>
      <c r="C2539" s="22" t="str">
        <f t="shared" si="78"/>
        <v>'3328166107770002</v>
      </c>
      <c r="D2539" s="22" t="str">
        <f t="shared" si="79"/>
        <v>ganda</v>
      </c>
      <c r="E2539" s="22" t="s">
        <v>5365</v>
      </c>
      <c r="F2539" s="22" t="s">
        <v>10</v>
      </c>
      <c r="G2539" s="22" t="s">
        <v>11</v>
      </c>
      <c r="H2539" s="22" t="s">
        <v>18</v>
      </c>
      <c r="I2539" s="22" t="s">
        <v>19</v>
      </c>
      <c r="J2539" s="22" t="s">
        <v>5207</v>
      </c>
      <c r="K2539" s="23" t="s">
        <v>5239</v>
      </c>
      <c r="L2539" t="e">
        <f>VLOOKUP(B2539,ubah!$B$2:$L$234,4,FALSE)</f>
        <v>#N/A</v>
      </c>
      <c r="M2539" t="e">
        <f>VLOOKUP(B2539,ubah!$B$2:$L$234,5,FALSE)</f>
        <v>#N/A</v>
      </c>
      <c r="N2539" t="e">
        <f>VLOOKUP(B2539,ubah!$B$2:$L$234,6,FALSE)</f>
        <v>#N/A</v>
      </c>
    </row>
    <row r="2540" spans="1:14" hidden="1" x14ac:dyDescent="0.35">
      <c r="A2540" s="21">
        <v>1349042</v>
      </c>
      <c r="B2540" s="22" t="str">
        <f>"3328166107770002"</f>
        <v>3328166107770002</v>
      </c>
      <c r="C2540" s="22" t="str">
        <f t="shared" si="78"/>
        <v>'3328166107770002</v>
      </c>
      <c r="D2540" s="22" t="str">
        <f t="shared" si="79"/>
        <v>ganda</v>
      </c>
      <c r="E2540" s="22" t="s">
        <v>5366</v>
      </c>
      <c r="F2540" s="22" t="s">
        <v>10</v>
      </c>
      <c r="G2540" s="22" t="s">
        <v>57</v>
      </c>
      <c r="H2540" s="22" t="s">
        <v>303</v>
      </c>
      <c r="I2540" s="22" t="s">
        <v>608</v>
      </c>
      <c r="J2540" s="22" t="s">
        <v>609</v>
      </c>
      <c r="K2540" s="23" t="s">
        <v>610</v>
      </c>
    </row>
    <row r="2541" spans="1:14" hidden="1" x14ac:dyDescent="0.35">
      <c r="A2541" s="21">
        <v>265943</v>
      </c>
      <c r="B2541" s="22" t="str">
        <f>"3328166208950002"</f>
        <v>3328166208950002</v>
      </c>
      <c r="C2541" s="22" t="str">
        <f t="shared" si="78"/>
        <v>'3328166208950002</v>
      </c>
      <c r="D2541" s="22" t="str">
        <f t="shared" si="79"/>
        <v>tidak ganda</v>
      </c>
      <c r="E2541" s="22" t="s">
        <v>5367</v>
      </c>
      <c r="F2541" s="22" t="s">
        <v>10</v>
      </c>
      <c r="G2541" s="22" t="s">
        <v>11</v>
      </c>
      <c r="H2541" s="22" t="s">
        <v>18</v>
      </c>
      <c r="I2541" s="22" t="s">
        <v>268</v>
      </c>
      <c r="J2541" s="22" t="s">
        <v>371</v>
      </c>
      <c r="K2541" s="23" t="s">
        <v>497</v>
      </c>
    </row>
    <row r="2542" spans="1:14" hidden="1" x14ac:dyDescent="0.35">
      <c r="A2542" s="21">
        <v>152407</v>
      </c>
      <c r="B2542" s="22" t="str">
        <f>"3328166406760003"</f>
        <v>3328166406760003</v>
      </c>
      <c r="C2542" s="22" t="str">
        <f t="shared" si="78"/>
        <v>'3328166406760003</v>
      </c>
      <c r="D2542" s="22" t="str">
        <f t="shared" si="79"/>
        <v>tidak ganda</v>
      </c>
      <c r="E2542" s="22" t="s">
        <v>5368</v>
      </c>
      <c r="F2542" s="22" t="s">
        <v>10</v>
      </c>
      <c r="G2542" s="22" t="s">
        <v>11</v>
      </c>
      <c r="H2542" s="22" t="s">
        <v>91</v>
      </c>
      <c r="I2542" s="22" t="s">
        <v>159</v>
      </c>
      <c r="J2542" s="22" t="s">
        <v>685</v>
      </c>
      <c r="K2542" s="23" t="s">
        <v>686</v>
      </c>
    </row>
    <row r="2543" spans="1:14" hidden="1" x14ac:dyDescent="0.35">
      <c r="A2543" s="21">
        <v>861893</v>
      </c>
      <c r="B2543" s="22" t="str">
        <f>"3328166501890003"</f>
        <v>3328166501890003</v>
      </c>
      <c r="C2543" s="22" t="str">
        <f t="shared" si="78"/>
        <v>'3328166501890003</v>
      </c>
      <c r="D2543" s="22" t="str">
        <f t="shared" si="79"/>
        <v>tidak ganda</v>
      </c>
      <c r="E2543" s="22" t="s">
        <v>5370</v>
      </c>
      <c r="F2543" s="22" t="s">
        <v>10</v>
      </c>
      <c r="G2543" s="22" t="s">
        <v>11</v>
      </c>
      <c r="H2543" s="22" t="s">
        <v>91</v>
      </c>
      <c r="I2543" s="22" t="s">
        <v>159</v>
      </c>
      <c r="J2543" s="22" t="s">
        <v>2614</v>
      </c>
      <c r="K2543" s="23" t="s">
        <v>5294</v>
      </c>
    </row>
    <row r="2544" spans="1:14" hidden="1" x14ac:dyDescent="0.35">
      <c r="A2544" s="21">
        <v>1404418</v>
      </c>
      <c r="B2544" s="22" t="str">
        <f>"3328166501910003"</f>
        <v>3328166501910003</v>
      </c>
      <c r="C2544" s="22" t="str">
        <f t="shared" si="78"/>
        <v>'3328166501910003</v>
      </c>
      <c r="D2544" s="22" t="str">
        <f t="shared" si="79"/>
        <v>tidak ganda</v>
      </c>
      <c r="E2544" s="22" t="s">
        <v>1963</v>
      </c>
      <c r="F2544" s="22" t="s">
        <v>10</v>
      </c>
      <c r="G2544" s="22" t="s">
        <v>11</v>
      </c>
      <c r="H2544" s="22" t="s">
        <v>18</v>
      </c>
      <c r="I2544" s="22" t="s">
        <v>19</v>
      </c>
      <c r="J2544" s="22" t="s">
        <v>5207</v>
      </c>
      <c r="K2544" s="23" t="s">
        <v>5235</v>
      </c>
      <c r="L2544" t="e">
        <f>VLOOKUP(B2544,ubah!$B$2:$L$234,4,FALSE)</f>
        <v>#N/A</v>
      </c>
      <c r="M2544" t="e">
        <f>VLOOKUP(B2544,ubah!$B$2:$L$234,5,FALSE)</f>
        <v>#N/A</v>
      </c>
      <c r="N2544" t="e">
        <f>VLOOKUP(B2544,ubah!$B$2:$L$234,6,FALSE)</f>
        <v>#N/A</v>
      </c>
    </row>
    <row r="2545" spans="1:14" hidden="1" x14ac:dyDescent="0.35">
      <c r="A2545" s="21">
        <v>1392090</v>
      </c>
      <c r="B2545" s="22" t="str">
        <f>"3328166507920004"</f>
        <v>3328166507920004</v>
      </c>
      <c r="C2545" s="22" t="str">
        <f t="shared" si="78"/>
        <v>'3328166507920004</v>
      </c>
      <c r="D2545" s="22" t="str">
        <f t="shared" si="79"/>
        <v>tidak ganda</v>
      </c>
      <c r="E2545" s="22" t="s">
        <v>5372</v>
      </c>
      <c r="F2545" s="22" t="s">
        <v>10</v>
      </c>
      <c r="G2545" s="22" t="s">
        <v>11</v>
      </c>
      <c r="H2545" s="22" t="s">
        <v>18</v>
      </c>
      <c r="I2545" s="22" t="s">
        <v>19</v>
      </c>
      <c r="J2545" s="22" t="s">
        <v>5207</v>
      </c>
      <c r="K2545" s="23" t="s">
        <v>5217</v>
      </c>
      <c r="L2545" t="e">
        <f>VLOOKUP(B2545,ubah!$B$2:$L$234,4,FALSE)</f>
        <v>#N/A</v>
      </c>
      <c r="M2545" t="e">
        <f>VLOOKUP(B2545,ubah!$B$2:$L$234,5,FALSE)</f>
        <v>#N/A</v>
      </c>
      <c r="N2545" t="e">
        <f>VLOOKUP(B2545,ubah!$B$2:$L$234,6,FALSE)</f>
        <v>#N/A</v>
      </c>
    </row>
    <row r="2546" spans="1:14" hidden="1" x14ac:dyDescent="0.35">
      <c r="A2546" s="21">
        <v>1336026</v>
      </c>
      <c r="B2546" s="22" t="str">
        <f>"3328166510860005"</f>
        <v>3328166510860005</v>
      </c>
      <c r="C2546" s="22" t="str">
        <f t="shared" si="78"/>
        <v>'3328166510860005</v>
      </c>
      <c r="D2546" s="22" t="str">
        <f t="shared" si="79"/>
        <v>tidak ganda</v>
      </c>
      <c r="E2546" s="22" t="s">
        <v>5373</v>
      </c>
      <c r="F2546" s="22" t="s">
        <v>10</v>
      </c>
      <c r="G2546" s="22" t="s">
        <v>11</v>
      </c>
      <c r="H2546" s="22" t="s">
        <v>18</v>
      </c>
      <c r="I2546" s="22" t="s">
        <v>19</v>
      </c>
      <c r="J2546" s="22" t="s">
        <v>5207</v>
      </c>
      <c r="K2546" s="23" t="s">
        <v>5276</v>
      </c>
      <c r="L2546" t="e">
        <f>VLOOKUP(B2546,ubah!$B$2:$L$234,4,FALSE)</f>
        <v>#N/A</v>
      </c>
      <c r="M2546" t="e">
        <f>VLOOKUP(B2546,ubah!$B$2:$L$234,5,FALSE)</f>
        <v>#N/A</v>
      </c>
      <c r="N2546" t="e">
        <f>VLOOKUP(B2546,ubah!$B$2:$L$234,6,FALSE)</f>
        <v>#N/A</v>
      </c>
    </row>
    <row r="2547" spans="1:14" hidden="1" x14ac:dyDescent="0.35">
      <c r="A2547" s="21">
        <v>152408</v>
      </c>
      <c r="B2547" s="22" t="str">
        <f>"3328166907030001"</f>
        <v>3328166907030001</v>
      </c>
      <c r="C2547" s="22" t="str">
        <f t="shared" si="78"/>
        <v>'3328166907030001</v>
      </c>
      <c r="D2547" s="22" t="str">
        <f t="shared" si="79"/>
        <v>tidak ganda</v>
      </c>
      <c r="E2547" s="22" t="s">
        <v>5379</v>
      </c>
      <c r="F2547" s="22" t="s">
        <v>10</v>
      </c>
      <c r="G2547" s="22" t="s">
        <v>11</v>
      </c>
      <c r="H2547" s="22" t="s">
        <v>91</v>
      </c>
      <c r="I2547" s="22" t="s">
        <v>159</v>
      </c>
      <c r="J2547" s="22" t="s">
        <v>685</v>
      </c>
      <c r="K2547" s="23" t="s">
        <v>686</v>
      </c>
    </row>
    <row r="2548" spans="1:14" hidden="1" x14ac:dyDescent="0.35">
      <c r="A2548" s="21">
        <v>1499351</v>
      </c>
      <c r="B2548" s="22" t="str">
        <f>"3329054208000002"</f>
        <v>3329054208000002</v>
      </c>
      <c r="C2548" s="22" t="str">
        <f t="shared" si="78"/>
        <v>'3329054208000002</v>
      </c>
      <c r="D2548" s="22" t="str">
        <f t="shared" si="79"/>
        <v>tidak ganda</v>
      </c>
      <c r="E2548" s="22" t="s">
        <v>1934</v>
      </c>
      <c r="F2548" s="22" t="s">
        <v>10</v>
      </c>
      <c r="G2548" s="22" t="s">
        <v>11</v>
      </c>
      <c r="H2548" s="22" t="s">
        <v>18</v>
      </c>
      <c r="I2548" s="22" t="s">
        <v>264</v>
      </c>
      <c r="J2548" s="22" t="s">
        <v>289</v>
      </c>
      <c r="K2548" s="23" t="s">
        <v>466</v>
      </c>
    </row>
    <row r="2549" spans="1:14" hidden="1" x14ac:dyDescent="0.35">
      <c r="A2549" s="21">
        <v>1317613</v>
      </c>
      <c r="B2549" s="22" t="str">
        <f>"3329072912960001"</f>
        <v>3329072912960001</v>
      </c>
      <c r="C2549" s="22" t="str">
        <f t="shared" si="78"/>
        <v>'3329072912960001</v>
      </c>
      <c r="D2549" s="22" t="str">
        <f t="shared" si="79"/>
        <v>tidak ganda</v>
      </c>
      <c r="E2549" s="22" t="s">
        <v>5382</v>
      </c>
      <c r="F2549" s="22" t="s">
        <v>10</v>
      </c>
      <c r="G2549" s="22" t="s">
        <v>11</v>
      </c>
      <c r="H2549" s="22" t="s">
        <v>18</v>
      </c>
      <c r="I2549" s="22" t="s">
        <v>264</v>
      </c>
      <c r="J2549" s="22" t="s">
        <v>265</v>
      </c>
      <c r="K2549" s="23" t="s">
        <v>1869</v>
      </c>
    </row>
    <row r="2550" spans="1:14" hidden="1" x14ac:dyDescent="0.35">
      <c r="A2550" s="21">
        <v>668072</v>
      </c>
      <c r="B2550" s="22" t="str">
        <f>"3329083112640011"</f>
        <v>3329083112640011</v>
      </c>
      <c r="C2550" s="22" t="str">
        <f t="shared" si="78"/>
        <v>'3329083112640011</v>
      </c>
      <c r="D2550" s="22" t="str">
        <f t="shared" si="79"/>
        <v>tidak ganda</v>
      </c>
      <c r="E2550" s="22" t="s">
        <v>5384</v>
      </c>
      <c r="F2550" s="22" t="s">
        <v>10</v>
      </c>
      <c r="G2550" s="22" t="s">
        <v>11</v>
      </c>
      <c r="H2550" s="22" t="s">
        <v>18</v>
      </c>
      <c r="I2550" s="22" t="s">
        <v>264</v>
      </c>
      <c r="J2550" s="22" t="s">
        <v>248</v>
      </c>
      <c r="K2550" s="23" t="s">
        <v>1634</v>
      </c>
    </row>
    <row r="2551" spans="1:14" hidden="1" x14ac:dyDescent="0.35">
      <c r="A2551" s="21">
        <v>1428551</v>
      </c>
      <c r="B2551" s="22" t="str">
        <f>"3329086501000002"</f>
        <v>3329086501000002</v>
      </c>
      <c r="C2551" s="22" t="str">
        <f t="shared" si="78"/>
        <v>'3329086501000002</v>
      </c>
      <c r="D2551" s="22" t="str">
        <f t="shared" si="79"/>
        <v>tidak ganda</v>
      </c>
      <c r="E2551" s="22" t="s">
        <v>5386</v>
      </c>
      <c r="F2551" s="22" t="s">
        <v>10</v>
      </c>
      <c r="G2551" s="22" t="s">
        <v>11</v>
      </c>
      <c r="H2551" s="22" t="s">
        <v>18</v>
      </c>
      <c r="I2551" s="22" t="s">
        <v>264</v>
      </c>
      <c r="J2551" s="22" t="s">
        <v>248</v>
      </c>
      <c r="K2551" s="23" t="s">
        <v>868</v>
      </c>
    </row>
    <row r="2552" spans="1:14" hidden="1" x14ac:dyDescent="0.35">
      <c r="A2552" s="21">
        <v>926016</v>
      </c>
      <c r="B2552" s="22" t="str">
        <f>"3329121306860006"</f>
        <v>3329121306860006</v>
      </c>
      <c r="C2552" s="22" t="str">
        <f t="shared" si="78"/>
        <v>'3329121306860006</v>
      </c>
      <c r="D2552" s="22" t="str">
        <f t="shared" si="79"/>
        <v>tidak ganda</v>
      </c>
      <c r="E2552" s="22" t="s">
        <v>5388</v>
      </c>
      <c r="F2552" s="22" t="s">
        <v>10</v>
      </c>
      <c r="G2552" s="22" t="s">
        <v>11</v>
      </c>
      <c r="H2552" s="22" t="s">
        <v>18</v>
      </c>
      <c r="I2552" s="22" t="s">
        <v>264</v>
      </c>
      <c r="J2552" s="22" t="s">
        <v>877</v>
      </c>
      <c r="K2552" s="23" t="s">
        <v>5389</v>
      </c>
    </row>
    <row r="2553" spans="1:14" hidden="1" x14ac:dyDescent="0.35">
      <c r="A2553" s="21">
        <v>1715677</v>
      </c>
      <c r="B2553" s="22" t="str">
        <f>"3329142907930007"</f>
        <v>3329142907930007</v>
      </c>
      <c r="C2553" s="22" t="str">
        <f t="shared" si="78"/>
        <v>'3329142907930007</v>
      </c>
      <c r="D2553" s="22" t="str">
        <f t="shared" si="79"/>
        <v>tidak ganda</v>
      </c>
      <c r="E2553" s="22" t="s">
        <v>5390</v>
      </c>
      <c r="F2553" s="22" t="s">
        <v>10</v>
      </c>
      <c r="G2553" s="22" t="s">
        <v>11</v>
      </c>
      <c r="H2553" s="22" t="s">
        <v>18</v>
      </c>
      <c r="I2553" s="22" t="s">
        <v>19</v>
      </c>
      <c r="J2553" s="22" t="s">
        <v>5207</v>
      </c>
      <c r="K2553" s="23" t="s">
        <v>5258</v>
      </c>
      <c r="L2553" t="e">
        <f>VLOOKUP(B2553,ubah!$B$2:$L$234,4,FALSE)</f>
        <v>#N/A</v>
      </c>
      <c r="M2553" t="e">
        <f>VLOOKUP(B2553,ubah!$B$2:$L$234,5,FALSE)</f>
        <v>#N/A</v>
      </c>
      <c r="N2553" t="e">
        <f>VLOOKUP(B2553,ubah!$B$2:$L$234,6,FALSE)</f>
        <v>#N/A</v>
      </c>
    </row>
    <row r="2554" spans="1:14" hidden="1" x14ac:dyDescent="0.35">
      <c r="A2554" s="21">
        <v>1392223</v>
      </c>
      <c r="B2554" s="22" t="str">
        <f>"3329170107830129"</f>
        <v>3329170107830129</v>
      </c>
      <c r="C2554" s="22" t="str">
        <f t="shared" si="78"/>
        <v>'3329170107830129</v>
      </c>
      <c r="D2554" s="22" t="str">
        <f t="shared" si="79"/>
        <v>tidak ganda</v>
      </c>
      <c r="E2554" s="22" t="s">
        <v>5391</v>
      </c>
      <c r="F2554" s="22" t="s">
        <v>10</v>
      </c>
      <c r="G2554" s="22" t="s">
        <v>11</v>
      </c>
      <c r="H2554" s="22" t="s">
        <v>18</v>
      </c>
      <c r="I2554" s="22" t="s">
        <v>19</v>
      </c>
      <c r="J2554" s="22" t="s">
        <v>5207</v>
      </c>
      <c r="K2554" s="23" t="s">
        <v>5217</v>
      </c>
      <c r="L2554" t="e">
        <f>VLOOKUP(B2554,ubah!$B$2:$L$234,4,FALSE)</f>
        <v>#N/A</v>
      </c>
      <c r="M2554" t="e">
        <f>VLOOKUP(B2554,ubah!$B$2:$L$234,5,FALSE)</f>
        <v>#N/A</v>
      </c>
      <c r="N2554" t="e">
        <f>VLOOKUP(B2554,ubah!$B$2:$L$234,6,FALSE)</f>
        <v>#N/A</v>
      </c>
    </row>
    <row r="2555" spans="1:14" hidden="1" x14ac:dyDescent="0.35">
      <c r="A2555" s="21">
        <v>265944</v>
      </c>
      <c r="B2555" s="22" t="str">
        <f>"3376020102940008"</f>
        <v>3376020102940008</v>
      </c>
      <c r="C2555" s="22" t="str">
        <f t="shared" si="78"/>
        <v>'3376020102940008</v>
      </c>
      <c r="D2555" s="22" t="str">
        <f t="shared" si="79"/>
        <v>tidak ganda</v>
      </c>
      <c r="E2555" s="22" t="s">
        <v>5394</v>
      </c>
      <c r="F2555" s="22" t="s">
        <v>10</v>
      </c>
      <c r="G2555" s="22" t="s">
        <v>11</v>
      </c>
      <c r="H2555" s="22" t="s">
        <v>18</v>
      </c>
      <c r="I2555" s="22" t="s">
        <v>268</v>
      </c>
      <c r="J2555" s="22" t="s">
        <v>371</v>
      </c>
      <c r="K2555" s="23" t="s">
        <v>497</v>
      </c>
    </row>
    <row r="2556" spans="1:14" hidden="1" x14ac:dyDescent="0.35">
      <c r="A2556" s="21">
        <v>297025</v>
      </c>
      <c r="B2556" s="22" t="str">
        <f>"3376021912960005"</f>
        <v>3376021912960005</v>
      </c>
      <c r="C2556" s="22" t="str">
        <f t="shared" si="78"/>
        <v>'3376021912960005</v>
      </c>
      <c r="D2556" s="22" t="str">
        <f t="shared" si="79"/>
        <v>tidak ganda</v>
      </c>
      <c r="E2556" s="22" t="s">
        <v>5395</v>
      </c>
      <c r="F2556" s="22" t="s">
        <v>10</v>
      </c>
      <c r="G2556" s="22" t="s">
        <v>11</v>
      </c>
      <c r="H2556" s="22" t="s">
        <v>18</v>
      </c>
      <c r="I2556" s="22" t="s">
        <v>268</v>
      </c>
      <c r="J2556" s="22" t="s">
        <v>277</v>
      </c>
      <c r="K2556" s="23" t="s">
        <v>2762</v>
      </c>
    </row>
    <row r="2557" spans="1:14" hidden="1" x14ac:dyDescent="0.35">
      <c r="A2557" s="21">
        <v>416322</v>
      </c>
      <c r="B2557" s="22" t="str">
        <f>"3376045207940001"</f>
        <v>3376045207940001</v>
      </c>
      <c r="C2557" s="22" t="str">
        <f t="shared" si="78"/>
        <v>'3376045207940001</v>
      </c>
      <c r="D2557" s="22" t="str">
        <f t="shared" si="79"/>
        <v>tidak ganda</v>
      </c>
      <c r="E2557" s="22" t="s">
        <v>5397</v>
      </c>
      <c r="F2557" s="22" t="s">
        <v>10</v>
      </c>
      <c r="G2557" s="22" t="s">
        <v>11</v>
      </c>
      <c r="H2557" s="22" t="s">
        <v>18</v>
      </c>
      <c r="I2557" s="22" t="s">
        <v>268</v>
      </c>
      <c r="J2557" s="22" t="s">
        <v>448</v>
      </c>
      <c r="K2557" s="23" t="s">
        <v>888</v>
      </c>
    </row>
    <row r="2558" spans="1:14" hidden="1" x14ac:dyDescent="0.35">
      <c r="A2558" s="21">
        <v>1812263</v>
      </c>
      <c r="B2558" s="22" t="str">
        <f>"3509291002800004"</f>
        <v>3509291002800004</v>
      </c>
      <c r="C2558" s="22" t="str">
        <f t="shared" si="78"/>
        <v>'3509291002800004</v>
      </c>
      <c r="D2558" s="22" t="str">
        <f t="shared" si="79"/>
        <v>tidak ganda</v>
      </c>
      <c r="E2558" s="22" t="s">
        <v>5399</v>
      </c>
      <c r="F2558" s="22" t="s">
        <v>10</v>
      </c>
      <c r="G2558" s="22" t="s">
        <v>11</v>
      </c>
      <c r="H2558" s="22" t="s">
        <v>18</v>
      </c>
      <c r="I2558" s="22" t="s">
        <v>19</v>
      </c>
      <c r="J2558" s="22" t="s">
        <v>5207</v>
      </c>
      <c r="K2558" s="23" t="s">
        <v>933</v>
      </c>
      <c r="L2558" t="e">
        <f>VLOOKUP(B2558,ubah!$B$2:$L$234,4,FALSE)</f>
        <v>#N/A</v>
      </c>
      <c r="M2558" t="e">
        <f>VLOOKUP(B2558,ubah!$B$2:$L$234,5,FALSE)</f>
        <v>#N/A</v>
      </c>
      <c r="N2558" t="e">
        <f>VLOOKUP(B2558,ubah!$B$2:$L$234,6,FALSE)</f>
        <v>#N/A</v>
      </c>
    </row>
    <row r="2559" spans="1:14" hidden="1" x14ac:dyDescent="0.35">
      <c r="A2559" s="21">
        <v>756459</v>
      </c>
      <c r="B2559" s="22" t="str">
        <f>"3519074607810001"</f>
        <v>3519074607810001</v>
      </c>
      <c r="C2559" s="22" t="str">
        <f t="shared" si="78"/>
        <v>'3519074607810001</v>
      </c>
      <c r="D2559" s="22" t="str">
        <f t="shared" si="79"/>
        <v>tidak ganda</v>
      </c>
      <c r="E2559" s="22" t="s">
        <v>5403</v>
      </c>
      <c r="F2559" s="22" t="s">
        <v>10</v>
      </c>
      <c r="G2559" s="22" t="s">
        <v>11</v>
      </c>
      <c r="H2559" s="22" t="s">
        <v>303</v>
      </c>
      <c r="I2559" s="22" t="s">
        <v>5404</v>
      </c>
      <c r="J2559" s="22" t="s">
        <v>5405</v>
      </c>
      <c r="K2559" s="23" t="s">
        <v>5406</v>
      </c>
    </row>
    <row r="2560" spans="1:14" hidden="1" x14ac:dyDescent="0.35">
      <c r="A2560" s="21">
        <v>1565750</v>
      </c>
      <c r="B2560" s="22" t="str">
        <f>"3601200107930069"</f>
        <v>3601200107930069</v>
      </c>
      <c r="C2560" s="22" t="str">
        <f t="shared" si="78"/>
        <v>'3601200107930069</v>
      </c>
      <c r="D2560" s="22" t="str">
        <f t="shared" si="79"/>
        <v>tidak ganda</v>
      </c>
      <c r="E2560" s="22" t="s">
        <v>5408</v>
      </c>
      <c r="F2560" s="22" t="s">
        <v>10</v>
      </c>
      <c r="G2560" s="22" t="s">
        <v>11</v>
      </c>
      <c r="H2560" s="22" t="s">
        <v>67</v>
      </c>
      <c r="I2560" s="22" t="s">
        <v>890</v>
      </c>
      <c r="J2560" s="22" t="s">
        <v>241</v>
      </c>
      <c r="K2560" s="23" t="s">
        <v>241</v>
      </c>
    </row>
    <row r="2561" spans="1:14" hidden="1" x14ac:dyDescent="0.35">
      <c r="A2561" s="21">
        <v>1783139</v>
      </c>
      <c r="B2561" s="22" t="str">
        <f>"3603083105750002"</f>
        <v>3603083105750002</v>
      </c>
      <c r="C2561" s="22" t="str">
        <f t="shared" si="78"/>
        <v>'3603083105750002</v>
      </c>
      <c r="D2561" s="22" t="str">
        <f t="shared" si="79"/>
        <v>tidak ganda</v>
      </c>
      <c r="E2561" s="22" t="s">
        <v>5410</v>
      </c>
      <c r="F2561" s="22" t="s">
        <v>10</v>
      </c>
      <c r="G2561" s="22" t="s">
        <v>11</v>
      </c>
      <c r="H2561" s="22" t="s">
        <v>67</v>
      </c>
      <c r="I2561" s="22" t="s">
        <v>791</v>
      </c>
      <c r="J2561" s="22" t="s">
        <v>5411</v>
      </c>
      <c r="K2561" s="23" t="s">
        <v>5412</v>
      </c>
    </row>
    <row r="2562" spans="1:14" hidden="1" x14ac:dyDescent="0.35">
      <c r="A2562" s="21">
        <v>1043577</v>
      </c>
      <c r="B2562" s="22" t="str">
        <f>"3603110102800004"</f>
        <v>3603110102800004</v>
      </c>
      <c r="C2562" s="22" t="str">
        <f t="shared" si="78"/>
        <v>'3603110102800004</v>
      </c>
      <c r="D2562" s="22" t="str">
        <f t="shared" si="79"/>
        <v>tidak ganda</v>
      </c>
      <c r="E2562" s="22" t="s">
        <v>5413</v>
      </c>
      <c r="F2562" s="22" t="s">
        <v>10</v>
      </c>
      <c r="G2562" s="22" t="s">
        <v>11</v>
      </c>
      <c r="H2562" s="22" t="s">
        <v>67</v>
      </c>
      <c r="I2562" s="22" t="s">
        <v>791</v>
      </c>
      <c r="J2562" s="22" t="s">
        <v>5414</v>
      </c>
      <c r="K2562" s="23" t="s">
        <v>1815</v>
      </c>
    </row>
    <row r="2563" spans="1:14" hidden="1" x14ac:dyDescent="0.35">
      <c r="A2563" s="21">
        <v>1306098</v>
      </c>
      <c r="B2563" s="22" t="str">
        <f>"3604090101790008"</f>
        <v>3604090101790008</v>
      </c>
      <c r="C2563" s="22" t="str">
        <f t="shared" ref="C2563:C2626" si="80">"'"&amp;B2563</f>
        <v>'3604090101790008</v>
      </c>
      <c r="D2563" s="22" t="str">
        <f t="shared" ref="D2563:D2626" si="81">IF(COUNTIF($C:$C,C2563)&gt;1,"ganda","tidak ganda")</f>
        <v>tidak ganda</v>
      </c>
      <c r="E2563" s="22" t="s">
        <v>5415</v>
      </c>
      <c r="F2563" s="22" t="s">
        <v>10</v>
      </c>
      <c r="G2563" s="22" t="s">
        <v>11</v>
      </c>
      <c r="H2563" s="22" t="s">
        <v>67</v>
      </c>
      <c r="I2563" s="22" t="s">
        <v>375</v>
      </c>
      <c r="J2563" s="22" t="s">
        <v>2518</v>
      </c>
      <c r="K2563" s="23" t="s">
        <v>2519</v>
      </c>
    </row>
    <row r="2564" spans="1:14" hidden="1" x14ac:dyDescent="0.35">
      <c r="A2564" s="21">
        <v>2552777</v>
      </c>
      <c r="B2564" s="22" t="str">
        <f>"3671061811860009"</f>
        <v>3671061811860009</v>
      </c>
      <c r="C2564" s="22" t="str">
        <f t="shared" si="80"/>
        <v>'3671061811860009</v>
      </c>
      <c r="D2564" s="22" t="str">
        <f t="shared" si="81"/>
        <v>tidak ganda</v>
      </c>
      <c r="E2564" s="22" t="s">
        <v>5417</v>
      </c>
      <c r="F2564" s="22" t="s">
        <v>10</v>
      </c>
      <c r="G2564" s="22" t="s">
        <v>11</v>
      </c>
      <c r="H2564" s="22" t="s">
        <v>67</v>
      </c>
      <c r="I2564" s="22" t="s">
        <v>512</v>
      </c>
      <c r="J2564" s="22" t="s">
        <v>513</v>
      </c>
      <c r="K2564" s="23" t="s">
        <v>514</v>
      </c>
    </row>
    <row r="2565" spans="1:14" hidden="1" x14ac:dyDescent="0.35">
      <c r="A2565" s="21">
        <v>1182293</v>
      </c>
      <c r="B2565" s="22" t="str">
        <f>"3174050102761001"</f>
        <v>3174050102761001</v>
      </c>
      <c r="C2565" s="22" t="str">
        <f t="shared" si="80"/>
        <v>'3174050102761001</v>
      </c>
      <c r="D2565" s="22" t="str">
        <f t="shared" si="81"/>
        <v>tidak ganda</v>
      </c>
      <c r="E2565" s="22" t="s">
        <v>5418</v>
      </c>
      <c r="F2565" s="22" t="s">
        <v>10</v>
      </c>
      <c r="G2565" s="22" t="s">
        <v>11</v>
      </c>
      <c r="H2565" s="22" t="s">
        <v>50</v>
      </c>
      <c r="I2565" s="22" t="s">
        <v>72</v>
      </c>
      <c r="J2565" s="22" t="s">
        <v>803</v>
      </c>
      <c r="K2565" s="23" t="s">
        <v>2864</v>
      </c>
    </row>
    <row r="2566" spans="1:14" hidden="1" x14ac:dyDescent="0.35">
      <c r="A2566" s="21">
        <v>1785079</v>
      </c>
      <c r="B2566" s="22" t="str">
        <f>"3175015003950003"</f>
        <v>3175015003950003</v>
      </c>
      <c r="C2566" s="22" t="str">
        <f t="shared" si="80"/>
        <v>'3175015003950003</v>
      </c>
      <c r="D2566" s="22" t="str">
        <f t="shared" si="81"/>
        <v>tidak ganda</v>
      </c>
      <c r="E2566" s="22" t="s">
        <v>5419</v>
      </c>
      <c r="F2566" s="22" t="s">
        <v>10</v>
      </c>
      <c r="G2566" s="22" t="s">
        <v>11</v>
      </c>
      <c r="H2566" s="22" t="s">
        <v>50</v>
      </c>
      <c r="I2566" s="22" t="s">
        <v>58</v>
      </c>
      <c r="J2566" s="22" t="s">
        <v>406</v>
      </c>
      <c r="K2566" s="23" t="s">
        <v>5420</v>
      </c>
    </row>
    <row r="2567" spans="1:14" hidden="1" x14ac:dyDescent="0.35">
      <c r="A2567" s="21">
        <v>2788992</v>
      </c>
      <c r="B2567" s="22" t="str">
        <f>"3203195501890004"</f>
        <v>3203195501890004</v>
      </c>
      <c r="C2567" s="22" t="str">
        <f t="shared" si="80"/>
        <v>'3203195501890004</v>
      </c>
      <c r="D2567" s="22" t="str">
        <f t="shared" si="81"/>
        <v>tidak ganda</v>
      </c>
      <c r="E2567" s="22" t="s">
        <v>5424</v>
      </c>
      <c r="F2567" s="22" t="s">
        <v>10</v>
      </c>
      <c r="G2567" s="22" t="s">
        <v>11</v>
      </c>
      <c r="H2567" s="22" t="s">
        <v>67</v>
      </c>
      <c r="I2567" s="22" t="s">
        <v>512</v>
      </c>
      <c r="J2567" s="22" t="s">
        <v>1214</v>
      </c>
      <c r="K2567" s="23" t="s">
        <v>1215</v>
      </c>
    </row>
    <row r="2568" spans="1:14" hidden="1" x14ac:dyDescent="0.35">
      <c r="A2568" s="21">
        <v>1522970</v>
      </c>
      <c r="B2568" s="22" t="str">
        <f>"3206260203750004"</f>
        <v>3206260203750004</v>
      </c>
      <c r="C2568" s="22" t="str">
        <f t="shared" si="80"/>
        <v>'3206260203750004</v>
      </c>
      <c r="D2568" s="22" t="str">
        <f t="shared" si="81"/>
        <v>tidak ganda</v>
      </c>
      <c r="E2568" s="22" t="s">
        <v>5425</v>
      </c>
      <c r="F2568" s="22" t="s">
        <v>10</v>
      </c>
      <c r="G2568" s="22" t="s">
        <v>11</v>
      </c>
      <c r="H2568" s="22" t="s">
        <v>18</v>
      </c>
      <c r="I2568" s="22" t="s">
        <v>19</v>
      </c>
      <c r="J2568" s="22" t="s">
        <v>4754</v>
      </c>
      <c r="K2568" s="23" t="s">
        <v>5426</v>
      </c>
      <c r="L2568" t="e">
        <f>VLOOKUP(B2568,ubah!$B$2:$L$234,4,FALSE)</f>
        <v>#N/A</v>
      </c>
      <c r="M2568" t="e">
        <f>VLOOKUP(B2568,ubah!$B$2:$L$234,5,FALSE)</f>
        <v>#N/A</v>
      </c>
      <c r="N2568" t="e">
        <f>VLOOKUP(B2568,ubah!$B$2:$L$234,6,FALSE)</f>
        <v>#N/A</v>
      </c>
    </row>
    <row r="2569" spans="1:14" hidden="1" x14ac:dyDescent="0.35">
      <c r="A2569" s="21">
        <v>222977</v>
      </c>
      <c r="B2569" s="22" t="str">
        <f>"3206260211960004"</f>
        <v>3206260211960004</v>
      </c>
      <c r="C2569" s="22" t="str">
        <f t="shared" si="80"/>
        <v>'3206260211960004</v>
      </c>
      <c r="D2569" s="22" t="str">
        <f t="shared" si="81"/>
        <v>tidak ganda</v>
      </c>
      <c r="E2569" s="22" t="s">
        <v>5429</v>
      </c>
      <c r="F2569" s="22" t="s">
        <v>10</v>
      </c>
      <c r="G2569" s="22" t="s">
        <v>11</v>
      </c>
      <c r="H2569" s="22" t="s">
        <v>91</v>
      </c>
      <c r="I2569" s="22" t="s">
        <v>1300</v>
      </c>
      <c r="J2569" s="22" t="s">
        <v>1835</v>
      </c>
      <c r="K2569" s="23" t="s">
        <v>5430</v>
      </c>
    </row>
    <row r="2570" spans="1:14" hidden="1" x14ac:dyDescent="0.35">
      <c r="A2570" s="21">
        <v>1665574</v>
      </c>
      <c r="B2570" s="22" t="str">
        <f>"3208101603840005"</f>
        <v>3208101603840005</v>
      </c>
      <c r="C2570" s="22" t="str">
        <f t="shared" si="80"/>
        <v>'3208101603840005</v>
      </c>
      <c r="D2570" s="22" t="str">
        <f t="shared" si="81"/>
        <v>tidak ganda</v>
      </c>
      <c r="E2570" s="22" t="s">
        <v>5431</v>
      </c>
      <c r="F2570" s="22" t="s">
        <v>10</v>
      </c>
      <c r="G2570" s="22" t="s">
        <v>11</v>
      </c>
      <c r="H2570" s="22" t="s">
        <v>50</v>
      </c>
      <c r="I2570" s="22" t="s">
        <v>72</v>
      </c>
      <c r="J2570" s="22" t="s">
        <v>1172</v>
      </c>
      <c r="K2570" s="23" t="s">
        <v>2230</v>
      </c>
    </row>
    <row r="2571" spans="1:14" hidden="1" x14ac:dyDescent="0.35">
      <c r="A2571" s="21">
        <v>1665575</v>
      </c>
      <c r="B2571" s="22" t="str">
        <f>"3208104901890006"</f>
        <v>3208104901890006</v>
      </c>
      <c r="C2571" s="22" t="str">
        <f t="shared" si="80"/>
        <v>'3208104901890006</v>
      </c>
      <c r="D2571" s="22" t="str">
        <f t="shared" si="81"/>
        <v>tidak ganda</v>
      </c>
      <c r="E2571" s="22" t="s">
        <v>5432</v>
      </c>
      <c r="F2571" s="22" t="s">
        <v>10</v>
      </c>
      <c r="G2571" s="22" t="s">
        <v>11</v>
      </c>
      <c r="H2571" s="22" t="s">
        <v>50</v>
      </c>
      <c r="I2571" s="22" t="s">
        <v>72</v>
      </c>
      <c r="J2571" s="22" t="s">
        <v>1172</v>
      </c>
      <c r="K2571" s="23" t="s">
        <v>2230</v>
      </c>
    </row>
    <row r="2572" spans="1:14" hidden="1" x14ac:dyDescent="0.35">
      <c r="A2572" s="21">
        <v>576346</v>
      </c>
      <c r="B2572" s="22" t="str">
        <f>"3209341208900002"</f>
        <v>3209341208900002</v>
      </c>
      <c r="C2572" s="22" t="str">
        <f t="shared" si="80"/>
        <v>'3209341208900002</v>
      </c>
      <c r="D2572" s="22" t="str">
        <f t="shared" si="81"/>
        <v>tidak ganda</v>
      </c>
      <c r="E2572" s="22" t="s">
        <v>5433</v>
      </c>
      <c r="F2572" s="22" t="s">
        <v>10</v>
      </c>
      <c r="G2572" s="22" t="s">
        <v>11</v>
      </c>
      <c r="H2572" s="22" t="s">
        <v>91</v>
      </c>
      <c r="I2572" s="22" t="s">
        <v>985</v>
      </c>
      <c r="J2572" s="22" t="s">
        <v>5434</v>
      </c>
      <c r="K2572" s="23" t="s">
        <v>5435</v>
      </c>
    </row>
    <row r="2573" spans="1:14" hidden="1" x14ac:dyDescent="0.35">
      <c r="A2573" s="21">
        <v>576342</v>
      </c>
      <c r="B2573" s="22" t="str">
        <f>"3209345704920001"</f>
        <v>3209345704920001</v>
      </c>
      <c r="C2573" s="22" t="str">
        <f t="shared" si="80"/>
        <v>'3209345704920001</v>
      </c>
      <c r="D2573" s="22" t="str">
        <f t="shared" si="81"/>
        <v>tidak ganda</v>
      </c>
      <c r="E2573" s="22" t="s">
        <v>5436</v>
      </c>
      <c r="F2573" s="22" t="s">
        <v>10</v>
      </c>
      <c r="G2573" s="22" t="s">
        <v>11</v>
      </c>
      <c r="H2573" s="22" t="s">
        <v>91</v>
      </c>
      <c r="I2573" s="22" t="s">
        <v>985</v>
      </c>
      <c r="J2573" s="22" t="s">
        <v>5434</v>
      </c>
      <c r="K2573" s="23" t="s">
        <v>5435</v>
      </c>
    </row>
    <row r="2574" spans="1:14" hidden="1" x14ac:dyDescent="0.35">
      <c r="A2574" s="21">
        <v>304984</v>
      </c>
      <c r="B2574" s="22" t="str">
        <f>"3216110510930004"</f>
        <v>3216110510930004</v>
      </c>
      <c r="C2574" s="22" t="str">
        <f t="shared" si="80"/>
        <v>'3216110510930004</v>
      </c>
      <c r="D2574" s="22" t="str">
        <f t="shared" si="81"/>
        <v>tidak ganda</v>
      </c>
      <c r="E2574" s="22" t="s">
        <v>5437</v>
      </c>
      <c r="F2574" s="22" t="s">
        <v>10</v>
      </c>
      <c r="G2574" s="22" t="s">
        <v>11</v>
      </c>
      <c r="H2574" s="22" t="s">
        <v>18</v>
      </c>
      <c r="I2574" s="22" t="s">
        <v>268</v>
      </c>
      <c r="J2574" s="22" t="s">
        <v>269</v>
      </c>
      <c r="K2574" s="23" t="s">
        <v>4250</v>
      </c>
    </row>
    <row r="2575" spans="1:14" hidden="1" x14ac:dyDescent="0.35">
      <c r="A2575" s="21">
        <v>1025938</v>
      </c>
      <c r="B2575" s="22" t="str">
        <f>"3275080704840026"</f>
        <v>3275080704840026</v>
      </c>
      <c r="C2575" s="22" t="str">
        <f t="shared" si="80"/>
        <v>'3275080704840026</v>
      </c>
      <c r="D2575" s="22" t="str">
        <f t="shared" si="81"/>
        <v>tidak ganda</v>
      </c>
      <c r="E2575" s="22" t="s">
        <v>1618</v>
      </c>
      <c r="F2575" s="22" t="s">
        <v>10</v>
      </c>
      <c r="G2575" s="22" t="s">
        <v>11</v>
      </c>
      <c r="H2575" s="22" t="s">
        <v>91</v>
      </c>
      <c r="I2575" s="22" t="s">
        <v>159</v>
      </c>
      <c r="J2575" s="22" t="s">
        <v>1337</v>
      </c>
      <c r="K2575" s="23" t="s">
        <v>1338</v>
      </c>
    </row>
    <row r="2576" spans="1:14" hidden="1" x14ac:dyDescent="0.35">
      <c r="A2576" s="21">
        <v>1496086</v>
      </c>
      <c r="B2576" s="22" t="str">
        <f>"3305044311940002"</f>
        <v>3305044311940002</v>
      </c>
      <c r="C2576" s="22" t="str">
        <f t="shared" si="80"/>
        <v>'3305044311940002</v>
      </c>
      <c r="D2576" s="22" t="str">
        <f t="shared" si="81"/>
        <v>tidak ganda</v>
      </c>
      <c r="E2576" s="22" t="s">
        <v>5441</v>
      </c>
      <c r="F2576" s="22" t="s">
        <v>10</v>
      </c>
      <c r="G2576" s="22" t="s">
        <v>11</v>
      </c>
      <c r="H2576" s="22" t="s">
        <v>18</v>
      </c>
      <c r="I2576" s="22" t="s">
        <v>19</v>
      </c>
      <c r="J2576" s="22" t="s">
        <v>4754</v>
      </c>
      <c r="K2576" s="23" t="s">
        <v>5442</v>
      </c>
      <c r="L2576" t="e">
        <f>VLOOKUP(B2576,ubah!$B$2:$L$234,4,FALSE)</f>
        <v>#N/A</v>
      </c>
      <c r="M2576" t="e">
        <f>VLOOKUP(B2576,ubah!$B$2:$L$234,5,FALSE)</f>
        <v>#N/A</v>
      </c>
      <c r="N2576" t="e">
        <f>VLOOKUP(B2576,ubah!$B$2:$L$234,6,FALSE)</f>
        <v>#N/A</v>
      </c>
    </row>
    <row r="2577" spans="1:14" hidden="1" x14ac:dyDescent="0.35">
      <c r="A2577" s="21">
        <v>1543044</v>
      </c>
      <c r="B2577" s="22" t="str">
        <f>"3311015506870002"</f>
        <v>3311015506870002</v>
      </c>
      <c r="C2577" s="22" t="str">
        <f t="shared" si="80"/>
        <v>'3311015506870002</v>
      </c>
      <c r="D2577" s="22" t="str">
        <f t="shared" si="81"/>
        <v>tidak ganda</v>
      </c>
      <c r="E2577" s="22" t="s">
        <v>5445</v>
      </c>
      <c r="F2577" s="22" t="s">
        <v>10</v>
      </c>
      <c r="G2577" s="22" t="s">
        <v>11</v>
      </c>
      <c r="H2577" s="22" t="s">
        <v>18</v>
      </c>
      <c r="I2577" s="22" t="s">
        <v>19</v>
      </c>
      <c r="J2577" s="22" t="s">
        <v>4754</v>
      </c>
      <c r="K2577" s="23" t="s">
        <v>3958</v>
      </c>
      <c r="L2577" t="e">
        <f>VLOOKUP(B2577,ubah!$B$2:$L$234,4,FALSE)</f>
        <v>#N/A</v>
      </c>
      <c r="M2577" t="e">
        <f>VLOOKUP(B2577,ubah!$B$2:$L$234,5,FALSE)</f>
        <v>#N/A</v>
      </c>
      <c r="N2577" t="e">
        <f>VLOOKUP(B2577,ubah!$B$2:$L$234,6,FALSE)</f>
        <v>#N/A</v>
      </c>
    </row>
    <row r="2578" spans="1:14" hidden="1" x14ac:dyDescent="0.35">
      <c r="A2578" s="21">
        <v>189935</v>
      </c>
      <c r="B2578" s="22" t="str">
        <f>"3315171212960006"</f>
        <v>3315171212960006</v>
      </c>
      <c r="C2578" s="22" t="str">
        <f t="shared" si="80"/>
        <v>'3315171212960006</v>
      </c>
      <c r="D2578" s="22" t="str">
        <f t="shared" si="81"/>
        <v>tidak ganda</v>
      </c>
      <c r="E2578" s="22" t="s">
        <v>5447</v>
      </c>
      <c r="F2578" s="22" t="s">
        <v>10</v>
      </c>
      <c r="G2578" s="22" t="s">
        <v>11</v>
      </c>
      <c r="H2578" s="22" t="s">
        <v>18</v>
      </c>
      <c r="I2578" s="22" t="s">
        <v>180</v>
      </c>
      <c r="J2578" s="22" t="s">
        <v>5448</v>
      </c>
      <c r="K2578" s="23" t="s">
        <v>5449</v>
      </c>
    </row>
    <row r="2579" spans="1:14" hidden="1" x14ac:dyDescent="0.35">
      <c r="A2579" s="21">
        <v>1546076</v>
      </c>
      <c r="B2579" s="22" t="str">
        <f>"3326031906860001"</f>
        <v>3326031906860001</v>
      </c>
      <c r="C2579" s="22" t="str">
        <f t="shared" si="80"/>
        <v>'3326031906860001</v>
      </c>
      <c r="D2579" s="22" t="str">
        <f t="shared" si="81"/>
        <v>tidak ganda</v>
      </c>
      <c r="E2579" s="22" t="s">
        <v>5450</v>
      </c>
      <c r="F2579" s="22" t="s">
        <v>10</v>
      </c>
      <c r="G2579" s="22" t="s">
        <v>11</v>
      </c>
      <c r="H2579" s="22" t="s">
        <v>18</v>
      </c>
      <c r="I2579" s="22" t="s">
        <v>19</v>
      </c>
      <c r="J2579" s="22" t="s">
        <v>4754</v>
      </c>
      <c r="K2579" s="23" t="s">
        <v>3958</v>
      </c>
      <c r="L2579" t="e">
        <f>VLOOKUP(B2579,ubah!$B$2:$L$234,4,FALSE)</f>
        <v>#N/A</v>
      </c>
      <c r="M2579" t="e">
        <f>VLOOKUP(B2579,ubah!$B$2:$L$234,5,FALSE)</f>
        <v>#N/A</v>
      </c>
      <c r="N2579" t="e">
        <f>VLOOKUP(B2579,ubah!$B$2:$L$234,6,FALSE)</f>
        <v>#N/A</v>
      </c>
    </row>
    <row r="2580" spans="1:14" hidden="1" x14ac:dyDescent="0.35">
      <c r="A2580" s="21">
        <v>1521657</v>
      </c>
      <c r="B2580" s="22" t="str">
        <f>"3326090810870004"</f>
        <v>3326090810870004</v>
      </c>
      <c r="C2580" s="22" t="str">
        <f t="shared" si="80"/>
        <v>'3326090810870004</v>
      </c>
      <c r="D2580" s="22" t="str">
        <f t="shared" si="81"/>
        <v>tidak ganda</v>
      </c>
      <c r="E2580" s="22" t="s">
        <v>5451</v>
      </c>
      <c r="F2580" s="22" t="s">
        <v>10</v>
      </c>
      <c r="G2580" s="22" t="s">
        <v>11</v>
      </c>
      <c r="H2580" s="22" t="s">
        <v>18</v>
      </c>
      <c r="I2580" s="22" t="s">
        <v>19</v>
      </c>
      <c r="J2580" s="22" t="s">
        <v>4754</v>
      </c>
      <c r="K2580" s="23" t="s">
        <v>5426</v>
      </c>
      <c r="L2580" t="e">
        <f>VLOOKUP(B2580,ubah!$B$2:$L$234,4,FALSE)</f>
        <v>#N/A</v>
      </c>
      <c r="M2580" t="e">
        <f>VLOOKUP(B2580,ubah!$B$2:$L$234,5,FALSE)</f>
        <v>#N/A</v>
      </c>
      <c r="N2580" t="e">
        <f>VLOOKUP(B2580,ubah!$B$2:$L$234,6,FALSE)</f>
        <v>#N/A</v>
      </c>
    </row>
    <row r="2581" spans="1:14" hidden="1" x14ac:dyDescent="0.35">
      <c r="A2581" s="21">
        <v>625237</v>
      </c>
      <c r="B2581" s="22" t="str">
        <f>"3326115009940002"</f>
        <v>3326115009940002</v>
      </c>
      <c r="C2581" s="22" t="str">
        <f t="shared" si="80"/>
        <v>'3326115009940002</v>
      </c>
      <c r="D2581" s="22" t="str">
        <f t="shared" si="81"/>
        <v>tidak ganda</v>
      </c>
      <c r="E2581" s="22" t="s">
        <v>5453</v>
      </c>
      <c r="F2581" s="22" t="s">
        <v>10</v>
      </c>
      <c r="G2581" s="22" t="s">
        <v>11</v>
      </c>
      <c r="H2581" s="22" t="s">
        <v>18</v>
      </c>
      <c r="I2581" s="22" t="s">
        <v>264</v>
      </c>
      <c r="J2581" s="22" t="s">
        <v>264</v>
      </c>
      <c r="K2581" s="23" t="s">
        <v>2004</v>
      </c>
    </row>
    <row r="2582" spans="1:14" hidden="1" x14ac:dyDescent="0.35">
      <c r="A2582" s="21">
        <v>1651840</v>
      </c>
      <c r="B2582" s="22" t="str">
        <f>"3327076611940001"</f>
        <v>3327076611940001</v>
      </c>
      <c r="C2582" s="22" t="str">
        <f t="shared" si="80"/>
        <v>'3327076611940001</v>
      </c>
      <c r="D2582" s="22" t="str">
        <f t="shared" si="81"/>
        <v>tidak ganda</v>
      </c>
      <c r="E2582" s="22" t="s">
        <v>5454</v>
      </c>
      <c r="F2582" s="22" t="s">
        <v>10</v>
      </c>
      <c r="G2582" s="22" t="s">
        <v>11</v>
      </c>
      <c r="H2582" s="22" t="s">
        <v>50</v>
      </c>
      <c r="I2582" s="22" t="s">
        <v>86</v>
      </c>
      <c r="J2582" s="22" t="s">
        <v>445</v>
      </c>
      <c r="K2582" s="23" t="s">
        <v>1947</v>
      </c>
    </row>
    <row r="2583" spans="1:14" hidden="1" x14ac:dyDescent="0.35">
      <c r="A2583" s="21">
        <v>1497121</v>
      </c>
      <c r="B2583" s="22" t="str">
        <f>"3327080510700061"</f>
        <v>3327080510700061</v>
      </c>
      <c r="C2583" s="22" t="str">
        <f t="shared" si="80"/>
        <v>'3327080510700061</v>
      </c>
      <c r="D2583" s="22" t="str">
        <f t="shared" si="81"/>
        <v>tidak ganda</v>
      </c>
      <c r="E2583" s="22" t="s">
        <v>5456</v>
      </c>
      <c r="F2583" s="22" t="s">
        <v>10</v>
      </c>
      <c r="G2583" s="22" t="s">
        <v>11</v>
      </c>
      <c r="H2583" s="22" t="s">
        <v>18</v>
      </c>
      <c r="I2583" s="22" t="s">
        <v>19</v>
      </c>
      <c r="J2583" s="22" t="s">
        <v>4754</v>
      </c>
      <c r="K2583" s="23" t="s">
        <v>5442</v>
      </c>
      <c r="L2583" t="e">
        <f>VLOOKUP(B2583,ubah!$B$2:$L$234,4,FALSE)</f>
        <v>#N/A</v>
      </c>
      <c r="M2583" t="e">
        <f>VLOOKUP(B2583,ubah!$B$2:$L$234,5,FALSE)</f>
        <v>#N/A</v>
      </c>
      <c r="N2583" t="e">
        <f>VLOOKUP(B2583,ubah!$B$2:$L$234,6,FALSE)</f>
        <v>#N/A</v>
      </c>
    </row>
    <row r="2584" spans="1:14" x14ac:dyDescent="0.35">
      <c r="A2584" s="13">
        <v>1519125</v>
      </c>
      <c r="B2584" s="14" t="str">
        <f>"3327081707900086"</f>
        <v>3327081707900086</v>
      </c>
      <c r="C2584" s="14" t="str">
        <f t="shared" si="80"/>
        <v>'3327081707900086</v>
      </c>
      <c r="D2584" s="14" t="str">
        <f t="shared" si="81"/>
        <v>tidak ganda</v>
      </c>
      <c r="E2584" s="14" t="s">
        <v>5458</v>
      </c>
      <c r="F2584" s="14" t="s">
        <v>10</v>
      </c>
      <c r="G2584" s="14" t="s">
        <v>11</v>
      </c>
      <c r="H2584" s="14" t="s">
        <v>18</v>
      </c>
      <c r="I2584" s="14" t="s">
        <v>19</v>
      </c>
      <c r="J2584" s="14" t="s">
        <v>4754</v>
      </c>
      <c r="K2584" s="15" t="s">
        <v>4755</v>
      </c>
      <c r="L2584" s="16" t="str">
        <f>VLOOKUP(B2584,ubah!$B$2:$L$234,4,FALSE)</f>
        <v>Reguler</v>
      </c>
      <c r="M2584" s="16" t="str">
        <f>VLOOKUP(B2584,ubah!$B$2:$L$234,5,FALSE)</f>
        <v>JAWA TENGAH</v>
      </c>
      <c r="N2584" s="16" t="str">
        <f>VLOOKUP(B2584,ubah!$B$2:$L$234,6,FALSE)</f>
        <v>PEMALANG</v>
      </c>
    </row>
    <row r="2585" spans="1:14" hidden="1" x14ac:dyDescent="0.35">
      <c r="A2585" s="21">
        <v>1620924</v>
      </c>
      <c r="B2585" s="22" t="str">
        <f>"3327105502810045"</f>
        <v>3327105502810045</v>
      </c>
      <c r="C2585" s="22" t="str">
        <f t="shared" si="80"/>
        <v>'3327105502810045</v>
      </c>
      <c r="D2585" s="22" t="str">
        <f t="shared" si="81"/>
        <v>ganda</v>
      </c>
      <c r="E2585" s="22" t="s">
        <v>5461</v>
      </c>
      <c r="F2585" s="22" t="s">
        <v>10</v>
      </c>
      <c r="G2585" s="22" t="s">
        <v>11</v>
      </c>
      <c r="H2585" s="22" t="s">
        <v>18</v>
      </c>
      <c r="I2585" s="22" t="s">
        <v>19</v>
      </c>
      <c r="J2585" s="22" t="s">
        <v>4754</v>
      </c>
      <c r="K2585" s="23" t="s">
        <v>5421</v>
      </c>
      <c r="L2585" t="e">
        <f>VLOOKUP(B2585,ubah!$B$2:$L$234,4,FALSE)</f>
        <v>#N/A</v>
      </c>
      <c r="M2585" t="e">
        <f>VLOOKUP(B2585,ubah!$B$2:$L$234,5,FALSE)</f>
        <v>#N/A</v>
      </c>
      <c r="N2585" t="e">
        <f>VLOOKUP(B2585,ubah!$B$2:$L$234,6,FALSE)</f>
        <v>#N/A</v>
      </c>
    </row>
    <row r="2586" spans="1:14" hidden="1" x14ac:dyDescent="0.35">
      <c r="A2586" s="21">
        <v>1352178</v>
      </c>
      <c r="B2586" s="22" t="str">
        <f>"3327105502810045"</f>
        <v>3327105502810045</v>
      </c>
      <c r="C2586" s="22" t="str">
        <f t="shared" si="80"/>
        <v>'3327105502810045</v>
      </c>
      <c r="D2586" s="22" t="str">
        <f t="shared" si="81"/>
        <v>ganda</v>
      </c>
      <c r="E2586" s="22" t="s">
        <v>5462</v>
      </c>
      <c r="F2586" s="22" t="s">
        <v>10</v>
      </c>
      <c r="G2586" s="22" t="s">
        <v>57</v>
      </c>
      <c r="H2586" s="22" t="s">
        <v>303</v>
      </c>
      <c r="I2586" s="22" t="s">
        <v>608</v>
      </c>
      <c r="J2586" s="22" t="s">
        <v>609</v>
      </c>
      <c r="K2586" s="23" t="s">
        <v>610</v>
      </c>
    </row>
    <row r="2587" spans="1:14" hidden="1" x14ac:dyDescent="0.35">
      <c r="A2587" s="21">
        <v>339713</v>
      </c>
      <c r="B2587" s="22" t="str">
        <f>"3328170102990001"</f>
        <v>3328170102990001</v>
      </c>
      <c r="C2587" s="22" t="str">
        <f t="shared" si="80"/>
        <v>'3328170102990001</v>
      </c>
      <c r="D2587" s="22" t="str">
        <f t="shared" si="81"/>
        <v>tidak ganda</v>
      </c>
      <c r="E2587" s="22" t="s">
        <v>5463</v>
      </c>
      <c r="F2587" s="22" t="s">
        <v>10</v>
      </c>
      <c r="G2587" s="22" t="s">
        <v>11</v>
      </c>
      <c r="H2587" s="22" t="s">
        <v>783</v>
      </c>
      <c r="I2587" s="22" t="s">
        <v>1112</v>
      </c>
      <c r="J2587" s="22" t="s">
        <v>5201</v>
      </c>
      <c r="K2587" s="23" t="s">
        <v>5464</v>
      </c>
    </row>
    <row r="2588" spans="1:14" hidden="1" x14ac:dyDescent="0.35">
      <c r="A2588" s="21">
        <v>1514127</v>
      </c>
      <c r="B2588" s="22" t="str">
        <f>"3328170212050003"</f>
        <v>3328170212050003</v>
      </c>
      <c r="C2588" s="22" t="str">
        <f t="shared" si="80"/>
        <v>'3328170212050003</v>
      </c>
      <c r="D2588" s="22" t="str">
        <f t="shared" si="81"/>
        <v>ganda</v>
      </c>
      <c r="E2588" s="22" t="s">
        <v>5466</v>
      </c>
      <c r="F2588" s="22" t="s">
        <v>10</v>
      </c>
      <c r="G2588" s="22" t="s">
        <v>11</v>
      </c>
      <c r="H2588" s="22" t="s">
        <v>18</v>
      </c>
      <c r="I2588" s="22" t="s">
        <v>19</v>
      </c>
      <c r="J2588" s="22" t="s">
        <v>4754</v>
      </c>
      <c r="K2588" s="23" t="s">
        <v>882</v>
      </c>
      <c r="L2588" t="e">
        <f>VLOOKUP(B2588,ubah!$B$2:$L$234,4,FALSE)</f>
        <v>#N/A</v>
      </c>
      <c r="M2588" t="e">
        <f>VLOOKUP(B2588,ubah!$B$2:$L$234,5,FALSE)</f>
        <v>#N/A</v>
      </c>
      <c r="N2588" t="e">
        <f>VLOOKUP(B2588,ubah!$B$2:$L$234,6,FALSE)</f>
        <v>#N/A</v>
      </c>
    </row>
    <row r="2589" spans="1:14" hidden="1" x14ac:dyDescent="0.35">
      <c r="A2589" s="21">
        <v>1863022</v>
      </c>
      <c r="B2589" s="22" t="str">
        <f>"3328170212050003"</f>
        <v>3328170212050003</v>
      </c>
      <c r="C2589" s="22" t="str">
        <f t="shared" si="80"/>
        <v>'3328170212050003</v>
      </c>
      <c r="D2589" s="22" t="str">
        <f t="shared" si="81"/>
        <v>ganda</v>
      </c>
      <c r="E2589" s="22" t="s">
        <v>5467</v>
      </c>
      <c r="F2589" s="22" t="s">
        <v>10</v>
      </c>
      <c r="G2589" s="22" t="s">
        <v>57</v>
      </c>
      <c r="H2589" s="22" t="s">
        <v>18</v>
      </c>
      <c r="I2589" s="22" t="s">
        <v>733</v>
      </c>
      <c r="J2589" s="22" t="s">
        <v>1127</v>
      </c>
      <c r="K2589" s="23" t="s">
        <v>5468</v>
      </c>
    </row>
    <row r="2590" spans="1:14" hidden="1" x14ac:dyDescent="0.35">
      <c r="A2590" s="21">
        <v>1524404</v>
      </c>
      <c r="B2590" s="22" t="str">
        <f>"3328170403020008"</f>
        <v>3328170403020008</v>
      </c>
      <c r="C2590" s="22" t="str">
        <f t="shared" si="80"/>
        <v>'3328170403020008</v>
      </c>
      <c r="D2590" s="22" t="str">
        <f t="shared" si="81"/>
        <v>ganda</v>
      </c>
      <c r="E2590" s="22" t="s">
        <v>5469</v>
      </c>
      <c r="F2590" s="22" t="s">
        <v>10</v>
      </c>
      <c r="G2590" s="22" t="s">
        <v>11</v>
      </c>
      <c r="H2590" s="22" t="s">
        <v>18</v>
      </c>
      <c r="I2590" s="22" t="s">
        <v>19</v>
      </c>
      <c r="J2590" s="22" t="s">
        <v>4754</v>
      </c>
      <c r="K2590" s="23" t="s">
        <v>5426</v>
      </c>
      <c r="L2590" t="e">
        <f>VLOOKUP(B2590,ubah!$B$2:$L$234,4,FALSE)</f>
        <v>#N/A</v>
      </c>
      <c r="M2590" t="e">
        <f>VLOOKUP(B2590,ubah!$B$2:$L$234,5,FALSE)</f>
        <v>#N/A</v>
      </c>
      <c r="N2590" t="e">
        <f>VLOOKUP(B2590,ubah!$B$2:$L$234,6,FALSE)</f>
        <v>#N/A</v>
      </c>
    </row>
    <row r="2591" spans="1:14" hidden="1" x14ac:dyDescent="0.35">
      <c r="A2591" s="21">
        <v>1350442</v>
      </c>
      <c r="B2591" s="22" t="str">
        <f>"3328170403020008"</f>
        <v>3328170403020008</v>
      </c>
      <c r="C2591" s="22" t="str">
        <f t="shared" si="80"/>
        <v>'3328170403020008</v>
      </c>
      <c r="D2591" s="22" t="str">
        <f t="shared" si="81"/>
        <v>ganda</v>
      </c>
      <c r="E2591" s="22" t="s">
        <v>5470</v>
      </c>
      <c r="F2591" s="22" t="s">
        <v>10</v>
      </c>
      <c r="G2591" s="22" t="s">
        <v>57</v>
      </c>
      <c r="H2591" s="22" t="s">
        <v>303</v>
      </c>
      <c r="I2591" s="22" t="s">
        <v>608</v>
      </c>
      <c r="J2591" s="22" t="s">
        <v>609</v>
      </c>
      <c r="K2591" s="23" t="s">
        <v>610</v>
      </c>
    </row>
    <row r="2592" spans="1:14" hidden="1" x14ac:dyDescent="0.35">
      <c r="A2592" s="21">
        <v>370184</v>
      </c>
      <c r="B2592" s="22" t="str">
        <f>"3328170411050003"</f>
        <v>3328170411050003</v>
      </c>
      <c r="C2592" s="22" t="str">
        <f t="shared" si="80"/>
        <v>'3328170411050003</v>
      </c>
      <c r="D2592" s="22" t="str">
        <f t="shared" si="81"/>
        <v>tidak ganda</v>
      </c>
      <c r="E2592" s="22" t="s">
        <v>5471</v>
      </c>
      <c r="F2592" s="22" t="s">
        <v>10</v>
      </c>
      <c r="G2592" s="22" t="s">
        <v>11</v>
      </c>
      <c r="H2592" s="22" t="s">
        <v>18</v>
      </c>
      <c r="I2592" s="22" t="s">
        <v>268</v>
      </c>
      <c r="J2592" s="22" t="s">
        <v>269</v>
      </c>
      <c r="K2592" s="23" t="s">
        <v>996</v>
      </c>
    </row>
    <row r="2593" spans="1:14" hidden="1" x14ac:dyDescent="0.35">
      <c r="A2593" s="21">
        <v>1393089</v>
      </c>
      <c r="B2593" s="22" t="str">
        <f>"3328170602870002"</f>
        <v>3328170602870002</v>
      </c>
      <c r="C2593" s="22" t="str">
        <f t="shared" si="80"/>
        <v>'3328170602870002</v>
      </c>
      <c r="D2593" s="22" t="str">
        <f t="shared" si="81"/>
        <v>tidak ganda</v>
      </c>
      <c r="E2593" s="22" t="s">
        <v>3793</v>
      </c>
      <c r="F2593" s="22" t="s">
        <v>10</v>
      </c>
      <c r="G2593" s="22" t="s">
        <v>11</v>
      </c>
      <c r="H2593" s="22" t="s">
        <v>91</v>
      </c>
      <c r="I2593" s="22" t="s">
        <v>159</v>
      </c>
      <c r="J2593" s="22" t="s">
        <v>685</v>
      </c>
      <c r="K2593" s="23" t="s">
        <v>3105</v>
      </c>
    </row>
    <row r="2594" spans="1:14" hidden="1" x14ac:dyDescent="0.35">
      <c r="A2594" s="21">
        <v>1741017</v>
      </c>
      <c r="B2594" s="22" t="str">
        <f>"3328170603820004"</f>
        <v>3328170603820004</v>
      </c>
      <c r="C2594" s="22" t="str">
        <f t="shared" si="80"/>
        <v>'3328170603820004</v>
      </c>
      <c r="D2594" s="22" t="str">
        <f t="shared" si="81"/>
        <v>tidak ganda</v>
      </c>
      <c r="E2594" s="22" t="s">
        <v>5472</v>
      </c>
      <c r="F2594" s="22" t="s">
        <v>10</v>
      </c>
      <c r="G2594" s="22" t="s">
        <v>11</v>
      </c>
      <c r="H2594" s="22" t="s">
        <v>91</v>
      </c>
      <c r="I2594" s="22" t="s">
        <v>1763</v>
      </c>
      <c r="J2594" s="22" t="s">
        <v>5473</v>
      </c>
      <c r="K2594" s="23" t="s">
        <v>5474</v>
      </c>
    </row>
    <row r="2595" spans="1:14" hidden="1" x14ac:dyDescent="0.35">
      <c r="A2595" s="21">
        <v>1518516</v>
      </c>
      <c r="B2595" s="22" t="str">
        <f>"3328170606970006"</f>
        <v>3328170606970006</v>
      </c>
      <c r="C2595" s="22" t="str">
        <f t="shared" si="80"/>
        <v>'3328170606970006</v>
      </c>
      <c r="D2595" s="22" t="str">
        <f t="shared" si="81"/>
        <v>tidak ganda</v>
      </c>
      <c r="E2595" s="22" t="s">
        <v>5475</v>
      </c>
      <c r="F2595" s="22" t="s">
        <v>10</v>
      </c>
      <c r="G2595" s="22" t="s">
        <v>11</v>
      </c>
      <c r="H2595" s="22" t="s">
        <v>18</v>
      </c>
      <c r="I2595" s="22" t="s">
        <v>19</v>
      </c>
      <c r="J2595" s="22" t="s">
        <v>4754</v>
      </c>
      <c r="K2595" s="23" t="s">
        <v>4755</v>
      </c>
      <c r="L2595" t="e">
        <f>VLOOKUP(B2595,ubah!$B$2:$L$234,4,FALSE)</f>
        <v>#N/A</v>
      </c>
      <c r="M2595" t="e">
        <f>VLOOKUP(B2595,ubah!$B$2:$L$234,5,FALSE)</f>
        <v>#N/A</v>
      </c>
      <c r="N2595" t="e">
        <f>VLOOKUP(B2595,ubah!$B$2:$L$234,6,FALSE)</f>
        <v>#N/A</v>
      </c>
    </row>
    <row r="2596" spans="1:14" hidden="1" x14ac:dyDescent="0.35">
      <c r="A2596" s="21">
        <v>1493749</v>
      </c>
      <c r="B2596" s="22" t="str">
        <f>"3328170612940002"</f>
        <v>3328170612940002</v>
      </c>
      <c r="C2596" s="22" t="str">
        <f t="shared" si="80"/>
        <v>'3328170612940002</v>
      </c>
      <c r="D2596" s="22" t="str">
        <f t="shared" si="81"/>
        <v>ganda</v>
      </c>
      <c r="E2596" s="22" t="s">
        <v>5476</v>
      </c>
      <c r="F2596" s="22" t="s">
        <v>10</v>
      </c>
      <c r="G2596" s="22" t="s">
        <v>11</v>
      </c>
      <c r="H2596" s="22" t="s">
        <v>18</v>
      </c>
      <c r="I2596" s="22" t="s">
        <v>19</v>
      </c>
      <c r="J2596" s="22" t="s">
        <v>4754</v>
      </c>
      <c r="K2596" s="23" t="s">
        <v>5442</v>
      </c>
      <c r="L2596" t="e">
        <f>VLOOKUP(B2596,ubah!$B$2:$L$234,4,FALSE)</f>
        <v>#N/A</v>
      </c>
      <c r="M2596" t="e">
        <f>VLOOKUP(B2596,ubah!$B$2:$L$234,5,FALSE)</f>
        <v>#N/A</v>
      </c>
      <c r="N2596" t="e">
        <f>VLOOKUP(B2596,ubah!$B$2:$L$234,6,FALSE)</f>
        <v>#N/A</v>
      </c>
    </row>
    <row r="2597" spans="1:14" hidden="1" x14ac:dyDescent="0.35">
      <c r="A2597" s="21">
        <v>423744</v>
      </c>
      <c r="B2597" s="22" t="str">
        <f>"3328170612940002"</f>
        <v>3328170612940002</v>
      </c>
      <c r="C2597" s="22" t="str">
        <f t="shared" si="80"/>
        <v>'3328170612940002</v>
      </c>
      <c r="D2597" s="22" t="str">
        <f t="shared" si="81"/>
        <v>ganda</v>
      </c>
      <c r="E2597" s="22" t="s">
        <v>5477</v>
      </c>
      <c r="F2597" s="22" t="s">
        <v>10</v>
      </c>
      <c r="G2597" s="22" t="s">
        <v>57</v>
      </c>
      <c r="H2597" s="22" t="s">
        <v>18</v>
      </c>
      <c r="I2597" s="22" t="s">
        <v>268</v>
      </c>
      <c r="J2597" s="22" t="s">
        <v>277</v>
      </c>
      <c r="K2597" s="23" t="s">
        <v>278</v>
      </c>
    </row>
    <row r="2598" spans="1:14" hidden="1" x14ac:dyDescent="0.35">
      <c r="A2598" s="21">
        <v>275432</v>
      </c>
      <c r="B2598" s="22" t="str">
        <f>"3328170704830002"</f>
        <v>3328170704830002</v>
      </c>
      <c r="C2598" s="22" t="str">
        <f t="shared" si="80"/>
        <v>'3328170704830002</v>
      </c>
      <c r="D2598" s="22" t="str">
        <f t="shared" si="81"/>
        <v>tidak ganda</v>
      </c>
      <c r="E2598" s="22" t="s">
        <v>5478</v>
      </c>
      <c r="F2598" s="22" t="s">
        <v>10</v>
      </c>
      <c r="G2598" s="22" t="s">
        <v>11</v>
      </c>
      <c r="H2598" s="22" t="s">
        <v>18</v>
      </c>
      <c r="I2598" s="22" t="s">
        <v>268</v>
      </c>
      <c r="J2598" s="22" t="s">
        <v>277</v>
      </c>
      <c r="K2598" s="23" t="s">
        <v>3326</v>
      </c>
    </row>
    <row r="2599" spans="1:14" hidden="1" x14ac:dyDescent="0.35">
      <c r="A2599" s="21">
        <v>1503580</v>
      </c>
      <c r="B2599" s="22" t="str">
        <f>"3328170705900009"</f>
        <v>3328170705900009</v>
      </c>
      <c r="C2599" s="22" t="str">
        <f t="shared" si="80"/>
        <v>'3328170705900009</v>
      </c>
      <c r="D2599" s="22" t="str">
        <f t="shared" si="81"/>
        <v>ganda</v>
      </c>
      <c r="E2599" s="22" t="s">
        <v>5480</v>
      </c>
      <c r="F2599" s="22" t="s">
        <v>10</v>
      </c>
      <c r="G2599" s="22" t="s">
        <v>11</v>
      </c>
      <c r="H2599" s="22" t="s">
        <v>18</v>
      </c>
      <c r="I2599" s="22" t="s">
        <v>19</v>
      </c>
      <c r="J2599" s="22" t="s">
        <v>4754</v>
      </c>
      <c r="K2599" s="23" t="s">
        <v>5481</v>
      </c>
      <c r="L2599" t="e">
        <f>VLOOKUP(B2599,ubah!$B$2:$L$234,4,FALSE)</f>
        <v>#N/A</v>
      </c>
      <c r="M2599" t="e">
        <f>VLOOKUP(B2599,ubah!$B$2:$L$234,5,FALSE)</f>
        <v>#N/A</v>
      </c>
      <c r="N2599" t="e">
        <f>VLOOKUP(B2599,ubah!$B$2:$L$234,6,FALSE)</f>
        <v>#N/A</v>
      </c>
    </row>
    <row r="2600" spans="1:14" hidden="1" x14ac:dyDescent="0.35">
      <c r="A2600" s="21">
        <v>627885</v>
      </c>
      <c r="B2600" s="22" t="str">
        <f>"3328170705900009"</f>
        <v>3328170705900009</v>
      </c>
      <c r="C2600" s="22" t="str">
        <f t="shared" si="80"/>
        <v>'3328170705900009</v>
      </c>
      <c r="D2600" s="22" t="str">
        <f t="shared" si="81"/>
        <v>ganda</v>
      </c>
      <c r="E2600" s="22" t="s">
        <v>5482</v>
      </c>
      <c r="F2600" s="22" t="s">
        <v>10</v>
      </c>
      <c r="G2600" s="22" t="s">
        <v>57</v>
      </c>
      <c r="H2600" s="22" t="s">
        <v>521</v>
      </c>
      <c r="I2600" s="22" t="s">
        <v>5483</v>
      </c>
      <c r="J2600" s="22" t="s">
        <v>5484</v>
      </c>
      <c r="K2600" s="23" t="s">
        <v>5485</v>
      </c>
    </row>
    <row r="2601" spans="1:14" hidden="1" x14ac:dyDescent="0.35">
      <c r="A2601" s="21">
        <v>1506266</v>
      </c>
      <c r="B2601" s="22" t="str">
        <f>"3328170909920002"</f>
        <v>3328170909920002</v>
      </c>
      <c r="C2601" s="22" t="str">
        <f t="shared" si="80"/>
        <v>'3328170909920002</v>
      </c>
      <c r="D2601" s="22" t="str">
        <f t="shared" si="81"/>
        <v>tidak ganda</v>
      </c>
      <c r="E2601" s="22" t="s">
        <v>5486</v>
      </c>
      <c r="F2601" s="22" t="s">
        <v>10</v>
      </c>
      <c r="G2601" s="22" t="s">
        <v>11</v>
      </c>
      <c r="H2601" s="22" t="s">
        <v>18</v>
      </c>
      <c r="I2601" s="22" t="s">
        <v>19</v>
      </c>
      <c r="J2601" s="22" t="s">
        <v>4754</v>
      </c>
      <c r="K2601" s="23" t="s">
        <v>5481</v>
      </c>
      <c r="L2601" t="e">
        <f>VLOOKUP(B2601,ubah!$B$2:$L$234,4,FALSE)</f>
        <v>#N/A</v>
      </c>
      <c r="M2601" t="e">
        <f>VLOOKUP(B2601,ubah!$B$2:$L$234,5,FALSE)</f>
        <v>#N/A</v>
      </c>
      <c r="N2601" t="e">
        <f>VLOOKUP(B2601,ubah!$B$2:$L$234,6,FALSE)</f>
        <v>#N/A</v>
      </c>
    </row>
    <row r="2602" spans="1:14" hidden="1" x14ac:dyDescent="0.35">
      <c r="A2602" s="21">
        <v>1619468</v>
      </c>
      <c r="B2602" s="22" t="str">
        <f>"3328171105960001"</f>
        <v>3328171105960001</v>
      </c>
      <c r="C2602" s="22" t="str">
        <f t="shared" si="80"/>
        <v>'3328171105960001</v>
      </c>
      <c r="D2602" s="22" t="str">
        <f t="shared" si="81"/>
        <v>tidak ganda</v>
      </c>
      <c r="E2602" s="22" t="s">
        <v>5490</v>
      </c>
      <c r="F2602" s="22" t="s">
        <v>10</v>
      </c>
      <c r="G2602" s="22" t="s">
        <v>11</v>
      </c>
      <c r="H2602" s="22" t="s">
        <v>18</v>
      </c>
      <c r="I2602" s="22" t="s">
        <v>19</v>
      </c>
      <c r="J2602" s="22" t="s">
        <v>4754</v>
      </c>
      <c r="K2602" s="23" t="s">
        <v>5421</v>
      </c>
      <c r="L2602" t="e">
        <f>VLOOKUP(B2602,ubah!$B$2:$L$234,4,FALSE)</f>
        <v>#N/A</v>
      </c>
      <c r="M2602" t="e">
        <f>VLOOKUP(B2602,ubah!$B$2:$L$234,5,FALSE)</f>
        <v>#N/A</v>
      </c>
      <c r="N2602" t="e">
        <f>VLOOKUP(B2602,ubah!$B$2:$L$234,6,FALSE)</f>
        <v>#N/A</v>
      </c>
    </row>
    <row r="2603" spans="1:14" hidden="1" x14ac:dyDescent="0.35">
      <c r="A2603" s="21">
        <v>1618291</v>
      </c>
      <c r="B2603" s="22" t="str">
        <f>"3328171106000001"</f>
        <v>3328171106000001</v>
      </c>
      <c r="C2603" s="22" t="str">
        <f t="shared" si="80"/>
        <v>'3328171106000001</v>
      </c>
      <c r="D2603" s="22" t="str">
        <f t="shared" si="81"/>
        <v>ganda</v>
      </c>
      <c r="E2603" s="22" t="s">
        <v>5494</v>
      </c>
      <c r="F2603" s="22" t="s">
        <v>10</v>
      </c>
      <c r="G2603" s="22" t="s">
        <v>11</v>
      </c>
      <c r="H2603" s="22" t="s">
        <v>18</v>
      </c>
      <c r="I2603" s="22" t="s">
        <v>19</v>
      </c>
      <c r="J2603" s="22" t="s">
        <v>4754</v>
      </c>
      <c r="K2603" s="23" t="s">
        <v>5421</v>
      </c>
      <c r="L2603" t="e">
        <f>VLOOKUP(B2603,ubah!$B$2:$L$234,4,FALSE)</f>
        <v>#N/A</v>
      </c>
      <c r="M2603" t="e">
        <f>VLOOKUP(B2603,ubah!$B$2:$L$234,5,FALSE)</f>
        <v>#N/A</v>
      </c>
      <c r="N2603" t="e">
        <f>VLOOKUP(B2603,ubah!$B$2:$L$234,6,FALSE)</f>
        <v>#N/A</v>
      </c>
    </row>
    <row r="2604" spans="1:14" hidden="1" x14ac:dyDescent="0.35">
      <c r="A2604" s="21">
        <v>762471</v>
      </c>
      <c r="B2604" s="22" t="str">
        <f>"3328171106000001"</f>
        <v>3328171106000001</v>
      </c>
      <c r="C2604" s="22" t="str">
        <f t="shared" si="80"/>
        <v>'3328171106000001</v>
      </c>
      <c r="D2604" s="22" t="str">
        <f t="shared" si="81"/>
        <v>ganda</v>
      </c>
      <c r="E2604" s="22" t="s">
        <v>5495</v>
      </c>
      <c r="F2604" s="22" t="s">
        <v>10</v>
      </c>
      <c r="G2604" s="22" t="s">
        <v>57</v>
      </c>
      <c r="H2604" s="22" t="s">
        <v>379</v>
      </c>
      <c r="I2604" s="22" t="s">
        <v>711</v>
      </c>
      <c r="J2604" s="22" t="s">
        <v>718</v>
      </c>
      <c r="K2604" s="23" t="s">
        <v>719</v>
      </c>
    </row>
    <row r="2605" spans="1:14" hidden="1" x14ac:dyDescent="0.35">
      <c r="A2605" s="21">
        <v>625238</v>
      </c>
      <c r="B2605" s="22" t="str">
        <f>"3328171109900002"</f>
        <v>3328171109900002</v>
      </c>
      <c r="C2605" s="22" t="str">
        <f t="shared" si="80"/>
        <v>'3328171109900002</v>
      </c>
      <c r="D2605" s="22" t="str">
        <f t="shared" si="81"/>
        <v>tidak ganda</v>
      </c>
      <c r="E2605" s="22" t="s">
        <v>1199</v>
      </c>
      <c r="F2605" s="22" t="s">
        <v>10</v>
      </c>
      <c r="G2605" s="22" t="s">
        <v>11</v>
      </c>
      <c r="H2605" s="22" t="s">
        <v>18</v>
      </c>
      <c r="I2605" s="22" t="s">
        <v>264</v>
      </c>
      <c r="J2605" s="22" t="s">
        <v>264</v>
      </c>
      <c r="K2605" s="23" t="s">
        <v>2004</v>
      </c>
    </row>
    <row r="2606" spans="1:14" hidden="1" x14ac:dyDescent="0.35">
      <c r="A2606" s="21">
        <v>1494390</v>
      </c>
      <c r="B2606" s="22" t="str">
        <f>"3328171202020004"</f>
        <v>3328171202020004</v>
      </c>
      <c r="C2606" s="22" t="str">
        <f t="shared" si="80"/>
        <v>'3328171202020004</v>
      </c>
      <c r="D2606" s="22" t="str">
        <f t="shared" si="81"/>
        <v>ganda</v>
      </c>
      <c r="E2606" s="22" t="s">
        <v>5496</v>
      </c>
      <c r="F2606" s="22" t="s">
        <v>10</v>
      </c>
      <c r="G2606" s="22" t="s">
        <v>11</v>
      </c>
      <c r="H2606" s="22" t="s">
        <v>18</v>
      </c>
      <c r="I2606" s="22" t="s">
        <v>19</v>
      </c>
      <c r="J2606" s="22" t="s">
        <v>4754</v>
      </c>
      <c r="K2606" s="23" t="s">
        <v>5442</v>
      </c>
      <c r="L2606" t="e">
        <f>VLOOKUP(B2606,ubah!$B$2:$L$234,4,FALSE)</f>
        <v>#N/A</v>
      </c>
      <c r="M2606" t="e">
        <f>VLOOKUP(B2606,ubah!$B$2:$L$234,5,FALSE)</f>
        <v>#N/A</v>
      </c>
      <c r="N2606" t="e">
        <f>VLOOKUP(B2606,ubah!$B$2:$L$234,6,FALSE)</f>
        <v>#N/A</v>
      </c>
    </row>
    <row r="2607" spans="1:14" hidden="1" x14ac:dyDescent="0.35">
      <c r="A2607" s="21">
        <v>2662310</v>
      </c>
      <c r="B2607" s="22" t="str">
        <f>"3328171202020004"</f>
        <v>3328171202020004</v>
      </c>
      <c r="C2607" s="22" t="str">
        <f t="shared" si="80"/>
        <v>'3328171202020004</v>
      </c>
      <c r="D2607" s="22" t="str">
        <f t="shared" si="81"/>
        <v>ganda</v>
      </c>
      <c r="E2607" s="22" t="s">
        <v>5497</v>
      </c>
      <c r="F2607" s="22" t="s">
        <v>10</v>
      </c>
      <c r="G2607" s="22" t="s">
        <v>57</v>
      </c>
      <c r="H2607" s="22" t="s">
        <v>18</v>
      </c>
      <c r="I2607" s="22" t="s">
        <v>199</v>
      </c>
      <c r="J2607" s="22" t="s">
        <v>199</v>
      </c>
      <c r="K2607" s="23" t="s">
        <v>839</v>
      </c>
    </row>
    <row r="2608" spans="1:14" hidden="1" x14ac:dyDescent="0.35">
      <c r="A2608" s="21">
        <v>1503615</v>
      </c>
      <c r="B2608" s="22" t="str">
        <f>"3328171202960002"</f>
        <v>3328171202960002</v>
      </c>
      <c r="C2608" s="22" t="str">
        <f t="shared" si="80"/>
        <v>'3328171202960002</v>
      </c>
      <c r="D2608" s="22" t="str">
        <f t="shared" si="81"/>
        <v>tidak ganda</v>
      </c>
      <c r="E2608" s="22" t="s">
        <v>5498</v>
      </c>
      <c r="F2608" s="22" t="s">
        <v>10</v>
      </c>
      <c r="G2608" s="22" t="s">
        <v>11</v>
      </c>
      <c r="H2608" s="22" t="s">
        <v>18</v>
      </c>
      <c r="I2608" s="22" t="s">
        <v>19</v>
      </c>
      <c r="J2608" s="22" t="s">
        <v>4754</v>
      </c>
      <c r="K2608" s="23" t="s">
        <v>5481</v>
      </c>
      <c r="L2608" t="e">
        <f>VLOOKUP(B2608,ubah!$B$2:$L$234,4,FALSE)</f>
        <v>#N/A</v>
      </c>
      <c r="M2608" t="e">
        <f>VLOOKUP(B2608,ubah!$B$2:$L$234,5,FALSE)</f>
        <v>#N/A</v>
      </c>
      <c r="N2608" t="e">
        <f>VLOOKUP(B2608,ubah!$B$2:$L$234,6,FALSE)</f>
        <v>#N/A</v>
      </c>
    </row>
    <row r="2609" spans="1:14" hidden="1" x14ac:dyDescent="0.35">
      <c r="A2609" s="21">
        <v>67024</v>
      </c>
      <c r="B2609" s="22" t="str">
        <f>"3328171602920001"</f>
        <v>3328171602920001</v>
      </c>
      <c r="C2609" s="22" t="str">
        <f t="shared" si="80"/>
        <v>'3328171602920001</v>
      </c>
      <c r="D2609" s="22" t="str">
        <f t="shared" si="81"/>
        <v>tidak ganda</v>
      </c>
      <c r="E2609" s="22" t="s">
        <v>5499</v>
      </c>
      <c r="F2609" s="22" t="s">
        <v>10</v>
      </c>
      <c r="G2609" s="22" t="s">
        <v>11</v>
      </c>
      <c r="H2609" s="22" t="s">
        <v>44</v>
      </c>
      <c r="I2609" s="22" t="s">
        <v>2174</v>
      </c>
      <c r="J2609" s="22" t="s">
        <v>5500</v>
      </c>
      <c r="K2609" s="23" t="s">
        <v>5501</v>
      </c>
    </row>
    <row r="2610" spans="1:14" hidden="1" x14ac:dyDescent="0.35">
      <c r="A2610" s="21">
        <v>1507874</v>
      </c>
      <c r="B2610" s="22" t="str">
        <f>"3328171605910004"</f>
        <v>3328171605910004</v>
      </c>
      <c r="C2610" s="22" t="str">
        <f t="shared" si="80"/>
        <v>'3328171605910004</v>
      </c>
      <c r="D2610" s="22" t="str">
        <f t="shared" si="81"/>
        <v>tidak ganda</v>
      </c>
      <c r="E2610" s="22" t="s">
        <v>5503</v>
      </c>
      <c r="F2610" s="22" t="s">
        <v>10</v>
      </c>
      <c r="G2610" s="22" t="s">
        <v>11</v>
      </c>
      <c r="H2610" s="22" t="s">
        <v>18</v>
      </c>
      <c r="I2610" s="22" t="s">
        <v>19</v>
      </c>
      <c r="J2610" s="22" t="s">
        <v>4754</v>
      </c>
      <c r="K2610" s="23" t="s">
        <v>5440</v>
      </c>
      <c r="L2610" t="e">
        <f>VLOOKUP(B2610,ubah!$B$2:$L$234,4,FALSE)</f>
        <v>#N/A</v>
      </c>
      <c r="M2610" t="e">
        <f>VLOOKUP(B2610,ubah!$B$2:$L$234,5,FALSE)</f>
        <v>#N/A</v>
      </c>
      <c r="N2610" t="e">
        <f>VLOOKUP(B2610,ubah!$B$2:$L$234,6,FALSE)</f>
        <v>#N/A</v>
      </c>
    </row>
    <row r="2611" spans="1:14" hidden="1" x14ac:dyDescent="0.35">
      <c r="A2611" s="21">
        <v>1349047</v>
      </c>
      <c r="B2611" s="22" t="str">
        <f>"3328171705060003"</f>
        <v>3328171705060003</v>
      </c>
      <c r="C2611" s="22" t="str">
        <f t="shared" si="80"/>
        <v>'3328171705060003</v>
      </c>
      <c r="D2611" s="22" t="str">
        <f t="shared" si="81"/>
        <v>tidak ganda</v>
      </c>
      <c r="E2611" s="22" t="s">
        <v>5504</v>
      </c>
      <c r="F2611" s="22" t="s">
        <v>10</v>
      </c>
      <c r="G2611" s="22" t="s">
        <v>57</v>
      </c>
      <c r="H2611" s="22" t="s">
        <v>303</v>
      </c>
      <c r="I2611" s="22" t="s">
        <v>608</v>
      </c>
      <c r="J2611" s="22" t="s">
        <v>609</v>
      </c>
      <c r="K2611" s="23" t="s">
        <v>610</v>
      </c>
    </row>
    <row r="2612" spans="1:14" hidden="1" x14ac:dyDescent="0.35">
      <c r="A2612" s="21">
        <v>1519326</v>
      </c>
      <c r="B2612" s="22" t="str">
        <f>"3328171805060008"</f>
        <v>3328171805060008</v>
      </c>
      <c r="C2612" s="22" t="str">
        <f t="shared" si="80"/>
        <v>'3328171805060008</v>
      </c>
      <c r="D2612" s="22" t="str">
        <f t="shared" si="81"/>
        <v>tidak ganda</v>
      </c>
      <c r="E2612" s="22" t="s">
        <v>5505</v>
      </c>
      <c r="F2612" s="22" t="s">
        <v>10</v>
      </c>
      <c r="G2612" s="22" t="s">
        <v>11</v>
      </c>
      <c r="H2612" s="22" t="s">
        <v>18</v>
      </c>
      <c r="I2612" s="22" t="s">
        <v>19</v>
      </c>
      <c r="J2612" s="22" t="s">
        <v>4754</v>
      </c>
      <c r="K2612" s="23" t="s">
        <v>4755</v>
      </c>
      <c r="L2612" t="e">
        <f>VLOOKUP(B2612,ubah!$B$2:$L$234,4,FALSE)</f>
        <v>#N/A</v>
      </c>
      <c r="M2612" t="e">
        <f>VLOOKUP(B2612,ubah!$B$2:$L$234,5,FALSE)</f>
        <v>#N/A</v>
      </c>
      <c r="N2612" t="e">
        <f>VLOOKUP(B2612,ubah!$B$2:$L$234,6,FALSE)</f>
        <v>#N/A</v>
      </c>
    </row>
    <row r="2613" spans="1:14" hidden="1" x14ac:dyDescent="0.35">
      <c r="A2613" s="21">
        <v>1495552</v>
      </c>
      <c r="B2613" s="22" t="str">
        <f>"3328171805820003"</f>
        <v>3328171805820003</v>
      </c>
      <c r="C2613" s="22" t="str">
        <f t="shared" si="80"/>
        <v>'3328171805820003</v>
      </c>
      <c r="D2613" s="22" t="str">
        <f t="shared" si="81"/>
        <v>tidak ganda</v>
      </c>
      <c r="E2613" s="22" t="s">
        <v>2052</v>
      </c>
      <c r="F2613" s="22" t="s">
        <v>10</v>
      </c>
      <c r="G2613" s="22" t="s">
        <v>11</v>
      </c>
      <c r="H2613" s="22" t="s">
        <v>18</v>
      </c>
      <c r="I2613" s="22" t="s">
        <v>19</v>
      </c>
      <c r="J2613" s="22" t="s">
        <v>4754</v>
      </c>
      <c r="K2613" s="23" t="s">
        <v>5442</v>
      </c>
      <c r="L2613" t="e">
        <f>VLOOKUP(B2613,ubah!$B$2:$L$234,4,FALSE)</f>
        <v>#N/A</v>
      </c>
      <c r="M2613" t="e">
        <f>VLOOKUP(B2613,ubah!$B$2:$L$234,5,FALSE)</f>
        <v>#N/A</v>
      </c>
      <c r="N2613" t="e">
        <f>VLOOKUP(B2613,ubah!$B$2:$L$234,6,FALSE)</f>
        <v>#N/A</v>
      </c>
    </row>
    <row r="2614" spans="1:14" hidden="1" x14ac:dyDescent="0.35">
      <c r="A2614" s="21">
        <v>264202</v>
      </c>
      <c r="B2614" s="22" t="str">
        <f>"3328171808960001"</f>
        <v>3328171808960001</v>
      </c>
      <c r="C2614" s="22" t="str">
        <f t="shared" si="80"/>
        <v>'3328171808960001</v>
      </c>
      <c r="D2614" s="22" t="str">
        <f t="shared" si="81"/>
        <v>tidak ganda</v>
      </c>
      <c r="E2614" s="22" t="s">
        <v>5508</v>
      </c>
      <c r="F2614" s="22" t="s">
        <v>10</v>
      </c>
      <c r="G2614" s="22" t="s">
        <v>11</v>
      </c>
      <c r="H2614" s="22" t="s">
        <v>18</v>
      </c>
      <c r="I2614" s="22" t="s">
        <v>268</v>
      </c>
      <c r="J2614" s="22" t="s">
        <v>371</v>
      </c>
      <c r="K2614" s="23" t="s">
        <v>497</v>
      </c>
    </row>
    <row r="2615" spans="1:14" hidden="1" x14ac:dyDescent="0.35">
      <c r="A2615" s="21">
        <v>1191640</v>
      </c>
      <c r="B2615" s="22" t="str">
        <f>"3328171905890001"</f>
        <v>3328171905890001</v>
      </c>
      <c r="C2615" s="22" t="str">
        <f t="shared" si="80"/>
        <v>'3328171905890001</v>
      </c>
      <c r="D2615" s="22" t="str">
        <f t="shared" si="81"/>
        <v>tidak ganda</v>
      </c>
      <c r="E2615" s="22" t="s">
        <v>5510</v>
      </c>
      <c r="F2615" s="22" t="s">
        <v>10</v>
      </c>
      <c r="G2615" s="22" t="s">
        <v>11</v>
      </c>
      <c r="H2615" s="22" t="s">
        <v>91</v>
      </c>
      <c r="I2615" s="22" t="s">
        <v>320</v>
      </c>
      <c r="J2615" s="22" t="s">
        <v>368</v>
      </c>
      <c r="K2615" s="23" t="s">
        <v>3266</v>
      </c>
    </row>
    <row r="2616" spans="1:14" hidden="1" x14ac:dyDescent="0.35">
      <c r="A2616" s="21">
        <v>1523879</v>
      </c>
      <c r="B2616" s="22" t="str">
        <f>"3328171910950002"</f>
        <v>3328171910950002</v>
      </c>
      <c r="C2616" s="22" t="str">
        <f t="shared" si="80"/>
        <v>'3328171910950002</v>
      </c>
      <c r="D2616" s="22" t="str">
        <f t="shared" si="81"/>
        <v>ganda</v>
      </c>
      <c r="E2616" s="22" t="s">
        <v>5512</v>
      </c>
      <c r="F2616" s="22" t="s">
        <v>10</v>
      </c>
      <c r="G2616" s="22" t="s">
        <v>11</v>
      </c>
      <c r="H2616" s="22" t="s">
        <v>18</v>
      </c>
      <c r="I2616" s="22" t="s">
        <v>19</v>
      </c>
      <c r="J2616" s="22" t="s">
        <v>4754</v>
      </c>
      <c r="K2616" s="23" t="s">
        <v>5426</v>
      </c>
      <c r="L2616" t="e">
        <f>VLOOKUP(B2616,ubah!$B$2:$L$234,4,FALSE)</f>
        <v>#N/A</v>
      </c>
      <c r="M2616" t="e">
        <f>VLOOKUP(B2616,ubah!$B$2:$L$234,5,FALSE)</f>
        <v>#N/A</v>
      </c>
      <c r="N2616" t="e">
        <f>VLOOKUP(B2616,ubah!$B$2:$L$234,6,FALSE)</f>
        <v>#N/A</v>
      </c>
    </row>
    <row r="2617" spans="1:14" hidden="1" x14ac:dyDescent="0.35">
      <c r="A2617" s="21">
        <v>1349048</v>
      </c>
      <c r="B2617" s="22" t="str">
        <f>"3328171910950002"</f>
        <v>3328171910950002</v>
      </c>
      <c r="C2617" s="22" t="str">
        <f t="shared" si="80"/>
        <v>'3328171910950002</v>
      </c>
      <c r="D2617" s="22" t="str">
        <f t="shared" si="81"/>
        <v>ganda</v>
      </c>
      <c r="E2617" s="22" t="s">
        <v>5512</v>
      </c>
      <c r="F2617" s="22" t="s">
        <v>10</v>
      </c>
      <c r="G2617" s="22" t="s">
        <v>57</v>
      </c>
      <c r="H2617" s="22" t="s">
        <v>303</v>
      </c>
      <c r="I2617" s="22" t="s">
        <v>608</v>
      </c>
      <c r="J2617" s="22" t="s">
        <v>609</v>
      </c>
      <c r="K2617" s="23" t="s">
        <v>610</v>
      </c>
    </row>
    <row r="2618" spans="1:14" hidden="1" x14ac:dyDescent="0.35">
      <c r="A2618" s="21">
        <v>1525350</v>
      </c>
      <c r="B2618" s="22" t="str">
        <f>"3328172006030004"</f>
        <v>3328172006030004</v>
      </c>
      <c r="C2618" s="22" t="str">
        <f t="shared" si="80"/>
        <v>'3328172006030004</v>
      </c>
      <c r="D2618" s="22" t="str">
        <f t="shared" si="81"/>
        <v>ganda</v>
      </c>
      <c r="E2618" s="22" t="s">
        <v>5513</v>
      </c>
      <c r="F2618" s="22" t="s">
        <v>10</v>
      </c>
      <c r="G2618" s="22" t="s">
        <v>11</v>
      </c>
      <c r="H2618" s="22" t="s">
        <v>18</v>
      </c>
      <c r="I2618" s="22" t="s">
        <v>19</v>
      </c>
      <c r="J2618" s="22" t="s">
        <v>4754</v>
      </c>
      <c r="K2618" s="23" t="s">
        <v>5514</v>
      </c>
      <c r="L2618" t="e">
        <f>VLOOKUP(B2618,ubah!$B$2:$L$234,4,FALSE)</f>
        <v>#N/A</v>
      </c>
      <c r="M2618" t="e">
        <f>VLOOKUP(B2618,ubah!$B$2:$L$234,5,FALSE)</f>
        <v>#N/A</v>
      </c>
      <c r="N2618" t="e">
        <f>VLOOKUP(B2618,ubah!$B$2:$L$234,6,FALSE)</f>
        <v>#N/A</v>
      </c>
    </row>
    <row r="2619" spans="1:14" hidden="1" x14ac:dyDescent="0.35">
      <c r="A2619" s="21">
        <v>1350443</v>
      </c>
      <c r="B2619" s="22" t="str">
        <f>"3328172006030004"</f>
        <v>3328172006030004</v>
      </c>
      <c r="C2619" s="22" t="str">
        <f t="shared" si="80"/>
        <v>'3328172006030004</v>
      </c>
      <c r="D2619" s="22" t="str">
        <f t="shared" si="81"/>
        <v>ganda</v>
      </c>
      <c r="E2619" s="22" t="s">
        <v>5513</v>
      </c>
      <c r="F2619" s="22" t="s">
        <v>10</v>
      </c>
      <c r="G2619" s="22" t="s">
        <v>57</v>
      </c>
      <c r="H2619" s="22" t="s">
        <v>303</v>
      </c>
      <c r="I2619" s="22" t="s">
        <v>608</v>
      </c>
      <c r="J2619" s="22" t="s">
        <v>609</v>
      </c>
      <c r="K2619" s="23" t="s">
        <v>610</v>
      </c>
    </row>
    <row r="2620" spans="1:14" hidden="1" x14ac:dyDescent="0.35">
      <c r="A2620" s="21">
        <v>1502826</v>
      </c>
      <c r="B2620" s="22" t="str">
        <f>"3328172309730003"</f>
        <v>3328172309730003</v>
      </c>
      <c r="C2620" s="22" t="str">
        <f t="shared" si="80"/>
        <v>'3328172309730003</v>
      </c>
      <c r="D2620" s="22" t="str">
        <f t="shared" si="81"/>
        <v>ganda</v>
      </c>
      <c r="E2620" s="22" t="s">
        <v>5516</v>
      </c>
      <c r="F2620" s="22" t="s">
        <v>10</v>
      </c>
      <c r="G2620" s="22" t="s">
        <v>11</v>
      </c>
      <c r="H2620" s="22" t="s">
        <v>18</v>
      </c>
      <c r="I2620" s="22" t="s">
        <v>19</v>
      </c>
      <c r="J2620" s="22" t="s">
        <v>4754</v>
      </c>
      <c r="K2620" s="23" t="s">
        <v>5481</v>
      </c>
      <c r="L2620" t="e">
        <f>VLOOKUP(B2620,ubah!$B$2:$L$234,4,FALSE)</f>
        <v>#N/A</v>
      </c>
      <c r="M2620" t="e">
        <f>VLOOKUP(B2620,ubah!$B$2:$L$234,5,FALSE)</f>
        <v>#N/A</v>
      </c>
      <c r="N2620" t="e">
        <f>VLOOKUP(B2620,ubah!$B$2:$L$234,6,FALSE)</f>
        <v>#N/A</v>
      </c>
    </row>
    <row r="2621" spans="1:14" hidden="1" x14ac:dyDescent="0.35">
      <c r="A2621" s="21">
        <v>2419062</v>
      </c>
      <c r="B2621" s="22" t="str">
        <f>"3328172309730003"</f>
        <v>3328172309730003</v>
      </c>
      <c r="C2621" s="22" t="str">
        <f t="shared" si="80"/>
        <v>'3328172309730003</v>
      </c>
      <c r="D2621" s="22" t="str">
        <f t="shared" si="81"/>
        <v>ganda</v>
      </c>
      <c r="E2621" s="22" t="s">
        <v>5517</v>
      </c>
      <c r="F2621" s="22" t="s">
        <v>10</v>
      </c>
      <c r="G2621" s="22" t="s">
        <v>57</v>
      </c>
      <c r="H2621" s="22" t="s">
        <v>50</v>
      </c>
      <c r="I2621" s="22" t="s">
        <v>58</v>
      </c>
      <c r="J2621" s="22" t="s">
        <v>59</v>
      </c>
      <c r="K2621" s="23" t="s">
        <v>60</v>
      </c>
    </row>
    <row r="2622" spans="1:14" hidden="1" x14ac:dyDescent="0.35">
      <c r="A2622" s="21">
        <v>1515712</v>
      </c>
      <c r="B2622" s="22" t="str">
        <f>"3328172310000004"</f>
        <v>3328172310000004</v>
      </c>
      <c r="C2622" s="22" t="str">
        <f t="shared" si="80"/>
        <v>'3328172310000004</v>
      </c>
      <c r="D2622" s="22" t="str">
        <f t="shared" si="81"/>
        <v>tidak ganda</v>
      </c>
      <c r="E2622" s="22" t="s">
        <v>5518</v>
      </c>
      <c r="F2622" s="22" t="s">
        <v>10</v>
      </c>
      <c r="G2622" s="22" t="s">
        <v>11</v>
      </c>
      <c r="H2622" s="22" t="s">
        <v>18</v>
      </c>
      <c r="I2622" s="22" t="s">
        <v>19</v>
      </c>
      <c r="J2622" s="22" t="s">
        <v>4754</v>
      </c>
      <c r="K2622" s="23" t="s">
        <v>882</v>
      </c>
      <c r="L2622" t="e">
        <f>VLOOKUP(B2622,ubah!$B$2:$L$234,4,FALSE)</f>
        <v>#N/A</v>
      </c>
      <c r="M2622" t="e">
        <f>VLOOKUP(B2622,ubah!$B$2:$L$234,5,FALSE)</f>
        <v>#N/A</v>
      </c>
      <c r="N2622" t="e">
        <f>VLOOKUP(B2622,ubah!$B$2:$L$234,6,FALSE)</f>
        <v>#N/A</v>
      </c>
    </row>
    <row r="2623" spans="1:14" hidden="1" x14ac:dyDescent="0.35">
      <c r="A2623" s="21">
        <v>1913708</v>
      </c>
      <c r="B2623" s="22" t="str">
        <f>"3328172410840001"</f>
        <v>3328172410840001</v>
      </c>
      <c r="C2623" s="22" t="str">
        <f t="shared" si="80"/>
        <v>'3328172410840001</v>
      </c>
      <c r="D2623" s="22" t="str">
        <f t="shared" si="81"/>
        <v>tidak ganda</v>
      </c>
      <c r="E2623" s="22" t="s">
        <v>5524</v>
      </c>
      <c r="F2623" s="22" t="s">
        <v>10</v>
      </c>
      <c r="G2623" s="22" t="s">
        <v>11</v>
      </c>
      <c r="H2623" s="22" t="s">
        <v>18</v>
      </c>
      <c r="I2623" s="22" t="s">
        <v>19</v>
      </c>
      <c r="J2623" s="22" t="s">
        <v>4754</v>
      </c>
      <c r="K2623" s="23" t="s">
        <v>5438</v>
      </c>
      <c r="L2623" t="e">
        <f>VLOOKUP(B2623,ubah!$B$2:$L$234,4,FALSE)</f>
        <v>#N/A</v>
      </c>
      <c r="M2623" t="e">
        <f>VLOOKUP(B2623,ubah!$B$2:$L$234,5,FALSE)</f>
        <v>#N/A</v>
      </c>
      <c r="N2623" t="e">
        <f>VLOOKUP(B2623,ubah!$B$2:$L$234,6,FALSE)</f>
        <v>#N/A</v>
      </c>
    </row>
    <row r="2624" spans="1:14" hidden="1" x14ac:dyDescent="0.35">
      <c r="A2624" s="21">
        <v>1506808</v>
      </c>
      <c r="B2624" s="22" t="str">
        <f>"3328172601980001"</f>
        <v>3328172601980001</v>
      </c>
      <c r="C2624" s="22" t="str">
        <f t="shared" si="80"/>
        <v>'3328172601980001</v>
      </c>
      <c r="D2624" s="22" t="str">
        <f t="shared" si="81"/>
        <v>ganda</v>
      </c>
      <c r="E2624" s="22" t="s">
        <v>5526</v>
      </c>
      <c r="F2624" s="22" t="s">
        <v>10</v>
      </c>
      <c r="G2624" s="22" t="s">
        <v>11</v>
      </c>
      <c r="H2624" s="22" t="s">
        <v>18</v>
      </c>
      <c r="I2624" s="22" t="s">
        <v>19</v>
      </c>
      <c r="J2624" s="22" t="s">
        <v>4754</v>
      </c>
      <c r="K2624" s="23" t="s">
        <v>5481</v>
      </c>
      <c r="L2624" t="e">
        <f>VLOOKUP(B2624,ubah!$B$2:$L$234,4,FALSE)</f>
        <v>#N/A</v>
      </c>
      <c r="M2624" t="e">
        <f>VLOOKUP(B2624,ubah!$B$2:$L$234,5,FALSE)</f>
        <v>#N/A</v>
      </c>
      <c r="N2624" t="e">
        <f>VLOOKUP(B2624,ubah!$B$2:$L$234,6,FALSE)</f>
        <v>#N/A</v>
      </c>
    </row>
    <row r="2625" spans="1:14" hidden="1" x14ac:dyDescent="0.35">
      <c r="A2625" s="21">
        <v>1350441</v>
      </c>
      <c r="B2625" s="22" t="str">
        <f>"3328172601980001"</f>
        <v>3328172601980001</v>
      </c>
      <c r="C2625" s="22" t="str">
        <f t="shared" si="80"/>
        <v>'3328172601980001</v>
      </c>
      <c r="D2625" s="22" t="str">
        <f t="shared" si="81"/>
        <v>ganda</v>
      </c>
      <c r="E2625" s="22" t="s">
        <v>5526</v>
      </c>
      <c r="F2625" s="22" t="s">
        <v>10</v>
      </c>
      <c r="G2625" s="22" t="s">
        <v>57</v>
      </c>
      <c r="H2625" s="22" t="s">
        <v>303</v>
      </c>
      <c r="I2625" s="22" t="s">
        <v>608</v>
      </c>
      <c r="J2625" s="22" t="s">
        <v>609</v>
      </c>
      <c r="K2625" s="23" t="s">
        <v>610</v>
      </c>
    </row>
    <row r="2626" spans="1:14" hidden="1" x14ac:dyDescent="0.35">
      <c r="A2626" s="21">
        <v>345984</v>
      </c>
      <c r="B2626" s="22" t="str">
        <f>"3328172705060002"</f>
        <v>3328172705060002</v>
      </c>
      <c r="C2626" s="22" t="str">
        <f t="shared" si="80"/>
        <v>'3328172705060002</v>
      </c>
      <c r="D2626" s="22" t="str">
        <f t="shared" si="81"/>
        <v>tidak ganda</v>
      </c>
      <c r="E2626" s="22" t="s">
        <v>5527</v>
      </c>
      <c r="F2626" s="22" t="s">
        <v>10</v>
      </c>
      <c r="G2626" s="22" t="s">
        <v>11</v>
      </c>
      <c r="H2626" s="22" t="s">
        <v>379</v>
      </c>
      <c r="I2626" s="22" t="s">
        <v>380</v>
      </c>
      <c r="J2626" s="22" t="s">
        <v>3848</v>
      </c>
      <c r="K2626" s="23" t="s">
        <v>5017</v>
      </c>
    </row>
    <row r="2627" spans="1:14" hidden="1" x14ac:dyDescent="0.35">
      <c r="A2627" s="21">
        <v>1543045</v>
      </c>
      <c r="B2627" s="22" t="str">
        <f>"3328172908850007"</f>
        <v>3328172908850007</v>
      </c>
      <c r="C2627" s="22" t="str">
        <f t="shared" ref="C2627:C2690" si="82">"'"&amp;B2627</f>
        <v>'3328172908850007</v>
      </c>
      <c r="D2627" s="22" t="str">
        <f t="shared" ref="D2627:D2690" si="83">IF(COUNTIF($C:$C,C2627)&gt;1,"ganda","tidak ganda")</f>
        <v>tidak ganda</v>
      </c>
      <c r="E2627" s="22" t="s">
        <v>5528</v>
      </c>
      <c r="F2627" s="22" t="s">
        <v>10</v>
      </c>
      <c r="G2627" s="22" t="s">
        <v>11</v>
      </c>
      <c r="H2627" s="22" t="s">
        <v>18</v>
      </c>
      <c r="I2627" s="22" t="s">
        <v>19</v>
      </c>
      <c r="J2627" s="22" t="s">
        <v>4754</v>
      </c>
      <c r="K2627" s="23" t="s">
        <v>3958</v>
      </c>
      <c r="L2627" t="e">
        <f>VLOOKUP(B2627,ubah!$B$2:$L$234,4,FALSE)</f>
        <v>#N/A</v>
      </c>
      <c r="M2627" t="e">
        <f>VLOOKUP(B2627,ubah!$B$2:$L$234,5,FALSE)</f>
        <v>#N/A</v>
      </c>
      <c r="N2627" t="e">
        <f>VLOOKUP(B2627,ubah!$B$2:$L$234,6,FALSE)</f>
        <v>#N/A</v>
      </c>
    </row>
    <row r="2628" spans="1:14" hidden="1" x14ac:dyDescent="0.35">
      <c r="A2628" s="21">
        <v>1617013</v>
      </c>
      <c r="B2628" s="22" t="str">
        <f>"3328173108840002"</f>
        <v>3328173108840002</v>
      </c>
      <c r="C2628" s="22" t="str">
        <f t="shared" si="82"/>
        <v>'3328173108840002</v>
      </c>
      <c r="D2628" s="22" t="str">
        <f t="shared" si="83"/>
        <v>ganda</v>
      </c>
      <c r="E2628" s="22" t="s">
        <v>5529</v>
      </c>
      <c r="F2628" s="22" t="s">
        <v>10</v>
      </c>
      <c r="G2628" s="22" t="s">
        <v>11</v>
      </c>
      <c r="H2628" s="22" t="s">
        <v>18</v>
      </c>
      <c r="I2628" s="22" t="s">
        <v>19</v>
      </c>
      <c r="J2628" s="22" t="s">
        <v>4754</v>
      </c>
      <c r="K2628" s="23" t="s">
        <v>5421</v>
      </c>
      <c r="L2628" t="e">
        <f>VLOOKUP(B2628,ubah!$B$2:$L$234,4,FALSE)</f>
        <v>#N/A</v>
      </c>
      <c r="M2628" t="e">
        <f>VLOOKUP(B2628,ubah!$B$2:$L$234,5,FALSE)</f>
        <v>#N/A</v>
      </c>
      <c r="N2628" t="e">
        <f>VLOOKUP(B2628,ubah!$B$2:$L$234,6,FALSE)</f>
        <v>#N/A</v>
      </c>
    </row>
    <row r="2629" spans="1:14" hidden="1" x14ac:dyDescent="0.35">
      <c r="A2629" s="21">
        <v>412096</v>
      </c>
      <c r="B2629" s="22" t="str">
        <f>"3328173108840002"</f>
        <v>3328173108840002</v>
      </c>
      <c r="C2629" s="22" t="str">
        <f t="shared" si="82"/>
        <v>'3328173108840002</v>
      </c>
      <c r="D2629" s="22" t="str">
        <f t="shared" si="83"/>
        <v>ganda</v>
      </c>
      <c r="E2629" s="22" t="s">
        <v>5529</v>
      </c>
      <c r="F2629" s="22" t="s">
        <v>10</v>
      </c>
      <c r="G2629" s="22" t="s">
        <v>57</v>
      </c>
      <c r="H2629" s="22" t="s">
        <v>3068</v>
      </c>
      <c r="I2629" s="22" t="s">
        <v>5530</v>
      </c>
      <c r="J2629" s="22" t="s">
        <v>5531</v>
      </c>
      <c r="K2629" s="23" t="s">
        <v>5532</v>
      </c>
    </row>
    <row r="2630" spans="1:14" hidden="1" x14ac:dyDescent="0.35">
      <c r="A2630" s="21">
        <v>1521658</v>
      </c>
      <c r="B2630" s="22" t="str">
        <f>"3328174107930039"</f>
        <v>3328174107930039</v>
      </c>
      <c r="C2630" s="22" t="str">
        <f t="shared" si="82"/>
        <v>'3328174107930039</v>
      </c>
      <c r="D2630" s="22" t="str">
        <f t="shared" si="83"/>
        <v>tidak ganda</v>
      </c>
      <c r="E2630" s="22" t="s">
        <v>5533</v>
      </c>
      <c r="F2630" s="22" t="s">
        <v>10</v>
      </c>
      <c r="G2630" s="22" t="s">
        <v>11</v>
      </c>
      <c r="H2630" s="22" t="s">
        <v>18</v>
      </c>
      <c r="I2630" s="22" t="s">
        <v>19</v>
      </c>
      <c r="J2630" s="22" t="s">
        <v>4754</v>
      </c>
      <c r="K2630" s="23" t="s">
        <v>5426</v>
      </c>
      <c r="L2630" t="e">
        <f>VLOOKUP(B2630,ubah!$B$2:$L$234,4,FALSE)</f>
        <v>#N/A</v>
      </c>
      <c r="M2630" t="e">
        <f>VLOOKUP(B2630,ubah!$B$2:$L$234,5,FALSE)</f>
        <v>#N/A</v>
      </c>
      <c r="N2630" t="e">
        <f>VLOOKUP(B2630,ubah!$B$2:$L$234,6,FALSE)</f>
        <v>#N/A</v>
      </c>
    </row>
    <row r="2631" spans="1:14" hidden="1" x14ac:dyDescent="0.35">
      <c r="A2631" s="21">
        <v>1505660</v>
      </c>
      <c r="B2631" s="22" t="str">
        <f>"3328174207920002"</f>
        <v>3328174207920002</v>
      </c>
      <c r="C2631" s="22" t="str">
        <f t="shared" si="82"/>
        <v>'3328174207920002</v>
      </c>
      <c r="D2631" s="22" t="str">
        <f t="shared" si="83"/>
        <v>tidak ganda</v>
      </c>
      <c r="E2631" s="22" t="s">
        <v>2376</v>
      </c>
      <c r="F2631" s="22" t="s">
        <v>10</v>
      </c>
      <c r="G2631" s="22" t="s">
        <v>11</v>
      </c>
      <c r="H2631" s="22" t="s">
        <v>18</v>
      </c>
      <c r="I2631" s="22" t="s">
        <v>19</v>
      </c>
      <c r="J2631" s="22" t="s">
        <v>4754</v>
      </c>
      <c r="K2631" s="23" t="s">
        <v>5481</v>
      </c>
      <c r="L2631" t="e">
        <f>VLOOKUP(B2631,ubah!$B$2:$L$234,4,FALSE)</f>
        <v>#N/A</v>
      </c>
      <c r="M2631" t="e">
        <f>VLOOKUP(B2631,ubah!$B$2:$L$234,5,FALSE)</f>
        <v>#N/A</v>
      </c>
      <c r="N2631" t="e">
        <f>VLOOKUP(B2631,ubah!$B$2:$L$234,6,FALSE)</f>
        <v>#N/A</v>
      </c>
    </row>
    <row r="2632" spans="1:14" hidden="1" x14ac:dyDescent="0.35">
      <c r="A2632" s="21">
        <v>225215</v>
      </c>
      <c r="B2632" s="22" t="str">
        <f>"3328174302990002"</f>
        <v>3328174302990002</v>
      </c>
      <c r="C2632" s="22" t="str">
        <f t="shared" si="82"/>
        <v>'3328174302990002</v>
      </c>
      <c r="D2632" s="22" t="str">
        <f t="shared" si="83"/>
        <v>tidak ganda</v>
      </c>
      <c r="E2632" s="22" t="s">
        <v>5535</v>
      </c>
      <c r="F2632" s="22" t="s">
        <v>10</v>
      </c>
      <c r="G2632" s="22" t="s">
        <v>11</v>
      </c>
      <c r="H2632" s="22" t="s">
        <v>44</v>
      </c>
      <c r="I2632" s="22" t="s">
        <v>3084</v>
      </c>
      <c r="J2632" s="22" t="s">
        <v>5536</v>
      </c>
      <c r="K2632" s="23" t="s">
        <v>5537</v>
      </c>
    </row>
    <row r="2633" spans="1:14" hidden="1" x14ac:dyDescent="0.35">
      <c r="A2633" s="21">
        <v>1521914</v>
      </c>
      <c r="B2633" s="22" t="str">
        <f>"3328175101920003"</f>
        <v>3328175101920003</v>
      </c>
      <c r="C2633" s="22" t="str">
        <f t="shared" si="82"/>
        <v>'3328175101920003</v>
      </c>
      <c r="D2633" s="22" t="str">
        <f t="shared" si="83"/>
        <v>tidak ganda</v>
      </c>
      <c r="E2633" s="22" t="s">
        <v>5539</v>
      </c>
      <c r="F2633" s="22" t="s">
        <v>10</v>
      </c>
      <c r="G2633" s="22" t="s">
        <v>11</v>
      </c>
      <c r="H2633" s="22" t="s">
        <v>18</v>
      </c>
      <c r="I2633" s="22" t="s">
        <v>19</v>
      </c>
      <c r="J2633" s="22" t="s">
        <v>4754</v>
      </c>
      <c r="K2633" s="23" t="s">
        <v>5426</v>
      </c>
      <c r="L2633" t="e">
        <f>VLOOKUP(B2633,ubah!$B$2:$L$234,4,FALSE)</f>
        <v>#N/A</v>
      </c>
      <c r="M2633" t="e">
        <f>VLOOKUP(B2633,ubah!$B$2:$L$234,5,FALSE)</f>
        <v>#N/A</v>
      </c>
      <c r="N2633" t="e">
        <f>VLOOKUP(B2633,ubah!$B$2:$L$234,6,FALSE)</f>
        <v>#N/A</v>
      </c>
    </row>
    <row r="2634" spans="1:14" hidden="1" x14ac:dyDescent="0.35">
      <c r="A2634" s="21">
        <v>1825839</v>
      </c>
      <c r="B2634" s="22" t="str">
        <f>"3328175310010002"</f>
        <v>3328175310010002</v>
      </c>
      <c r="C2634" s="22" t="str">
        <f t="shared" si="82"/>
        <v>'3328175310010002</v>
      </c>
      <c r="D2634" s="22" t="str">
        <f t="shared" si="83"/>
        <v>tidak ganda</v>
      </c>
      <c r="E2634" s="22" t="s">
        <v>5540</v>
      </c>
      <c r="F2634" s="22" t="s">
        <v>10</v>
      </c>
      <c r="G2634" s="22" t="s">
        <v>11</v>
      </c>
      <c r="H2634" s="22" t="s">
        <v>91</v>
      </c>
      <c r="I2634" s="22" t="s">
        <v>1398</v>
      </c>
      <c r="J2634" s="22" t="s">
        <v>5541</v>
      </c>
      <c r="K2634" s="23" t="s">
        <v>3247</v>
      </c>
    </row>
    <row r="2635" spans="1:14" hidden="1" x14ac:dyDescent="0.35">
      <c r="A2635" s="21">
        <v>2158910</v>
      </c>
      <c r="B2635" s="22" t="str">
        <f>"3328175402780002"</f>
        <v>3328175402780002</v>
      </c>
      <c r="C2635" s="22" t="str">
        <f t="shared" si="82"/>
        <v>'3328175402780002</v>
      </c>
      <c r="D2635" s="22" t="str">
        <f t="shared" si="83"/>
        <v>tidak ganda</v>
      </c>
      <c r="E2635" s="22" t="s">
        <v>5542</v>
      </c>
      <c r="F2635" s="22" t="s">
        <v>10</v>
      </c>
      <c r="G2635" s="22" t="s">
        <v>11</v>
      </c>
      <c r="H2635" s="22" t="s">
        <v>67</v>
      </c>
      <c r="I2635" s="22" t="s">
        <v>512</v>
      </c>
      <c r="J2635" s="22" t="s">
        <v>1214</v>
      </c>
      <c r="K2635" s="23" t="s">
        <v>5543</v>
      </c>
    </row>
    <row r="2636" spans="1:14" hidden="1" x14ac:dyDescent="0.35">
      <c r="A2636" s="21">
        <v>283422</v>
      </c>
      <c r="B2636" s="22" t="str">
        <f>"3328175510950002"</f>
        <v>3328175510950002</v>
      </c>
      <c r="C2636" s="22" t="str">
        <f t="shared" si="82"/>
        <v>'3328175510950002</v>
      </c>
      <c r="D2636" s="22" t="str">
        <f t="shared" si="83"/>
        <v>tidak ganda</v>
      </c>
      <c r="E2636" s="22" t="s">
        <v>5544</v>
      </c>
      <c r="F2636" s="22" t="s">
        <v>10</v>
      </c>
      <c r="G2636" s="22" t="s">
        <v>11</v>
      </c>
      <c r="H2636" s="22" t="s">
        <v>50</v>
      </c>
      <c r="I2636" s="22" t="s">
        <v>58</v>
      </c>
      <c r="J2636" s="22" t="s">
        <v>316</v>
      </c>
      <c r="K2636" s="23" t="s">
        <v>2895</v>
      </c>
    </row>
    <row r="2637" spans="1:14" hidden="1" x14ac:dyDescent="0.35">
      <c r="A2637" s="21">
        <v>1622621</v>
      </c>
      <c r="B2637" s="22" t="str">
        <f>"3328175512720003"</f>
        <v>3328175512720003</v>
      </c>
      <c r="C2637" s="22" t="str">
        <f t="shared" si="82"/>
        <v>'3328175512720003</v>
      </c>
      <c r="D2637" s="22" t="str">
        <f t="shared" si="83"/>
        <v>tidak ganda</v>
      </c>
      <c r="E2637" s="22" t="s">
        <v>759</v>
      </c>
      <c r="F2637" s="22" t="s">
        <v>10</v>
      </c>
      <c r="G2637" s="22" t="s">
        <v>11</v>
      </c>
      <c r="H2637" s="22" t="s">
        <v>18</v>
      </c>
      <c r="I2637" s="22" t="s">
        <v>19</v>
      </c>
      <c r="J2637" s="22" t="s">
        <v>4754</v>
      </c>
      <c r="K2637" s="23" t="s">
        <v>5421</v>
      </c>
      <c r="L2637" t="e">
        <f>VLOOKUP(B2637,ubah!$B$2:$L$234,4,FALSE)</f>
        <v>#N/A</v>
      </c>
      <c r="M2637" t="e">
        <f>VLOOKUP(B2637,ubah!$B$2:$L$234,5,FALSE)</f>
        <v>#N/A</v>
      </c>
      <c r="N2637" t="e">
        <f>VLOOKUP(B2637,ubah!$B$2:$L$234,6,FALSE)</f>
        <v>#N/A</v>
      </c>
    </row>
    <row r="2638" spans="1:14" hidden="1" x14ac:dyDescent="0.35">
      <c r="A2638" s="21">
        <v>1509409</v>
      </c>
      <c r="B2638" s="22" t="str">
        <f>"3328175602950004"</f>
        <v>3328175602950004</v>
      </c>
      <c r="C2638" s="22" t="str">
        <f t="shared" si="82"/>
        <v>'3328175602950004</v>
      </c>
      <c r="D2638" s="22" t="str">
        <f t="shared" si="83"/>
        <v>tidak ganda</v>
      </c>
      <c r="E2638" s="22" t="s">
        <v>5546</v>
      </c>
      <c r="F2638" s="22" t="s">
        <v>10</v>
      </c>
      <c r="G2638" s="22" t="s">
        <v>11</v>
      </c>
      <c r="H2638" s="22" t="s">
        <v>18</v>
      </c>
      <c r="I2638" s="22" t="s">
        <v>19</v>
      </c>
      <c r="J2638" s="22" t="s">
        <v>4754</v>
      </c>
      <c r="K2638" s="23" t="s">
        <v>5440</v>
      </c>
      <c r="L2638" t="e">
        <f>VLOOKUP(B2638,ubah!$B$2:$L$234,4,FALSE)</f>
        <v>#N/A</v>
      </c>
      <c r="M2638" t="e">
        <f>VLOOKUP(B2638,ubah!$B$2:$L$234,5,FALSE)</f>
        <v>#N/A</v>
      </c>
      <c r="N2638" t="e">
        <f>VLOOKUP(B2638,ubah!$B$2:$L$234,6,FALSE)</f>
        <v>#N/A</v>
      </c>
    </row>
    <row r="2639" spans="1:14" hidden="1" x14ac:dyDescent="0.35">
      <c r="A2639" s="21">
        <v>89592</v>
      </c>
      <c r="B2639" s="22" t="str">
        <f>"3328176108940002"</f>
        <v>3328176108940002</v>
      </c>
      <c r="C2639" s="22" t="str">
        <f t="shared" si="82"/>
        <v>'3328176108940002</v>
      </c>
      <c r="D2639" s="22" t="str">
        <f t="shared" si="83"/>
        <v>tidak ganda</v>
      </c>
      <c r="E2639" s="22" t="s">
        <v>5552</v>
      </c>
      <c r="F2639" s="22" t="s">
        <v>10</v>
      </c>
      <c r="G2639" s="22" t="s">
        <v>11</v>
      </c>
      <c r="H2639" s="22" t="s">
        <v>33</v>
      </c>
      <c r="I2639" s="22" t="s">
        <v>5553</v>
      </c>
      <c r="J2639" s="22" t="s">
        <v>5554</v>
      </c>
      <c r="K2639" s="23" t="s">
        <v>5555</v>
      </c>
    </row>
    <row r="2640" spans="1:14" hidden="1" x14ac:dyDescent="0.35">
      <c r="A2640" s="21">
        <v>1119267</v>
      </c>
      <c r="B2640" s="22" t="str">
        <f>"3328176410770004"</f>
        <v>3328176410770004</v>
      </c>
      <c r="C2640" s="22" t="str">
        <f t="shared" si="82"/>
        <v>'3328176410770004</v>
      </c>
      <c r="D2640" s="22" t="str">
        <f t="shared" si="83"/>
        <v>tidak ganda</v>
      </c>
      <c r="E2640" s="22" t="s">
        <v>5556</v>
      </c>
      <c r="F2640" s="22" t="s">
        <v>10</v>
      </c>
      <c r="G2640" s="22" t="s">
        <v>11</v>
      </c>
      <c r="H2640" s="22" t="s">
        <v>50</v>
      </c>
      <c r="I2640" s="22" t="s">
        <v>51</v>
      </c>
      <c r="J2640" s="22" t="s">
        <v>52</v>
      </c>
      <c r="K2640" s="23" t="s">
        <v>52</v>
      </c>
    </row>
    <row r="2641" spans="1:14" hidden="1" x14ac:dyDescent="0.35">
      <c r="A2641" s="21">
        <v>1515277</v>
      </c>
      <c r="B2641" s="22" t="str">
        <f>"3328176501010006"</f>
        <v>3328176501010006</v>
      </c>
      <c r="C2641" s="22" t="str">
        <f t="shared" si="82"/>
        <v>'3328176501010006</v>
      </c>
      <c r="D2641" s="22" t="str">
        <f t="shared" si="83"/>
        <v>tidak ganda</v>
      </c>
      <c r="E2641" s="22" t="s">
        <v>5557</v>
      </c>
      <c r="F2641" s="22" t="s">
        <v>10</v>
      </c>
      <c r="G2641" s="22" t="s">
        <v>11</v>
      </c>
      <c r="H2641" s="22" t="s">
        <v>18</v>
      </c>
      <c r="I2641" s="22" t="s">
        <v>19</v>
      </c>
      <c r="J2641" s="22" t="s">
        <v>4754</v>
      </c>
      <c r="K2641" s="23" t="s">
        <v>882</v>
      </c>
      <c r="L2641" t="e">
        <f>VLOOKUP(B2641,ubah!$B$2:$L$234,4,FALSE)</f>
        <v>#N/A</v>
      </c>
      <c r="M2641" t="e">
        <f>VLOOKUP(B2641,ubah!$B$2:$L$234,5,FALSE)</f>
        <v>#N/A</v>
      </c>
      <c r="N2641" t="e">
        <f>VLOOKUP(B2641,ubah!$B$2:$L$234,6,FALSE)</f>
        <v>#N/A</v>
      </c>
    </row>
    <row r="2642" spans="1:14" hidden="1" x14ac:dyDescent="0.35">
      <c r="A2642" s="21">
        <v>1610503</v>
      </c>
      <c r="B2642" s="22" t="str">
        <f>"3328176804890006"</f>
        <v>3328176804890006</v>
      </c>
      <c r="C2642" s="22" t="str">
        <f t="shared" si="82"/>
        <v>'3328176804890006</v>
      </c>
      <c r="D2642" s="22" t="str">
        <f t="shared" si="83"/>
        <v>tidak ganda</v>
      </c>
      <c r="E2642" s="22" t="s">
        <v>5558</v>
      </c>
      <c r="F2642" s="22" t="s">
        <v>10</v>
      </c>
      <c r="G2642" s="22" t="s">
        <v>11</v>
      </c>
      <c r="H2642" s="22" t="s">
        <v>67</v>
      </c>
      <c r="I2642" s="22" t="s">
        <v>68</v>
      </c>
      <c r="J2642" s="22" t="s">
        <v>2955</v>
      </c>
      <c r="K2642" s="23" t="s">
        <v>5559</v>
      </c>
    </row>
    <row r="2643" spans="1:14" hidden="1" x14ac:dyDescent="0.35">
      <c r="A2643" s="21">
        <v>1511603</v>
      </c>
      <c r="B2643" s="22" t="str">
        <f>"3328176809780003"</f>
        <v>3328176809780003</v>
      </c>
      <c r="C2643" s="22" t="str">
        <f t="shared" si="82"/>
        <v>'3328176809780003</v>
      </c>
      <c r="D2643" s="22" t="str">
        <f t="shared" si="83"/>
        <v>tidak ganda</v>
      </c>
      <c r="E2643" s="22" t="s">
        <v>5560</v>
      </c>
      <c r="F2643" s="22" t="s">
        <v>10</v>
      </c>
      <c r="G2643" s="22" t="s">
        <v>11</v>
      </c>
      <c r="H2643" s="22" t="s">
        <v>18</v>
      </c>
      <c r="I2643" s="22" t="s">
        <v>19</v>
      </c>
      <c r="J2643" s="22" t="s">
        <v>4754</v>
      </c>
      <c r="K2643" s="23" t="s">
        <v>5440</v>
      </c>
      <c r="L2643" t="e">
        <f>VLOOKUP(B2643,ubah!$B$2:$L$234,4,FALSE)</f>
        <v>#N/A</v>
      </c>
      <c r="M2643" t="e">
        <f>VLOOKUP(B2643,ubah!$B$2:$L$234,5,FALSE)</f>
        <v>#N/A</v>
      </c>
      <c r="N2643" t="e">
        <f>VLOOKUP(B2643,ubah!$B$2:$L$234,6,FALSE)</f>
        <v>#N/A</v>
      </c>
    </row>
    <row r="2644" spans="1:14" hidden="1" x14ac:dyDescent="0.35">
      <c r="A2644" s="21">
        <v>1113068</v>
      </c>
      <c r="B2644" s="22" t="str">
        <f>"3328176910950002"</f>
        <v>3328176910950002</v>
      </c>
      <c r="C2644" s="22" t="str">
        <f t="shared" si="82"/>
        <v>'3328176910950002</v>
      </c>
      <c r="D2644" s="22" t="str">
        <f t="shared" si="83"/>
        <v>tidak ganda</v>
      </c>
      <c r="E2644" s="22" t="s">
        <v>5562</v>
      </c>
      <c r="F2644" s="22" t="s">
        <v>10</v>
      </c>
      <c r="G2644" s="22" t="s">
        <v>11</v>
      </c>
      <c r="H2644" s="22" t="s">
        <v>50</v>
      </c>
      <c r="I2644" s="22" t="s">
        <v>51</v>
      </c>
      <c r="J2644" s="22" t="s">
        <v>52</v>
      </c>
      <c r="K2644" s="23" t="s">
        <v>52</v>
      </c>
    </row>
    <row r="2645" spans="1:14" hidden="1" x14ac:dyDescent="0.35">
      <c r="A2645" s="21">
        <v>690173</v>
      </c>
      <c r="B2645" s="22" t="str">
        <f>"3329090107820173"</f>
        <v>3329090107820173</v>
      </c>
      <c r="C2645" s="22" t="str">
        <f t="shared" si="82"/>
        <v>'3329090107820173</v>
      </c>
      <c r="D2645" s="22" t="str">
        <f t="shared" si="83"/>
        <v>tidak ganda</v>
      </c>
      <c r="E2645" s="22" t="s">
        <v>5564</v>
      </c>
      <c r="F2645" s="22" t="s">
        <v>10</v>
      </c>
      <c r="G2645" s="22" t="s">
        <v>11</v>
      </c>
      <c r="H2645" s="22" t="s">
        <v>18</v>
      </c>
      <c r="I2645" s="22" t="s">
        <v>264</v>
      </c>
      <c r="J2645" s="22" t="s">
        <v>264</v>
      </c>
      <c r="K2645" s="23" t="s">
        <v>5565</v>
      </c>
    </row>
    <row r="2646" spans="1:14" hidden="1" x14ac:dyDescent="0.35">
      <c r="A2646" s="21">
        <v>1516579</v>
      </c>
      <c r="B2646" s="22" t="str">
        <f>"3329093103970003"</f>
        <v>3329093103970003</v>
      </c>
      <c r="C2646" s="22" t="str">
        <f t="shared" si="82"/>
        <v>'3329093103970003</v>
      </c>
      <c r="D2646" s="22" t="str">
        <f t="shared" si="83"/>
        <v>tidak ganda</v>
      </c>
      <c r="E2646" s="22" t="s">
        <v>5566</v>
      </c>
      <c r="F2646" s="22" t="s">
        <v>10</v>
      </c>
      <c r="G2646" s="22" t="s">
        <v>11</v>
      </c>
      <c r="H2646" s="22" t="s">
        <v>18</v>
      </c>
      <c r="I2646" s="22" t="s">
        <v>19</v>
      </c>
      <c r="J2646" s="22" t="s">
        <v>4754</v>
      </c>
      <c r="K2646" s="23" t="s">
        <v>4755</v>
      </c>
      <c r="L2646" t="e">
        <f>VLOOKUP(B2646,ubah!$B$2:$L$234,4,FALSE)</f>
        <v>#N/A</v>
      </c>
      <c r="M2646" t="e">
        <f>VLOOKUP(B2646,ubah!$B$2:$L$234,5,FALSE)</f>
        <v>#N/A</v>
      </c>
      <c r="N2646" t="e">
        <f>VLOOKUP(B2646,ubah!$B$2:$L$234,6,FALSE)</f>
        <v>#N/A</v>
      </c>
    </row>
    <row r="2647" spans="1:14" hidden="1" x14ac:dyDescent="0.35">
      <c r="A2647" s="21">
        <v>1567864</v>
      </c>
      <c r="B2647" s="22" t="str">
        <f>"3329152305980004"</f>
        <v>3329152305980004</v>
      </c>
      <c r="C2647" s="22" t="str">
        <f t="shared" si="82"/>
        <v>'3329152305980004</v>
      </c>
      <c r="D2647" s="22" t="str">
        <f t="shared" si="83"/>
        <v>tidak ganda</v>
      </c>
      <c r="E2647" s="22" t="s">
        <v>5568</v>
      </c>
      <c r="F2647" s="22" t="s">
        <v>10</v>
      </c>
      <c r="G2647" s="22" t="s">
        <v>11</v>
      </c>
      <c r="H2647" s="22" t="s">
        <v>18</v>
      </c>
      <c r="I2647" s="22" t="s">
        <v>264</v>
      </c>
      <c r="J2647" s="22" t="s">
        <v>330</v>
      </c>
      <c r="K2647" s="23" t="s">
        <v>330</v>
      </c>
    </row>
    <row r="2648" spans="1:14" hidden="1" x14ac:dyDescent="0.35">
      <c r="A2648" s="21">
        <v>237525</v>
      </c>
      <c r="B2648" s="22" t="str">
        <f>"3376024505960006"</f>
        <v>3376024505960006</v>
      </c>
      <c r="C2648" s="22" t="str">
        <f t="shared" si="82"/>
        <v>'3376024505960006</v>
      </c>
      <c r="D2648" s="22" t="str">
        <f t="shared" si="83"/>
        <v>tidak ganda</v>
      </c>
      <c r="E2648" s="22" t="s">
        <v>5569</v>
      </c>
      <c r="F2648" s="22" t="s">
        <v>10</v>
      </c>
      <c r="G2648" s="22" t="s">
        <v>11</v>
      </c>
      <c r="H2648" s="22" t="s">
        <v>18</v>
      </c>
      <c r="I2648" s="22" t="s">
        <v>268</v>
      </c>
      <c r="J2648" s="22" t="s">
        <v>371</v>
      </c>
      <c r="K2648" s="23" t="s">
        <v>372</v>
      </c>
    </row>
    <row r="2649" spans="1:14" hidden="1" x14ac:dyDescent="0.35">
      <c r="A2649" s="21">
        <v>1435944</v>
      </c>
      <c r="B2649" s="22" t="str">
        <f>"3671025807020006"</f>
        <v>3671025807020006</v>
      </c>
      <c r="C2649" s="22" t="str">
        <f t="shared" si="82"/>
        <v>'3671025807020006</v>
      </c>
      <c r="D2649" s="22" t="str">
        <f t="shared" si="83"/>
        <v>tidak ganda</v>
      </c>
      <c r="E2649" s="22" t="s">
        <v>5570</v>
      </c>
      <c r="F2649" s="22" t="s">
        <v>10</v>
      </c>
      <c r="G2649" s="22" t="s">
        <v>11</v>
      </c>
      <c r="H2649" s="22" t="s">
        <v>67</v>
      </c>
      <c r="I2649" s="22" t="s">
        <v>791</v>
      </c>
      <c r="J2649" s="22" t="s">
        <v>5571</v>
      </c>
      <c r="K2649" s="23" t="s">
        <v>5572</v>
      </c>
    </row>
    <row r="2650" spans="1:14" hidden="1" x14ac:dyDescent="0.35">
      <c r="A2650" s="21">
        <v>2159116</v>
      </c>
      <c r="B2650" s="22" t="str">
        <f>"3671034607010009"</f>
        <v>3671034607010009</v>
      </c>
      <c r="C2650" s="22" t="str">
        <f t="shared" si="82"/>
        <v>'3671034607010009</v>
      </c>
      <c r="D2650" s="22" t="str">
        <f t="shared" si="83"/>
        <v>tidak ganda</v>
      </c>
      <c r="E2650" s="22" t="s">
        <v>5573</v>
      </c>
      <c r="F2650" s="22" t="s">
        <v>10</v>
      </c>
      <c r="G2650" s="22" t="s">
        <v>11</v>
      </c>
      <c r="H2650" s="22" t="s">
        <v>67</v>
      </c>
      <c r="I2650" s="22" t="s">
        <v>512</v>
      </c>
      <c r="J2650" s="22" t="s">
        <v>1214</v>
      </c>
      <c r="K2650" s="23" t="s">
        <v>5543</v>
      </c>
    </row>
    <row r="2651" spans="1:14" hidden="1" x14ac:dyDescent="0.35">
      <c r="A2651" s="21">
        <v>65325</v>
      </c>
      <c r="B2651" s="22" t="str">
        <f>"8107095207900001"</f>
        <v>8107095207900001</v>
      </c>
      <c r="C2651" s="22" t="str">
        <f t="shared" si="82"/>
        <v>'8107095207900001</v>
      </c>
      <c r="D2651" s="22" t="str">
        <f t="shared" si="83"/>
        <v>tidak ganda</v>
      </c>
      <c r="E2651" s="22" t="s">
        <v>5574</v>
      </c>
      <c r="F2651" s="22" t="s">
        <v>10</v>
      </c>
      <c r="G2651" s="22" t="s">
        <v>11</v>
      </c>
      <c r="H2651" s="22" t="s">
        <v>1374</v>
      </c>
      <c r="I2651" s="22" t="s">
        <v>1375</v>
      </c>
      <c r="J2651" s="22" t="s">
        <v>1376</v>
      </c>
      <c r="K2651" s="23" t="s">
        <v>5575</v>
      </c>
    </row>
    <row r="2652" spans="1:14" hidden="1" x14ac:dyDescent="0.35">
      <c r="A2652" s="21">
        <v>44442</v>
      </c>
      <c r="B2652" s="22" t="str">
        <f>"9110053012910001"</f>
        <v>9110053012910001</v>
      </c>
      <c r="C2652" s="22" t="str">
        <f t="shared" si="82"/>
        <v>'9110053012910001</v>
      </c>
      <c r="D2652" s="22" t="str">
        <f t="shared" si="83"/>
        <v>tidak ganda</v>
      </c>
      <c r="E2652" s="22" t="s">
        <v>5577</v>
      </c>
      <c r="F2652" s="22" t="s">
        <v>10</v>
      </c>
      <c r="G2652" s="22" t="s">
        <v>11</v>
      </c>
      <c r="H2652" s="22" t="s">
        <v>783</v>
      </c>
      <c r="I2652" s="22" t="s">
        <v>3513</v>
      </c>
      <c r="J2652" s="22" t="s">
        <v>5578</v>
      </c>
      <c r="K2652" s="23" t="s">
        <v>5579</v>
      </c>
    </row>
    <row r="2653" spans="1:14" hidden="1" x14ac:dyDescent="0.35">
      <c r="A2653" s="21">
        <v>1974566</v>
      </c>
      <c r="B2653" s="22" t="str">
        <f>"1371115803970005"</f>
        <v>1371115803970005</v>
      </c>
      <c r="C2653" s="22" t="str">
        <f t="shared" si="82"/>
        <v>'1371115803970005</v>
      </c>
      <c r="D2653" s="22" t="str">
        <f t="shared" si="83"/>
        <v>tidak ganda</v>
      </c>
      <c r="E2653" s="22" t="s">
        <v>5580</v>
      </c>
      <c r="F2653" s="22" t="s">
        <v>10</v>
      </c>
      <c r="G2653" s="22" t="s">
        <v>11</v>
      </c>
      <c r="H2653" s="22" t="s">
        <v>18</v>
      </c>
      <c r="I2653" s="22" t="s">
        <v>19</v>
      </c>
      <c r="J2653" s="22" t="s">
        <v>5581</v>
      </c>
      <c r="K2653" s="23" t="s">
        <v>5582</v>
      </c>
      <c r="L2653" t="e">
        <f>VLOOKUP(B2653,ubah!$B$2:$L$234,4,FALSE)</f>
        <v>#N/A</v>
      </c>
      <c r="M2653" t="e">
        <f>VLOOKUP(B2653,ubah!$B$2:$L$234,5,FALSE)</f>
        <v>#N/A</v>
      </c>
      <c r="N2653" t="e">
        <f>VLOOKUP(B2653,ubah!$B$2:$L$234,6,FALSE)</f>
        <v>#N/A</v>
      </c>
    </row>
    <row r="2654" spans="1:14" hidden="1" x14ac:dyDescent="0.35">
      <c r="A2654" s="21">
        <v>377845</v>
      </c>
      <c r="B2654" s="22" t="str">
        <f>"1509042602010002"</f>
        <v>1509042602010002</v>
      </c>
      <c r="C2654" s="22" t="str">
        <f t="shared" si="82"/>
        <v>'1509042602010002</v>
      </c>
      <c r="D2654" s="22" t="str">
        <f t="shared" si="83"/>
        <v>tidak ganda</v>
      </c>
      <c r="E2654" s="22" t="s">
        <v>5585</v>
      </c>
      <c r="F2654" s="22" t="s">
        <v>10</v>
      </c>
      <c r="G2654" s="22" t="s">
        <v>11</v>
      </c>
      <c r="H2654" s="22" t="s">
        <v>24</v>
      </c>
      <c r="I2654" s="22" t="s">
        <v>5586</v>
      </c>
      <c r="J2654" s="22" t="s">
        <v>5587</v>
      </c>
      <c r="K2654" s="23" t="s">
        <v>5588</v>
      </c>
    </row>
    <row r="2655" spans="1:14" hidden="1" x14ac:dyDescent="0.35">
      <c r="A2655" s="21">
        <v>676757</v>
      </c>
      <c r="B2655" s="22" t="str">
        <f>"2171094109939001"</f>
        <v>2171094109939001</v>
      </c>
      <c r="C2655" s="22" t="str">
        <f t="shared" si="82"/>
        <v>'2171094109939001</v>
      </c>
      <c r="D2655" s="22" t="str">
        <f t="shared" si="83"/>
        <v>tidak ganda</v>
      </c>
      <c r="E2655" s="22" t="s">
        <v>5590</v>
      </c>
      <c r="F2655" s="22" t="s">
        <v>10</v>
      </c>
      <c r="G2655" s="22" t="s">
        <v>11</v>
      </c>
      <c r="H2655" s="22" t="s">
        <v>811</v>
      </c>
      <c r="I2655" s="22" t="s">
        <v>812</v>
      </c>
      <c r="J2655" s="22" t="s">
        <v>5591</v>
      </c>
      <c r="K2655" s="23" t="s">
        <v>5592</v>
      </c>
    </row>
    <row r="2656" spans="1:14" hidden="1" x14ac:dyDescent="0.35">
      <c r="A2656" s="21">
        <v>639447</v>
      </c>
      <c r="B2656" s="22" t="str">
        <f>"3171070401710005"</f>
        <v>3171070401710005</v>
      </c>
      <c r="C2656" s="22" t="str">
        <f t="shared" si="82"/>
        <v>'3171070401710005</v>
      </c>
      <c r="D2656" s="22" t="str">
        <f t="shared" si="83"/>
        <v>tidak ganda</v>
      </c>
      <c r="E2656" s="22" t="s">
        <v>744</v>
      </c>
      <c r="F2656" s="22" t="s">
        <v>10</v>
      </c>
      <c r="G2656" s="22" t="s">
        <v>11</v>
      </c>
      <c r="H2656" s="22" t="s">
        <v>50</v>
      </c>
      <c r="I2656" s="22" t="s">
        <v>280</v>
      </c>
      <c r="J2656" s="22" t="s">
        <v>281</v>
      </c>
      <c r="K2656" s="23" t="s">
        <v>282</v>
      </c>
    </row>
    <row r="2657" spans="1:14" hidden="1" x14ac:dyDescent="0.35">
      <c r="A2657" s="21">
        <v>639449</v>
      </c>
      <c r="B2657" s="22" t="str">
        <f>"3171072111030004"</f>
        <v>3171072111030004</v>
      </c>
      <c r="C2657" s="22" t="str">
        <f t="shared" si="82"/>
        <v>'3171072111030004</v>
      </c>
      <c r="D2657" s="22" t="str">
        <f t="shared" si="83"/>
        <v>tidak ganda</v>
      </c>
      <c r="E2657" s="22" t="s">
        <v>5594</v>
      </c>
      <c r="F2657" s="22" t="s">
        <v>10</v>
      </c>
      <c r="G2657" s="22" t="s">
        <v>11</v>
      </c>
      <c r="H2657" s="22" t="s">
        <v>50</v>
      </c>
      <c r="I2657" s="22" t="s">
        <v>280</v>
      </c>
      <c r="J2657" s="22" t="s">
        <v>281</v>
      </c>
      <c r="K2657" s="23" t="s">
        <v>282</v>
      </c>
    </row>
    <row r="2658" spans="1:14" hidden="1" x14ac:dyDescent="0.35">
      <c r="A2658" s="21">
        <v>639450</v>
      </c>
      <c r="B2658" s="22" t="str">
        <f>"3171074501950004"</f>
        <v>3171074501950004</v>
      </c>
      <c r="C2658" s="22" t="str">
        <f t="shared" si="82"/>
        <v>'3171074501950004</v>
      </c>
      <c r="D2658" s="22" t="str">
        <f t="shared" si="83"/>
        <v>tidak ganda</v>
      </c>
      <c r="E2658" s="22" t="s">
        <v>5595</v>
      </c>
      <c r="F2658" s="22" t="s">
        <v>10</v>
      </c>
      <c r="G2658" s="22" t="s">
        <v>11</v>
      </c>
      <c r="H2658" s="22" t="s">
        <v>50</v>
      </c>
      <c r="I2658" s="22" t="s">
        <v>280</v>
      </c>
      <c r="J2658" s="22" t="s">
        <v>281</v>
      </c>
      <c r="K2658" s="23" t="s">
        <v>282</v>
      </c>
    </row>
    <row r="2659" spans="1:14" hidden="1" x14ac:dyDescent="0.35">
      <c r="A2659" s="21">
        <v>639448</v>
      </c>
      <c r="B2659" s="22" t="str">
        <f>"3171074505740007"</f>
        <v>3171074505740007</v>
      </c>
      <c r="C2659" s="22" t="str">
        <f t="shared" si="82"/>
        <v>'3171074505740007</v>
      </c>
      <c r="D2659" s="22" t="str">
        <f t="shared" si="83"/>
        <v>tidak ganda</v>
      </c>
      <c r="E2659" s="22" t="s">
        <v>5596</v>
      </c>
      <c r="F2659" s="22" t="s">
        <v>10</v>
      </c>
      <c r="G2659" s="22" t="s">
        <v>11</v>
      </c>
      <c r="H2659" s="22" t="s">
        <v>50</v>
      </c>
      <c r="I2659" s="22" t="s">
        <v>280</v>
      </c>
      <c r="J2659" s="22" t="s">
        <v>281</v>
      </c>
      <c r="K2659" s="23" t="s">
        <v>282</v>
      </c>
    </row>
    <row r="2660" spans="1:14" hidden="1" x14ac:dyDescent="0.35">
      <c r="A2660" s="21">
        <v>416522</v>
      </c>
      <c r="B2660" s="22" t="str">
        <f>"3171074808840007"</f>
        <v>3171074808840007</v>
      </c>
      <c r="C2660" s="22" t="str">
        <f t="shared" si="82"/>
        <v>'3171074808840007</v>
      </c>
      <c r="D2660" s="22" t="str">
        <f t="shared" si="83"/>
        <v>tidak ganda</v>
      </c>
      <c r="E2660" s="22" t="s">
        <v>5597</v>
      </c>
      <c r="F2660" s="22" t="s">
        <v>10</v>
      </c>
      <c r="G2660" s="22" t="s">
        <v>11</v>
      </c>
      <c r="H2660" s="22" t="s">
        <v>50</v>
      </c>
      <c r="I2660" s="22" t="s">
        <v>280</v>
      </c>
      <c r="J2660" s="22" t="s">
        <v>281</v>
      </c>
      <c r="K2660" s="23" t="s">
        <v>1256</v>
      </c>
    </row>
    <row r="2661" spans="1:14" hidden="1" x14ac:dyDescent="0.35">
      <c r="A2661" s="21">
        <v>1090491</v>
      </c>
      <c r="B2661" s="22" t="str">
        <f>"3172016403850004"</f>
        <v>3172016403850004</v>
      </c>
      <c r="C2661" s="22" t="str">
        <f t="shared" si="82"/>
        <v>'3172016403850004</v>
      </c>
      <c r="D2661" s="22" t="str">
        <f t="shared" si="83"/>
        <v>tidak ganda</v>
      </c>
      <c r="E2661" s="22" t="s">
        <v>5367</v>
      </c>
      <c r="F2661" s="22" t="s">
        <v>10</v>
      </c>
      <c r="G2661" s="22" t="s">
        <v>11</v>
      </c>
      <c r="H2661" s="22" t="s">
        <v>50</v>
      </c>
      <c r="I2661" s="22" t="s">
        <v>51</v>
      </c>
      <c r="J2661" s="22" t="s">
        <v>52</v>
      </c>
      <c r="K2661" s="23" t="s">
        <v>52</v>
      </c>
    </row>
    <row r="2662" spans="1:14" hidden="1" x14ac:dyDescent="0.35">
      <c r="A2662" s="21">
        <v>1090223</v>
      </c>
      <c r="B2662" s="22" t="str">
        <f>"3172016408630001"</f>
        <v>3172016408630001</v>
      </c>
      <c r="C2662" s="22" t="str">
        <f t="shared" si="82"/>
        <v>'3172016408630001</v>
      </c>
      <c r="D2662" s="22" t="str">
        <f t="shared" si="83"/>
        <v>tidak ganda</v>
      </c>
      <c r="E2662" s="22" t="s">
        <v>5601</v>
      </c>
      <c r="F2662" s="22" t="s">
        <v>10</v>
      </c>
      <c r="G2662" s="22" t="s">
        <v>11</v>
      </c>
      <c r="H2662" s="22" t="s">
        <v>50</v>
      </c>
      <c r="I2662" s="22" t="s">
        <v>51</v>
      </c>
      <c r="J2662" s="22" t="s">
        <v>52</v>
      </c>
      <c r="K2662" s="23" t="s">
        <v>52</v>
      </c>
    </row>
    <row r="2663" spans="1:14" hidden="1" x14ac:dyDescent="0.35">
      <c r="A2663" s="21">
        <v>1183767</v>
      </c>
      <c r="B2663" s="22" t="str">
        <f>"3172041102911004"</f>
        <v>3172041102911004</v>
      </c>
      <c r="C2663" s="22" t="str">
        <f t="shared" si="82"/>
        <v>'3172041102911004</v>
      </c>
      <c r="D2663" s="22" t="str">
        <f t="shared" si="83"/>
        <v>tidak ganda</v>
      </c>
      <c r="E2663" s="22" t="s">
        <v>5603</v>
      </c>
      <c r="F2663" s="22" t="s">
        <v>10</v>
      </c>
      <c r="G2663" s="22" t="s">
        <v>11</v>
      </c>
      <c r="H2663" s="22" t="s">
        <v>50</v>
      </c>
      <c r="I2663" s="22" t="s">
        <v>51</v>
      </c>
      <c r="J2663" s="22" t="s">
        <v>78</v>
      </c>
      <c r="K2663" s="23" t="s">
        <v>680</v>
      </c>
    </row>
    <row r="2664" spans="1:14" hidden="1" x14ac:dyDescent="0.35">
      <c r="A2664" s="21">
        <v>428702</v>
      </c>
      <c r="B2664" s="22" t="str">
        <f>"3174041506881001"</f>
        <v>3174041506881001</v>
      </c>
      <c r="C2664" s="22" t="str">
        <f t="shared" si="82"/>
        <v>'3174041506881001</v>
      </c>
      <c r="D2664" s="22" t="str">
        <f t="shared" si="83"/>
        <v>tidak ganda</v>
      </c>
      <c r="E2664" s="22" t="s">
        <v>5604</v>
      </c>
      <c r="F2664" s="22" t="s">
        <v>10</v>
      </c>
      <c r="G2664" s="22" t="s">
        <v>11</v>
      </c>
      <c r="H2664" s="22" t="s">
        <v>50</v>
      </c>
      <c r="I2664" s="22" t="s">
        <v>72</v>
      </c>
      <c r="J2664" s="22" t="s">
        <v>73</v>
      </c>
      <c r="K2664" s="23" t="s">
        <v>2242</v>
      </c>
    </row>
    <row r="2665" spans="1:14" hidden="1" x14ac:dyDescent="0.35">
      <c r="A2665" s="21">
        <v>656914</v>
      </c>
      <c r="B2665" s="22" t="str">
        <f>"3174044708780005"</f>
        <v>3174044708780005</v>
      </c>
      <c r="C2665" s="22" t="str">
        <f t="shared" si="82"/>
        <v>'3174044708780005</v>
      </c>
      <c r="D2665" s="22" t="str">
        <f t="shared" si="83"/>
        <v>tidak ganda</v>
      </c>
      <c r="E2665" s="22" t="s">
        <v>5606</v>
      </c>
      <c r="F2665" s="22" t="s">
        <v>10</v>
      </c>
      <c r="G2665" s="22" t="s">
        <v>11</v>
      </c>
      <c r="H2665" s="22" t="s">
        <v>50</v>
      </c>
      <c r="I2665" s="22" t="s">
        <v>72</v>
      </c>
      <c r="J2665" s="22" t="s">
        <v>73</v>
      </c>
      <c r="K2665" s="23" t="s">
        <v>74</v>
      </c>
    </row>
    <row r="2666" spans="1:14" hidden="1" x14ac:dyDescent="0.35">
      <c r="A2666" s="21">
        <v>42414</v>
      </c>
      <c r="B2666" s="22" t="str">
        <f>"3174065901030004"</f>
        <v>3174065901030004</v>
      </c>
      <c r="C2666" s="22" t="str">
        <f t="shared" si="82"/>
        <v>'3174065901030004</v>
      </c>
      <c r="D2666" s="22" t="str">
        <f t="shared" si="83"/>
        <v>tidak ganda</v>
      </c>
      <c r="E2666" s="22" t="s">
        <v>5607</v>
      </c>
      <c r="F2666" s="22" t="s">
        <v>10</v>
      </c>
      <c r="G2666" s="22" t="s">
        <v>11</v>
      </c>
      <c r="H2666" s="22" t="s">
        <v>91</v>
      </c>
      <c r="I2666" s="22" t="s">
        <v>320</v>
      </c>
      <c r="J2666" s="22" t="s">
        <v>5608</v>
      </c>
      <c r="K2666" s="23" t="s">
        <v>5608</v>
      </c>
    </row>
    <row r="2667" spans="1:14" hidden="1" x14ac:dyDescent="0.35">
      <c r="A2667" s="21">
        <v>1363562</v>
      </c>
      <c r="B2667" s="22" t="str">
        <f>"3174070102680009"</f>
        <v>3174070102680009</v>
      </c>
      <c r="C2667" s="22" t="str">
        <f t="shared" si="82"/>
        <v>'3174070102680009</v>
      </c>
      <c r="D2667" s="22" t="str">
        <f t="shared" si="83"/>
        <v>tidak ganda</v>
      </c>
      <c r="E2667" s="22" t="s">
        <v>5610</v>
      </c>
      <c r="F2667" s="22" t="s">
        <v>10</v>
      </c>
      <c r="G2667" s="22" t="s">
        <v>11</v>
      </c>
      <c r="H2667" s="22" t="s">
        <v>50</v>
      </c>
      <c r="I2667" s="22" t="s">
        <v>72</v>
      </c>
      <c r="J2667" s="22" t="s">
        <v>628</v>
      </c>
      <c r="K2667" s="23" t="s">
        <v>2252</v>
      </c>
    </row>
    <row r="2668" spans="1:14" hidden="1" x14ac:dyDescent="0.35">
      <c r="A2668" s="21">
        <v>59910</v>
      </c>
      <c r="B2668" s="22" t="str">
        <f>"3175102805911001"</f>
        <v>3175102805911001</v>
      </c>
      <c r="C2668" s="22" t="str">
        <f t="shared" si="82"/>
        <v>'3175102805911001</v>
      </c>
      <c r="D2668" s="22" t="str">
        <f t="shared" si="83"/>
        <v>tidak ganda</v>
      </c>
      <c r="E2668" s="22" t="s">
        <v>5612</v>
      </c>
      <c r="F2668" s="22" t="s">
        <v>10</v>
      </c>
      <c r="G2668" s="22" t="s">
        <v>11</v>
      </c>
      <c r="H2668" s="22" t="s">
        <v>516</v>
      </c>
      <c r="I2668" s="22" t="s">
        <v>5613</v>
      </c>
      <c r="J2668" s="22" t="s">
        <v>5614</v>
      </c>
      <c r="K2668" s="23" t="s">
        <v>5615</v>
      </c>
    </row>
    <row r="2669" spans="1:14" hidden="1" x14ac:dyDescent="0.35">
      <c r="A2669" s="21">
        <v>3682135</v>
      </c>
      <c r="B2669" s="22" t="str">
        <f>"3201012305880009"</f>
        <v>3201012305880009</v>
      </c>
      <c r="C2669" s="22" t="str">
        <f t="shared" si="82"/>
        <v>'3201012305880009</v>
      </c>
      <c r="D2669" s="22" t="str">
        <f t="shared" si="83"/>
        <v>tidak ganda</v>
      </c>
      <c r="E2669" s="22" t="s">
        <v>5616</v>
      </c>
      <c r="F2669" s="22" t="s">
        <v>10</v>
      </c>
      <c r="G2669" s="22" t="s">
        <v>11</v>
      </c>
      <c r="H2669" s="22" t="s">
        <v>91</v>
      </c>
      <c r="I2669" s="22" t="s">
        <v>650</v>
      </c>
      <c r="J2669" s="22" t="s">
        <v>5617</v>
      </c>
      <c r="K2669" s="23" t="s">
        <v>5618</v>
      </c>
    </row>
    <row r="2670" spans="1:14" hidden="1" x14ac:dyDescent="0.35">
      <c r="A2670" s="21">
        <v>1977656</v>
      </c>
      <c r="B2670" s="22" t="str">
        <f>"3206361711010001"</f>
        <v>3206361711010001</v>
      </c>
      <c r="C2670" s="22" t="str">
        <f t="shared" si="82"/>
        <v>'3206361711010001</v>
      </c>
      <c r="D2670" s="22" t="str">
        <f t="shared" si="83"/>
        <v>tidak ganda</v>
      </c>
      <c r="E2670" s="22" t="s">
        <v>5620</v>
      </c>
      <c r="F2670" s="22" t="s">
        <v>10</v>
      </c>
      <c r="G2670" s="22" t="s">
        <v>11</v>
      </c>
      <c r="H2670" s="22" t="s">
        <v>18</v>
      </c>
      <c r="I2670" s="22" t="s">
        <v>19</v>
      </c>
      <c r="J2670" s="22" t="s">
        <v>5581</v>
      </c>
      <c r="K2670" s="23" t="s">
        <v>5589</v>
      </c>
      <c r="L2670" t="e">
        <f>VLOOKUP(B2670,ubah!$B$2:$L$234,4,FALSE)</f>
        <v>#N/A</v>
      </c>
      <c r="M2670" t="e">
        <f>VLOOKUP(B2670,ubah!$B$2:$L$234,5,FALSE)</f>
        <v>#N/A</v>
      </c>
      <c r="N2670" t="e">
        <f>VLOOKUP(B2670,ubah!$B$2:$L$234,6,FALSE)</f>
        <v>#N/A</v>
      </c>
    </row>
    <row r="2671" spans="1:14" hidden="1" x14ac:dyDescent="0.35">
      <c r="A2671" s="21">
        <v>1977655</v>
      </c>
      <c r="B2671" s="22" t="str">
        <f>"3206366305780001"</f>
        <v>3206366305780001</v>
      </c>
      <c r="C2671" s="22" t="str">
        <f t="shared" si="82"/>
        <v>'3206366305780001</v>
      </c>
      <c r="D2671" s="22" t="str">
        <f t="shared" si="83"/>
        <v>tidak ganda</v>
      </c>
      <c r="E2671" s="22" t="s">
        <v>5623</v>
      </c>
      <c r="F2671" s="22" t="s">
        <v>10</v>
      </c>
      <c r="G2671" s="22" t="s">
        <v>11</v>
      </c>
      <c r="H2671" s="22" t="s">
        <v>18</v>
      </c>
      <c r="I2671" s="22" t="s">
        <v>19</v>
      </c>
      <c r="J2671" s="22" t="s">
        <v>5581</v>
      </c>
      <c r="K2671" s="23" t="s">
        <v>5589</v>
      </c>
      <c r="L2671" t="e">
        <f>VLOOKUP(B2671,ubah!$B$2:$L$234,4,FALSE)</f>
        <v>#N/A</v>
      </c>
      <c r="M2671" t="e">
        <f>VLOOKUP(B2671,ubah!$B$2:$L$234,5,FALSE)</f>
        <v>#N/A</v>
      </c>
      <c r="N2671" t="e">
        <f>VLOOKUP(B2671,ubah!$B$2:$L$234,6,FALSE)</f>
        <v>#N/A</v>
      </c>
    </row>
    <row r="2672" spans="1:14" hidden="1" x14ac:dyDescent="0.35">
      <c r="A2672" s="21">
        <v>1268484</v>
      </c>
      <c r="B2672" s="22" t="str">
        <f>"3209015702000005"</f>
        <v>3209015702000005</v>
      </c>
      <c r="C2672" s="22" t="str">
        <f t="shared" si="82"/>
        <v>'3209015702000005</v>
      </c>
      <c r="D2672" s="22" t="str">
        <f t="shared" si="83"/>
        <v>tidak ganda</v>
      </c>
      <c r="E2672" s="22" t="s">
        <v>5624</v>
      </c>
      <c r="F2672" s="22" t="s">
        <v>10</v>
      </c>
      <c r="G2672" s="22" t="s">
        <v>11</v>
      </c>
      <c r="H2672" s="22" t="s">
        <v>91</v>
      </c>
      <c r="I2672" s="22" t="s">
        <v>985</v>
      </c>
      <c r="J2672" s="22" t="s">
        <v>5625</v>
      </c>
      <c r="K2672" s="23" t="s">
        <v>5626</v>
      </c>
    </row>
    <row r="2673" spans="1:14" hidden="1" x14ac:dyDescent="0.35">
      <c r="A2673" s="21">
        <v>469404</v>
      </c>
      <c r="B2673" s="22" t="str">
        <f>"3209035009990006"</f>
        <v>3209035009990006</v>
      </c>
      <c r="C2673" s="22" t="str">
        <f t="shared" si="82"/>
        <v>'3209035009990006</v>
      </c>
      <c r="D2673" s="22" t="str">
        <f t="shared" si="83"/>
        <v>tidak ganda</v>
      </c>
      <c r="E2673" s="22" t="s">
        <v>5627</v>
      </c>
      <c r="F2673" s="22" t="s">
        <v>10</v>
      </c>
      <c r="G2673" s="22" t="s">
        <v>11</v>
      </c>
      <c r="H2673" s="22" t="s">
        <v>91</v>
      </c>
      <c r="I2673" s="22" t="s">
        <v>985</v>
      </c>
      <c r="J2673" s="22" t="s">
        <v>877</v>
      </c>
      <c r="K2673" s="23" t="s">
        <v>5628</v>
      </c>
    </row>
    <row r="2674" spans="1:14" hidden="1" x14ac:dyDescent="0.35">
      <c r="A2674" s="21">
        <v>1686070</v>
      </c>
      <c r="B2674" s="22" t="str">
        <f>"3211084210020004"</f>
        <v>3211084210020004</v>
      </c>
      <c r="C2674" s="22" t="str">
        <f t="shared" si="82"/>
        <v>'3211084210020004</v>
      </c>
      <c r="D2674" s="22" t="str">
        <f t="shared" si="83"/>
        <v>tidak ganda</v>
      </c>
      <c r="E2674" s="22" t="s">
        <v>5629</v>
      </c>
      <c r="F2674" s="22" t="s">
        <v>10</v>
      </c>
      <c r="G2674" s="22" t="s">
        <v>11</v>
      </c>
      <c r="H2674" s="22" t="s">
        <v>91</v>
      </c>
      <c r="I2674" s="22" t="s">
        <v>1763</v>
      </c>
      <c r="J2674" s="22" t="s">
        <v>4776</v>
      </c>
      <c r="K2674" s="23" t="s">
        <v>5630</v>
      </c>
    </row>
    <row r="2675" spans="1:14" hidden="1" x14ac:dyDescent="0.35">
      <c r="A2675" s="21">
        <v>1140262</v>
      </c>
      <c r="B2675" s="22" t="str">
        <f>"3212040311940001"</f>
        <v>3212040311940001</v>
      </c>
      <c r="C2675" s="22" t="str">
        <f t="shared" si="82"/>
        <v>'3212040311940001</v>
      </c>
      <c r="D2675" s="22" t="str">
        <f t="shared" si="83"/>
        <v>tidak ganda</v>
      </c>
      <c r="E2675" s="22" t="s">
        <v>5631</v>
      </c>
      <c r="F2675" s="22" t="s">
        <v>10</v>
      </c>
      <c r="G2675" s="22" t="s">
        <v>11</v>
      </c>
      <c r="H2675" s="22" t="s">
        <v>91</v>
      </c>
      <c r="I2675" s="22" t="s">
        <v>114</v>
      </c>
      <c r="J2675" s="22" t="s">
        <v>5632</v>
      </c>
      <c r="K2675" s="23" t="s">
        <v>5633</v>
      </c>
    </row>
    <row r="2676" spans="1:14" hidden="1" x14ac:dyDescent="0.35">
      <c r="A2676" s="21">
        <v>2003180</v>
      </c>
      <c r="B2676" s="22" t="str">
        <f>"3213154101960015"</f>
        <v>3213154101960015</v>
      </c>
      <c r="C2676" s="22" t="str">
        <f t="shared" si="82"/>
        <v>'3213154101960015</v>
      </c>
      <c r="D2676" s="22" t="str">
        <f t="shared" si="83"/>
        <v>tidak ganda</v>
      </c>
      <c r="E2676" s="22" t="s">
        <v>5635</v>
      </c>
      <c r="F2676" s="22" t="s">
        <v>10</v>
      </c>
      <c r="G2676" s="22" t="s">
        <v>11</v>
      </c>
      <c r="H2676" s="22" t="s">
        <v>18</v>
      </c>
      <c r="I2676" s="22" t="s">
        <v>19</v>
      </c>
      <c r="J2676" s="22" t="s">
        <v>5581</v>
      </c>
      <c r="K2676" s="23" t="s">
        <v>5581</v>
      </c>
      <c r="L2676" t="e">
        <f>VLOOKUP(B2676,ubah!$B$2:$L$234,4,FALSE)</f>
        <v>#N/A</v>
      </c>
      <c r="M2676" t="e">
        <f>VLOOKUP(B2676,ubah!$B$2:$L$234,5,FALSE)</f>
        <v>#N/A</v>
      </c>
      <c r="N2676" t="e">
        <f>VLOOKUP(B2676,ubah!$B$2:$L$234,6,FALSE)</f>
        <v>#N/A</v>
      </c>
    </row>
    <row r="2677" spans="1:14" hidden="1" x14ac:dyDescent="0.35">
      <c r="A2677" s="21">
        <v>384215</v>
      </c>
      <c r="B2677" s="22" t="str">
        <f>"3275040312630011"</f>
        <v>3275040312630011</v>
      </c>
      <c r="C2677" s="22" t="str">
        <f t="shared" si="82"/>
        <v>'3275040312630011</v>
      </c>
      <c r="D2677" s="22" t="str">
        <f t="shared" si="83"/>
        <v>tidak ganda</v>
      </c>
      <c r="E2677" s="22" t="s">
        <v>5637</v>
      </c>
      <c r="F2677" s="22" t="s">
        <v>10</v>
      </c>
      <c r="G2677" s="22" t="s">
        <v>11</v>
      </c>
      <c r="H2677" s="22" t="s">
        <v>91</v>
      </c>
      <c r="I2677" s="22" t="s">
        <v>159</v>
      </c>
      <c r="J2677" s="22" t="s">
        <v>1332</v>
      </c>
      <c r="K2677" s="23" t="s">
        <v>4360</v>
      </c>
    </row>
    <row r="2678" spans="1:14" hidden="1" x14ac:dyDescent="0.35">
      <c r="A2678" s="21">
        <v>384216</v>
      </c>
      <c r="B2678" s="22" t="str">
        <f>"3275046909640021"</f>
        <v>3275046909640021</v>
      </c>
      <c r="C2678" s="22" t="str">
        <f t="shared" si="82"/>
        <v>'3275046909640021</v>
      </c>
      <c r="D2678" s="22" t="str">
        <f t="shared" si="83"/>
        <v>tidak ganda</v>
      </c>
      <c r="E2678" s="22" t="s">
        <v>5638</v>
      </c>
      <c r="F2678" s="22" t="s">
        <v>10</v>
      </c>
      <c r="G2678" s="22" t="s">
        <v>11</v>
      </c>
      <c r="H2678" s="22" t="s">
        <v>91</v>
      </c>
      <c r="I2678" s="22" t="s">
        <v>159</v>
      </c>
      <c r="J2678" s="22" t="s">
        <v>1332</v>
      </c>
      <c r="K2678" s="23" t="s">
        <v>4360</v>
      </c>
    </row>
    <row r="2679" spans="1:14" hidden="1" x14ac:dyDescent="0.35">
      <c r="A2679" s="21">
        <v>1966303</v>
      </c>
      <c r="B2679" s="22" t="str">
        <f>"3301172409840002"</f>
        <v>3301172409840002</v>
      </c>
      <c r="C2679" s="22" t="str">
        <f t="shared" si="82"/>
        <v>'3301172409840002</v>
      </c>
      <c r="D2679" s="22" t="str">
        <f t="shared" si="83"/>
        <v>tidak ganda</v>
      </c>
      <c r="E2679" s="22" t="s">
        <v>5639</v>
      </c>
      <c r="F2679" s="22" t="s">
        <v>10</v>
      </c>
      <c r="G2679" s="22" t="s">
        <v>11</v>
      </c>
      <c r="H2679" s="22" t="s">
        <v>18</v>
      </c>
      <c r="I2679" s="22" t="s">
        <v>19</v>
      </c>
      <c r="J2679" s="22" t="s">
        <v>5581</v>
      </c>
      <c r="K2679" s="23" t="s">
        <v>5599</v>
      </c>
      <c r="L2679" t="e">
        <f>VLOOKUP(B2679,ubah!$B$2:$L$234,4,FALSE)</f>
        <v>#N/A</v>
      </c>
      <c r="M2679" t="e">
        <f>VLOOKUP(B2679,ubah!$B$2:$L$234,5,FALSE)</f>
        <v>#N/A</v>
      </c>
      <c r="N2679" t="e">
        <f>VLOOKUP(B2679,ubah!$B$2:$L$234,6,FALSE)</f>
        <v>#N/A</v>
      </c>
    </row>
    <row r="2680" spans="1:14" hidden="1" x14ac:dyDescent="0.35">
      <c r="A2680" s="21">
        <v>1962576</v>
      </c>
      <c r="B2680" s="22" t="str">
        <f>"3303140808880002"</f>
        <v>3303140808880002</v>
      </c>
      <c r="C2680" s="22" t="str">
        <f t="shared" si="82"/>
        <v>'3303140808880002</v>
      </c>
      <c r="D2680" s="22" t="str">
        <f t="shared" si="83"/>
        <v>tidak ganda</v>
      </c>
      <c r="E2680" s="22" t="s">
        <v>5642</v>
      </c>
      <c r="F2680" s="22" t="s">
        <v>10</v>
      </c>
      <c r="G2680" s="22" t="s">
        <v>11</v>
      </c>
      <c r="H2680" s="22" t="s">
        <v>18</v>
      </c>
      <c r="I2680" s="22" t="s">
        <v>19</v>
      </c>
      <c r="J2680" s="22" t="s">
        <v>5581</v>
      </c>
      <c r="K2680" s="23" t="s">
        <v>5593</v>
      </c>
      <c r="L2680" t="e">
        <f>VLOOKUP(B2680,ubah!$B$2:$L$234,4,FALSE)</f>
        <v>#N/A</v>
      </c>
      <c r="M2680" t="e">
        <f>VLOOKUP(B2680,ubah!$B$2:$L$234,5,FALSE)</f>
        <v>#N/A</v>
      </c>
      <c r="N2680" t="e">
        <f>VLOOKUP(B2680,ubah!$B$2:$L$234,6,FALSE)</f>
        <v>#N/A</v>
      </c>
    </row>
    <row r="2681" spans="1:14" hidden="1" x14ac:dyDescent="0.35">
      <c r="A2681" s="21">
        <v>1090490</v>
      </c>
      <c r="B2681" s="22" t="str">
        <f>"3326111701850002"</f>
        <v>3326111701850002</v>
      </c>
      <c r="C2681" s="22" t="str">
        <f t="shared" si="82"/>
        <v>'3326111701850002</v>
      </c>
      <c r="D2681" s="22" t="str">
        <f t="shared" si="83"/>
        <v>tidak ganda</v>
      </c>
      <c r="E2681" s="22" t="s">
        <v>5649</v>
      </c>
      <c r="F2681" s="22" t="s">
        <v>10</v>
      </c>
      <c r="G2681" s="22" t="s">
        <v>11</v>
      </c>
      <c r="H2681" s="22" t="s">
        <v>50</v>
      </c>
      <c r="I2681" s="22" t="s">
        <v>51</v>
      </c>
      <c r="J2681" s="22" t="s">
        <v>52</v>
      </c>
      <c r="K2681" s="23" t="s">
        <v>52</v>
      </c>
    </row>
    <row r="2682" spans="1:14" hidden="1" x14ac:dyDescent="0.35">
      <c r="A2682" s="21">
        <v>275405</v>
      </c>
      <c r="B2682" s="22" t="str">
        <f>"3327102801770065"</f>
        <v>3327102801770065</v>
      </c>
      <c r="C2682" s="22" t="str">
        <f t="shared" si="82"/>
        <v>'3327102801770065</v>
      </c>
      <c r="D2682" s="22" t="str">
        <f t="shared" si="83"/>
        <v>tidak ganda</v>
      </c>
      <c r="E2682" s="22" t="s">
        <v>5651</v>
      </c>
      <c r="F2682" s="22" t="s">
        <v>10</v>
      </c>
      <c r="G2682" s="22" t="s">
        <v>11</v>
      </c>
      <c r="H2682" s="22" t="s">
        <v>18</v>
      </c>
      <c r="I2682" s="22" t="s">
        <v>264</v>
      </c>
      <c r="J2682" s="22" t="s">
        <v>330</v>
      </c>
      <c r="K2682" s="23" t="s">
        <v>5652</v>
      </c>
    </row>
    <row r="2683" spans="1:14" hidden="1" x14ac:dyDescent="0.35">
      <c r="A2683" s="21">
        <v>140105</v>
      </c>
      <c r="B2683" s="22" t="str">
        <f>"3328095005870016"</f>
        <v>3328095005870016</v>
      </c>
      <c r="C2683" s="22" t="str">
        <f t="shared" si="82"/>
        <v>'3328095005870016</v>
      </c>
      <c r="D2683" s="22" t="str">
        <f t="shared" si="83"/>
        <v>tidak ganda</v>
      </c>
      <c r="E2683" s="22" t="s">
        <v>5654</v>
      </c>
      <c r="F2683" s="22" t="s">
        <v>10</v>
      </c>
      <c r="G2683" s="22" t="s">
        <v>11</v>
      </c>
      <c r="H2683" s="22" t="s">
        <v>232</v>
      </c>
      <c r="I2683" s="22" t="s">
        <v>642</v>
      </c>
      <c r="J2683" s="22" t="s">
        <v>2600</v>
      </c>
      <c r="K2683" s="23" t="s">
        <v>2601</v>
      </c>
    </row>
    <row r="2684" spans="1:14" hidden="1" x14ac:dyDescent="0.35">
      <c r="A2684" s="21">
        <v>1977654</v>
      </c>
      <c r="B2684" s="22" t="str">
        <f>"3328100903700005"</f>
        <v>3328100903700005</v>
      </c>
      <c r="C2684" s="22" t="str">
        <f t="shared" si="82"/>
        <v>'3328100903700005</v>
      </c>
      <c r="D2684" s="22" t="str">
        <f t="shared" si="83"/>
        <v>tidak ganda</v>
      </c>
      <c r="E2684" s="22" t="s">
        <v>5655</v>
      </c>
      <c r="F2684" s="22" t="s">
        <v>10</v>
      </c>
      <c r="G2684" s="22" t="s">
        <v>11</v>
      </c>
      <c r="H2684" s="22" t="s">
        <v>18</v>
      </c>
      <c r="I2684" s="22" t="s">
        <v>19</v>
      </c>
      <c r="J2684" s="22" t="s">
        <v>5581</v>
      </c>
      <c r="K2684" s="23" t="s">
        <v>5589</v>
      </c>
      <c r="L2684" t="e">
        <f>VLOOKUP(B2684,ubah!$B$2:$L$234,4,FALSE)</f>
        <v>#N/A</v>
      </c>
      <c r="M2684" t="e">
        <f>VLOOKUP(B2684,ubah!$B$2:$L$234,5,FALSE)</f>
        <v>#N/A</v>
      </c>
      <c r="N2684" t="e">
        <f>VLOOKUP(B2684,ubah!$B$2:$L$234,6,FALSE)</f>
        <v>#N/A</v>
      </c>
    </row>
    <row r="2685" spans="1:14" hidden="1" x14ac:dyDescent="0.35">
      <c r="A2685" s="21">
        <v>1600524</v>
      </c>
      <c r="B2685" s="22" t="str">
        <f>"3328180107790033"</f>
        <v>3328180107790033</v>
      </c>
      <c r="C2685" s="22" t="str">
        <f t="shared" si="82"/>
        <v>'3328180107790033</v>
      </c>
      <c r="D2685" s="22" t="str">
        <f t="shared" si="83"/>
        <v>tidak ganda</v>
      </c>
      <c r="E2685" s="22" t="s">
        <v>5657</v>
      </c>
      <c r="F2685" s="22" t="s">
        <v>10</v>
      </c>
      <c r="G2685" s="22" t="s">
        <v>11</v>
      </c>
      <c r="H2685" s="22" t="s">
        <v>44</v>
      </c>
      <c r="I2685" s="22" t="s">
        <v>5214</v>
      </c>
      <c r="J2685" s="22" t="s">
        <v>5658</v>
      </c>
      <c r="K2685" s="23" t="s">
        <v>5659</v>
      </c>
    </row>
    <row r="2686" spans="1:14" hidden="1" x14ac:dyDescent="0.35">
      <c r="A2686" s="21">
        <v>1983522</v>
      </c>
      <c r="B2686" s="22" t="str">
        <f>"3328180107930058"</f>
        <v>3328180107930058</v>
      </c>
      <c r="C2686" s="22" t="str">
        <f t="shared" si="82"/>
        <v>'3328180107930058</v>
      </c>
      <c r="D2686" s="22" t="str">
        <f t="shared" si="83"/>
        <v>ganda</v>
      </c>
      <c r="E2686" s="22" t="s">
        <v>5660</v>
      </c>
      <c r="F2686" s="22" t="s">
        <v>10</v>
      </c>
      <c r="G2686" s="22" t="s">
        <v>11</v>
      </c>
      <c r="H2686" s="22" t="s">
        <v>18</v>
      </c>
      <c r="I2686" s="22" t="s">
        <v>19</v>
      </c>
      <c r="J2686" s="22" t="s">
        <v>5581</v>
      </c>
      <c r="K2686" s="23" t="s">
        <v>5653</v>
      </c>
      <c r="L2686" t="e">
        <f>VLOOKUP(B2686,ubah!$B$2:$L$234,4,FALSE)</f>
        <v>#N/A</v>
      </c>
      <c r="M2686" t="e">
        <f>VLOOKUP(B2686,ubah!$B$2:$L$234,5,FALSE)</f>
        <v>#N/A</v>
      </c>
      <c r="N2686" t="e">
        <f>VLOOKUP(B2686,ubah!$B$2:$L$234,6,FALSE)</f>
        <v>#N/A</v>
      </c>
    </row>
    <row r="2687" spans="1:14" hidden="1" x14ac:dyDescent="0.35">
      <c r="A2687" s="21">
        <v>412095</v>
      </c>
      <c r="B2687" s="22" t="str">
        <f>"3328180107930058"</f>
        <v>3328180107930058</v>
      </c>
      <c r="C2687" s="22" t="str">
        <f t="shared" si="82"/>
        <v>'3328180107930058</v>
      </c>
      <c r="D2687" s="22" t="str">
        <f t="shared" si="83"/>
        <v>ganda</v>
      </c>
      <c r="E2687" s="22" t="s">
        <v>5660</v>
      </c>
      <c r="F2687" s="22" t="s">
        <v>10</v>
      </c>
      <c r="G2687" s="22" t="s">
        <v>57</v>
      </c>
      <c r="H2687" s="22" t="s">
        <v>3068</v>
      </c>
      <c r="I2687" s="22" t="s">
        <v>5530</v>
      </c>
      <c r="J2687" s="22" t="s">
        <v>5531</v>
      </c>
      <c r="K2687" s="23" t="s">
        <v>5532</v>
      </c>
    </row>
    <row r="2688" spans="1:14" hidden="1" x14ac:dyDescent="0.35">
      <c r="A2688" s="21">
        <v>42546</v>
      </c>
      <c r="B2688" s="22" t="str">
        <f>"3328180107980074"</f>
        <v>3328180107980074</v>
      </c>
      <c r="C2688" s="22" t="str">
        <f t="shared" si="82"/>
        <v>'3328180107980074</v>
      </c>
      <c r="D2688" s="22" t="str">
        <f t="shared" si="83"/>
        <v>tidak ganda</v>
      </c>
      <c r="E2688" s="22" t="s">
        <v>5661</v>
      </c>
      <c r="F2688" s="22" t="s">
        <v>10</v>
      </c>
      <c r="G2688" s="22" t="s">
        <v>11</v>
      </c>
      <c r="H2688" s="22" t="s">
        <v>91</v>
      </c>
      <c r="I2688" s="22" t="s">
        <v>114</v>
      </c>
      <c r="J2688" s="22" t="s">
        <v>5662</v>
      </c>
      <c r="K2688" s="23" t="s">
        <v>5663</v>
      </c>
    </row>
    <row r="2689" spans="1:14" hidden="1" x14ac:dyDescent="0.35">
      <c r="A2689" s="21">
        <v>1272715</v>
      </c>
      <c r="B2689" s="22" t="str">
        <f>"3328180205050001"</f>
        <v>3328180205050001</v>
      </c>
      <c r="C2689" s="22" t="str">
        <f t="shared" si="82"/>
        <v>'3328180205050001</v>
      </c>
      <c r="D2689" s="22" t="str">
        <f t="shared" si="83"/>
        <v>tidak ganda</v>
      </c>
      <c r="E2689" s="22" t="s">
        <v>5666</v>
      </c>
      <c r="F2689" s="22" t="s">
        <v>10</v>
      </c>
      <c r="G2689" s="22" t="s">
        <v>11</v>
      </c>
      <c r="H2689" s="22" t="s">
        <v>18</v>
      </c>
      <c r="I2689" s="22" t="s">
        <v>1920</v>
      </c>
      <c r="J2689" s="22" t="s">
        <v>2330</v>
      </c>
      <c r="K2689" s="23" t="s">
        <v>5667</v>
      </c>
    </row>
    <row r="2690" spans="1:14" hidden="1" x14ac:dyDescent="0.35">
      <c r="A2690" s="21">
        <v>1268028</v>
      </c>
      <c r="B2690" s="22" t="str">
        <f>"3328180704810004"</f>
        <v>3328180704810004</v>
      </c>
      <c r="C2690" s="22" t="str">
        <f t="shared" si="82"/>
        <v>'3328180704810004</v>
      </c>
      <c r="D2690" s="22" t="str">
        <f t="shared" si="83"/>
        <v>tidak ganda</v>
      </c>
      <c r="E2690" s="22" t="s">
        <v>5668</v>
      </c>
      <c r="F2690" s="22" t="s">
        <v>10</v>
      </c>
      <c r="G2690" s="22" t="s">
        <v>11</v>
      </c>
      <c r="H2690" s="22" t="s">
        <v>50</v>
      </c>
      <c r="I2690" s="22" t="s">
        <v>86</v>
      </c>
      <c r="J2690" s="22" t="s">
        <v>87</v>
      </c>
      <c r="K2690" s="23" t="s">
        <v>87</v>
      </c>
    </row>
    <row r="2691" spans="1:14" hidden="1" x14ac:dyDescent="0.35">
      <c r="A2691" s="21">
        <v>1957852</v>
      </c>
      <c r="B2691" s="22" t="str">
        <f>"3328180908060004"</f>
        <v>3328180908060004</v>
      </c>
      <c r="C2691" s="22" t="str">
        <f t="shared" ref="C2691:C2754" si="84">"'"&amp;B2691</f>
        <v>'3328180908060004</v>
      </c>
      <c r="D2691" s="22" t="str">
        <f t="shared" ref="D2691:D2754" si="85">IF(COUNTIF($C:$C,C2691)&gt;1,"ganda","tidak ganda")</f>
        <v>ganda</v>
      </c>
      <c r="E2691" s="22" t="s">
        <v>5670</v>
      </c>
      <c r="F2691" s="22" t="s">
        <v>10</v>
      </c>
      <c r="G2691" s="22" t="s">
        <v>11</v>
      </c>
      <c r="H2691" s="22" t="s">
        <v>18</v>
      </c>
      <c r="I2691" s="22" t="s">
        <v>19</v>
      </c>
      <c r="J2691" s="22" t="s">
        <v>5581</v>
      </c>
      <c r="K2691" s="23" t="s">
        <v>5593</v>
      </c>
      <c r="L2691" t="e">
        <f>VLOOKUP(B2691,ubah!$B$2:$L$234,4,FALSE)</f>
        <v>#N/A</v>
      </c>
      <c r="M2691" t="e">
        <f>VLOOKUP(B2691,ubah!$B$2:$L$234,5,FALSE)</f>
        <v>#N/A</v>
      </c>
      <c r="N2691" t="e">
        <f>VLOOKUP(B2691,ubah!$B$2:$L$234,6,FALSE)</f>
        <v>#N/A</v>
      </c>
    </row>
    <row r="2692" spans="1:14" hidden="1" x14ac:dyDescent="0.35">
      <c r="A2692" s="21">
        <v>1392757</v>
      </c>
      <c r="B2692" s="22" t="str">
        <f>"3328180908060004"</f>
        <v>3328180908060004</v>
      </c>
      <c r="C2692" s="22" t="str">
        <f t="shared" si="84"/>
        <v>'3328180908060004</v>
      </c>
      <c r="D2692" s="22" t="str">
        <f t="shared" si="85"/>
        <v>ganda</v>
      </c>
      <c r="E2692" s="22" t="s">
        <v>5670</v>
      </c>
      <c r="F2692" s="22" t="s">
        <v>10</v>
      </c>
      <c r="G2692" s="22" t="s">
        <v>57</v>
      </c>
      <c r="H2692" s="22" t="s">
        <v>303</v>
      </c>
      <c r="I2692" s="22" t="s">
        <v>608</v>
      </c>
      <c r="J2692" s="22" t="s">
        <v>1384</v>
      </c>
      <c r="K2692" s="23" t="s">
        <v>1385</v>
      </c>
    </row>
    <row r="2693" spans="1:14" hidden="1" x14ac:dyDescent="0.35">
      <c r="A2693" s="21">
        <v>2007603</v>
      </c>
      <c r="B2693" s="22" t="str">
        <f>"3328181004730004"</f>
        <v>3328181004730004</v>
      </c>
      <c r="C2693" s="22" t="str">
        <f t="shared" si="84"/>
        <v>'3328181004730004</v>
      </c>
      <c r="D2693" s="22" t="str">
        <f t="shared" si="85"/>
        <v>tidak ganda</v>
      </c>
      <c r="E2693" s="22" t="s">
        <v>1379</v>
      </c>
      <c r="F2693" s="22" t="s">
        <v>10</v>
      </c>
      <c r="G2693" s="22" t="s">
        <v>11</v>
      </c>
      <c r="H2693" s="22" t="s">
        <v>18</v>
      </c>
      <c r="I2693" s="22" t="s">
        <v>19</v>
      </c>
      <c r="J2693" s="22" t="s">
        <v>5581</v>
      </c>
      <c r="K2693" s="23" t="s">
        <v>5609</v>
      </c>
      <c r="L2693" t="e">
        <f>VLOOKUP(B2693,ubah!$B$2:$L$234,4,FALSE)</f>
        <v>#N/A</v>
      </c>
      <c r="M2693" t="e">
        <f>VLOOKUP(B2693,ubah!$B$2:$L$234,5,FALSE)</f>
        <v>#N/A</v>
      </c>
      <c r="N2693" t="e">
        <f>VLOOKUP(B2693,ubah!$B$2:$L$234,6,FALSE)</f>
        <v>#N/A</v>
      </c>
    </row>
    <row r="2694" spans="1:14" hidden="1" x14ac:dyDescent="0.35">
      <c r="A2694" s="21">
        <v>313776</v>
      </c>
      <c r="B2694" s="22" t="str">
        <f>"3328181012810002"</f>
        <v>3328181012810002</v>
      </c>
      <c r="C2694" s="22" t="str">
        <f t="shared" si="84"/>
        <v>'3328181012810002</v>
      </c>
      <c r="D2694" s="22" t="str">
        <f t="shared" si="85"/>
        <v>tidak ganda</v>
      </c>
      <c r="E2694" s="22" t="s">
        <v>5673</v>
      </c>
      <c r="F2694" s="22" t="s">
        <v>10</v>
      </c>
      <c r="G2694" s="22" t="s">
        <v>11</v>
      </c>
      <c r="H2694" s="22" t="s">
        <v>18</v>
      </c>
      <c r="I2694" s="22" t="s">
        <v>268</v>
      </c>
      <c r="J2694" s="22" t="s">
        <v>269</v>
      </c>
      <c r="K2694" s="23" t="s">
        <v>1662</v>
      </c>
    </row>
    <row r="2695" spans="1:14" hidden="1" x14ac:dyDescent="0.35">
      <c r="A2695" s="21">
        <v>1302852</v>
      </c>
      <c r="B2695" s="22" t="str">
        <f>"3328181109980004"</f>
        <v>3328181109980004</v>
      </c>
      <c r="C2695" s="22" t="str">
        <f t="shared" si="84"/>
        <v>'3328181109980004</v>
      </c>
      <c r="D2695" s="22" t="str">
        <f t="shared" si="85"/>
        <v>tidak ganda</v>
      </c>
      <c r="E2695" s="22" t="s">
        <v>5675</v>
      </c>
      <c r="F2695" s="22" t="s">
        <v>10</v>
      </c>
      <c r="G2695" s="22" t="s">
        <v>11</v>
      </c>
      <c r="H2695" s="22" t="s">
        <v>91</v>
      </c>
      <c r="I2695" s="22" t="s">
        <v>92</v>
      </c>
      <c r="J2695" s="22" t="s">
        <v>5676</v>
      </c>
      <c r="K2695" s="23" t="s">
        <v>1050</v>
      </c>
    </row>
    <row r="2696" spans="1:14" hidden="1" x14ac:dyDescent="0.35">
      <c r="A2696" s="21">
        <v>1211259</v>
      </c>
      <c r="B2696" s="22" t="str">
        <f>"3328181211860003"</f>
        <v>3328181211860003</v>
      </c>
      <c r="C2696" s="22" t="str">
        <f t="shared" si="84"/>
        <v>'3328181211860003</v>
      </c>
      <c r="D2696" s="22" t="str">
        <f t="shared" si="85"/>
        <v>tidak ganda</v>
      </c>
      <c r="E2696" s="22" t="s">
        <v>5677</v>
      </c>
      <c r="F2696" s="22" t="s">
        <v>10</v>
      </c>
      <c r="G2696" s="22" t="s">
        <v>11</v>
      </c>
      <c r="H2696" s="22" t="s">
        <v>18</v>
      </c>
      <c r="I2696" s="22" t="s">
        <v>264</v>
      </c>
      <c r="J2696" s="22" t="s">
        <v>265</v>
      </c>
      <c r="K2696" s="23" t="s">
        <v>906</v>
      </c>
    </row>
    <row r="2697" spans="1:14" hidden="1" x14ac:dyDescent="0.35">
      <c r="A2697" s="21">
        <v>1347011</v>
      </c>
      <c r="B2697" s="22" t="str">
        <f>"3328181501970001"</f>
        <v>3328181501970001</v>
      </c>
      <c r="C2697" s="22" t="str">
        <f t="shared" si="84"/>
        <v>'3328181501970001</v>
      </c>
      <c r="D2697" s="22" t="str">
        <f t="shared" si="85"/>
        <v>tidak ganda</v>
      </c>
      <c r="E2697" s="22" t="s">
        <v>5678</v>
      </c>
      <c r="F2697" s="22" t="s">
        <v>10</v>
      </c>
      <c r="G2697" s="22" t="s">
        <v>11</v>
      </c>
      <c r="H2697" s="22" t="s">
        <v>18</v>
      </c>
      <c r="I2697" s="22" t="s">
        <v>264</v>
      </c>
      <c r="J2697" s="22" t="s">
        <v>265</v>
      </c>
      <c r="K2697" s="23" t="s">
        <v>2007</v>
      </c>
    </row>
    <row r="2698" spans="1:14" hidden="1" x14ac:dyDescent="0.35">
      <c r="A2698" s="21">
        <v>1967798</v>
      </c>
      <c r="B2698" s="22" t="str">
        <f>"3328181808900013"</f>
        <v>3328181808900013</v>
      </c>
      <c r="C2698" s="22" t="str">
        <f t="shared" si="84"/>
        <v>'3328181808900013</v>
      </c>
      <c r="D2698" s="22" t="str">
        <f t="shared" si="85"/>
        <v>tidak ganda</v>
      </c>
      <c r="E2698" s="22" t="s">
        <v>5680</v>
      </c>
      <c r="F2698" s="22" t="s">
        <v>10</v>
      </c>
      <c r="G2698" s="22" t="s">
        <v>11</v>
      </c>
      <c r="H2698" s="22" t="s">
        <v>18</v>
      </c>
      <c r="I2698" s="22" t="s">
        <v>19</v>
      </c>
      <c r="J2698" s="22" t="s">
        <v>5581</v>
      </c>
      <c r="K2698" s="23" t="s">
        <v>5599</v>
      </c>
      <c r="L2698" t="e">
        <f>VLOOKUP(B2698,ubah!$B$2:$L$234,4,FALSE)</f>
        <v>#N/A</v>
      </c>
      <c r="M2698" t="e">
        <f>VLOOKUP(B2698,ubah!$B$2:$L$234,5,FALSE)</f>
        <v>#N/A</v>
      </c>
      <c r="N2698" t="e">
        <f>VLOOKUP(B2698,ubah!$B$2:$L$234,6,FALSE)</f>
        <v>#N/A</v>
      </c>
    </row>
    <row r="2699" spans="1:14" hidden="1" x14ac:dyDescent="0.35">
      <c r="A2699" s="21">
        <v>147295</v>
      </c>
      <c r="B2699" s="22" t="str">
        <f>"3328181909920001"</f>
        <v>3328181909920001</v>
      </c>
      <c r="C2699" s="22" t="str">
        <f t="shared" si="84"/>
        <v>'3328181909920001</v>
      </c>
      <c r="D2699" s="22" t="str">
        <f t="shared" si="85"/>
        <v>tidak ganda</v>
      </c>
      <c r="E2699" s="22" t="s">
        <v>5683</v>
      </c>
      <c r="F2699" s="22" t="s">
        <v>10</v>
      </c>
      <c r="G2699" s="22" t="s">
        <v>11</v>
      </c>
      <c r="H2699" s="22" t="s">
        <v>232</v>
      </c>
      <c r="I2699" s="22" t="s">
        <v>3300</v>
      </c>
      <c r="J2699" s="22" t="s">
        <v>3301</v>
      </c>
      <c r="K2699" s="23" t="s">
        <v>5684</v>
      </c>
    </row>
    <row r="2700" spans="1:14" hidden="1" x14ac:dyDescent="0.35">
      <c r="A2700" s="21">
        <v>1978649</v>
      </c>
      <c r="B2700" s="22" t="str">
        <f>"3328182203960001"</f>
        <v>3328182203960001</v>
      </c>
      <c r="C2700" s="22" t="str">
        <f t="shared" si="84"/>
        <v>'3328182203960001</v>
      </c>
      <c r="D2700" s="22" t="str">
        <f t="shared" si="85"/>
        <v>tidak ganda</v>
      </c>
      <c r="E2700" s="22" t="s">
        <v>5685</v>
      </c>
      <c r="F2700" s="22" t="s">
        <v>10</v>
      </c>
      <c r="G2700" s="22" t="s">
        <v>11</v>
      </c>
      <c r="H2700" s="22" t="s">
        <v>18</v>
      </c>
      <c r="I2700" s="22" t="s">
        <v>19</v>
      </c>
      <c r="J2700" s="22" t="s">
        <v>5581</v>
      </c>
      <c r="K2700" s="23" t="s">
        <v>5589</v>
      </c>
      <c r="L2700" t="e">
        <f>VLOOKUP(B2700,ubah!$B$2:$L$234,4,FALSE)</f>
        <v>#N/A</v>
      </c>
      <c r="M2700" t="e">
        <f>VLOOKUP(B2700,ubah!$B$2:$L$234,5,FALSE)</f>
        <v>#N/A</v>
      </c>
      <c r="N2700" t="e">
        <f>VLOOKUP(B2700,ubah!$B$2:$L$234,6,FALSE)</f>
        <v>#N/A</v>
      </c>
    </row>
    <row r="2701" spans="1:14" hidden="1" x14ac:dyDescent="0.35">
      <c r="A2701" s="21">
        <v>256960</v>
      </c>
      <c r="B2701" s="22" t="str">
        <f>"3328182205030005"</f>
        <v>3328182205030005</v>
      </c>
      <c r="C2701" s="22" t="str">
        <f t="shared" si="84"/>
        <v>'3328182205030005</v>
      </c>
      <c r="D2701" s="22" t="str">
        <f t="shared" si="85"/>
        <v>tidak ganda</v>
      </c>
      <c r="E2701" s="22" t="s">
        <v>5686</v>
      </c>
      <c r="F2701" s="22" t="s">
        <v>10</v>
      </c>
      <c r="G2701" s="22" t="s">
        <v>11</v>
      </c>
      <c r="H2701" s="22" t="s">
        <v>18</v>
      </c>
      <c r="I2701" s="22" t="s">
        <v>268</v>
      </c>
      <c r="J2701" s="22" t="s">
        <v>371</v>
      </c>
      <c r="K2701" s="23" t="s">
        <v>497</v>
      </c>
    </row>
    <row r="2702" spans="1:14" hidden="1" x14ac:dyDescent="0.35">
      <c r="A2702" s="21">
        <v>676758</v>
      </c>
      <c r="B2702" s="22" t="str">
        <f>"3328182207950005"</f>
        <v>3328182207950005</v>
      </c>
      <c r="C2702" s="22" t="str">
        <f t="shared" si="84"/>
        <v>'3328182207950005</v>
      </c>
      <c r="D2702" s="22" t="str">
        <f t="shared" si="85"/>
        <v>tidak ganda</v>
      </c>
      <c r="E2702" s="22" t="s">
        <v>5688</v>
      </c>
      <c r="F2702" s="22" t="s">
        <v>10</v>
      </c>
      <c r="G2702" s="22" t="s">
        <v>11</v>
      </c>
      <c r="H2702" s="22" t="s">
        <v>811</v>
      </c>
      <c r="I2702" s="22" t="s">
        <v>812</v>
      </c>
      <c r="J2702" s="22" t="s">
        <v>5591</v>
      </c>
      <c r="K2702" s="23" t="s">
        <v>5592</v>
      </c>
    </row>
    <row r="2703" spans="1:14" hidden="1" x14ac:dyDescent="0.35">
      <c r="A2703" s="21">
        <v>268757</v>
      </c>
      <c r="B2703" s="22" t="str">
        <f>"3328182502900003"</f>
        <v>3328182502900003</v>
      </c>
      <c r="C2703" s="22" t="str">
        <f t="shared" si="84"/>
        <v>'3328182502900003</v>
      </c>
      <c r="D2703" s="22" t="str">
        <f t="shared" si="85"/>
        <v>tidak ganda</v>
      </c>
      <c r="E2703" s="22" t="s">
        <v>5690</v>
      </c>
      <c r="F2703" s="22" t="s">
        <v>10</v>
      </c>
      <c r="G2703" s="22" t="s">
        <v>11</v>
      </c>
      <c r="H2703" s="22" t="s">
        <v>18</v>
      </c>
      <c r="I2703" s="22" t="s">
        <v>264</v>
      </c>
      <c r="J2703" s="22" t="s">
        <v>5691</v>
      </c>
      <c r="K2703" s="23" t="s">
        <v>5692</v>
      </c>
    </row>
    <row r="2704" spans="1:14" hidden="1" x14ac:dyDescent="0.35">
      <c r="A2704" s="21">
        <v>1034811</v>
      </c>
      <c r="B2704" s="22" t="str">
        <f>"3328182506800002"</f>
        <v>3328182506800002</v>
      </c>
      <c r="C2704" s="22" t="str">
        <f t="shared" si="84"/>
        <v>'3328182506800002</v>
      </c>
      <c r="D2704" s="22" t="str">
        <f t="shared" si="85"/>
        <v>tidak ganda</v>
      </c>
      <c r="E2704" s="22" t="s">
        <v>5693</v>
      </c>
      <c r="F2704" s="22" t="s">
        <v>10</v>
      </c>
      <c r="G2704" s="22" t="s">
        <v>11</v>
      </c>
      <c r="H2704" s="22" t="s">
        <v>91</v>
      </c>
      <c r="I2704" s="22" t="s">
        <v>320</v>
      </c>
      <c r="J2704" s="22" t="s">
        <v>409</v>
      </c>
      <c r="K2704" s="23" t="s">
        <v>4860</v>
      </c>
    </row>
    <row r="2705" spans="1:14" hidden="1" x14ac:dyDescent="0.35">
      <c r="A2705" s="21">
        <v>1355616</v>
      </c>
      <c r="B2705" s="22" t="str">
        <f>"3328182507800002"</f>
        <v>3328182507800002</v>
      </c>
      <c r="C2705" s="22" t="str">
        <f t="shared" si="84"/>
        <v>'3328182507800002</v>
      </c>
      <c r="D2705" s="22" t="str">
        <f t="shared" si="85"/>
        <v>tidak ganda</v>
      </c>
      <c r="E2705" s="22" t="s">
        <v>5695</v>
      </c>
      <c r="F2705" s="22" t="s">
        <v>10</v>
      </c>
      <c r="G2705" s="22" t="s">
        <v>11</v>
      </c>
      <c r="H2705" s="22" t="s">
        <v>50</v>
      </c>
      <c r="I2705" s="22" t="s">
        <v>58</v>
      </c>
      <c r="J2705" s="22" t="s">
        <v>417</v>
      </c>
      <c r="K2705" s="23" t="s">
        <v>1131</v>
      </c>
    </row>
    <row r="2706" spans="1:14" hidden="1" x14ac:dyDescent="0.35">
      <c r="A2706" s="21">
        <v>407408</v>
      </c>
      <c r="B2706" s="22" t="str">
        <f>"3328182604850005"</f>
        <v>3328182604850005</v>
      </c>
      <c r="C2706" s="22" t="str">
        <f t="shared" si="84"/>
        <v>'3328182604850005</v>
      </c>
      <c r="D2706" s="22" t="str">
        <f t="shared" si="85"/>
        <v>tidak ganda</v>
      </c>
      <c r="E2706" s="22" t="s">
        <v>5696</v>
      </c>
      <c r="F2706" s="22" t="s">
        <v>10</v>
      </c>
      <c r="G2706" s="22" t="s">
        <v>11</v>
      </c>
      <c r="H2706" s="22" t="s">
        <v>18</v>
      </c>
      <c r="I2706" s="22" t="s">
        <v>268</v>
      </c>
      <c r="J2706" s="22" t="s">
        <v>448</v>
      </c>
      <c r="K2706" s="23" t="s">
        <v>448</v>
      </c>
    </row>
    <row r="2707" spans="1:14" hidden="1" x14ac:dyDescent="0.35">
      <c r="A2707" s="21">
        <v>1974666</v>
      </c>
      <c r="B2707" s="22" t="str">
        <f>"3328182709900003"</f>
        <v>3328182709900003</v>
      </c>
      <c r="C2707" s="22" t="str">
        <f t="shared" si="84"/>
        <v>'3328182709900003</v>
      </c>
      <c r="D2707" s="22" t="str">
        <f t="shared" si="85"/>
        <v>tidak ganda</v>
      </c>
      <c r="E2707" s="22" t="s">
        <v>5698</v>
      </c>
      <c r="F2707" s="22" t="s">
        <v>10</v>
      </c>
      <c r="G2707" s="22" t="s">
        <v>11</v>
      </c>
      <c r="H2707" s="22" t="s">
        <v>18</v>
      </c>
      <c r="I2707" s="22" t="s">
        <v>19</v>
      </c>
      <c r="J2707" s="22" t="s">
        <v>5581</v>
      </c>
      <c r="K2707" s="23" t="s">
        <v>5582</v>
      </c>
      <c r="L2707" t="e">
        <f>VLOOKUP(B2707,ubah!$B$2:$L$234,4,FALSE)</f>
        <v>#N/A</v>
      </c>
      <c r="M2707" t="e">
        <f>VLOOKUP(B2707,ubah!$B$2:$L$234,5,FALSE)</f>
        <v>#N/A</v>
      </c>
      <c r="N2707" t="e">
        <f>VLOOKUP(B2707,ubah!$B$2:$L$234,6,FALSE)</f>
        <v>#N/A</v>
      </c>
    </row>
    <row r="2708" spans="1:14" hidden="1" x14ac:dyDescent="0.35">
      <c r="A2708" s="21">
        <v>1985915</v>
      </c>
      <c r="B2708" s="22" t="str">
        <f>"3328182904990001"</f>
        <v>3328182904990001</v>
      </c>
      <c r="C2708" s="22" t="str">
        <f t="shared" si="84"/>
        <v>'3328182904990001</v>
      </c>
      <c r="D2708" s="22" t="str">
        <f t="shared" si="85"/>
        <v>ganda</v>
      </c>
      <c r="E2708" s="22" t="s">
        <v>5700</v>
      </c>
      <c r="F2708" s="22" t="s">
        <v>10</v>
      </c>
      <c r="G2708" s="22" t="s">
        <v>11</v>
      </c>
      <c r="H2708" s="22" t="s">
        <v>18</v>
      </c>
      <c r="I2708" s="22" t="s">
        <v>19</v>
      </c>
      <c r="J2708" s="22" t="s">
        <v>5581</v>
      </c>
      <c r="K2708" s="23" t="s">
        <v>5653</v>
      </c>
      <c r="L2708" t="e">
        <f>VLOOKUP(B2708,ubah!$B$2:$L$234,4,FALSE)</f>
        <v>#N/A</v>
      </c>
      <c r="M2708" t="e">
        <f>VLOOKUP(B2708,ubah!$B$2:$L$234,5,FALSE)</f>
        <v>#N/A</v>
      </c>
      <c r="N2708" t="e">
        <f>VLOOKUP(B2708,ubah!$B$2:$L$234,6,FALSE)</f>
        <v>#N/A</v>
      </c>
    </row>
    <row r="2709" spans="1:14" hidden="1" x14ac:dyDescent="0.35">
      <c r="A2709" s="21">
        <v>1351203</v>
      </c>
      <c r="B2709" s="22" t="str">
        <f>"3328182904990001"</f>
        <v>3328182904990001</v>
      </c>
      <c r="C2709" s="22" t="str">
        <f t="shared" si="84"/>
        <v>'3328182904990001</v>
      </c>
      <c r="D2709" s="22" t="str">
        <f t="shared" si="85"/>
        <v>ganda</v>
      </c>
      <c r="E2709" s="22" t="s">
        <v>5700</v>
      </c>
      <c r="F2709" s="22" t="s">
        <v>10</v>
      </c>
      <c r="G2709" s="22" t="s">
        <v>57</v>
      </c>
      <c r="H2709" s="22" t="s">
        <v>303</v>
      </c>
      <c r="I2709" s="22" t="s">
        <v>608</v>
      </c>
      <c r="J2709" s="22" t="s">
        <v>609</v>
      </c>
      <c r="K2709" s="23" t="s">
        <v>610</v>
      </c>
    </row>
    <row r="2710" spans="1:14" hidden="1" x14ac:dyDescent="0.35">
      <c r="A2710" s="21">
        <v>1215493</v>
      </c>
      <c r="B2710" s="22" t="str">
        <f>"3328183107830001"</f>
        <v>3328183107830001</v>
      </c>
      <c r="C2710" s="22" t="str">
        <f t="shared" si="84"/>
        <v>'3328183107830001</v>
      </c>
      <c r="D2710" s="22" t="str">
        <f t="shared" si="85"/>
        <v>tidak ganda</v>
      </c>
      <c r="E2710" s="22" t="s">
        <v>5701</v>
      </c>
      <c r="F2710" s="22" t="s">
        <v>10</v>
      </c>
      <c r="G2710" s="22" t="s">
        <v>11</v>
      </c>
      <c r="H2710" s="22" t="s">
        <v>18</v>
      </c>
      <c r="I2710" s="22" t="s">
        <v>264</v>
      </c>
      <c r="J2710" s="22" t="s">
        <v>265</v>
      </c>
      <c r="K2710" s="23" t="s">
        <v>1910</v>
      </c>
    </row>
    <row r="2711" spans="1:14" hidden="1" x14ac:dyDescent="0.35">
      <c r="A2711" s="21">
        <v>1962577</v>
      </c>
      <c r="B2711" s="22" t="str">
        <f>"3328184107870145"</f>
        <v>3328184107870145</v>
      </c>
      <c r="C2711" s="22" t="str">
        <f t="shared" si="84"/>
        <v>'3328184107870145</v>
      </c>
      <c r="D2711" s="22" t="str">
        <f t="shared" si="85"/>
        <v>tidak ganda</v>
      </c>
      <c r="E2711" s="22" t="s">
        <v>5702</v>
      </c>
      <c r="F2711" s="22" t="s">
        <v>10</v>
      </c>
      <c r="G2711" s="22" t="s">
        <v>11</v>
      </c>
      <c r="H2711" s="22" t="s">
        <v>18</v>
      </c>
      <c r="I2711" s="22" t="s">
        <v>19</v>
      </c>
      <c r="J2711" s="22" t="s">
        <v>5581</v>
      </c>
      <c r="K2711" s="23" t="s">
        <v>5593</v>
      </c>
      <c r="L2711" t="e">
        <f>VLOOKUP(B2711,ubah!$B$2:$L$234,4,FALSE)</f>
        <v>#N/A</v>
      </c>
      <c r="M2711" t="e">
        <f>VLOOKUP(B2711,ubah!$B$2:$L$234,5,FALSE)</f>
        <v>#N/A</v>
      </c>
      <c r="N2711" t="e">
        <f>VLOOKUP(B2711,ubah!$B$2:$L$234,6,FALSE)</f>
        <v>#N/A</v>
      </c>
    </row>
    <row r="2712" spans="1:14" hidden="1" x14ac:dyDescent="0.35">
      <c r="A2712" s="21">
        <v>1983217</v>
      </c>
      <c r="B2712" s="22" t="str">
        <f>"3328184202770003"</f>
        <v>3328184202770003</v>
      </c>
      <c r="C2712" s="22" t="str">
        <f t="shared" si="84"/>
        <v>'3328184202770003</v>
      </c>
      <c r="D2712" s="22" t="str">
        <f t="shared" si="85"/>
        <v>tidak ganda</v>
      </c>
      <c r="E2712" s="22" t="s">
        <v>5703</v>
      </c>
      <c r="F2712" s="22" t="s">
        <v>10</v>
      </c>
      <c r="G2712" s="22" t="s">
        <v>11</v>
      </c>
      <c r="H2712" s="22" t="s">
        <v>18</v>
      </c>
      <c r="I2712" s="22" t="s">
        <v>19</v>
      </c>
      <c r="J2712" s="22" t="s">
        <v>5581</v>
      </c>
      <c r="K2712" s="23" t="s">
        <v>5653</v>
      </c>
      <c r="L2712" t="e">
        <f>VLOOKUP(B2712,ubah!$B$2:$L$234,4,FALSE)</f>
        <v>#N/A</v>
      </c>
      <c r="M2712" t="e">
        <f>VLOOKUP(B2712,ubah!$B$2:$L$234,5,FALSE)</f>
        <v>#N/A</v>
      </c>
      <c r="N2712" t="e">
        <f>VLOOKUP(B2712,ubah!$B$2:$L$234,6,FALSE)</f>
        <v>#N/A</v>
      </c>
    </row>
    <row r="2713" spans="1:14" hidden="1" x14ac:dyDescent="0.35">
      <c r="A2713" s="21">
        <v>208731</v>
      </c>
      <c r="B2713" s="22" t="str">
        <f>"3328184203040001"</f>
        <v>3328184203040001</v>
      </c>
      <c r="C2713" s="22" t="str">
        <f t="shared" si="84"/>
        <v>'3328184203040001</v>
      </c>
      <c r="D2713" s="22" t="str">
        <f t="shared" si="85"/>
        <v>tidak ganda</v>
      </c>
      <c r="E2713" s="22" t="s">
        <v>5705</v>
      </c>
      <c r="F2713" s="22" t="s">
        <v>10</v>
      </c>
      <c r="G2713" s="22" t="s">
        <v>11</v>
      </c>
      <c r="H2713" s="22" t="s">
        <v>5706</v>
      </c>
      <c r="I2713" s="22" t="s">
        <v>5707</v>
      </c>
      <c r="J2713" s="22" t="s">
        <v>5707</v>
      </c>
      <c r="K2713" s="23" t="s">
        <v>5708</v>
      </c>
    </row>
    <row r="2714" spans="1:14" hidden="1" x14ac:dyDescent="0.35">
      <c r="A2714" s="21">
        <v>1951410</v>
      </c>
      <c r="B2714" s="22" t="str">
        <f>"3328184301930006"</f>
        <v>3328184301930006</v>
      </c>
      <c r="C2714" s="22" t="str">
        <f t="shared" si="84"/>
        <v>'3328184301930006</v>
      </c>
      <c r="D2714" s="22" t="str">
        <f t="shared" si="85"/>
        <v>tidak ganda</v>
      </c>
      <c r="E2714" s="22" t="s">
        <v>5709</v>
      </c>
      <c r="F2714" s="22" t="s">
        <v>10</v>
      </c>
      <c r="G2714" s="22" t="s">
        <v>11</v>
      </c>
      <c r="H2714" s="22" t="s">
        <v>18</v>
      </c>
      <c r="I2714" s="22" t="s">
        <v>19</v>
      </c>
      <c r="J2714" s="22" t="s">
        <v>5581</v>
      </c>
      <c r="K2714" s="23" t="s">
        <v>5611</v>
      </c>
      <c r="L2714" t="e">
        <f>VLOOKUP(B2714,ubah!$B$2:$L$234,4,FALSE)</f>
        <v>#N/A</v>
      </c>
      <c r="M2714" t="e">
        <f>VLOOKUP(B2714,ubah!$B$2:$L$234,5,FALSE)</f>
        <v>#N/A</v>
      </c>
      <c r="N2714" t="e">
        <f>VLOOKUP(B2714,ubah!$B$2:$L$234,6,FALSE)</f>
        <v>#N/A</v>
      </c>
    </row>
    <row r="2715" spans="1:14" hidden="1" x14ac:dyDescent="0.35">
      <c r="A2715" s="21">
        <v>158554</v>
      </c>
      <c r="B2715" s="22" t="str">
        <f>"3328184804950003"</f>
        <v>3328184804950003</v>
      </c>
      <c r="C2715" s="22" t="str">
        <f t="shared" si="84"/>
        <v>'3328184804950003</v>
      </c>
      <c r="D2715" s="22" t="str">
        <f t="shared" si="85"/>
        <v>tidak ganda</v>
      </c>
      <c r="E2715" s="22" t="s">
        <v>5713</v>
      </c>
      <c r="F2715" s="22" t="s">
        <v>10</v>
      </c>
      <c r="G2715" s="22" t="s">
        <v>11</v>
      </c>
      <c r="H2715" s="22" t="s">
        <v>18</v>
      </c>
      <c r="I2715" s="22" t="s">
        <v>392</v>
      </c>
      <c r="J2715" s="22" t="s">
        <v>581</v>
      </c>
      <c r="K2715" s="23" t="s">
        <v>5714</v>
      </c>
    </row>
    <row r="2716" spans="1:14" hidden="1" x14ac:dyDescent="0.35">
      <c r="A2716" s="21">
        <v>1355617</v>
      </c>
      <c r="B2716" s="22" t="str">
        <f>"3328184905890003"</f>
        <v>3328184905890003</v>
      </c>
      <c r="C2716" s="22" t="str">
        <f t="shared" si="84"/>
        <v>'3328184905890003</v>
      </c>
      <c r="D2716" s="22" t="str">
        <f t="shared" si="85"/>
        <v>tidak ganda</v>
      </c>
      <c r="E2716" s="22" t="s">
        <v>5715</v>
      </c>
      <c r="F2716" s="22" t="s">
        <v>10</v>
      </c>
      <c r="G2716" s="22" t="s">
        <v>11</v>
      </c>
      <c r="H2716" s="22" t="s">
        <v>50</v>
      </c>
      <c r="I2716" s="22" t="s">
        <v>58</v>
      </c>
      <c r="J2716" s="22" t="s">
        <v>417</v>
      </c>
      <c r="K2716" s="23" t="s">
        <v>1131</v>
      </c>
    </row>
    <row r="2717" spans="1:14" hidden="1" x14ac:dyDescent="0.35">
      <c r="A2717" s="21">
        <v>1978460</v>
      </c>
      <c r="B2717" s="22" t="str">
        <f>"3328184907730001"</f>
        <v>3328184907730001</v>
      </c>
      <c r="C2717" s="22" t="str">
        <f t="shared" si="84"/>
        <v>'3328184907730001</v>
      </c>
      <c r="D2717" s="22" t="str">
        <f t="shared" si="85"/>
        <v>ganda</v>
      </c>
      <c r="E2717" s="22" t="s">
        <v>5716</v>
      </c>
      <c r="F2717" s="22" t="s">
        <v>10</v>
      </c>
      <c r="G2717" s="22" t="s">
        <v>11</v>
      </c>
      <c r="H2717" s="22" t="s">
        <v>18</v>
      </c>
      <c r="I2717" s="22" t="s">
        <v>19</v>
      </c>
      <c r="J2717" s="22" t="s">
        <v>5581</v>
      </c>
      <c r="K2717" s="23" t="s">
        <v>5589</v>
      </c>
      <c r="L2717" t="e">
        <f>VLOOKUP(B2717,ubah!$B$2:$L$234,4,FALSE)</f>
        <v>#N/A</v>
      </c>
      <c r="M2717" t="e">
        <f>VLOOKUP(B2717,ubah!$B$2:$L$234,5,FALSE)</f>
        <v>#N/A</v>
      </c>
      <c r="N2717" t="e">
        <f>VLOOKUP(B2717,ubah!$B$2:$L$234,6,FALSE)</f>
        <v>#N/A</v>
      </c>
    </row>
    <row r="2718" spans="1:14" hidden="1" x14ac:dyDescent="0.35">
      <c r="A2718" s="21">
        <v>2662255</v>
      </c>
      <c r="B2718" s="22" t="str">
        <f>"3328184907730001"</f>
        <v>3328184907730001</v>
      </c>
      <c r="C2718" s="22" t="str">
        <f t="shared" si="84"/>
        <v>'3328184907730001</v>
      </c>
      <c r="D2718" s="22" t="str">
        <f t="shared" si="85"/>
        <v>ganda</v>
      </c>
      <c r="E2718" s="22" t="s">
        <v>5716</v>
      </c>
      <c r="F2718" s="22" t="s">
        <v>10</v>
      </c>
      <c r="G2718" s="22" t="s">
        <v>57</v>
      </c>
      <c r="H2718" s="22" t="s">
        <v>18</v>
      </c>
      <c r="I2718" s="22" t="s">
        <v>199</v>
      </c>
      <c r="J2718" s="22" t="s">
        <v>208</v>
      </c>
      <c r="K2718" s="23" t="s">
        <v>209</v>
      </c>
    </row>
    <row r="2719" spans="1:14" hidden="1" x14ac:dyDescent="0.35">
      <c r="A2719" s="21">
        <v>1214307</v>
      </c>
      <c r="B2719" s="22" t="str">
        <f>"3328185006980001"</f>
        <v>3328185006980001</v>
      </c>
      <c r="C2719" s="22" t="str">
        <f t="shared" si="84"/>
        <v>'3328185006980001</v>
      </c>
      <c r="D2719" s="22" t="str">
        <f t="shared" si="85"/>
        <v>tidak ganda</v>
      </c>
      <c r="E2719" s="22" t="s">
        <v>5717</v>
      </c>
      <c r="F2719" s="22" t="s">
        <v>10</v>
      </c>
      <c r="G2719" s="22" t="s">
        <v>11</v>
      </c>
      <c r="H2719" s="22" t="s">
        <v>18</v>
      </c>
      <c r="I2719" s="22" t="s">
        <v>264</v>
      </c>
      <c r="J2719" s="22" t="s">
        <v>265</v>
      </c>
      <c r="K2719" s="23" t="s">
        <v>1910</v>
      </c>
    </row>
    <row r="2720" spans="1:14" hidden="1" x14ac:dyDescent="0.35">
      <c r="A2720" s="21">
        <v>1111941</v>
      </c>
      <c r="B2720" s="22" t="str">
        <f>"3328185006990004"</f>
        <v>3328185006990004</v>
      </c>
      <c r="C2720" s="22" t="str">
        <f t="shared" si="84"/>
        <v>'3328185006990004</v>
      </c>
      <c r="D2720" s="22" t="str">
        <f t="shared" si="85"/>
        <v>tidak ganda</v>
      </c>
      <c r="E2720" s="22" t="s">
        <v>5719</v>
      </c>
      <c r="F2720" s="22" t="s">
        <v>10</v>
      </c>
      <c r="G2720" s="22" t="s">
        <v>11</v>
      </c>
      <c r="H2720" s="22" t="s">
        <v>954</v>
      </c>
      <c r="I2720" s="22" t="s">
        <v>1024</v>
      </c>
      <c r="J2720" s="22" t="s">
        <v>5720</v>
      </c>
      <c r="K2720" s="23" t="s">
        <v>5721</v>
      </c>
    </row>
    <row r="2721" spans="1:14" hidden="1" x14ac:dyDescent="0.35">
      <c r="A2721" s="21">
        <v>1950172</v>
      </c>
      <c r="B2721" s="22" t="str">
        <f>"3328185104050002"</f>
        <v>3328185104050002</v>
      </c>
      <c r="C2721" s="22" t="str">
        <f t="shared" si="84"/>
        <v>'3328185104050002</v>
      </c>
      <c r="D2721" s="22" t="str">
        <f t="shared" si="85"/>
        <v>tidak ganda</v>
      </c>
      <c r="E2721" s="22" t="s">
        <v>5723</v>
      </c>
      <c r="F2721" s="22" t="s">
        <v>10</v>
      </c>
      <c r="G2721" s="22" t="s">
        <v>11</v>
      </c>
      <c r="H2721" s="22" t="s">
        <v>18</v>
      </c>
      <c r="I2721" s="22" t="s">
        <v>19</v>
      </c>
      <c r="J2721" s="22" t="s">
        <v>5581</v>
      </c>
      <c r="K2721" s="23" t="s">
        <v>5611</v>
      </c>
      <c r="L2721" t="e">
        <f>VLOOKUP(B2721,ubah!$B$2:$L$234,4,FALSE)</f>
        <v>#N/A</v>
      </c>
      <c r="M2721" t="e">
        <f>VLOOKUP(B2721,ubah!$B$2:$L$234,5,FALSE)</f>
        <v>#N/A</v>
      </c>
      <c r="N2721" t="e">
        <f>VLOOKUP(B2721,ubah!$B$2:$L$234,6,FALSE)</f>
        <v>#N/A</v>
      </c>
    </row>
    <row r="2722" spans="1:14" hidden="1" x14ac:dyDescent="0.35">
      <c r="A2722" s="21">
        <v>1581770</v>
      </c>
      <c r="B2722" s="22" t="str">
        <f>"3328185212780002"</f>
        <v>3328185212780002</v>
      </c>
      <c r="C2722" s="22" t="str">
        <f t="shared" si="84"/>
        <v>'3328185212780002</v>
      </c>
      <c r="D2722" s="22" t="str">
        <f t="shared" si="85"/>
        <v>tidak ganda</v>
      </c>
      <c r="E2722" s="22" t="s">
        <v>5725</v>
      </c>
      <c r="F2722" s="22" t="s">
        <v>10</v>
      </c>
      <c r="G2722" s="22" t="s">
        <v>11</v>
      </c>
      <c r="H2722" s="22" t="s">
        <v>91</v>
      </c>
      <c r="I2722" s="22" t="s">
        <v>159</v>
      </c>
      <c r="J2722" s="22" t="s">
        <v>685</v>
      </c>
      <c r="K2722" s="23" t="s">
        <v>1773</v>
      </c>
    </row>
    <row r="2723" spans="1:14" hidden="1" x14ac:dyDescent="0.35">
      <c r="A2723" s="21">
        <v>2670100</v>
      </c>
      <c r="B2723" s="22" t="str">
        <f>"3328185212850002"</f>
        <v>3328185212850002</v>
      </c>
      <c r="C2723" s="22" t="str">
        <f t="shared" si="84"/>
        <v>'3328185212850002</v>
      </c>
      <c r="D2723" s="22" t="str">
        <f t="shared" si="85"/>
        <v>tidak ganda</v>
      </c>
      <c r="E2723" s="22" t="s">
        <v>5726</v>
      </c>
      <c r="F2723" s="22" t="s">
        <v>10</v>
      </c>
      <c r="G2723" s="22" t="s">
        <v>11</v>
      </c>
      <c r="H2723" s="22" t="s">
        <v>67</v>
      </c>
      <c r="I2723" s="22" t="s">
        <v>512</v>
      </c>
      <c r="J2723" s="22" t="s">
        <v>290</v>
      </c>
      <c r="K2723" s="23" t="s">
        <v>5727</v>
      </c>
    </row>
    <row r="2724" spans="1:14" hidden="1" x14ac:dyDescent="0.35">
      <c r="A2724" s="21">
        <v>1236048</v>
      </c>
      <c r="B2724" s="22" t="str">
        <f>"3328185310870002"</f>
        <v>3328185310870002</v>
      </c>
      <c r="C2724" s="22" t="str">
        <f t="shared" si="84"/>
        <v>'3328185310870002</v>
      </c>
      <c r="D2724" s="22" t="str">
        <f t="shared" si="85"/>
        <v>tidak ganda</v>
      </c>
      <c r="E2724" s="22" t="s">
        <v>5731</v>
      </c>
      <c r="F2724" s="22" t="s">
        <v>10</v>
      </c>
      <c r="G2724" s="22" t="s">
        <v>11</v>
      </c>
      <c r="H2724" s="22" t="s">
        <v>18</v>
      </c>
      <c r="I2724" s="22" t="s">
        <v>264</v>
      </c>
      <c r="J2724" s="22" t="s">
        <v>265</v>
      </c>
      <c r="K2724" s="23" t="s">
        <v>982</v>
      </c>
    </row>
    <row r="2725" spans="1:14" hidden="1" x14ac:dyDescent="0.35">
      <c r="A2725" s="21">
        <v>1958399</v>
      </c>
      <c r="B2725" s="22" t="str">
        <f>"3328185406790001"</f>
        <v>3328185406790001</v>
      </c>
      <c r="C2725" s="22" t="str">
        <f t="shared" si="84"/>
        <v>'3328185406790001</v>
      </c>
      <c r="D2725" s="22" t="str">
        <f t="shared" si="85"/>
        <v>ganda</v>
      </c>
      <c r="E2725" s="22" t="s">
        <v>5732</v>
      </c>
      <c r="F2725" s="22" t="s">
        <v>10</v>
      </c>
      <c r="G2725" s="22" t="s">
        <v>11</v>
      </c>
      <c r="H2725" s="22" t="s">
        <v>18</v>
      </c>
      <c r="I2725" s="22" t="s">
        <v>19</v>
      </c>
      <c r="J2725" s="22" t="s">
        <v>5581</v>
      </c>
      <c r="K2725" s="23" t="s">
        <v>5593</v>
      </c>
      <c r="L2725" t="e">
        <f>VLOOKUP(B2725,ubah!$B$2:$L$234,4,FALSE)</f>
        <v>#N/A</v>
      </c>
      <c r="M2725" t="e">
        <f>VLOOKUP(B2725,ubah!$B$2:$L$234,5,FALSE)</f>
        <v>#N/A</v>
      </c>
      <c r="N2725" t="e">
        <f>VLOOKUP(B2725,ubah!$B$2:$L$234,6,FALSE)</f>
        <v>#N/A</v>
      </c>
    </row>
    <row r="2726" spans="1:14" hidden="1" x14ac:dyDescent="0.35">
      <c r="A2726" s="21">
        <v>2618367</v>
      </c>
      <c r="B2726" s="22" t="str">
        <f>"3328185406790001"</f>
        <v>3328185406790001</v>
      </c>
      <c r="C2726" s="22" t="str">
        <f t="shared" si="84"/>
        <v>'3328185406790001</v>
      </c>
      <c r="D2726" s="22" t="str">
        <f t="shared" si="85"/>
        <v>ganda</v>
      </c>
      <c r="E2726" s="22" t="s">
        <v>5733</v>
      </c>
      <c r="F2726" s="22" t="s">
        <v>10</v>
      </c>
      <c r="G2726" s="22" t="s">
        <v>57</v>
      </c>
      <c r="H2726" s="22" t="s">
        <v>18</v>
      </c>
      <c r="I2726" s="22" t="s">
        <v>1438</v>
      </c>
      <c r="J2726" s="22" t="s">
        <v>2976</v>
      </c>
      <c r="K2726" s="23" t="s">
        <v>2977</v>
      </c>
    </row>
    <row r="2727" spans="1:14" hidden="1" x14ac:dyDescent="0.35">
      <c r="A2727" s="21">
        <v>1238720</v>
      </c>
      <c r="B2727" s="22" t="str">
        <f>"3328185508000001"</f>
        <v>3328185508000001</v>
      </c>
      <c r="C2727" s="22" t="str">
        <f t="shared" si="84"/>
        <v>'3328185508000001</v>
      </c>
      <c r="D2727" s="22" t="str">
        <f t="shared" si="85"/>
        <v>tidak ganda</v>
      </c>
      <c r="E2727" s="22" t="s">
        <v>5734</v>
      </c>
      <c r="F2727" s="22" t="s">
        <v>10</v>
      </c>
      <c r="G2727" s="22" t="s">
        <v>11</v>
      </c>
      <c r="H2727" s="22" t="s">
        <v>50</v>
      </c>
      <c r="I2727" s="22" t="s">
        <v>72</v>
      </c>
      <c r="J2727" s="22" t="s">
        <v>803</v>
      </c>
      <c r="K2727" s="23" t="s">
        <v>2864</v>
      </c>
    </row>
    <row r="2728" spans="1:14" hidden="1" x14ac:dyDescent="0.35">
      <c r="A2728" s="21">
        <v>1818327</v>
      </c>
      <c r="B2728" s="22" t="str">
        <f>"3328185508000004"</f>
        <v>3328185508000004</v>
      </c>
      <c r="C2728" s="22" t="str">
        <f t="shared" si="84"/>
        <v>'3328185508000004</v>
      </c>
      <c r="D2728" s="22" t="str">
        <f t="shared" si="85"/>
        <v>tidak ganda</v>
      </c>
      <c r="E2728" s="22" t="s">
        <v>5737</v>
      </c>
      <c r="F2728" s="22" t="s">
        <v>10</v>
      </c>
      <c r="G2728" s="22" t="s">
        <v>11</v>
      </c>
      <c r="H2728" s="22" t="s">
        <v>50</v>
      </c>
      <c r="I2728" s="22" t="s">
        <v>58</v>
      </c>
      <c r="J2728" s="22" t="s">
        <v>97</v>
      </c>
      <c r="K2728" s="23" t="s">
        <v>97</v>
      </c>
    </row>
    <row r="2729" spans="1:14" hidden="1" x14ac:dyDescent="0.35">
      <c r="A2729" s="21">
        <v>1214437</v>
      </c>
      <c r="B2729" s="22" t="str">
        <f>"3328185701830003"</f>
        <v>3328185701830003</v>
      </c>
      <c r="C2729" s="22" t="str">
        <f t="shared" si="84"/>
        <v>'3328185701830003</v>
      </c>
      <c r="D2729" s="22" t="str">
        <f t="shared" si="85"/>
        <v>tidak ganda</v>
      </c>
      <c r="E2729" s="22" t="s">
        <v>450</v>
      </c>
      <c r="F2729" s="22" t="s">
        <v>10</v>
      </c>
      <c r="G2729" s="22" t="s">
        <v>11</v>
      </c>
      <c r="H2729" s="22" t="s">
        <v>18</v>
      </c>
      <c r="I2729" s="22" t="s">
        <v>264</v>
      </c>
      <c r="J2729" s="22" t="s">
        <v>265</v>
      </c>
      <c r="K2729" s="23" t="s">
        <v>1910</v>
      </c>
    </row>
    <row r="2730" spans="1:14" hidden="1" x14ac:dyDescent="0.35">
      <c r="A2730" s="21">
        <v>1216939</v>
      </c>
      <c r="B2730" s="22" t="str">
        <f>"3328185712840003"</f>
        <v>3328185712840003</v>
      </c>
      <c r="C2730" s="22" t="str">
        <f t="shared" si="84"/>
        <v>'3328185712840003</v>
      </c>
      <c r="D2730" s="22" t="str">
        <f t="shared" si="85"/>
        <v>tidak ganda</v>
      </c>
      <c r="E2730" s="22" t="s">
        <v>5738</v>
      </c>
      <c r="F2730" s="22" t="s">
        <v>10</v>
      </c>
      <c r="G2730" s="22" t="s">
        <v>11</v>
      </c>
      <c r="H2730" s="22" t="s">
        <v>50</v>
      </c>
      <c r="I2730" s="22" t="s">
        <v>72</v>
      </c>
      <c r="J2730" s="22" t="s">
        <v>803</v>
      </c>
      <c r="K2730" s="23" t="s">
        <v>2246</v>
      </c>
    </row>
    <row r="2731" spans="1:14" hidden="1" x14ac:dyDescent="0.35">
      <c r="A2731" s="21">
        <v>1051742</v>
      </c>
      <c r="B2731" s="22" t="str">
        <f>"3328185801050004"</f>
        <v>3328185801050004</v>
      </c>
      <c r="C2731" s="22" t="str">
        <f t="shared" si="84"/>
        <v>'3328185801050004</v>
      </c>
      <c r="D2731" s="22" t="str">
        <f t="shared" si="85"/>
        <v>tidak ganda</v>
      </c>
      <c r="E2731" s="22" t="s">
        <v>5739</v>
      </c>
      <c r="F2731" s="22" t="s">
        <v>10</v>
      </c>
      <c r="G2731" s="22" t="s">
        <v>11</v>
      </c>
      <c r="H2731" s="22" t="s">
        <v>50</v>
      </c>
      <c r="I2731" s="22" t="s">
        <v>58</v>
      </c>
      <c r="J2731" s="22" t="s">
        <v>1747</v>
      </c>
      <c r="K2731" s="23" t="s">
        <v>5740</v>
      </c>
    </row>
    <row r="2732" spans="1:14" hidden="1" x14ac:dyDescent="0.35">
      <c r="A2732" s="21">
        <v>1392829</v>
      </c>
      <c r="B2732" s="22" t="str">
        <f>"3328186702060003"</f>
        <v>3328186702060003</v>
      </c>
      <c r="C2732" s="22" t="str">
        <f t="shared" si="84"/>
        <v>'3328186702060003</v>
      </c>
      <c r="D2732" s="22" t="str">
        <f t="shared" si="85"/>
        <v>tidak ganda</v>
      </c>
      <c r="E2732" s="22" t="s">
        <v>5742</v>
      </c>
      <c r="F2732" s="22" t="s">
        <v>10</v>
      </c>
      <c r="G2732" s="22" t="s">
        <v>57</v>
      </c>
      <c r="H2732" s="22" t="s">
        <v>303</v>
      </c>
      <c r="I2732" s="22" t="s">
        <v>608</v>
      </c>
      <c r="J2732" s="22" t="s">
        <v>1384</v>
      </c>
      <c r="K2732" s="23" t="s">
        <v>1385</v>
      </c>
    </row>
    <row r="2733" spans="1:14" hidden="1" x14ac:dyDescent="0.35">
      <c r="A2733" s="21">
        <v>1977253</v>
      </c>
      <c r="B2733" s="22" t="str">
        <f>"3328187107720005"</f>
        <v>3328187107720005</v>
      </c>
      <c r="C2733" s="22" t="str">
        <f t="shared" si="84"/>
        <v>'3328187107720005</v>
      </c>
      <c r="D2733" s="22" t="str">
        <f t="shared" si="85"/>
        <v>ganda</v>
      </c>
      <c r="E2733" s="22" t="s">
        <v>5743</v>
      </c>
      <c r="F2733" s="22" t="s">
        <v>10</v>
      </c>
      <c r="G2733" s="22" t="s">
        <v>11</v>
      </c>
      <c r="H2733" s="22" t="s">
        <v>18</v>
      </c>
      <c r="I2733" s="22" t="s">
        <v>19</v>
      </c>
      <c r="J2733" s="22" t="s">
        <v>5581</v>
      </c>
      <c r="K2733" s="23" t="s">
        <v>5589</v>
      </c>
      <c r="L2733" t="e">
        <f>VLOOKUP(B2733,ubah!$B$2:$L$234,4,FALSE)</f>
        <v>#N/A</v>
      </c>
      <c r="M2733" t="e">
        <f>VLOOKUP(B2733,ubah!$B$2:$L$234,5,FALSE)</f>
        <v>#N/A</v>
      </c>
      <c r="N2733" t="e">
        <f>VLOOKUP(B2733,ubah!$B$2:$L$234,6,FALSE)</f>
        <v>#N/A</v>
      </c>
    </row>
    <row r="2734" spans="1:14" hidden="1" x14ac:dyDescent="0.35">
      <c r="A2734" s="21">
        <v>2618371</v>
      </c>
      <c r="B2734" s="22" t="str">
        <f>"3328187107720005"</f>
        <v>3328187107720005</v>
      </c>
      <c r="C2734" s="22" t="str">
        <f t="shared" si="84"/>
        <v>'3328187107720005</v>
      </c>
      <c r="D2734" s="22" t="str">
        <f t="shared" si="85"/>
        <v>ganda</v>
      </c>
      <c r="E2734" s="22" t="s">
        <v>5744</v>
      </c>
      <c r="F2734" s="22" t="s">
        <v>10</v>
      </c>
      <c r="G2734" s="22" t="s">
        <v>57</v>
      </c>
      <c r="H2734" s="22" t="s">
        <v>18</v>
      </c>
      <c r="I2734" s="22" t="s">
        <v>1438</v>
      </c>
      <c r="J2734" s="22" t="s">
        <v>2976</v>
      </c>
      <c r="K2734" s="23" t="s">
        <v>2977</v>
      </c>
    </row>
    <row r="2735" spans="1:14" hidden="1" x14ac:dyDescent="0.35">
      <c r="A2735" s="21">
        <v>428703</v>
      </c>
      <c r="B2735" s="22" t="str">
        <f>"3328187112840012"</f>
        <v>3328187112840012</v>
      </c>
      <c r="C2735" s="22" t="str">
        <f t="shared" si="84"/>
        <v>'3328187112840012</v>
      </c>
      <c r="D2735" s="22" t="str">
        <f t="shared" si="85"/>
        <v>tidak ganda</v>
      </c>
      <c r="E2735" s="22" t="s">
        <v>5745</v>
      </c>
      <c r="F2735" s="22" t="s">
        <v>10</v>
      </c>
      <c r="G2735" s="22" t="s">
        <v>11</v>
      </c>
      <c r="H2735" s="22" t="s">
        <v>50</v>
      </c>
      <c r="I2735" s="22" t="s">
        <v>72</v>
      </c>
      <c r="J2735" s="22" t="s">
        <v>73</v>
      </c>
      <c r="K2735" s="23" t="s">
        <v>2242</v>
      </c>
    </row>
    <row r="2736" spans="1:14" hidden="1" x14ac:dyDescent="0.35">
      <c r="A2736" s="21">
        <v>1978863</v>
      </c>
      <c r="B2736" s="22" t="str">
        <f>"3329050112570002"</f>
        <v>3329050112570002</v>
      </c>
      <c r="C2736" s="22" t="str">
        <f t="shared" si="84"/>
        <v>'3329050112570002</v>
      </c>
      <c r="D2736" s="22" t="str">
        <f t="shared" si="85"/>
        <v>tidak ganda</v>
      </c>
      <c r="E2736" s="22" t="s">
        <v>3155</v>
      </c>
      <c r="F2736" s="22" t="s">
        <v>10</v>
      </c>
      <c r="G2736" s="22" t="s">
        <v>11</v>
      </c>
      <c r="H2736" s="22" t="s">
        <v>18</v>
      </c>
      <c r="I2736" s="22" t="s">
        <v>19</v>
      </c>
      <c r="J2736" s="22" t="s">
        <v>5581</v>
      </c>
      <c r="K2736" s="23" t="s">
        <v>5589</v>
      </c>
      <c r="L2736" t="e">
        <f>VLOOKUP(B2736,ubah!$B$2:$L$234,4,FALSE)</f>
        <v>#N/A</v>
      </c>
      <c r="M2736" t="e">
        <f>VLOOKUP(B2736,ubah!$B$2:$L$234,5,FALSE)</f>
        <v>#N/A</v>
      </c>
      <c r="N2736" t="e">
        <f>VLOOKUP(B2736,ubah!$B$2:$L$234,6,FALSE)</f>
        <v>#N/A</v>
      </c>
    </row>
    <row r="2737" spans="1:14" hidden="1" x14ac:dyDescent="0.35">
      <c r="A2737" s="21">
        <v>1381668</v>
      </c>
      <c r="B2737" s="22" t="str">
        <f>"3329070508910002"</f>
        <v>3329070508910002</v>
      </c>
      <c r="C2737" s="22" t="str">
        <f t="shared" si="84"/>
        <v>'3329070508910002</v>
      </c>
      <c r="D2737" s="22" t="str">
        <f t="shared" si="85"/>
        <v>tidak ganda</v>
      </c>
      <c r="E2737" s="22" t="s">
        <v>5751</v>
      </c>
      <c r="F2737" s="22" t="s">
        <v>10</v>
      </c>
      <c r="G2737" s="22" t="s">
        <v>11</v>
      </c>
      <c r="H2737" s="22" t="s">
        <v>18</v>
      </c>
      <c r="I2737" s="22" t="s">
        <v>264</v>
      </c>
      <c r="J2737" s="22" t="s">
        <v>265</v>
      </c>
      <c r="K2737" s="23" t="s">
        <v>1628</v>
      </c>
    </row>
    <row r="2738" spans="1:14" hidden="1" x14ac:dyDescent="0.35">
      <c r="A2738" s="21">
        <v>1214710</v>
      </c>
      <c r="B2738" s="22" t="str">
        <f>"3329070606860001"</f>
        <v>3329070606860001</v>
      </c>
      <c r="C2738" s="22" t="str">
        <f t="shared" si="84"/>
        <v>'3329070606860001</v>
      </c>
      <c r="D2738" s="22" t="str">
        <f t="shared" si="85"/>
        <v>tidak ganda</v>
      </c>
      <c r="E2738" s="22" t="s">
        <v>5753</v>
      </c>
      <c r="F2738" s="22" t="s">
        <v>10</v>
      </c>
      <c r="G2738" s="22" t="s">
        <v>11</v>
      </c>
      <c r="H2738" s="22" t="s">
        <v>18</v>
      </c>
      <c r="I2738" s="22" t="s">
        <v>264</v>
      </c>
      <c r="J2738" s="22" t="s">
        <v>265</v>
      </c>
      <c r="K2738" s="23" t="s">
        <v>1910</v>
      </c>
    </row>
    <row r="2739" spans="1:14" hidden="1" x14ac:dyDescent="0.35">
      <c r="A2739" s="21">
        <v>1383420</v>
      </c>
      <c r="B2739" s="22" t="str">
        <f>"3329070609960006"</f>
        <v>3329070609960006</v>
      </c>
      <c r="C2739" s="22" t="str">
        <f t="shared" si="84"/>
        <v>'3329070609960006</v>
      </c>
      <c r="D2739" s="22" t="str">
        <f t="shared" si="85"/>
        <v>tidak ganda</v>
      </c>
      <c r="E2739" s="22" t="s">
        <v>5754</v>
      </c>
      <c r="F2739" s="22" t="s">
        <v>10</v>
      </c>
      <c r="G2739" s="22" t="s">
        <v>11</v>
      </c>
      <c r="H2739" s="22" t="s">
        <v>18</v>
      </c>
      <c r="I2739" s="22" t="s">
        <v>264</v>
      </c>
      <c r="J2739" s="22" t="s">
        <v>265</v>
      </c>
      <c r="K2739" s="23" t="s">
        <v>1628</v>
      </c>
    </row>
    <row r="2740" spans="1:14" hidden="1" x14ac:dyDescent="0.35">
      <c r="A2740" s="21">
        <v>1213871</v>
      </c>
      <c r="B2740" s="22" t="str">
        <f>"3329070903750001"</f>
        <v>3329070903750001</v>
      </c>
      <c r="C2740" s="22" t="str">
        <f t="shared" si="84"/>
        <v>'3329070903750001</v>
      </c>
      <c r="D2740" s="22" t="str">
        <f t="shared" si="85"/>
        <v>tidak ganda</v>
      </c>
      <c r="E2740" s="22" t="s">
        <v>5755</v>
      </c>
      <c r="F2740" s="22" t="s">
        <v>10</v>
      </c>
      <c r="G2740" s="22" t="s">
        <v>11</v>
      </c>
      <c r="H2740" s="22" t="s">
        <v>18</v>
      </c>
      <c r="I2740" s="22" t="s">
        <v>264</v>
      </c>
      <c r="J2740" s="22" t="s">
        <v>265</v>
      </c>
      <c r="K2740" s="23" t="s">
        <v>1910</v>
      </c>
    </row>
    <row r="2741" spans="1:14" hidden="1" x14ac:dyDescent="0.35">
      <c r="A2741" s="21">
        <v>1216502</v>
      </c>
      <c r="B2741" s="22" t="str">
        <f>"3329070911980001"</f>
        <v>3329070911980001</v>
      </c>
      <c r="C2741" s="22" t="str">
        <f t="shared" si="84"/>
        <v>'3329070911980001</v>
      </c>
      <c r="D2741" s="22" t="str">
        <f t="shared" si="85"/>
        <v>tidak ganda</v>
      </c>
      <c r="E2741" s="22" t="s">
        <v>5757</v>
      </c>
      <c r="F2741" s="22" t="s">
        <v>10</v>
      </c>
      <c r="G2741" s="22" t="s">
        <v>11</v>
      </c>
      <c r="H2741" s="22" t="s">
        <v>18</v>
      </c>
      <c r="I2741" s="22" t="s">
        <v>264</v>
      </c>
      <c r="J2741" s="22" t="s">
        <v>265</v>
      </c>
      <c r="K2741" s="23" t="s">
        <v>863</v>
      </c>
    </row>
    <row r="2742" spans="1:14" hidden="1" x14ac:dyDescent="0.35">
      <c r="A2742" s="21">
        <v>1959891</v>
      </c>
      <c r="B2742" s="22" t="str">
        <f>"3329072101730004"</f>
        <v>3329072101730004</v>
      </c>
      <c r="C2742" s="22" t="str">
        <f t="shared" si="84"/>
        <v>'3329072101730004</v>
      </c>
      <c r="D2742" s="22" t="str">
        <f t="shared" si="85"/>
        <v>tidak ganda</v>
      </c>
      <c r="E2742" s="22" t="s">
        <v>458</v>
      </c>
      <c r="F2742" s="22" t="s">
        <v>10</v>
      </c>
      <c r="G2742" s="22" t="s">
        <v>11</v>
      </c>
      <c r="H2742" s="22" t="s">
        <v>18</v>
      </c>
      <c r="I2742" s="22" t="s">
        <v>19</v>
      </c>
      <c r="J2742" s="22" t="s">
        <v>5581</v>
      </c>
      <c r="K2742" s="23" t="s">
        <v>5593</v>
      </c>
      <c r="L2742" t="e">
        <f>VLOOKUP(B2742,ubah!$B$2:$L$234,4,FALSE)</f>
        <v>#N/A</v>
      </c>
      <c r="M2742" t="e">
        <f>VLOOKUP(B2742,ubah!$B$2:$L$234,5,FALSE)</f>
        <v>#N/A</v>
      </c>
      <c r="N2742" t="e">
        <f>VLOOKUP(B2742,ubah!$B$2:$L$234,6,FALSE)</f>
        <v>#N/A</v>
      </c>
    </row>
    <row r="2743" spans="1:14" hidden="1" x14ac:dyDescent="0.35">
      <c r="A2743" s="21">
        <v>2009092</v>
      </c>
      <c r="B2743" s="22" t="str">
        <f>"3329072104860003"</f>
        <v>3329072104860003</v>
      </c>
      <c r="C2743" s="22" t="str">
        <f t="shared" si="84"/>
        <v>'3329072104860003</v>
      </c>
      <c r="D2743" s="22" t="str">
        <f t="shared" si="85"/>
        <v>tidak ganda</v>
      </c>
      <c r="E2743" s="22" t="s">
        <v>5758</v>
      </c>
      <c r="F2743" s="22" t="s">
        <v>10</v>
      </c>
      <c r="G2743" s="22" t="s">
        <v>11</v>
      </c>
      <c r="H2743" s="22" t="s">
        <v>18</v>
      </c>
      <c r="I2743" s="22" t="s">
        <v>19</v>
      </c>
      <c r="J2743" s="22" t="s">
        <v>5581</v>
      </c>
      <c r="K2743" s="23" t="s">
        <v>5609</v>
      </c>
      <c r="L2743" t="e">
        <f>VLOOKUP(B2743,ubah!$B$2:$L$234,4,FALSE)</f>
        <v>#N/A</v>
      </c>
      <c r="M2743" t="e">
        <f>VLOOKUP(B2743,ubah!$B$2:$L$234,5,FALSE)</f>
        <v>#N/A</v>
      </c>
      <c r="N2743" t="e">
        <f>VLOOKUP(B2743,ubah!$B$2:$L$234,6,FALSE)</f>
        <v>#N/A</v>
      </c>
    </row>
    <row r="2744" spans="1:14" hidden="1" x14ac:dyDescent="0.35">
      <c r="A2744" s="21">
        <v>1236049</v>
      </c>
      <c r="B2744" s="22" t="str">
        <f>"3329072302880002"</f>
        <v>3329072302880002</v>
      </c>
      <c r="C2744" s="22" t="str">
        <f t="shared" si="84"/>
        <v>'3329072302880002</v>
      </c>
      <c r="D2744" s="22" t="str">
        <f t="shared" si="85"/>
        <v>tidak ganda</v>
      </c>
      <c r="E2744" s="22" t="s">
        <v>5760</v>
      </c>
      <c r="F2744" s="22" t="s">
        <v>10</v>
      </c>
      <c r="G2744" s="22" t="s">
        <v>11</v>
      </c>
      <c r="H2744" s="22" t="s">
        <v>18</v>
      </c>
      <c r="I2744" s="22" t="s">
        <v>264</v>
      </c>
      <c r="J2744" s="22" t="s">
        <v>265</v>
      </c>
      <c r="K2744" s="23" t="s">
        <v>982</v>
      </c>
    </row>
    <row r="2745" spans="1:14" hidden="1" x14ac:dyDescent="0.35">
      <c r="A2745" s="21">
        <v>1326734</v>
      </c>
      <c r="B2745" s="22" t="str">
        <f>"3329072701800003"</f>
        <v>3329072701800003</v>
      </c>
      <c r="C2745" s="22" t="str">
        <f t="shared" si="84"/>
        <v>'3329072701800003</v>
      </c>
      <c r="D2745" s="22" t="str">
        <f t="shared" si="85"/>
        <v>tidak ganda</v>
      </c>
      <c r="E2745" s="22" t="s">
        <v>5761</v>
      </c>
      <c r="F2745" s="22" t="s">
        <v>10</v>
      </c>
      <c r="G2745" s="22" t="s">
        <v>11</v>
      </c>
      <c r="H2745" s="22" t="s">
        <v>18</v>
      </c>
      <c r="I2745" s="22" t="s">
        <v>264</v>
      </c>
      <c r="J2745" s="22" t="s">
        <v>265</v>
      </c>
      <c r="K2745" s="23" t="s">
        <v>1878</v>
      </c>
    </row>
    <row r="2746" spans="1:14" hidden="1" x14ac:dyDescent="0.35">
      <c r="A2746" s="21">
        <v>1346864</v>
      </c>
      <c r="B2746" s="22" t="str">
        <f>"3329073110030001"</f>
        <v>3329073110030001</v>
      </c>
      <c r="C2746" s="22" t="str">
        <f t="shared" si="84"/>
        <v>'3329073110030001</v>
      </c>
      <c r="D2746" s="22" t="str">
        <f t="shared" si="85"/>
        <v>tidak ganda</v>
      </c>
      <c r="E2746" s="22" t="s">
        <v>5762</v>
      </c>
      <c r="F2746" s="22" t="s">
        <v>10</v>
      </c>
      <c r="G2746" s="22" t="s">
        <v>11</v>
      </c>
      <c r="H2746" s="22" t="s">
        <v>18</v>
      </c>
      <c r="I2746" s="22" t="s">
        <v>264</v>
      </c>
      <c r="J2746" s="22" t="s">
        <v>265</v>
      </c>
      <c r="K2746" s="23" t="s">
        <v>2007</v>
      </c>
    </row>
    <row r="2747" spans="1:14" hidden="1" x14ac:dyDescent="0.35">
      <c r="A2747" s="21">
        <v>1211258</v>
      </c>
      <c r="B2747" s="22" t="str">
        <f>"3329075109900001"</f>
        <v>3329075109900001</v>
      </c>
      <c r="C2747" s="22" t="str">
        <f t="shared" si="84"/>
        <v>'3329075109900001</v>
      </c>
      <c r="D2747" s="22" t="str">
        <f t="shared" si="85"/>
        <v>tidak ganda</v>
      </c>
      <c r="E2747" s="22" t="s">
        <v>5763</v>
      </c>
      <c r="F2747" s="22" t="s">
        <v>10</v>
      </c>
      <c r="G2747" s="22" t="s">
        <v>11</v>
      </c>
      <c r="H2747" s="22" t="s">
        <v>18</v>
      </c>
      <c r="I2747" s="22" t="s">
        <v>264</v>
      </c>
      <c r="J2747" s="22" t="s">
        <v>265</v>
      </c>
      <c r="K2747" s="23" t="s">
        <v>906</v>
      </c>
    </row>
    <row r="2748" spans="1:14" hidden="1" x14ac:dyDescent="0.35">
      <c r="A2748" s="21">
        <v>1346868</v>
      </c>
      <c r="B2748" s="22" t="str">
        <f>"3329075303010001"</f>
        <v>3329075303010001</v>
      </c>
      <c r="C2748" s="22" t="str">
        <f t="shared" si="84"/>
        <v>'3329075303010001</v>
      </c>
      <c r="D2748" s="22" t="str">
        <f t="shared" si="85"/>
        <v>tidak ganda</v>
      </c>
      <c r="E2748" s="22" t="s">
        <v>5764</v>
      </c>
      <c r="F2748" s="22" t="s">
        <v>10</v>
      </c>
      <c r="G2748" s="22" t="s">
        <v>11</v>
      </c>
      <c r="H2748" s="22" t="s">
        <v>18</v>
      </c>
      <c r="I2748" s="22" t="s">
        <v>264</v>
      </c>
      <c r="J2748" s="22" t="s">
        <v>265</v>
      </c>
      <c r="K2748" s="23" t="s">
        <v>2007</v>
      </c>
    </row>
    <row r="2749" spans="1:14" hidden="1" x14ac:dyDescent="0.35">
      <c r="A2749" s="21">
        <v>1982717</v>
      </c>
      <c r="B2749" s="22" t="str">
        <f>"3329092002040004"</f>
        <v>3329092002040004</v>
      </c>
      <c r="C2749" s="22" t="str">
        <f t="shared" si="84"/>
        <v>'3329092002040004</v>
      </c>
      <c r="D2749" s="22" t="str">
        <f t="shared" si="85"/>
        <v>tidak ganda</v>
      </c>
      <c r="E2749" s="22" t="s">
        <v>5765</v>
      </c>
      <c r="F2749" s="22" t="s">
        <v>10</v>
      </c>
      <c r="G2749" s="22" t="s">
        <v>11</v>
      </c>
      <c r="H2749" s="22" t="s">
        <v>18</v>
      </c>
      <c r="I2749" s="22" t="s">
        <v>19</v>
      </c>
      <c r="J2749" s="22" t="s">
        <v>5581</v>
      </c>
      <c r="K2749" s="23" t="s">
        <v>5589</v>
      </c>
      <c r="L2749" t="e">
        <f>VLOOKUP(B2749,ubah!$B$2:$L$234,4,FALSE)</f>
        <v>#N/A</v>
      </c>
      <c r="M2749" t="e">
        <f>VLOOKUP(B2749,ubah!$B$2:$L$234,5,FALSE)</f>
        <v>#N/A</v>
      </c>
      <c r="N2749" t="e">
        <f>VLOOKUP(B2749,ubah!$B$2:$L$234,6,FALSE)</f>
        <v>#N/A</v>
      </c>
    </row>
    <row r="2750" spans="1:14" hidden="1" x14ac:dyDescent="0.35">
      <c r="A2750" s="21">
        <v>2004731</v>
      </c>
      <c r="B2750" s="22" t="str">
        <f>"3329094612950009"</f>
        <v>3329094612950009</v>
      </c>
      <c r="C2750" s="22" t="str">
        <f t="shared" si="84"/>
        <v>'3329094612950009</v>
      </c>
      <c r="D2750" s="22" t="str">
        <f t="shared" si="85"/>
        <v>tidak ganda</v>
      </c>
      <c r="E2750" s="22" t="s">
        <v>5769</v>
      </c>
      <c r="F2750" s="22" t="s">
        <v>10</v>
      </c>
      <c r="G2750" s="22" t="s">
        <v>11</v>
      </c>
      <c r="H2750" s="22" t="s">
        <v>18</v>
      </c>
      <c r="I2750" s="22" t="s">
        <v>19</v>
      </c>
      <c r="J2750" s="22" t="s">
        <v>5581</v>
      </c>
      <c r="K2750" s="23" t="s">
        <v>5581</v>
      </c>
      <c r="L2750" t="e">
        <f>VLOOKUP(B2750,ubah!$B$2:$L$234,4,FALSE)</f>
        <v>#N/A</v>
      </c>
      <c r="M2750" t="e">
        <f>VLOOKUP(B2750,ubah!$B$2:$L$234,5,FALSE)</f>
        <v>#N/A</v>
      </c>
      <c r="N2750" t="e">
        <f>VLOOKUP(B2750,ubah!$B$2:$L$234,6,FALSE)</f>
        <v>#N/A</v>
      </c>
    </row>
    <row r="2751" spans="1:14" hidden="1" x14ac:dyDescent="0.35">
      <c r="A2751" s="21">
        <v>68258</v>
      </c>
      <c r="B2751" s="22" t="str">
        <f>"3329142610790004"</f>
        <v>3329142610790004</v>
      </c>
      <c r="C2751" s="22" t="str">
        <f t="shared" si="84"/>
        <v>'3329142610790004</v>
      </c>
      <c r="D2751" s="22" t="str">
        <f t="shared" si="85"/>
        <v>tidak ganda</v>
      </c>
      <c r="E2751" s="22" t="s">
        <v>5772</v>
      </c>
      <c r="F2751" s="22" t="s">
        <v>10</v>
      </c>
      <c r="G2751" s="22" t="s">
        <v>11</v>
      </c>
      <c r="H2751" s="22" t="s">
        <v>18</v>
      </c>
      <c r="I2751" s="22" t="s">
        <v>264</v>
      </c>
      <c r="J2751" s="22" t="s">
        <v>477</v>
      </c>
      <c r="K2751" s="23" t="s">
        <v>5773</v>
      </c>
    </row>
    <row r="2752" spans="1:14" hidden="1" x14ac:dyDescent="0.35">
      <c r="A2752" s="21">
        <v>1560606</v>
      </c>
      <c r="B2752" s="22" t="str">
        <f>"3329156711980001"</f>
        <v>3329156711980001</v>
      </c>
      <c r="C2752" s="22" t="str">
        <f t="shared" si="84"/>
        <v>'3329156711980001</v>
      </c>
      <c r="D2752" s="22" t="str">
        <f t="shared" si="85"/>
        <v>tidak ganda</v>
      </c>
      <c r="E2752" s="22" t="s">
        <v>5775</v>
      </c>
      <c r="F2752" s="22" t="s">
        <v>10</v>
      </c>
      <c r="G2752" s="22" t="s">
        <v>11</v>
      </c>
      <c r="H2752" s="22" t="s">
        <v>18</v>
      </c>
      <c r="I2752" s="22" t="s">
        <v>264</v>
      </c>
      <c r="J2752" s="22" t="s">
        <v>330</v>
      </c>
      <c r="K2752" s="23" t="s">
        <v>330</v>
      </c>
    </row>
    <row r="2753" spans="1:14" hidden="1" x14ac:dyDescent="0.35">
      <c r="A2753" s="21">
        <v>1967490</v>
      </c>
      <c r="B2753" s="22" t="str">
        <f>"3375011306980003"</f>
        <v>3375011306980003</v>
      </c>
      <c r="C2753" s="22" t="str">
        <f t="shared" si="84"/>
        <v>'3375011306980003</v>
      </c>
      <c r="D2753" s="22" t="str">
        <f t="shared" si="85"/>
        <v>tidak ganda</v>
      </c>
      <c r="E2753" s="22" t="s">
        <v>5776</v>
      </c>
      <c r="F2753" s="22" t="s">
        <v>10</v>
      </c>
      <c r="G2753" s="22" t="s">
        <v>11</v>
      </c>
      <c r="H2753" s="22" t="s">
        <v>18</v>
      </c>
      <c r="I2753" s="22" t="s">
        <v>19</v>
      </c>
      <c r="J2753" s="22" t="s">
        <v>5581</v>
      </c>
      <c r="K2753" s="23" t="s">
        <v>5599</v>
      </c>
      <c r="L2753" t="e">
        <f>VLOOKUP(B2753,ubah!$B$2:$L$234,4,FALSE)</f>
        <v>#N/A</v>
      </c>
      <c r="M2753" t="e">
        <f>VLOOKUP(B2753,ubah!$B$2:$L$234,5,FALSE)</f>
        <v>#N/A</v>
      </c>
      <c r="N2753" t="e">
        <f>VLOOKUP(B2753,ubah!$B$2:$L$234,6,FALSE)</f>
        <v>#N/A</v>
      </c>
    </row>
    <row r="2754" spans="1:14" hidden="1" x14ac:dyDescent="0.35">
      <c r="A2754" s="21">
        <v>1967492</v>
      </c>
      <c r="B2754" s="22" t="str">
        <f>"3375011312000003"</f>
        <v>3375011312000003</v>
      </c>
      <c r="C2754" s="22" t="str">
        <f t="shared" si="84"/>
        <v>'3375011312000003</v>
      </c>
      <c r="D2754" s="22" t="str">
        <f t="shared" si="85"/>
        <v>tidak ganda</v>
      </c>
      <c r="E2754" s="22" t="s">
        <v>5779</v>
      </c>
      <c r="F2754" s="22" t="s">
        <v>10</v>
      </c>
      <c r="G2754" s="22" t="s">
        <v>11</v>
      </c>
      <c r="H2754" s="22" t="s">
        <v>18</v>
      </c>
      <c r="I2754" s="22" t="s">
        <v>19</v>
      </c>
      <c r="J2754" s="22" t="s">
        <v>5581</v>
      </c>
      <c r="K2754" s="23" t="s">
        <v>5599</v>
      </c>
      <c r="L2754" t="e">
        <f>VLOOKUP(B2754,ubah!$B$2:$L$234,4,FALSE)</f>
        <v>#N/A</v>
      </c>
      <c r="M2754" t="e">
        <f>VLOOKUP(B2754,ubah!$B$2:$L$234,5,FALSE)</f>
        <v>#N/A</v>
      </c>
      <c r="N2754" t="e">
        <f>VLOOKUP(B2754,ubah!$B$2:$L$234,6,FALSE)</f>
        <v>#N/A</v>
      </c>
    </row>
    <row r="2755" spans="1:14" hidden="1" x14ac:dyDescent="0.35">
      <c r="A2755" s="21">
        <v>1967494</v>
      </c>
      <c r="B2755" s="22" t="str">
        <f>"3375012203030006"</f>
        <v>3375012203030006</v>
      </c>
      <c r="C2755" s="22" t="str">
        <f t="shared" ref="C2755:C2768" si="86">"'"&amp;B2755</f>
        <v>'3375012203030006</v>
      </c>
      <c r="D2755" s="22" t="str">
        <f t="shared" ref="D2755:D2768" si="87">IF(COUNTIF($C:$C,C2755)&gt;1,"ganda","tidak ganda")</f>
        <v>tidak ganda</v>
      </c>
      <c r="E2755" s="22" t="s">
        <v>5780</v>
      </c>
      <c r="F2755" s="22" t="s">
        <v>10</v>
      </c>
      <c r="G2755" s="22" t="s">
        <v>11</v>
      </c>
      <c r="H2755" s="22" t="s">
        <v>18</v>
      </c>
      <c r="I2755" s="22" t="s">
        <v>19</v>
      </c>
      <c r="J2755" s="22" t="s">
        <v>5581</v>
      </c>
      <c r="K2755" s="23" t="s">
        <v>5599</v>
      </c>
      <c r="L2755" t="e">
        <f>VLOOKUP(B2755,ubah!$B$2:$L$234,4,FALSE)</f>
        <v>#N/A</v>
      </c>
      <c r="M2755" t="e">
        <f>VLOOKUP(B2755,ubah!$B$2:$L$234,5,FALSE)</f>
        <v>#N/A</v>
      </c>
      <c r="N2755" t="e">
        <f>VLOOKUP(B2755,ubah!$B$2:$L$234,6,FALSE)</f>
        <v>#N/A</v>
      </c>
    </row>
    <row r="2756" spans="1:14" hidden="1" x14ac:dyDescent="0.35">
      <c r="A2756" s="21">
        <v>209968</v>
      </c>
      <c r="B2756" s="22" t="str">
        <f>"3376015503960002"</f>
        <v>3376015503960002</v>
      </c>
      <c r="C2756" s="22" t="str">
        <f t="shared" si="86"/>
        <v>'3376015503960002</v>
      </c>
      <c r="D2756" s="22" t="str">
        <f t="shared" si="87"/>
        <v>tidak ganda</v>
      </c>
      <c r="E2756" s="22" t="s">
        <v>5782</v>
      </c>
      <c r="F2756" s="22" t="s">
        <v>10</v>
      </c>
      <c r="G2756" s="22" t="s">
        <v>11</v>
      </c>
      <c r="H2756" s="22" t="s">
        <v>18</v>
      </c>
      <c r="I2756" s="22" t="s">
        <v>268</v>
      </c>
      <c r="J2756" s="22" t="s">
        <v>371</v>
      </c>
      <c r="K2756" s="23" t="s">
        <v>2772</v>
      </c>
    </row>
    <row r="2757" spans="1:14" hidden="1" x14ac:dyDescent="0.35">
      <c r="A2757" s="21">
        <v>239835</v>
      </c>
      <c r="B2757" s="22" t="str">
        <f>"3376022109980001"</f>
        <v>3376022109980001</v>
      </c>
      <c r="C2757" s="22" t="str">
        <f t="shared" si="86"/>
        <v>'3376022109980001</v>
      </c>
      <c r="D2757" s="22" t="str">
        <f t="shared" si="87"/>
        <v>tidak ganda</v>
      </c>
      <c r="E2757" s="22" t="s">
        <v>5784</v>
      </c>
      <c r="F2757" s="22" t="s">
        <v>10</v>
      </c>
      <c r="G2757" s="22" t="s">
        <v>11</v>
      </c>
      <c r="H2757" s="22" t="s">
        <v>18</v>
      </c>
      <c r="I2757" s="22" t="s">
        <v>268</v>
      </c>
      <c r="J2757" s="22" t="s">
        <v>371</v>
      </c>
      <c r="K2757" s="23" t="s">
        <v>372</v>
      </c>
    </row>
    <row r="2758" spans="1:14" hidden="1" x14ac:dyDescent="0.35">
      <c r="A2758" s="21">
        <v>224720</v>
      </c>
      <c r="B2758" s="22" t="str">
        <f>"3376026301980003"</f>
        <v>3376026301980003</v>
      </c>
      <c r="C2758" s="22" t="str">
        <f t="shared" si="86"/>
        <v>'3376026301980003</v>
      </c>
      <c r="D2758" s="22" t="str">
        <f t="shared" si="87"/>
        <v>tidak ganda</v>
      </c>
      <c r="E2758" s="22" t="s">
        <v>5785</v>
      </c>
      <c r="F2758" s="22" t="s">
        <v>10</v>
      </c>
      <c r="G2758" s="22" t="s">
        <v>11</v>
      </c>
      <c r="H2758" s="22" t="s">
        <v>18</v>
      </c>
      <c r="I2758" s="22" t="s">
        <v>268</v>
      </c>
      <c r="J2758" s="22" t="s">
        <v>371</v>
      </c>
      <c r="K2758" s="23" t="s">
        <v>2346</v>
      </c>
    </row>
    <row r="2759" spans="1:14" hidden="1" x14ac:dyDescent="0.35">
      <c r="A2759" s="21">
        <v>349778</v>
      </c>
      <c r="B2759" s="22" t="str">
        <f>"3376032801030001"</f>
        <v>3376032801030001</v>
      </c>
      <c r="C2759" s="22" t="str">
        <f t="shared" si="86"/>
        <v>'3376032801030001</v>
      </c>
      <c r="D2759" s="22" t="str">
        <f t="shared" si="87"/>
        <v>tidak ganda</v>
      </c>
      <c r="E2759" s="22" t="s">
        <v>5786</v>
      </c>
      <c r="F2759" s="22" t="s">
        <v>10</v>
      </c>
      <c r="G2759" s="22" t="s">
        <v>11</v>
      </c>
      <c r="H2759" s="22" t="s">
        <v>18</v>
      </c>
      <c r="I2759" s="22" t="s">
        <v>268</v>
      </c>
      <c r="J2759" s="22" t="s">
        <v>269</v>
      </c>
      <c r="K2759" s="23" t="s">
        <v>270</v>
      </c>
    </row>
    <row r="2760" spans="1:14" hidden="1" x14ac:dyDescent="0.35">
      <c r="A2760" s="21">
        <v>349777</v>
      </c>
      <c r="B2760" s="22" t="str">
        <f>"3376036407060001"</f>
        <v>3376036407060001</v>
      </c>
      <c r="C2760" s="22" t="str">
        <f t="shared" si="86"/>
        <v>'3376036407060001</v>
      </c>
      <c r="D2760" s="22" t="str">
        <f t="shared" si="87"/>
        <v>tidak ganda</v>
      </c>
      <c r="E2760" s="22" t="s">
        <v>5788</v>
      </c>
      <c r="F2760" s="22" t="s">
        <v>10</v>
      </c>
      <c r="G2760" s="22" t="s">
        <v>11</v>
      </c>
      <c r="H2760" s="22" t="s">
        <v>18</v>
      </c>
      <c r="I2760" s="22" t="s">
        <v>268</v>
      </c>
      <c r="J2760" s="22" t="s">
        <v>269</v>
      </c>
      <c r="K2760" s="23" t="s">
        <v>270</v>
      </c>
    </row>
    <row r="2761" spans="1:14" hidden="1" x14ac:dyDescent="0.35">
      <c r="A2761" s="21">
        <v>901348</v>
      </c>
      <c r="B2761" s="22" t="str">
        <f>"3501042905880006"</f>
        <v>3501042905880006</v>
      </c>
      <c r="C2761" s="22" t="str">
        <f t="shared" si="86"/>
        <v>'3501042905880006</v>
      </c>
      <c r="D2761" s="22" t="str">
        <f t="shared" si="87"/>
        <v>tidak ganda</v>
      </c>
      <c r="E2761" s="22" t="s">
        <v>5789</v>
      </c>
      <c r="F2761" s="22" t="s">
        <v>10</v>
      </c>
      <c r="G2761" s="22" t="s">
        <v>11</v>
      </c>
      <c r="H2761" s="22" t="s">
        <v>303</v>
      </c>
      <c r="I2761" s="22" t="s">
        <v>1855</v>
      </c>
      <c r="J2761" s="22" t="s">
        <v>1855</v>
      </c>
      <c r="K2761" s="23" t="s">
        <v>5790</v>
      </c>
    </row>
    <row r="2762" spans="1:14" hidden="1" x14ac:dyDescent="0.35">
      <c r="A2762" s="21">
        <v>106819</v>
      </c>
      <c r="B2762" s="22" t="str">
        <f>"3603175307740001"</f>
        <v>3603175307740001</v>
      </c>
      <c r="C2762" s="22" t="str">
        <f t="shared" si="86"/>
        <v>'3603175307740001</v>
      </c>
      <c r="D2762" s="22" t="str">
        <f t="shared" si="87"/>
        <v>tidak ganda</v>
      </c>
      <c r="E2762" s="22" t="s">
        <v>5791</v>
      </c>
      <c r="F2762" s="22" t="s">
        <v>10</v>
      </c>
      <c r="G2762" s="22" t="s">
        <v>11</v>
      </c>
      <c r="H2762" s="22" t="s">
        <v>67</v>
      </c>
      <c r="I2762" s="22" t="s">
        <v>791</v>
      </c>
      <c r="J2762" s="22" t="s">
        <v>1410</v>
      </c>
      <c r="K2762" s="23" t="s">
        <v>1685</v>
      </c>
    </row>
    <row r="2763" spans="1:14" hidden="1" x14ac:dyDescent="0.35">
      <c r="A2763" s="21">
        <v>1645264</v>
      </c>
      <c r="B2763" s="22" t="str">
        <f>"3674031310720010"</f>
        <v>3674031310720010</v>
      </c>
      <c r="C2763" s="22" t="str">
        <f t="shared" si="86"/>
        <v>'3674031310720010</v>
      </c>
      <c r="D2763" s="22" t="str">
        <f t="shared" si="87"/>
        <v>tidak ganda</v>
      </c>
      <c r="E2763" s="22" t="s">
        <v>5793</v>
      </c>
      <c r="F2763" s="22" t="s">
        <v>10</v>
      </c>
      <c r="G2763" s="22" t="s">
        <v>11</v>
      </c>
      <c r="H2763" s="22" t="s">
        <v>67</v>
      </c>
      <c r="I2763" s="22" t="s">
        <v>68</v>
      </c>
      <c r="J2763" s="22" t="s">
        <v>2924</v>
      </c>
      <c r="K2763" s="23" t="s">
        <v>3004</v>
      </c>
    </row>
    <row r="2764" spans="1:14" hidden="1" x14ac:dyDescent="0.35">
      <c r="A2764" s="21">
        <v>1645263</v>
      </c>
      <c r="B2764" s="22" t="str">
        <f>"3674034708740010"</f>
        <v>3674034708740010</v>
      </c>
      <c r="C2764" s="22" t="str">
        <f t="shared" si="86"/>
        <v>'3674034708740010</v>
      </c>
      <c r="D2764" s="22" t="str">
        <f t="shared" si="87"/>
        <v>tidak ganda</v>
      </c>
      <c r="E2764" s="22" t="s">
        <v>5794</v>
      </c>
      <c r="F2764" s="22" t="s">
        <v>10</v>
      </c>
      <c r="G2764" s="22" t="s">
        <v>11</v>
      </c>
      <c r="H2764" s="22" t="s">
        <v>67</v>
      </c>
      <c r="I2764" s="22" t="s">
        <v>68</v>
      </c>
      <c r="J2764" s="22" t="s">
        <v>2924</v>
      </c>
      <c r="K2764" s="23" t="s">
        <v>3004</v>
      </c>
    </row>
    <row r="2765" spans="1:14" hidden="1" x14ac:dyDescent="0.35">
      <c r="A2765" s="21">
        <v>59911</v>
      </c>
      <c r="B2765" s="22" t="str">
        <f>"6106037012930002"</f>
        <v>6106037012930002</v>
      </c>
      <c r="C2765" s="22" t="str">
        <f t="shared" si="86"/>
        <v>'6106037012930002</v>
      </c>
      <c r="D2765" s="22" t="str">
        <f t="shared" si="87"/>
        <v>tidak ganda</v>
      </c>
      <c r="E2765" s="22" t="s">
        <v>5795</v>
      </c>
      <c r="F2765" s="22" t="s">
        <v>10</v>
      </c>
      <c r="G2765" s="22" t="s">
        <v>11</v>
      </c>
      <c r="H2765" s="22" t="s">
        <v>516</v>
      </c>
      <c r="I2765" s="22" t="s">
        <v>5613</v>
      </c>
      <c r="J2765" s="22" t="s">
        <v>5614</v>
      </c>
      <c r="K2765" s="23" t="s">
        <v>5615</v>
      </c>
    </row>
    <row r="2766" spans="1:14" hidden="1" x14ac:dyDescent="0.35">
      <c r="A2766" s="21">
        <v>140106</v>
      </c>
      <c r="B2766" s="22" t="str">
        <f>"6403062711850001"</f>
        <v>6403062711850001</v>
      </c>
      <c r="C2766" s="22" t="str">
        <f t="shared" si="86"/>
        <v>'6403062711850001</v>
      </c>
      <c r="D2766" s="22" t="str">
        <f t="shared" si="87"/>
        <v>tidak ganda</v>
      </c>
      <c r="E2766" s="22" t="s">
        <v>5796</v>
      </c>
      <c r="F2766" s="22" t="s">
        <v>10</v>
      </c>
      <c r="G2766" s="22" t="s">
        <v>11</v>
      </c>
      <c r="H2766" s="22" t="s">
        <v>232</v>
      </c>
      <c r="I2766" s="22" t="s">
        <v>642</v>
      </c>
      <c r="J2766" s="22" t="s">
        <v>2600</v>
      </c>
      <c r="K2766" s="23" t="s">
        <v>2601</v>
      </c>
    </row>
    <row r="2767" spans="1:14" hidden="1" x14ac:dyDescent="0.35">
      <c r="A2767" s="21">
        <v>1111947</v>
      </c>
      <c r="B2767" s="22" t="str">
        <f>"7371102411920009"</f>
        <v>7371102411920009</v>
      </c>
      <c r="C2767" s="22" t="str">
        <f t="shared" si="86"/>
        <v>'7371102411920009</v>
      </c>
      <c r="D2767" s="22" t="str">
        <f t="shared" si="87"/>
        <v>tidak ganda</v>
      </c>
      <c r="E2767" s="22" t="s">
        <v>2757</v>
      </c>
      <c r="F2767" s="22" t="s">
        <v>10</v>
      </c>
      <c r="G2767" s="22" t="s">
        <v>11</v>
      </c>
      <c r="H2767" s="22" t="s">
        <v>954</v>
      </c>
      <c r="I2767" s="22" t="s">
        <v>1024</v>
      </c>
      <c r="J2767" s="22" t="s">
        <v>5720</v>
      </c>
      <c r="K2767" s="23" t="s">
        <v>5721</v>
      </c>
    </row>
    <row r="2768" spans="1:14" hidden="1" x14ac:dyDescent="0.35">
      <c r="A2768" s="24">
        <v>238099</v>
      </c>
      <c r="B2768" s="25" t="str">
        <f>"7373095605950001"</f>
        <v>7373095605950001</v>
      </c>
      <c r="C2768" s="22" t="str">
        <f t="shared" si="86"/>
        <v>'7373095605950001</v>
      </c>
      <c r="D2768" s="22" t="str">
        <f t="shared" si="87"/>
        <v>tidak ganda</v>
      </c>
      <c r="E2768" s="25" t="s">
        <v>5797</v>
      </c>
      <c r="F2768" s="25" t="s">
        <v>10</v>
      </c>
      <c r="G2768" s="25" t="s">
        <v>11</v>
      </c>
      <c r="H2768" s="25" t="s">
        <v>954</v>
      </c>
      <c r="I2768" s="25" t="s">
        <v>5798</v>
      </c>
      <c r="J2768" s="25" t="s">
        <v>5799</v>
      </c>
      <c r="K2768" s="26" t="s">
        <v>5800</v>
      </c>
    </row>
  </sheetData>
  <autoFilter ref="A1:N2768" xr:uid="{F03986E3-314B-4E8F-A321-D88D7C392229}">
    <filterColumn colId="11">
      <filters>
        <filter val="Reguler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3B85A-F931-456A-83C3-8E98159AB0E2}">
  <dimension ref="A1:L234"/>
  <sheetViews>
    <sheetView topLeftCell="G216" workbookViewId="0">
      <selection activeCell="D220" sqref="D220"/>
    </sheetView>
  </sheetViews>
  <sheetFormatPr defaultRowHeight="14.5" x14ac:dyDescent="0.35"/>
  <cols>
    <col min="1" max="1" width="9" bestFit="1" customWidth="1"/>
    <col min="2" max="2" width="15.453125" bestFit="1" customWidth="1"/>
    <col min="3" max="3" width="52.81640625" bestFit="1" customWidth="1"/>
    <col min="4" max="4" width="10.08984375" bestFit="1" customWidth="1"/>
    <col min="5" max="5" width="12.7265625" bestFit="1" customWidth="1"/>
    <col min="6" max="6" width="26.453125" bestFit="1" customWidth="1"/>
    <col min="7" max="7" width="26" bestFit="1" customWidth="1"/>
    <col min="8" max="8" width="20.7265625" bestFit="1" customWidth="1"/>
    <col min="9" max="9" width="26.90625" bestFit="1" customWidth="1"/>
    <col min="10" max="10" width="24.453125" bestFit="1" customWidth="1"/>
    <col min="11" max="11" width="29.08984375" bestFit="1" customWidth="1"/>
    <col min="12" max="12" width="13.1796875" bestFit="1" customWidth="1"/>
  </cols>
  <sheetData>
    <row r="1" spans="1:12" x14ac:dyDescent="0.3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12" t="s">
        <v>5802</v>
      </c>
      <c r="K1" s="12" t="s">
        <v>5803</v>
      </c>
      <c r="L1" s="12" t="s">
        <v>5804</v>
      </c>
    </row>
    <row r="2" spans="1:12" x14ac:dyDescent="0.35">
      <c r="A2" s="6">
        <v>537927</v>
      </c>
      <c r="B2" s="7" t="str">
        <f>"3325097005970001"</f>
        <v>3325097005970001</v>
      </c>
      <c r="C2" s="7" t="s">
        <v>188</v>
      </c>
      <c r="D2" s="7" t="s">
        <v>189</v>
      </c>
      <c r="E2" s="7" t="s">
        <v>11</v>
      </c>
      <c r="F2" s="7" t="s">
        <v>18</v>
      </c>
      <c r="G2" s="7" t="s">
        <v>190</v>
      </c>
      <c r="H2" s="7" t="s">
        <v>191</v>
      </c>
      <c r="I2" s="8" t="s">
        <v>192</v>
      </c>
    </row>
    <row r="3" spans="1:12" x14ac:dyDescent="0.35">
      <c r="A3" s="13">
        <v>1452269</v>
      </c>
      <c r="B3" s="14" t="str">
        <f>"3328011209950006"</f>
        <v>3328011209950006</v>
      </c>
      <c r="C3" s="14" t="s">
        <v>271</v>
      </c>
      <c r="D3" s="14" t="s">
        <v>189</v>
      </c>
      <c r="E3" s="14" t="s">
        <v>11</v>
      </c>
      <c r="F3" s="14" t="s">
        <v>18</v>
      </c>
      <c r="G3" s="14" t="s">
        <v>19</v>
      </c>
      <c r="H3" s="14" t="s">
        <v>20</v>
      </c>
      <c r="I3" s="15" t="s">
        <v>53</v>
      </c>
      <c r="J3" s="16" t="str">
        <f>VLOOKUP(B3,baru!$B$2:$I$2271,4,FALSE)</f>
        <v>Reguler</v>
      </c>
      <c r="K3" s="16" t="str">
        <f>VLOOKUP(B3,baru!$B$2:$I$2271,5,FALSE)</f>
        <v>JAWA TENGAH</v>
      </c>
      <c r="L3" s="16" t="str">
        <f>VLOOKUP(B3,baru!$B$2:$I$2271,6,FALSE)</f>
        <v>KOTA TEGAL</v>
      </c>
    </row>
    <row r="4" spans="1:12" x14ac:dyDescent="0.35">
      <c r="A4" s="6">
        <v>404237</v>
      </c>
      <c r="B4" s="7" t="str">
        <f>"3328011810970005"</f>
        <v>3328011810970005</v>
      </c>
      <c r="C4" s="7" t="s">
        <v>309</v>
      </c>
      <c r="D4" s="7" t="s">
        <v>189</v>
      </c>
      <c r="E4" s="7" t="s">
        <v>11</v>
      </c>
      <c r="F4" s="7" t="s">
        <v>18</v>
      </c>
      <c r="G4" s="7" t="s">
        <v>190</v>
      </c>
      <c r="H4" s="7" t="s">
        <v>310</v>
      </c>
      <c r="I4" s="8" t="s">
        <v>311</v>
      </c>
    </row>
    <row r="5" spans="1:12" x14ac:dyDescent="0.35">
      <c r="A5" s="13">
        <v>2016159</v>
      </c>
      <c r="B5" s="14" t="str">
        <f>"3328012904910002"</f>
        <v>3328012904910002</v>
      </c>
      <c r="C5" s="14" t="s">
        <v>347</v>
      </c>
      <c r="D5" s="14" t="s">
        <v>189</v>
      </c>
      <c r="E5" s="14" t="s">
        <v>11</v>
      </c>
      <c r="F5" s="14" t="s">
        <v>18</v>
      </c>
      <c r="G5" s="14" t="s">
        <v>19</v>
      </c>
      <c r="H5" s="14" t="s">
        <v>348</v>
      </c>
      <c r="I5" s="15" t="s">
        <v>349</v>
      </c>
      <c r="J5" s="16" t="str">
        <f>VLOOKUP(B5,baru!$B$2:$I$2271,4,FALSE)</f>
        <v>Reguler</v>
      </c>
      <c r="K5" s="16" t="str">
        <f>VLOOKUP(B5,baru!$B$2:$I$2271,5,FALSE)</f>
        <v>JAWA TENGAH</v>
      </c>
      <c r="L5" s="16" t="str">
        <f>VLOOKUP(B5,baru!$B$2:$I$2271,6,FALSE)</f>
        <v>TEGAL</v>
      </c>
    </row>
    <row r="6" spans="1:12" x14ac:dyDescent="0.35">
      <c r="A6" s="13">
        <v>1458342</v>
      </c>
      <c r="B6" s="14" t="str">
        <f>"3328014102870003"</f>
        <v>3328014102870003</v>
      </c>
      <c r="C6" s="14" t="s">
        <v>362</v>
      </c>
      <c r="D6" s="14" t="s">
        <v>189</v>
      </c>
      <c r="E6" s="14" t="s">
        <v>11</v>
      </c>
      <c r="F6" s="14" t="s">
        <v>18</v>
      </c>
      <c r="G6" s="14" t="s">
        <v>19</v>
      </c>
      <c r="H6" s="14" t="s">
        <v>20</v>
      </c>
      <c r="I6" s="15" t="s">
        <v>76</v>
      </c>
      <c r="J6" s="16" t="str">
        <f>VLOOKUP(B6,baru!$B$2:$I$2271,4,FALSE)</f>
        <v>Reguler</v>
      </c>
      <c r="K6" s="16" t="str">
        <f>VLOOKUP(B6,baru!$B$2:$I$2271,5,FALSE)</f>
        <v>JAWA TENGAH</v>
      </c>
      <c r="L6" s="16" t="str">
        <f>VLOOKUP(B6,baru!$B$2:$I$2271,6,FALSE)</f>
        <v>KEBUMEN</v>
      </c>
    </row>
    <row r="7" spans="1:12" x14ac:dyDescent="0.35">
      <c r="A7" s="6">
        <v>1124379</v>
      </c>
      <c r="B7" s="7" t="str">
        <f>"3329155803920004"</f>
        <v>3329155803920004</v>
      </c>
      <c r="C7" s="7" t="s">
        <v>488</v>
      </c>
      <c r="D7" s="7" t="s">
        <v>189</v>
      </c>
      <c r="E7" s="7" t="s">
        <v>11</v>
      </c>
      <c r="F7" s="7" t="s">
        <v>18</v>
      </c>
      <c r="G7" s="7" t="s">
        <v>264</v>
      </c>
      <c r="H7" s="7" t="s">
        <v>330</v>
      </c>
      <c r="I7" s="8" t="s">
        <v>489</v>
      </c>
    </row>
    <row r="8" spans="1:12" x14ac:dyDescent="0.35">
      <c r="A8" s="6">
        <v>101145</v>
      </c>
      <c r="B8" s="7" t="str">
        <f>"3326180107990011"</f>
        <v>3326180107990011</v>
      </c>
      <c r="C8" s="7" t="s">
        <v>592</v>
      </c>
      <c r="D8" s="7" t="s">
        <v>189</v>
      </c>
      <c r="E8" s="7" t="s">
        <v>11</v>
      </c>
      <c r="F8" s="7" t="s">
        <v>18</v>
      </c>
      <c r="G8" s="7" t="s">
        <v>190</v>
      </c>
      <c r="H8" s="7" t="s">
        <v>190</v>
      </c>
      <c r="I8" s="8" t="s">
        <v>593</v>
      </c>
    </row>
    <row r="9" spans="1:12" x14ac:dyDescent="0.35">
      <c r="A9" s="6">
        <v>2490071</v>
      </c>
      <c r="B9" s="7" t="str">
        <f>"3328020101070012"</f>
        <v>3328020101070012</v>
      </c>
      <c r="C9" s="7" t="s">
        <v>606</v>
      </c>
      <c r="D9" s="7" t="s">
        <v>189</v>
      </c>
      <c r="E9" s="7" t="s">
        <v>11</v>
      </c>
      <c r="F9" s="7" t="s">
        <v>18</v>
      </c>
      <c r="G9" s="7" t="s">
        <v>19</v>
      </c>
      <c r="H9" s="7" t="s">
        <v>527</v>
      </c>
      <c r="I9" s="8" t="s">
        <v>564</v>
      </c>
      <c r="J9" t="e">
        <f>VLOOKUP(B9,baru!$B$2:$I$2271,4,FALSE)</f>
        <v>#N/A</v>
      </c>
      <c r="K9" t="e">
        <f>VLOOKUP(B9,baru!$B$2:$I$2271,5,FALSE)</f>
        <v>#N/A</v>
      </c>
      <c r="L9" t="e">
        <f>VLOOKUP(B9,baru!$B$2:$I$2271,6,FALSE)</f>
        <v>#N/A</v>
      </c>
    </row>
    <row r="10" spans="1:12" x14ac:dyDescent="0.35">
      <c r="A10" s="13">
        <v>2495861</v>
      </c>
      <c r="B10" s="14" t="str">
        <f>"3328020106980005"</f>
        <v>3328020106980005</v>
      </c>
      <c r="C10" s="14" t="s">
        <v>611</v>
      </c>
      <c r="D10" s="14" t="s">
        <v>189</v>
      </c>
      <c r="E10" s="14" t="s">
        <v>11</v>
      </c>
      <c r="F10" s="14" t="s">
        <v>18</v>
      </c>
      <c r="G10" s="14" t="s">
        <v>19</v>
      </c>
      <c r="H10" s="14" t="s">
        <v>527</v>
      </c>
      <c r="I10" s="15" t="s">
        <v>528</v>
      </c>
      <c r="J10" s="16" t="str">
        <f>VLOOKUP(B10,baru!$B$2:$I$2271,4,FALSE)</f>
        <v>Reguler</v>
      </c>
      <c r="K10" s="16" t="str">
        <f>VLOOKUP(B10,baru!$B$2:$I$2271,5,FALSE)</f>
        <v>JAWA TENGAH</v>
      </c>
      <c r="L10" s="16" t="str">
        <f>VLOOKUP(B10,baru!$B$2:$I$2271,6,FALSE)</f>
        <v>BREBES</v>
      </c>
    </row>
    <row r="11" spans="1:12" x14ac:dyDescent="0.35">
      <c r="A11" s="6">
        <v>2456868</v>
      </c>
      <c r="B11" s="7" t="str">
        <f>"3328020107060019"</f>
        <v>3328020107060019</v>
      </c>
      <c r="C11" s="7" t="s">
        <v>617</v>
      </c>
      <c r="D11" s="7" t="s">
        <v>189</v>
      </c>
      <c r="E11" s="7" t="s">
        <v>11</v>
      </c>
      <c r="F11" s="7" t="s">
        <v>18</v>
      </c>
      <c r="G11" s="7" t="s">
        <v>19</v>
      </c>
      <c r="H11" s="7" t="s">
        <v>527</v>
      </c>
      <c r="I11" s="8" t="s">
        <v>602</v>
      </c>
      <c r="J11" t="e">
        <f>VLOOKUP(B11,baru!$B$2:$I$2271,4,FALSE)</f>
        <v>#N/A</v>
      </c>
      <c r="K11" t="e">
        <f>VLOOKUP(B11,baru!$B$2:$I$2271,5,FALSE)</f>
        <v>#N/A</v>
      </c>
      <c r="L11" t="e">
        <f>VLOOKUP(B11,baru!$B$2:$I$2271,6,FALSE)</f>
        <v>#N/A</v>
      </c>
    </row>
    <row r="12" spans="1:12" x14ac:dyDescent="0.35">
      <c r="A12" s="6">
        <v>697085</v>
      </c>
      <c r="B12" s="7" t="str">
        <f>"3328020811930002"</f>
        <v>3328020811930002</v>
      </c>
      <c r="C12" s="7" t="s">
        <v>635</v>
      </c>
      <c r="D12" s="7" t="s">
        <v>189</v>
      </c>
      <c r="E12" s="7" t="s">
        <v>11</v>
      </c>
      <c r="F12" s="7" t="s">
        <v>50</v>
      </c>
      <c r="G12" s="7" t="s">
        <v>51</v>
      </c>
      <c r="H12" s="7" t="s">
        <v>62</v>
      </c>
      <c r="I12" s="8" t="s">
        <v>62</v>
      </c>
    </row>
    <row r="13" spans="1:12" x14ac:dyDescent="0.35">
      <c r="A13" s="13">
        <v>2480151</v>
      </c>
      <c r="B13" s="14" t="str">
        <f>"3328021707950024"</f>
        <v>3328021707950024</v>
      </c>
      <c r="C13" s="14" t="s">
        <v>692</v>
      </c>
      <c r="D13" s="14" t="s">
        <v>189</v>
      </c>
      <c r="E13" s="14" t="s">
        <v>11</v>
      </c>
      <c r="F13" s="14" t="s">
        <v>18</v>
      </c>
      <c r="G13" s="14" t="s">
        <v>19</v>
      </c>
      <c r="H13" s="14" t="s">
        <v>527</v>
      </c>
      <c r="I13" s="15" t="s">
        <v>543</v>
      </c>
      <c r="J13" s="16" t="str">
        <f>VLOOKUP(B13,baru!$B$2:$I$2271,4,FALSE)</f>
        <v>Reguler</v>
      </c>
      <c r="K13" s="16" t="str">
        <f>VLOOKUP(B13,baru!$B$2:$I$2271,5,FALSE)</f>
        <v>JAWA TENGAH</v>
      </c>
      <c r="L13" s="16" t="str">
        <f>VLOOKUP(B13,baru!$B$2:$I$2271,6,FALSE)</f>
        <v>KENDAL</v>
      </c>
    </row>
    <row r="14" spans="1:12" x14ac:dyDescent="0.35">
      <c r="A14" s="13">
        <v>2131316</v>
      </c>
      <c r="B14" s="14" t="str">
        <f>"3328022211910009"</f>
        <v>3328022211910009</v>
      </c>
      <c r="C14" s="14" t="s">
        <v>714</v>
      </c>
      <c r="D14" s="14" t="s">
        <v>189</v>
      </c>
      <c r="E14" s="14" t="s">
        <v>11</v>
      </c>
      <c r="F14" s="14" t="s">
        <v>18</v>
      </c>
      <c r="G14" s="14" t="s">
        <v>19</v>
      </c>
      <c r="H14" s="14" t="s">
        <v>527</v>
      </c>
      <c r="I14" s="15" t="s">
        <v>682</v>
      </c>
      <c r="J14" s="16" t="str">
        <f>VLOOKUP(B14,baru!$B$2:$I$2271,4,FALSE)</f>
        <v>Reguler</v>
      </c>
      <c r="K14" s="16" t="str">
        <f>VLOOKUP(B14,baru!$B$2:$I$2271,5,FALSE)</f>
        <v>JAWA TENGAH</v>
      </c>
      <c r="L14" s="16" t="str">
        <f>VLOOKUP(B14,baru!$B$2:$I$2271,6,FALSE)</f>
        <v>BREBES</v>
      </c>
    </row>
    <row r="15" spans="1:12" x14ac:dyDescent="0.35">
      <c r="A15" s="6">
        <v>2480807</v>
      </c>
      <c r="B15" s="7" t="str">
        <f>"3328022505020001"</f>
        <v>3328022505020001</v>
      </c>
      <c r="C15" s="7" t="s">
        <v>725</v>
      </c>
      <c r="D15" s="7" t="s">
        <v>189</v>
      </c>
      <c r="E15" s="7" t="s">
        <v>11</v>
      </c>
      <c r="F15" s="7" t="s">
        <v>18</v>
      </c>
      <c r="G15" s="7" t="s">
        <v>19</v>
      </c>
      <c r="H15" s="7" t="s">
        <v>527</v>
      </c>
      <c r="I15" s="8" t="s">
        <v>543</v>
      </c>
      <c r="J15" t="e">
        <f>VLOOKUP(B15,baru!$B$2:$I$2271,4,FALSE)</f>
        <v>#N/A</v>
      </c>
      <c r="K15" t="e">
        <f>VLOOKUP(B15,baru!$B$2:$I$2271,5,FALSE)</f>
        <v>#N/A</v>
      </c>
      <c r="L15" t="e">
        <f>VLOOKUP(B15,baru!$B$2:$I$2271,6,FALSE)</f>
        <v>#N/A</v>
      </c>
    </row>
    <row r="16" spans="1:12" x14ac:dyDescent="0.35">
      <c r="A16" s="6">
        <v>2440425</v>
      </c>
      <c r="B16" s="7" t="str">
        <f>"3328025802060001"</f>
        <v>3328025802060001</v>
      </c>
      <c r="C16" s="7" t="s">
        <v>818</v>
      </c>
      <c r="D16" s="7" t="s">
        <v>189</v>
      </c>
      <c r="E16" s="7" t="s">
        <v>11</v>
      </c>
      <c r="F16" s="7" t="s">
        <v>18</v>
      </c>
      <c r="G16" s="7" t="s">
        <v>19</v>
      </c>
      <c r="H16" s="7" t="s">
        <v>527</v>
      </c>
      <c r="I16" s="8" t="s">
        <v>535</v>
      </c>
      <c r="J16" t="e">
        <f>VLOOKUP(B16,baru!$B$2:$I$2271,4,FALSE)</f>
        <v>#N/A</v>
      </c>
      <c r="K16" t="e">
        <f>VLOOKUP(B16,baru!$B$2:$I$2271,5,FALSE)</f>
        <v>#N/A</v>
      </c>
      <c r="L16" t="e">
        <f>VLOOKUP(B16,baru!$B$2:$I$2271,6,FALSE)</f>
        <v>#N/A</v>
      </c>
    </row>
    <row r="17" spans="1:12" x14ac:dyDescent="0.35">
      <c r="A17" s="6">
        <v>1434353</v>
      </c>
      <c r="B17" s="7" t="str">
        <f>"3329050911900004"</f>
        <v>3329050911900004</v>
      </c>
      <c r="C17" s="7" t="s">
        <v>851</v>
      </c>
      <c r="D17" s="7" t="s">
        <v>189</v>
      </c>
      <c r="E17" s="7" t="s">
        <v>11</v>
      </c>
      <c r="F17" s="7" t="s">
        <v>18</v>
      </c>
      <c r="G17" s="7" t="s">
        <v>264</v>
      </c>
      <c r="H17" s="7" t="s">
        <v>289</v>
      </c>
      <c r="I17" s="8" t="s">
        <v>758</v>
      </c>
    </row>
    <row r="18" spans="1:12" x14ac:dyDescent="0.35">
      <c r="A18" s="6">
        <v>786027</v>
      </c>
      <c r="B18" s="7" t="str">
        <f>"3329095705900008"</f>
        <v>3329095705900008</v>
      </c>
      <c r="C18" s="7" t="s">
        <v>872</v>
      </c>
      <c r="D18" s="7" t="s">
        <v>189</v>
      </c>
      <c r="E18" s="7" t="s">
        <v>11</v>
      </c>
      <c r="F18" s="7" t="s">
        <v>18</v>
      </c>
      <c r="G18" s="7" t="s">
        <v>264</v>
      </c>
      <c r="H18" s="7" t="s">
        <v>264</v>
      </c>
      <c r="I18" s="8" t="s">
        <v>873</v>
      </c>
    </row>
    <row r="19" spans="1:12" x14ac:dyDescent="0.35">
      <c r="A19" s="6">
        <v>2444158</v>
      </c>
      <c r="B19" s="7" t="str">
        <f>"3329170809810004"</f>
        <v>3329170809810004</v>
      </c>
      <c r="C19" s="7" t="s">
        <v>880</v>
      </c>
      <c r="D19" s="7" t="s">
        <v>189</v>
      </c>
      <c r="E19" s="7" t="s">
        <v>11</v>
      </c>
      <c r="F19" s="7" t="s">
        <v>18</v>
      </c>
      <c r="G19" s="7" t="s">
        <v>19</v>
      </c>
      <c r="H19" s="7" t="s">
        <v>527</v>
      </c>
      <c r="I19" s="8" t="s">
        <v>616</v>
      </c>
      <c r="J19" t="e">
        <f>VLOOKUP(B19,baru!$B$2:$I$2271,4,FALSE)</f>
        <v>#N/A</v>
      </c>
      <c r="K19" t="e">
        <f>VLOOKUP(B19,baru!$B$2:$I$2271,5,FALSE)</f>
        <v>#N/A</v>
      </c>
      <c r="L19" t="e">
        <f>VLOOKUP(B19,baru!$B$2:$I$2271,6,FALSE)</f>
        <v>#N/A</v>
      </c>
    </row>
    <row r="20" spans="1:12" x14ac:dyDescent="0.35">
      <c r="A20" s="13">
        <v>1603043</v>
      </c>
      <c r="B20" s="14" t="str">
        <f>"3328030306950010"</f>
        <v>3328030306950010</v>
      </c>
      <c r="C20" s="14" t="s">
        <v>997</v>
      </c>
      <c r="D20" s="14" t="s">
        <v>189</v>
      </c>
      <c r="E20" s="14" t="s">
        <v>11</v>
      </c>
      <c r="F20" s="14" t="s">
        <v>18</v>
      </c>
      <c r="G20" s="14" t="s">
        <v>19</v>
      </c>
      <c r="H20" s="14" t="s">
        <v>906</v>
      </c>
      <c r="I20" s="15" t="s">
        <v>907</v>
      </c>
      <c r="J20" s="16" t="str">
        <f>VLOOKUP(B20,baru!$B$2:$I$2271,4,FALSE)</f>
        <v>Reguler</v>
      </c>
      <c r="K20" s="16" t="str">
        <f>VLOOKUP(B20,baru!$B$2:$I$2271,5,FALSE)</f>
        <v>JAWA TENGAH</v>
      </c>
      <c r="L20" s="16" t="str">
        <f>VLOOKUP(B20,baru!$B$2:$I$2271,6,FALSE)</f>
        <v>KOTA TEGAL</v>
      </c>
    </row>
    <row r="21" spans="1:12" x14ac:dyDescent="0.35">
      <c r="A21" s="13">
        <v>1601309</v>
      </c>
      <c r="B21" s="14" t="str">
        <f>"3328030504850007"</f>
        <v>3328030504850007</v>
      </c>
      <c r="C21" s="14" t="s">
        <v>1006</v>
      </c>
      <c r="D21" s="14" t="s">
        <v>189</v>
      </c>
      <c r="E21" s="14" t="s">
        <v>11</v>
      </c>
      <c r="F21" s="14" t="s">
        <v>18</v>
      </c>
      <c r="G21" s="14" t="s">
        <v>19</v>
      </c>
      <c r="H21" s="14" t="s">
        <v>906</v>
      </c>
      <c r="I21" s="15" t="s">
        <v>920</v>
      </c>
      <c r="J21" s="16" t="str">
        <f>VLOOKUP(B21,baru!$B$2:$I$2271,4,FALSE)</f>
        <v>Reguler</v>
      </c>
      <c r="K21" s="16" t="str">
        <f>VLOOKUP(B21,baru!$B$2:$I$2271,5,FALSE)</f>
        <v>JAWA TENGAH</v>
      </c>
      <c r="L21" s="16" t="str">
        <f>VLOOKUP(B21,baru!$B$2:$I$2271,6,FALSE)</f>
        <v>BREBES</v>
      </c>
    </row>
    <row r="22" spans="1:12" x14ac:dyDescent="0.35">
      <c r="A22" s="6">
        <v>1587059</v>
      </c>
      <c r="B22" s="7" t="str">
        <f>"3328030611050004"</f>
        <v>3328030611050004</v>
      </c>
      <c r="C22" s="7" t="s">
        <v>1015</v>
      </c>
      <c r="D22" s="7" t="s">
        <v>189</v>
      </c>
      <c r="E22" s="7" t="s">
        <v>11</v>
      </c>
      <c r="F22" s="7" t="s">
        <v>18</v>
      </c>
      <c r="G22" s="7" t="s">
        <v>19</v>
      </c>
      <c r="H22" s="7" t="s">
        <v>906</v>
      </c>
      <c r="I22" s="8" t="s">
        <v>906</v>
      </c>
      <c r="J22" t="e">
        <f>VLOOKUP(B22,baru!$B$2:$I$2271,4,FALSE)</f>
        <v>#N/A</v>
      </c>
      <c r="K22" t="e">
        <f>VLOOKUP(B22,baru!$B$2:$I$2271,5,FALSE)</f>
        <v>#N/A</v>
      </c>
      <c r="L22" t="e">
        <f>VLOOKUP(B22,baru!$B$2:$I$2271,6,FALSE)</f>
        <v>#N/A</v>
      </c>
    </row>
    <row r="23" spans="1:12" x14ac:dyDescent="0.35">
      <c r="A23" s="17">
        <v>1563742</v>
      </c>
      <c r="B23" s="18" t="str">
        <f>"3328031506980002"</f>
        <v>3328031506980002</v>
      </c>
      <c r="C23" s="18" t="s">
        <v>1038</v>
      </c>
      <c r="D23" s="18" t="s">
        <v>189</v>
      </c>
      <c r="E23" s="18" t="s">
        <v>11</v>
      </c>
      <c r="F23" s="18" t="s">
        <v>18</v>
      </c>
      <c r="G23" s="18" t="s">
        <v>19</v>
      </c>
      <c r="H23" s="18" t="s">
        <v>906</v>
      </c>
      <c r="I23" s="19" t="s">
        <v>939</v>
      </c>
      <c r="J23" s="20" t="str">
        <f>VLOOKUP(B23,baru!$B$2:$I$2271,4,FALSE)</f>
        <v>Khusus</v>
      </c>
      <c r="K23" s="20" t="str">
        <f>VLOOKUP(B23,baru!$B$2:$I$2271,5,FALSE)</f>
        <v>JAWA TENGAH</v>
      </c>
      <c r="L23" s="20" t="str">
        <f>VLOOKUP(B23,baru!$B$2:$I$2271,6,FALSE)</f>
        <v>CILACAP</v>
      </c>
    </row>
    <row r="24" spans="1:12" x14ac:dyDescent="0.35">
      <c r="A24" s="17">
        <v>1579357</v>
      </c>
      <c r="B24" s="18" t="str">
        <f>"3328035304060001"</f>
        <v>3328035304060001</v>
      </c>
      <c r="C24" s="18" t="s">
        <v>1145</v>
      </c>
      <c r="D24" s="18" t="s">
        <v>189</v>
      </c>
      <c r="E24" s="18" t="s">
        <v>11</v>
      </c>
      <c r="F24" s="18" t="s">
        <v>18</v>
      </c>
      <c r="G24" s="18" t="s">
        <v>19</v>
      </c>
      <c r="H24" s="18" t="s">
        <v>906</v>
      </c>
      <c r="I24" s="19" t="s">
        <v>942</v>
      </c>
      <c r="J24" s="20" t="str">
        <f>VLOOKUP(B24,baru!$B$2:$I$2271,4,FALSE)</f>
        <v>Khusus</v>
      </c>
      <c r="K24" s="20" t="str">
        <f>VLOOKUP(B24,baru!$B$2:$I$2271,5,FALSE)</f>
        <v>JAWA TENGAH</v>
      </c>
      <c r="L24" s="20" t="str">
        <f>VLOOKUP(B24,baru!$B$2:$I$2271,6,FALSE)</f>
        <v>MAGELANG</v>
      </c>
    </row>
    <row r="25" spans="1:12" x14ac:dyDescent="0.35">
      <c r="A25" s="6">
        <v>1557347</v>
      </c>
      <c r="B25" s="7" t="str">
        <f>"3328035607940002"</f>
        <v>3328035607940002</v>
      </c>
      <c r="C25" s="7" t="s">
        <v>1149</v>
      </c>
      <c r="D25" s="7" t="s">
        <v>189</v>
      </c>
      <c r="E25" s="7" t="s">
        <v>11</v>
      </c>
      <c r="F25" s="7" t="s">
        <v>18</v>
      </c>
      <c r="G25" s="7" t="s">
        <v>19</v>
      </c>
      <c r="H25" s="7" t="s">
        <v>906</v>
      </c>
      <c r="I25" s="8" t="s">
        <v>1011</v>
      </c>
      <c r="J25" t="e">
        <f>VLOOKUP(B25,baru!$B$2:$I$2271,4,FALSE)</f>
        <v>#N/A</v>
      </c>
      <c r="K25" t="e">
        <f>VLOOKUP(B25,baru!$B$2:$I$2271,5,FALSE)</f>
        <v>#N/A</v>
      </c>
      <c r="L25" t="e">
        <f>VLOOKUP(B25,baru!$B$2:$I$2271,6,FALSE)</f>
        <v>#N/A</v>
      </c>
    </row>
    <row r="26" spans="1:12" x14ac:dyDescent="0.35">
      <c r="A26" s="6">
        <v>1124759</v>
      </c>
      <c r="B26" s="7" t="str">
        <f>"3328035607940002"</f>
        <v>3328035607940002</v>
      </c>
      <c r="C26" s="7" t="s">
        <v>1150</v>
      </c>
      <c r="D26" s="7" t="s">
        <v>189</v>
      </c>
      <c r="E26" s="7" t="s">
        <v>11</v>
      </c>
      <c r="F26" s="7" t="s">
        <v>18</v>
      </c>
      <c r="G26" s="7" t="s">
        <v>264</v>
      </c>
      <c r="H26" s="7" t="s">
        <v>330</v>
      </c>
      <c r="I26" s="8" t="s">
        <v>489</v>
      </c>
    </row>
    <row r="27" spans="1:12" x14ac:dyDescent="0.35">
      <c r="A27" s="13">
        <v>2405439</v>
      </c>
      <c r="B27" s="14" t="str">
        <f>"1205016609940001"</f>
        <v>1205016609940001</v>
      </c>
      <c r="C27" s="14" t="s">
        <v>1229</v>
      </c>
      <c r="D27" s="14" t="s">
        <v>189</v>
      </c>
      <c r="E27" s="14" t="s">
        <v>11</v>
      </c>
      <c r="F27" s="14" t="s">
        <v>18</v>
      </c>
      <c r="G27" s="14" t="s">
        <v>19</v>
      </c>
      <c r="H27" s="14" t="s">
        <v>745</v>
      </c>
      <c r="I27" s="15" t="s">
        <v>1230</v>
      </c>
      <c r="J27" s="16" t="str">
        <f>VLOOKUP(B27,baru!$B$2:$I$2271,4,FALSE)</f>
        <v>Reguler</v>
      </c>
      <c r="K27" s="16" t="str">
        <f>VLOOKUP(B27,baru!$B$2:$I$2271,5,FALSE)</f>
        <v>SUMATERA UTARA</v>
      </c>
      <c r="L27" s="16" t="str">
        <f>VLOOKUP(B27,baru!$B$2:$I$2271,6,FALSE)</f>
        <v>LANGKAT</v>
      </c>
    </row>
    <row r="28" spans="1:12" x14ac:dyDescent="0.35">
      <c r="A28" s="6">
        <v>246225</v>
      </c>
      <c r="B28" s="7" t="str">
        <f>"3173055311000001"</f>
        <v>3173055311000001</v>
      </c>
      <c r="C28" s="7" t="s">
        <v>1275</v>
      </c>
      <c r="D28" s="7" t="s">
        <v>189</v>
      </c>
      <c r="E28" s="7" t="s">
        <v>11</v>
      </c>
      <c r="F28" s="7" t="s">
        <v>18</v>
      </c>
      <c r="G28" s="7" t="s">
        <v>268</v>
      </c>
      <c r="H28" s="7" t="s">
        <v>371</v>
      </c>
      <c r="I28" s="8" t="s">
        <v>497</v>
      </c>
    </row>
    <row r="29" spans="1:12" x14ac:dyDescent="0.35">
      <c r="A29" s="6">
        <v>919364</v>
      </c>
      <c r="B29" s="7" t="str">
        <f>"3215216705000001"</f>
        <v>3215216705000001</v>
      </c>
      <c r="C29" s="7" t="s">
        <v>1317</v>
      </c>
      <c r="D29" s="7" t="s">
        <v>189</v>
      </c>
      <c r="E29" s="7" t="s">
        <v>11</v>
      </c>
      <c r="F29" s="7" t="s">
        <v>91</v>
      </c>
      <c r="G29" s="7" t="s">
        <v>320</v>
      </c>
      <c r="H29" s="7" t="s">
        <v>1319</v>
      </c>
      <c r="I29" s="8" t="s">
        <v>1320</v>
      </c>
    </row>
    <row r="30" spans="1:12" x14ac:dyDescent="0.35">
      <c r="A30" s="13">
        <v>2273981</v>
      </c>
      <c r="B30" s="14" t="str">
        <f>"3303082105030003"</f>
        <v>3303082105030003</v>
      </c>
      <c r="C30" s="14" t="s">
        <v>1347</v>
      </c>
      <c r="D30" s="14" t="s">
        <v>189</v>
      </c>
      <c r="E30" s="14" t="s">
        <v>11</v>
      </c>
      <c r="F30" s="14" t="s">
        <v>18</v>
      </c>
      <c r="G30" s="14" t="s">
        <v>19</v>
      </c>
      <c r="H30" s="14" t="s">
        <v>745</v>
      </c>
      <c r="I30" s="15" t="s">
        <v>1348</v>
      </c>
      <c r="J30" s="16" t="str">
        <f>VLOOKUP(B30,baru!$B$2:$I$2271,4,FALSE)</f>
        <v>Reguler</v>
      </c>
      <c r="K30" s="16" t="str">
        <f>VLOOKUP(B30,baru!$B$2:$I$2271,5,FALSE)</f>
        <v>JAWA TENGAH</v>
      </c>
      <c r="L30" s="16" t="str">
        <f>VLOOKUP(B30,baru!$B$2:$I$2271,6,FALSE)</f>
        <v>PURBALINGGA</v>
      </c>
    </row>
    <row r="31" spans="1:12" x14ac:dyDescent="0.35">
      <c r="A31" s="13">
        <v>2395267</v>
      </c>
      <c r="B31" s="14" t="str">
        <f>"3328040112860008"</f>
        <v>3328040112860008</v>
      </c>
      <c r="C31" s="14" t="s">
        <v>1386</v>
      </c>
      <c r="D31" s="14" t="s">
        <v>189</v>
      </c>
      <c r="E31" s="14" t="s">
        <v>11</v>
      </c>
      <c r="F31" s="14" t="s">
        <v>18</v>
      </c>
      <c r="G31" s="14" t="s">
        <v>19</v>
      </c>
      <c r="H31" s="14" t="s">
        <v>745</v>
      </c>
      <c r="I31" s="15" t="s">
        <v>1274</v>
      </c>
      <c r="J31" s="16" t="str">
        <f>VLOOKUP(B31,baru!$B$2:$I$2271,4,FALSE)</f>
        <v>Reguler</v>
      </c>
      <c r="K31" s="16" t="str">
        <f>VLOOKUP(B31,baru!$B$2:$I$2271,5,FALSE)</f>
        <v>JAWA TENGAH</v>
      </c>
      <c r="L31" s="16" t="str">
        <f>VLOOKUP(B31,baru!$B$2:$I$2271,6,FALSE)</f>
        <v>WONOSOBO</v>
      </c>
    </row>
    <row r="32" spans="1:12" x14ac:dyDescent="0.35">
      <c r="A32" s="13">
        <v>2343065</v>
      </c>
      <c r="B32" s="14" t="str">
        <f>"3328040608850004"</f>
        <v>3328040608850004</v>
      </c>
      <c r="C32" s="14" t="s">
        <v>1430</v>
      </c>
      <c r="D32" s="14" t="s">
        <v>189</v>
      </c>
      <c r="E32" s="14" t="s">
        <v>11</v>
      </c>
      <c r="F32" s="14" t="s">
        <v>18</v>
      </c>
      <c r="G32" s="14" t="s">
        <v>19</v>
      </c>
      <c r="H32" s="14" t="s">
        <v>745</v>
      </c>
      <c r="I32" s="15" t="s">
        <v>1277</v>
      </c>
      <c r="J32" s="16" t="str">
        <f>VLOOKUP(B32,baru!$B$2:$I$2271,4,FALSE)</f>
        <v>Reguler</v>
      </c>
      <c r="K32" s="16" t="str">
        <f>VLOOKUP(B32,baru!$B$2:$I$2271,5,FALSE)</f>
        <v>JAWA TENGAH</v>
      </c>
      <c r="L32" s="16" t="str">
        <f>VLOOKUP(B32,baru!$B$2:$I$2271,6,FALSE)</f>
        <v>PURBALINGGA</v>
      </c>
    </row>
    <row r="33" spans="1:12" x14ac:dyDescent="0.35">
      <c r="A33" s="6">
        <v>2351069</v>
      </c>
      <c r="B33" s="7" t="str">
        <f>"3328040706760003"</f>
        <v>3328040706760003</v>
      </c>
      <c r="C33" s="7" t="s">
        <v>1442</v>
      </c>
      <c r="D33" s="7" t="s">
        <v>189</v>
      </c>
      <c r="E33" s="7" t="s">
        <v>11</v>
      </c>
      <c r="F33" s="7" t="s">
        <v>18</v>
      </c>
      <c r="G33" s="7" t="s">
        <v>19</v>
      </c>
      <c r="H33" s="7" t="s">
        <v>745</v>
      </c>
      <c r="I33" s="8" t="s">
        <v>1406</v>
      </c>
      <c r="J33" t="e">
        <f>VLOOKUP(B33,baru!$B$2:$I$2271,4,FALSE)</f>
        <v>#N/A</v>
      </c>
      <c r="K33" t="e">
        <f>VLOOKUP(B33,baru!$B$2:$I$2271,5,FALSE)</f>
        <v>#N/A</v>
      </c>
      <c r="L33" t="e">
        <f>VLOOKUP(B33,baru!$B$2:$I$2271,6,FALSE)</f>
        <v>#N/A</v>
      </c>
    </row>
    <row r="34" spans="1:12" x14ac:dyDescent="0.35">
      <c r="A34" s="6">
        <v>2251326</v>
      </c>
      <c r="B34" s="7" t="str">
        <f>"3328040808940001"</f>
        <v>3328040808940001</v>
      </c>
      <c r="C34" s="7" t="s">
        <v>1446</v>
      </c>
      <c r="D34" s="7" t="s">
        <v>189</v>
      </c>
      <c r="E34" s="7" t="s">
        <v>11</v>
      </c>
      <c r="F34" s="7" t="s">
        <v>18</v>
      </c>
      <c r="G34" s="7" t="s">
        <v>19</v>
      </c>
      <c r="H34" s="7" t="s">
        <v>745</v>
      </c>
      <c r="I34" s="8" t="s">
        <v>1257</v>
      </c>
      <c r="J34" t="e">
        <f>VLOOKUP(B34,baru!$B$2:$I$2271,4,FALSE)</f>
        <v>#N/A</v>
      </c>
      <c r="K34" t="e">
        <f>VLOOKUP(B34,baru!$B$2:$I$2271,5,FALSE)</f>
        <v>#N/A</v>
      </c>
      <c r="L34" t="e">
        <f>VLOOKUP(B34,baru!$B$2:$I$2271,6,FALSE)</f>
        <v>#N/A</v>
      </c>
    </row>
    <row r="35" spans="1:12" x14ac:dyDescent="0.35">
      <c r="A35" s="6">
        <v>2369652</v>
      </c>
      <c r="B35" s="7" t="str">
        <f>"3328041304060006"</f>
        <v>3328041304060006</v>
      </c>
      <c r="C35" s="7" t="s">
        <v>1466</v>
      </c>
      <c r="D35" s="7" t="s">
        <v>189</v>
      </c>
      <c r="E35" s="7" t="s">
        <v>11</v>
      </c>
      <c r="F35" s="7" t="s">
        <v>18</v>
      </c>
      <c r="G35" s="7" t="s">
        <v>19</v>
      </c>
      <c r="H35" s="7" t="s">
        <v>745</v>
      </c>
      <c r="I35" s="8" t="s">
        <v>746</v>
      </c>
      <c r="J35" t="e">
        <f>VLOOKUP(B35,baru!$B$2:$I$2271,4,FALSE)</f>
        <v>#N/A</v>
      </c>
      <c r="K35" t="e">
        <f>VLOOKUP(B35,baru!$B$2:$I$2271,5,FALSE)</f>
        <v>#N/A</v>
      </c>
      <c r="L35" t="e">
        <f>VLOOKUP(B35,baru!$B$2:$I$2271,6,FALSE)</f>
        <v>#N/A</v>
      </c>
    </row>
    <row r="36" spans="1:12" x14ac:dyDescent="0.35">
      <c r="A36" s="13">
        <v>2351750</v>
      </c>
      <c r="B36" s="14" t="str">
        <f>"3328041706970003"</f>
        <v>3328041706970003</v>
      </c>
      <c r="C36" s="14" t="s">
        <v>1474</v>
      </c>
      <c r="D36" s="14" t="s">
        <v>189</v>
      </c>
      <c r="E36" s="14" t="s">
        <v>11</v>
      </c>
      <c r="F36" s="14" t="s">
        <v>18</v>
      </c>
      <c r="G36" s="14" t="s">
        <v>19</v>
      </c>
      <c r="H36" s="14" t="s">
        <v>745</v>
      </c>
      <c r="I36" s="15" t="s">
        <v>1406</v>
      </c>
      <c r="J36" s="16" t="str">
        <f>VLOOKUP(B36,baru!$B$2:$I$2271,4,FALSE)</f>
        <v>Reguler</v>
      </c>
      <c r="K36" s="16" t="str">
        <f>VLOOKUP(B36,baru!$B$2:$I$2271,5,FALSE)</f>
        <v>JAWA TENGAH</v>
      </c>
      <c r="L36" s="16" t="str">
        <f>VLOOKUP(B36,baru!$B$2:$I$2271,6,FALSE)</f>
        <v>WONOSOBO</v>
      </c>
    </row>
    <row r="37" spans="1:12" x14ac:dyDescent="0.35">
      <c r="A37" s="13">
        <v>2400811</v>
      </c>
      <c r="B37" s="14" t="str">
        <f>"3328041902970002"</f>
        <v>3328041902970002</v>
      </c>
      <c r="C37" s="14" t="s">
        <v>1481</v>
      </c>
      <c r="D37" s="14" t="s">
        <v>189</v>
      </c>
      <c r="E37" s="14" t="s">
        <v>11</v>
      </c>
      <c r="F37" s="14" t="s">
        <v>18</v>
      </c>
      <c r="G37" s="14" t="s">
        <v>19</v>
      </c>
      <c r="H37" s="14" t="s">
        <v>745</v>
      </c>
      <c r="I37" s="15" t="s">
        <v>1482</v>
      </c>
      <c r="J37" s="16" t="str">
        <f>VLOOKUP(B37,baru!$B$2:$I$2271,4,FALSE)</f>
        <v>Reguler</v>
      </c>
      <c r="K37" s="16" t="str">
        <f>VLOOKUP(B37,baru!$B$2:$I$2271,5,FALSE)</f>
        <v>JAWA TENGAH</v>
      </c>
      <c r="L37" s="16" t="str">
        <f>VLOOKUP(B37,baru!$B$2:$I$2271,6,FALSE)</f>
        <v>BREBES</v>
      </c>
    </row>
    <row r="38" spans="1:12" x14ac:dyDescent="0.35">
      <c r="A38" s="17">
        <v>2341146</v>
      </c>
      <c r="B38" s="18" t="str">
        <f>"3328041903860001"</f>
        <v>3328041903860001</v>
      </c>
      <c r="C38" s="18" t="s">
        <v>1484</v>
      </c>
      <c r="D38" s="18" t="s">
        <v>189</v>
      </c>
      <c r="E38" s="18" t="s">
        <v>11</v>
      </c>
      <c r="F38" s="18" t="s">
        <v>18</v>
      </c>
      <c r="G38" s="18" t="s">
        <v>19</v>
      </c>
      <c r="H38" s="18" t="s">
        <v>745</v>
      </c>
      <c r="I38" s="19" t="s">
        <v>1277</v>
      </c>
      <c r="J38" s="20" t="str">
        <f>VLOOKUP(B38,baru!$B$2:$I$2271,4,FALSE)</f>
        <v>Khusus</v>
      </c>
      <c r="K38" s="20" t="str">
        <f>VLOOKUP(B38,baru!$B$2:$I$2271,5,FALSE)</f>
        <v>JAWA TENGAH</v>
      </c>
      <c r="L38" s="20" t="str">
        <f>VLOOKUP(B38,baru!$B$2:$I$2271,6,FALSE)</f>
        <v>CILACAP</v>
      </c>
    </row>
    <row r="39" spans="1:12" x14ac:dyDescent="0.35">
      <c r="A39" s="13">
        <v>2217441</v>
      </c>
      <c r="B39" s="14" t="str">
        <f>"3328042008010008"</f>
        <v>3328042008010008</v>
      </c>
      <c r="C39" s="14" t="s">
        <v>1486</v>
      </c>
      <c r="D39" s="14" t="s">
        <v>189</v>
      </c>
      <c r="E39" s="14" t="s">
        <v>11</v>
      </c>
      <c r="F39" s="14" t="s">
        <v>18</v>
      </c>
      <c r="G39" s="14" t="s">
        <v>19</v>
      </c>
      <c r="H39" s="14" t="s">
        <v>745</v>
      </c>
      <c r="I39" s="15" t="s">
        <v>1235</v>
      </c>
      <c r="J39" s="16" t="str">
        <f>VLOOKUP(B39,baru!$B$2:$I$2271,4,FALSE)</f>
        <v>Reguler</v>
      </c>
      <c r="K39" s="16" t="str">
        <f>VLOOKUP(B39,baru!$B$2:$I$2271,5,FALSE)</f>
        <v>SUMATERA BARAT</v>
      </c>
      <c r="L39" s="16" t="str">
        <f>VLOOKUP(B39,baru!$B$2:$I$2271,6,FALSE)</f>
        <v>KOTA PADANG PANJANG</v>
      </c>
    </row>
    <row r="40" spans="1:12" x14ac:dyDescent="0.35">
      <c r="A40" s="13">
        <v>2219905</v>
      </c>
      <c r="B40" s="14" t="str">
        <f>"3328044107950035"</f>
        <v>3328044107950035</v>
      </c>
      <c r="C40" s="14" t="s">
        <v>1532</v>
      </c>
      <c r="D40" s="14" t="s">
        <v>189</v>
      </c>
      <c r="E40" s="14" t="s">
        <v>11</v>
      </c>
      <c r="F40" s="14" t="s">
        <v>18</v>
      </c>
      <c r="G40" s="14" t="s">
        <v>19</v>
      </c>
      <c r="H40" s="14" t="s">
        <v>745</v>
      </c>
      <c r="I40" s="15" t="s">
        <v>1235</v>
      </c>
      <c r="J40" s="16" t="str">
        <f>VLOOKUP(B40,baru!$B$2:$I$2271,4,FALSE)</f>
        <v>Reguler</v>
      </c>
      <c r="K40" s="16" t="str">
        <f>VLOOKUP(B40,baru!$B$2:$I$2271,5,FALSE)</f>
        <v>SUMATERA BARAT</v>
      </c>
      <c r="L40" s="16" t="str">
        <f>VLOOKUP(B40,baru!$B$2:$I$2271,6,FALSE)</f>
        <v>KOTA PADANG PANJANG</v>
      </c>
    </row>
    <row r="41" spans="1:12" x14ac:dyDescent="0.35">
      <c r="A41" s="6">
        <v>2345212</v>
      </c>
      <c r="B41" s="7" t="str">
        <f>"3328044402840001"</f>
        <v>3328044402840001</v>
      </c>
      <c r="C41" s="7" t="s">
        <v>1546</v>
      </c>
      <c r="D41" s="7" t="s">
        <v>189</v>
      </c>
      <c r="E41" s="7" t="s">
        <v>11</v>
      </c>
      <c r="F41" s="7" t="s">
        <v>18</v>
      </c>
      <c r="G41" s="7" t="s">
        <v>19</v>
      </c>
      <c r="H41" s="7" t="s">
        <v>745</v>
      </c>
      <c r="I41" s="8" t="s">
        <v>1262</v>
      </c>
      <c r="J41" t="e">
        <f>VLOOKUP(B41,baru!$B$2:$I$2271,4,FALSE)</f>
        <v>#N/A</v>
      </c>
      <c r="K41" t="e">
        <f>VLOOKUP(B41,baru!$B$2:$I$2271,5,FALSE)</f>
        <v>#N/A</v>
      </c>
      <c r="L41" t="e">
        <f>VLOOKUP(B41,baru!$B$2:$I$2271,6,FALSE)</f>
        <v>#N/A</v>
      </c>
    </row>
    <row r="42" spans="1:12" x14ac:dyDescent="0.35">
      <c r="A42" s="13">
        <v>2349139</v>
      </c>
      <c r="B42" s="14" t="str">
        <f>"3328044509950002"</f>
        <v>3328044509950002</v>
      </c>
      <c r="C42" s="14" t="s">
        <v>1550</v>
      </c>
      <c r="D42" s="14" t="s">
        <v>189</v>
      </c>
      <c r="E42" s="14" t="s">
        <v>11</v>
      </c>
      <c r="F42" s="14" t="s">
        <v>18</v>
      </c>
      <c r="G42" s="14" t="s">
        <v>19</v>
      </c>
      <c r="H42" s="14" t="s">
        <v>745</v>
      </c>
      <c r="I42" s="15" t="s">
        <v>1406</v>
      </c>
      <c r="J42" s="16" t="str">
        <f>VLOOKUP(B42,baru!$B$2:$I$2271,4,FALSE)</f>
        <v>Reguler</v>
      </c>
      <c r="K42" s="16" t="str">
        <f>VLOOKUP(B42,baru!$B$2:$I$2271,5,FALSE)</f>
        <v>DKI JAKARTA</v>
      </c>
      <c r="L42" s="16" t="str">
        <f>VLOOKUP(B42,baru!$B$2:$I$2271,6,FALSE)</f>
        <v>KOTA JAKARTA TIMUR</v>
      </c>
    </row>
    <row r="43" spans="1:12" x14ac:dyDescent="0.35">
      <c r="A43" s="6">
        <v>2371415</v>
      </c>
      <c r="B43" s="7" t="str">
        <f>"3328044603060006"</f>
        <v>3328044603060006</v>
      </c>
      <c r="C43" s="7" t="s">
        <v>1558</v>
      </c>
      <c r="D43" s="7" t="s">
        <v>189</v>
      </c>
      <c r="E43" s="7" t="s">
        <v>11</v>
      </c>
      <c r="F43" s="7" t="s">
        <v>18</v>
      </c>
      <c r="G43" s="7" t="s">
        <v>19</v>
      </c>
      <c r="H43" s="7" t="s">
        <v>745</v>
      </c>
      <c r="I43" s="8" t="s">
        <v>746</v>
      </c>
      <c r="J43" t="e">
        <f>VLOOKUP(B43,baru!$B$2:$I$2271,4,FALSE)</f>
        <v>#N/A</v>
      </c>
      <c r="K43" t="e">
        <f>VLOOKUP(B43,baru!$B$2:$I$2271,5,FALSE)</f>
        <v>#N/A</v>
      </c>
      <c r="L43" t="e">
        <f>VLOOKUP(B43,baru!$B$2:$I$2271,6,FALSE)</f>
        <v>#N/A</v>
      </c>
    </row>
    <row r="44" spans="1:12" x14ac:dyDescent="0.35">
      <c r="A44" s="6">
        <v>1730793</v>
      </c>
      <c r="B44" s="7" t="str">
        <f>"3328045404960009"</f>
        <v>3328045404960009</v>
      </c>
      <c r="C44" s="7" t="s">
        <v>1581</v>
      </c>
      <c r="D44" s="7" t="s">
        <v>189</v>
      </c>
      <c r="E44" s="7" t="s">
        <v>11</v>
      </c>
      <c r="F44" s="7" t="s">
        <v>50</v>
      </c>
      <c r="G44" s="7" t="s">
        <v>72</v>
      </c>
      <c r="H44" s="7" t="s">
        <v>1172</v>
      </c>
      <c r="I44" s="8" t="s">
        <v>226</v>
      </c>
    </row>
    <row r="45" spans="1:12" x14ac:dyDescent="0.35">
      <c r="A45" s="13">
        <v>2355959</v>
      </c>
      <c r="B45" s="14" t="str">
        <f>"3328046710880003"</f>
        <v>3328046710880003</v>
      </c>
      <c r="C45" s="14" t="s">
        <v>1607</v>
      </c>
      <c r="D45" s="14" t="s">
        <v>189</v>
      </c>
      <c r="E45" s="14" t="s">
        <v>11</v>
      </c>
      <c r="F45" s="14" t="s">
        <v>18</v>
      </c>
      <c r="G45" s="14" t="s">
        <v>19</v>
      </c>
      <c r="H45" s="14" t="s">
        <v>745</v>
      </c>
      <c r="I45" s="15" t="s">
        <v>1314</v>
      </c>
      <c r="J45" s="16" t="str">
        <f>VLOOKUP(B45,baru!$B$2:$I$2271,4,FALSE)</f>
        <v>Reguler</v>
      </c>
      <c r="K45" s="16" t="str">
        <f>VLOOKUP(B45,baru!$B$2:$I$2271,5,FALSE)</f>
        <v>DAERAH ISTIMEWA YOGYAKARTA</v>
      </c>
      <c r="L45" s="16" t="str">
        <f>VLOOKUP(B45,baru!$B$2:$I$2271,6,FALSE)</f>
        <v>SLEMAN</v>
      </c>
    </row>
    <row r="46" spans="1:12" x14ac:dyDescent="0.35">
      <c r="A46" s="6">
        <v>2402301</v>
      </c>
      <c r="B46" s="7" t="str">
        <f>"3329060309010003"</f>
        <v>3329060309010003</v>
      </c>
      <c r="C46" s="7" t="s">
        <v>1626</v>
      </c>
      <c r="D46" s="7" t="s">
        <v>189</v>
      </c>
      <c r="E46" s="7" t="s">
        <v>11</v>
      </c>
      <c r="F46" s="7" t="s">
        <v>18</v>
      </c>
      <c r="G46" s="7" t="s">
        <v>19</v>
      </c>
      <c r="H46" s="7" t="s">
        <v>745</v>
      </c>
      <c r="I46" s="8" t="s">
        <v>1303</v>
      </c>
      <c r="J46" t="e">
        <f>VLOOKUP(B46,baru!$B$2:$I$2271,4,FALSE)</f>
        <v>#N/A</v>
      </c>
      <c r="K46" t="e">
        <f>VLOOKUP(B46,baru!$B$2:$I$2271,5,FALSE)</f>
        <v>#N/A</v>
      </c>
      <c r="L46" t="e">
        <f>VLOOKUP(B46,baru!$B$2:$I$2271,6,FALSE)</f>
        <v>#N/A</v>
      </c>
    </row>
    <row r="47" spans="1:12" x14ac:dyDescent="0.35">
      <c r="A47" s="6">
        <v>665136</v>
      </c>
      <c r="B47" s="7" t="str">
        <f>"3329081309920004"</f>
        <v>3329081309920004</v>
      </c>
      <c r="C47" s="7" t="s">
        <v>1270</v>
      </c>
      <c r="D47" s="7" t="s">
        <v>189</v>
      </c>
      <c r="E47" s="7" t="s">
        <v>11</v>
      </c>
      <c r="F47" s="7" t="s">
        <v>18</v>
      </c>
      <c r="G47" s="7" t="s">
        <v>264</v>
      </c>
      <c r="H47" s="7" t="s">
        <v>248</v>
      </c>
      <c r="I47" s="8" t="s">
        <v>1634</v>
      </c>
    </row>
    <row r="48" spans="1:12" x14ac:dyDescent="0.35">
      <c r="A48" s="6">
        <v>586839</v>
      </c>
      <c r="B48" s="7" t="str">
        <f>"3329094210970010"</f>
        <v>3329094210970010</v>
      </c>
      <c r="C48" s="7" t="s">
        <v>1636</v>
      </c>
      <c r="D48" s="7" t="s">
        <v>189</v>
      </c>
      <c r="E48" s="7" t="s">
        <v>11</v>
      </c>
      <c r="F48" s="7" t="s">
        <v>18</v>
      </c>
      <c r="G48" s="7" t="s">
        <v>264</v>
      </c>
      <c r="H48" s="7" t="s">
        <v>264</v>
      </c>
      <c r="I48" s="8" t="s">
        <v>1637</v>
      </c>
    </row>
    <row r="49" spans="1:12" x14ac:dyDescent="0.35">
      <c r="A49" s="6">
        <v>1400441</v>
      </c>
      <c r="B49" s="7" t="str">
        <f>"3329141902920006"</f>
        <v>3329141902920006</v>
      </c>
      <c r="C49" s="7" t="s">
        <v>1643</v>
      </c>
      <c r="D49" s="7" t="s">
        <v>189</v>
      </c>
      <c r="E49" s="7" t="s">
        <v>11</v>
      </c>
      <c r="F49" s="7" t="s">
        <v>18</v>
      </c>
      <c r="G49" s="7" t="s">
        <v>264</v>
      </c>
      <c r="H49" s="7" t="s">
        <v>461</v>
      </c>
      <c r="I49" s="8" t="s">
        <v>1644</v>
      </c>
    </row>
    <row r="50" spans="1:12" x14ac:dyDescent="0.35">
      <c r="A50" s="6">
        <v>39143</v>
      </c>
      <c r="B50" s="7" t="str">
        <f>"3402170211940003"</f>
        <v>3402170211940003</v>
      </c>
      <c r="C50" s="7" t="s">
        <v>1665</v>
      </c>
      <c r="D50" s="7" t="s">
        <v>189</v>
      </c>
      <c r="E50" s="7" t="s">
        <v>11</v>
      </c>
      <c r="F50" s="7" t="s">
        <v>379</v>
      </c>
      <c r="G50" s="7" t="s">
        <v>711</v>
      </c>
      <c r="H50" s="7" t="s">
        <v>1666</v>
      </c>
      <c r="I50" s="8" t="s">
        <v>1667</v>
      </c>
    </row>
    <row r="51" spans="1:12" x14ac:dyDescent="0.35">
      <c r="A51" s="6">
        <v>678896</v>
      </c>
      <c r="B51" s="7" t="str">
        <f>"3175084507500002"</f>
        <v>3175084507500002</v>
      </c>
      <c r="C51" s="7" t="s">
        <v>1745</v>
      </c>
      <c r="D51" s="7" t="s">
        <v>189</v>
      </c>
      <c r="E51" s="7" t="s">
        <v>11</v>
      </c>
      <c r="F51" s="7" t="s">
        <v>50</v>
      </c>
      <c r="G51" s="7" t="s">
        <v>58</v>
      </c>
      <c r="H51" s="7" t="s">
        <v>1742</v>
      </c>
      <c r="I51" s="8" t="s">
        <v>1743</v>
      </c>
    </row>
    <row r="52" spans="1:12" x14ac:dyDescent="0.35">
      <c r="A52" s="6">
        <v>936100</v>
      </c>
      <c r="B52" s="7" t="str">
        <f>"3326111407930005"</f>
        <v>3326111407930005</v>
      </c>
      <c r="C52" s="7" t="s">
        <v>1793</v>
      </c>
      <c r="D52" s="7" t="s">
        <v>189</v>
      </c>
      <c r="E52" s="7" t="s">
        <v>11</v>
      </c>
      <c r="F52" s="7" t="s">
        <v>18</v>
      </c>
      <c r="G52" s="7" t="s">
        <v>195</v>
      </c>
      <c r="H52" s="7" t="s">
        <v>906</v>
      </c>
      <c r="I52" s="8" t="s">
        <v>1794</v>
      </c>
    </row>
    <row r="53" spans="1:12" x14ac:dyDescent="0.35">
      <c r="A53" s="13">
        <v>1366942</v>
      </c>
      <c r="B53" s="14" t="str">
        <f>"3328051512970004"</f>
        <v>3328051512970004</v>
      </c>
      <c r="C53" s="14" t="s">
        <v>1887</v>
      </c>
      <c r="D53" s="14" t="s">
        <v>189</v>
      </c>
      <c r="E53" s="14" t="s">
        <v>11</v>
      </c>
      <c r="F53" s="14" t="s">
        <v>18</v>
      </c>
      <c r="G53" s="14" t="s">
        <v>19</v>
      </c>
      <c r="H53" s="14" t="s">
        <v>1720</v>
      </c>
      <c r="I53" s="15" t="s">
        <v>1740</v>
      </c>
      <c r="J53" s="16" t="str">
        <f>VLOOKUP(B53,baru!$B$2:$I$2271,4,FALSE)</f>
        <v>Reguler</v>
      </c>
      <c r="K53" s="16" t="str">
        <f>VLOOKUP(B53,baru!$B$2:$I$2271,5,FALSE)</f>
        <v>JAWA TENGAH</v>
      </c>
      <c r="L53" s="16" t="str">
        <f>VLOOKUP(B53,baru!$B$2:$I$2271,6,FALSE)</f>
        <v>BANYUMAS</v>
      </c>
    </row>
    <row r="54" spans="1:12" x14ac:dyDescent="0.35">
      <c r="A54" s="13">
        <v>1342727</v>
      </c>
      <c r="B54" s="14" t="str">
        <f>"3328052005880004"</f>
        <v>3328052005880004</v>
      </c>
      <c r="C54" s="14" t="s">
        <v>1901</v>
      </c>
      <c r="D54" s="14" t="s">
        <v>189</v>
      </c>
      <c r="E54" s="14" t="s">
        <v>11</v>
      </c>
      <c r="F54" s="14" t="s">
        <v>18</v>
      </c>
      <c r="G54" s="14" t="s">
        <v>19</v>
      </c>
      <c r="H54" s="14" t="s">
        <v>1720</v>
      </c>
      <c r="I54" s="15" t="s">
        <v>1381</v>
      </c>
      <c r="J54" s="16" t="str">
        <f>VLOOKUP(B54,baru!$B$2:$I$2271,4,FALSE)</f>
        <v>Reguler</v>
      </c>
      <c r="K54" s="16" t="str">
        <f>VLOOKUP(B54,baru!$B$2:$I$2271,5,FALSE)</f>
        <v>JAWA TENGAH</v>
      </c>
      <c r="L54" s="16" t="str">
        <f>VLOOKUP(B54,baru!$B$2:$I$2271,6,FALSE)</f>
        <v>MAGELANG</v>
      </c>
    </row>
    <row r="55" spans="1:12" x14ac:dyDescent="0.35">
      <c r="A55" s="6">
        <v>673143</v>
      </c>
      <c r="B55" s="7" t="str">
        <f>"3328054210970002"</f>
        <v>3328054210970002</v>
      </c>
      <c r="C55" s="7" t="s">
        <v>1943</v>
      </c>
      <c r="D55" s="7" t="s">
        <v>189</v>
      </c>
      <c r="E55" s="7" t="s">
        <v>11</v>
      </c>
      <c r="F55" s="7" t="s">
        <v>18</v>
      </c>
      <c r="G55" s="7" t="s">
        <v>264</v>
      </c>
      <c r="H55" s="7" t="s">
        <v>344</v>
      </c>
      <c r="I55" s="8" t="s">
        <v>1944</v>
      </c>
    </row>
    <row r="56" spans="1:12" x14ac:dyDescent="0.35">
      <c r="A56" s="13">
        <v>1625227</v>
      </c>
      <c r="B56" s="14" t="str">
        <f>"3328054510870001"</f>
        <v>3328054510870001</v>
      </c>
      <c r="C56" s="14" t="s">
        <v>383</v>
      </c>
      <c r="D56" s="14" t="s">
        <v>189</v>
      </c>
      <c r="E56" s="14" t="s">
        <v>11</v>
      </c>
      <c r="F56" s="14" t="s">
        <v>18</v>
      </c>
      <c r="G56" s="14" t="s">
        <v>19</v>
      </c>
      <c r="H56" s="14" t="s">
        <v>1720</v>
      </c>
      <c r="I56" s="15" t="s">
        <v>1777</v>
      </c>
      <c r="J56" s="16" t="str">
        <f>VLOOKUP(B56,baru!$B$2:$I$2271,4,FALSE)</f>
        <v>Reguler</v>
      </c>
      <c r="K56" s="16" t="str">
        <f>VLOOKUP(B56,baru!$B$2:$I$2271,5,FALSE)</f>
        <v>JAWA TENGAH</v>
      </c>
      <c r="L56" s="16" t="str">
        <f>VLOOKUP(B56,baru!$B$2:$I$2271,6,FALSE)</f>
        <v>BREBES</v>
      </c>
    </row>
    <row r="57" spans="1:12" x14ac:dyDescent="0.35">
      <c r="A57" s="6">
        <v>1315352</v>
      </c>
      <c r="B57" s="7" t="str">
        <f>"3329070808870004"</f>
        <v>3329070808870004</v>
      </c>
      <c r="C57" s="7" t="s">
        <v>1386</v>
      </c>
      <c r="D57" s="7" t="s">
        <v>189</v>
      </c>
      <c r="E57" s="7" t="s">
        <v>11</v>
      </c>
      <c r="F57" s="7" t="s">
        <v>18</v>
      </c>
      <c r="G57" s="7" t="s">
        <v>264</v>
      </c>
      <c r="H57" s="7" t="s">
        <v>265</v>
      </c>
      <c r="I57" s="8" t="s">
        <v>1869</v>
      </c>
    </row>
    <row r="58" spans="1:12" x14ac:dyDescent="0.35">
      <c r="A58" s="6">
        <v>1021123</v>
      </c>
      <c r="B58" s="7" t="str">
        <f>"3329084107610117"</f>
        <v>3329084107610117</v>
      </c>
      <c r="C58" s="7" t="s">
        <v>2067</v>
      </c>
      <c r="D58" s="7" t="s">
        <v>189</v>
      </c>
      <c r="E58" s="7" t="s">
        <v>11</v>
      </c>
      <c r="F58" s="7" t="s">
        <v>18</v>
      </c>
      <c r="G58" s="7" t="s">
        <v>264</v>
      </c>
      <c r="H58" s="7" t="s">
        <v>248</v>
      </c>
      <c r="I58" s="8" t="s">
        <v>2068</v>
      </c>
    </row>
    <row r="59" spans="1:12" x14ac:dyDescent="0.35">
      <c r="A59" s="6">
        <v>1456508</v>
      </c>
      <c r="B59" s="7" t="str">
        <f>"3329102607000001"</f>
        <v>3329102607000001</v>
      </c>
      <c r="C59" s="7" t="s">
        <v>2082</v>
      </c>
      <c r="D59" s="7" t="s">
        <v>189</v>
      </c>
      <c r="E59" s="7" t="s">
        <v>11</v>
      </c>
      <c r="F59" s="7" t="s">
        <v>18</v>
      </c>
      <c r="G59" s="7" t="s">
        <v>264</v>
      </c>
      <c r="H59" s="7" t="s">
        <v>273</v>
      </c>
      <c r="I59" s="8" t="s">
        <v>2083</v>
      </c>
    </row>
    <row r="60" spans="1:12" x14ac:dyDescent="0.35">
      <c r="A60" s="6">
        <v>420229</v>
      </c>
      <c r="B60" s="7" t="str">
        <f>"3376042109930002"</f>
        <v>3376042109930002</v>
      </c>
      <c r="C60" s="7" t="s">
        <v>2100</v>
      </c>
      <c r="D60" s="7" t="s">
        <v>189</v>
      </c>
      <c r="E60" s="7" t="s">
        <v>11</v>
      </c>
      <c r="F60" s="7" t="s">
        <v>18</v>
      </c>
      <c r="G60" s="7" t="s">
        <v>268</v>
      </c>
      <c r="H60" s="7" t="s">
        <v>448</v>
      </c>
      <c r="I60" s="8" t="s">
        <v>888</v>
      </c>
    </row>
    <row r="61" spans="1:12" x14ac:dyDescent="0.35">
      <c r="A61" s="13">
        <v>1348370</v>
      </c>
      <c r="B61" s="14" t="str">
        <f>"3522024110900009"</f>
        <v>3522024110900009</v>
      </c>
      <c r="C61" s="14" t="s">
        <v>2105</v>
      </c>
      <c r="D61" s="14" t="s">
        <v>189</v>
      </c>
      <c r="E61" s="14" t="s">
        <v>11</v>
      </c>
      <c r="F61" s="14" t="s">
        <v>18</v>
      </c>
      <c r="G61" s="14" t="s">
        <v>19</v>
      </c>
      <c r="H61" s="14" t="s">
        <v>1720</v>
      </c>
      <c r="I61" s="15" t="s">
        <v>1381</v>
      </c>
      <c r="J61" s="16" t="str">
        <f>VLOOKUP(B61,baru!$B$2:$I$2271,4,FALSE)</f>
        <v>Reguler</v>
      </c>
      <c r="K61" s="16" t="str">
        <f>VLOOKUP(B61,baru!$B$2:$I$2271,5,FALSE)</f>
        <v>JAWA TIMUR</v>
      </c>
      <c r="L61" s="16" t="str">
        <f>VLOOKUP(B61,baru!$B$2:$I$2271,6,FALSE)</f>
        <v>BOJONEGORO</v>
      </c>
    </row>
    <row r="62" spans="1:12" x14ac:dyDescent="0.35">
      <c r="A62" s="6">
        <v>1826438</v>
      </c>
      <c r="B62" s="7" t="str">
        <f>"3174032010051003"</f>
        <v>3174032010051003</v>
      </c>
      <c r="C62" s="7" t="s">
        <v>2231</v>
      </c>
      <c r="D62" s="7" t="s">
        <v>189</v>
      </c>
      <c r="E62" s="7" t="s">
        <v>11</v>
      </c>
      <c r="F62" s="7" t="s">
        <v>18</v>
      </c>
      <c r="G62" s="7" t="s">
        <v>19</v>
      </c>
      <c r="H62" s="7" t="s">
        <v>1394</v>
      </c>
      <c r="I62" s="8" t="s">
        <v>2172</v>
      </c>
      <c r="J62" t="e">
        <f>VLOOKUP(B62,baru!$B$2:$I$2271,4,FALSE)</f>
        <v>#N/A</v>
      </c>
      <c r="K62" t="e">
        <f>VLOOKUP(B62,baru!$B$2:$I$2271,5,FALSE)</f>
        <v>#N/A</v>
      </c>
      <c r="L62" t="e">
        <f>VLOOKUP(B62,baru!$B$2:$I$2271,6,FALSE)</f>
        <v>#N/A</v>
      </c>
    </row>
    <row r="63" spans="1:12" x14ac:dyDescent="0.35">
      <c r="A63" s="6">
        <v>34824</v>
      </c>
      <c r="B63" s="7" t="str">
        <f>"3325111701940001"</f>
        <v>3325111701940001</v>
      </c>
      <c r="C63" s="7" t="s">
        <v>2446</v>
      </c>
      <c r="D63" s="7" t="s">
        <v>189</v>
      </c>
      <c r="E63" s="7" t="s">
        <v>11</v>
      </c>
      <c r="F63" s="7" t="s">
        <v>18</v>
      </c>
      <c r="G63" s="7" t="s">
        <v>190</v>
      </c>
      <c r="H63" s="7" t="s">
        <v>190</v>
      </c>
      <c r="I63" s="8" t="s">
        <v>506</v>
      </c>
    </row>
    <row r="64" spans="1:12" x14ac:dyDescent="0.35">
      <c r="A64" s="6">
        <v>201524</v>
      </c>
      <c r="B64" s="7" t="str">
        <f>"3325112104910003"</f>
        <v>3325112104910003</v>
      </c>
      <c r="C64" s="7" t="s">
        <v>2448</v>
      </c>
      <c r="D64" s="7" t="s">
        <v>189</v>
      </c>
      <c r="E64" s="7" t="s">
        <v>11</v>
      </c>
      <c r="F64" s="7" t="s">
        <v>18</v>
      </c>
      <c r="G64" s="7" t="s">
        <v>190</v>
      </c>
      <c r="H64" s="7" t="s">
        <v>190</v>
      </c>
      <c r="I64" s="8" t="s">
        <v>37</v>
      </c>
    </row>
    <row r="65" spans="1:12" x14ac:dyDescent="0.35">
      <c r="A65" s="6">
        <v>20868</v>
      </c>
      <c r="B65" s="7" t="str">
        <f>"3325112108970021"</f>
        <v>3325112108970021</v>
      </c>
      <c r="C65" s="7" t="s">
        <v>2450</v>
      </c>
      <c r="D65" s="7" t="s">
        <v>189</v>
      </c>
      <c r="E65" s="7" t="s">
        <v>11</v>
      </c>
      <c r="F65" s="7" t="s">
        <v>18</v>
      </c>
      <c r="G65" s="7" t="s">
        <v>190</v>
      </c>
      <c r="H65" s="7" t="s">
        <v>190</v>
      </c>
      <c r="I65" s="8" t="s">
        <v>2451</v>
      </c>
    </row>
    <row r="66" spans="1:12" x14ac:dyDescent="0.35">
      <c r="A66" s="6">
        <v>151045</v>
      </c>
      <c r="B66" s="7" t="str">
        <f>"3325112509950005"</f>
        <v>3325112509950005</v>
      </c>
      <c r="C66" s="7" t="s">
        <v>2453</v>
      </c>
      <c r="D66" s="7" t="s">
        <v>189</v>
      </c>
      <c r="E66" s="7" t="s">
        <v>11</v>
      </c>
      <c r="F66" s="7" t="s">
        <v>18</v>
      </c>
      <c r="G66" s="7" t="s">
        <v>190</v>
      </c>
      <c r="H66" s="7" t="s">
        <v>190</v>
      </c>
      <c r="I66" s="8" t="s">
        <v>2454</v>
      </c>
    </row>
    <row r="67" spans="1:12" x14ac:dyDescent="0.35">
      <c r="A67" s="6">
        <v>78486</v>
      </c>
      <c r="B67" s="7" t="str">
        <f>"3325112912790005"</f>
        <v>3325112912790005</v>
      </c>
      <c r="C67" s="7" t="s">
        <v>2456</v>
      </c>
      <c r="D67" s="7" t="s">
        <v>189</v>
      </c>
      <c r="E67" s="7" t="s">
        <v>11</v>
      </c>
      <c r="F67" s="7" t="s">
        <v>18</v>
      </c>
      <c r="G67" s="7" t="s">
        <v>190</v>
      </c>
      <c r="H67" s="7" t="s">
        <v>190</v>
      </c>
      <c r="I67" s="8" t="s">
        <v>2457</v>
      </c>
    </row>
    <row r="68" spans="1:12" x14ac:dyDescent="0.35">
      <c r="A68" s="6">
        <v>223204</v>
      </c>
      <c r="B68" s="7" t="str">
        <f>"3325113004970008"</f>
        <v>3325113004970008</v>
      </c>
      <c r="C68" s="7" t="s">
        <v>2459</v>
      </c>
      <c r="D68" s="7" t="s">
        <v>189</v>
      </c>
      <c r="E68" s="7" t="s">
        <v>11</v>
      </c>
      <c r="F68" s="7" t="s">
        <v>18</v>
      </c>
      <c r="G68" s="7" t="s">
        <v>190</v>
      </c>
      <c r="H68" s="7" t="s">
        <v>190</v>
      </c>
      <c r="I68" s="8" t="s">
        <v>2460</v>
      </c>
    </row>
    <row r="69" spans="1:12" x14ac:dyDescent="0.35">
      <c r="A69" s="6">
        <v>851087</v>
      </c>
      <c r="B69" s="7" t="str">
        <f>"3326020202060002"</f>
        <v>3326020202060002</v>
      </c>
      <c r="C69" s="7" t="s">
        <v>2466</v>
      </c>
      <c r="D69" s="7" t="s">
        <v>189</v>
      </c>
      <c r="E69" s="7" t="s">
        <v>11</v>
      </c>
      <c r="F69" s="7" t="s">
        <v>18</v>
      </c>
      <c r="G69" s="7" t="s">
        <v>195</v>
      </c>
      <c r="H69" s="7" t="s">
        <v>586</v>
      </c>
      <c r="I69" s="8" t="s">
        <v>767</v>
      </c>
    </row>
    <row r="70" spans="1:12" x14ac:dyDescent="0.35">
      <c r="A70" s="13">
        <v>1773080</v>
      </c>
      <c r="B70" s="14" t="str">
        <f>"3328060303970007"</f>
        <v>3328060303970007</v>
      </c>
      <c r="C70" s="14" t="s">
        <v>2517</v>
      </c>
      <c r="D70" s="14" t="s">
        <v>189</v>
      </c>
      <c r="E70" s="14" t="s">
        <v>11</v>
      </c>
      <c r="F70" s="14" t="s">
        <v>18</v>
      </c>
      <c r="G70" s="14" t="s">
        <v>19</v>
      </c>
      <c r="H70" s="14" t="s">
        <v>1394</v>
      </c>
      <c r="I70" s="15" t="s">
        <v>2520</v>
      </c>
      <c r="J70" s="16" t="str">
        <f>VLOOKUP(B70,baru!$B$2:$I$2271,4,FALSE)</f>
        <v>Reguler</v>
      </c>
      <c r="K70" s="16" t="str">
        <f>VLOOKUP(B70,baru!$B$2:$I$2271,5,FALSE)</f>
        <v>BANTEN</v>
      </c>
      <c r="L70" s="16" t="str">
        <f>VLOOKUP(B70,baru!$B$2:$I$2271,6,FALSE)</f>
        <v>SERANG</v>
      </c>
    </row>
    <row r="71" spans="1:12" x14ac:dyDescent="0.35">
      <c r="A71" s="13">
        <v>1827895</v>
      </c>
      <c r="B71" s="14" t="str">
        <f>"3328061002880005"</f>
        <v>3328061002880005</v>
      </c>
      <c r="C71" s="14" t="s">
        <v>2530</v>
      </c>
      <c r="D71" s="14" t="s">
        <v>189</v>
      </c>
      <c r="E71" s="14" t="s">
        <v>11</v>
      </c>
      <c r="F71" s="14" t="s">
        <v>18</v>
      </c>
      <c r="G71" s="14" t="s">
        <v>19</v>
      </c>
      <c r="H71" s="14" t="s">
        <v>1394</v>
      </c>
      <c r="I71" s="15" t="s">
        <v>2187</v>
      </c>
      <c r="J71" s="16" t="str">
        <f>VLOOKUP(B71,baru!$B$2:$I$2271,4,FALSE)</f>
        <v>Reguler</v>
      </c>
      <c r="K71" s="16" t="str">
        <f>VLOOKUP(B71,baru!$B$2:$I$2271,5,FALSE)</f>
        <v>JAWA TENGAH</v>
      </c>
      <c r="L71" s="16" t="str">
        <f>VLOOKUP(B71,baru!$B$2:$I$2271,6,FALSE)</f>
        <v>SEMARANG</v>
      </c>
    </row>
    <row r="72" spans="1:12" x14ac:dyDescent="0.35">
      <c r="A72" s="13">
        <v>1826887</v>
      </c>
      <c r="B72" s="14" t="str">
        <f>"3328061008930008"</f>
        <v>3328061008930008</v>
      </c>
      <c r="C72" s="14" t="s">
        <v>2533</v>
      </c>
      <c r="D72" s="14" t="s">
        <v>189</v>
      </c>
      <c r="E72" s="14" t="s">
        <v>11</v>
      </c>
      <c r="F72" s="14" t="s">
        <v>18</v>
      </c>
      <c r="G72" s="14" t="s">
        <v>19</v>
      </c>
      <c r="H72" s="14" t="s">
        <v>1394</v>
      </c>
      <c r="I72" s="15" t="s">
        <v>2187</v>
      </c>
      <c r="J72" s="16" t="str">
        <f>VLOOKUP(B72,baru!$B$2:$I$2271,4,FALSE)</f>
        <v>Reguler</v>
      </c>
      <c r="K72" s="16" t="str">
        <f>VLOOKUP(B72,baru!$B$2:$I$2271,5,FALSE)</f>
        <v>DAERAH ISTIMEWA YOGYAKARTA</v>
      </c>
      <c r="L72" s="16" t="str">
        <f>VLOOKUP(B72,baru!$B$2:$I$2271,6,FALSE)</f>
        <v>SLEMAN</v>
      </c>
    </row>
    <row r="73" spans="1:12" x14ac:dyDescent="0.35">
      <c r="A73" s="6">
        <v>228693</v>
      </c>
      <c r="B73" s="7" t="str">
        <f>"3328061807920005"</f>
        <v>3328061807920005</v>
      </c>
      <c r="C73" s="7" t="s">
        <v>2566</v>
      </c>
      <c r="D73" s="7" t="s">
        <v>189</v>
      </c>
      <c r="E73" s="7" t="s">
        <v>11</v>
      </c>
      <c r="F73" s="7" t="s">
        <v>18</v>
      </c>
      <c r="G73" s="7" t="s">
        <v>171</v>
      </c>
      <c r="H73" s="7" t="s">
        <v>2567</v>
      </c>
      <c r="I73" s="8" t="s">
        <v>2568</v>
      </c>
    </row>
    <row r="74" spans="1:12" x14ac:dyDescent="0.35">
      <c r="A74" s="13">
        <v>1771492</v>
      </c>
      <c r="B74" s="14" t="str">
        <f>"3328061812960005"</f>
        <v>3328061812960005</v>
      </c>
      <c r="C74" s="14" t="s">
        <v>2570</v>
      </c>
      <c r="D74" s="14" t="s">
        <v>189</v>
      </c>
      <c r="E74" s="14" t="s">
        <v>11</v>
      </c>
      <c r="F74" s="14" t="s">
        <v>18</v>
      </c>
      <c r="G74" s="14" t="s">
        <v>19</v>
      </c>
      <c r="H74" s="14" t="s">
        <v>1394</v>
      </c>
      <c r="I74" s="15" t="s">
        <v>2520</v>
      </c>
      <c r="J74" s="16" t="str">
        <f>VLOOKUP(B74,baru!$B$2:$I$2271,4,FALSE)</f>
        <v>Reguler</v>
      </c>
      <c r="K74" s="16" t="str">
        <f>VLOOKUP(B74,baru!$B$2:$I$2271,5,FALSE)</f>
        <v>JAWA TENGAH</v>
      </c>
      <c r="L74" s="16" t="str">
        <f>VLOOKUP(B74,baru!$B$2:$I$2271,6,FALSE)</f>
        <v>KOTA TEGAL</v>
      </c>
    </row>
    <row r="75" spans="1:12" x14ac:dyDescent="0.35">
      <c r="A75" s="6">
        <v>1808142</v>
      </c>
      <c r="B75" s="7" t="str">
        <f>"3328062001010007"</f>
        <v>3328062001010007</v>
      </c>
      <c r="C75" s="7" t="s">
        <v>2573</v>
      </c>
      <c r="D75" s="7" t="s">
        <v>189</v>
      </c>
      <c r="E75" s="7" t="s">
        <v>11</v>
      </c>
      <c r="F75" s="7" t="s">
        <v>18</v>
      </c>
      <c r="G75" s="7" t="s">
        <v>19</v>
      </c>
      <c r="H75" s="7" t="s">
        <v>1394</v>
      </c>
      <c r="I75" s="8" t="s">
        <v>2212</v>
      </c>
      <c r="J75" t="e">
        <f>VLOOKUP(B75,baru!$B$2:$I$2271,4,FALSE)</f>
        <v>#N/A</v>
      </c>
      <c r="K75" t="e">
        <f>VLOOKUP(B75,baru!$B$2:$I$2271,5,FALSE)</f>
        <v>#N/A</v>
      </c>
      <c r="L75" t="e">
        <f>VLOOKUP(B75,baru!$B$2:$I$2271,6,FALSE)</f>
        <v>#N/A</v>
      </c>
    </row>
    <row r="76" spans="1:12" x14ac:dyDescent="0.35">
      <c r="A76" s="13">
        <v>1830867</v>
      </c>
      <c r="B76" s="14" t="str">
        <f>"3328062010990007"</f>
        <v>3328062010990007</v>
      </c>
      <c r="C76" s="14" t="s">
        <v>2574</v>
      </c>
      <c r="D76" s="14" t="s">
        <v>189</v>
      </c>
      <c r="E76" s="14" t="s">
        <v>11</v>
      </c>
      <c r="F76" s="14" t="s">
        <v>18</v>
      </c>
      <c r="G76" s="14" t="s">
        <v>19</v>
      </c>
      <c r="H76" s="14" t="s">
        <v>1394</v>
      </c>
      <c r="I76" s="15" t="s">
        <v>2187</v>
      </c>
      <c r="J76" s="16" t="str">
        <f>VLOOKUP(B76,baru!$B$2:$I$2271,4,FALSE)</f>
        <v>Reguler</v>
      </c>
      <c r="K76" s="16" t="str">
        <f>VLOOKUP(B76,baru!$B$2:$I$2271,5,FALSE)</f>
        <v>JAWA TENGAH</v>
      </c>
      <c r="L76" s="16" t="str">
        <f>VLOOKUP(B76,baru!$B$2:$I$2271,6,FALSE)</f>
        <v>TEGAL</v>
      </c>
    </row>
    <row r="77" spans="1:12" x14ac:dyDescent="0.35">
      <c r="A77" s="13">
        <v>1851268</v>
      </c>
      <c r="B77" s="14" t="str">
        <f>"3328062801970007"</f>
        <v>3328062801970007</v>
      </c>
      <c r="C77" s="14" t="s">
        <v>2592</v>
      </c>
      <c r="D77" s="14" t="s">
        <v>189</v>
      </c>
      <c r="E77" s="14" t="s">
        <v>11</v>
      </c>
      <c r="F77" s="14" t="s">
        <v>18</v>
      </c>
      <c r="G77" s="14" t="s">
        <v>19</v>
      </c>
      <c r="H77" s="14" t="s">
        <v>1394</v>
      </c>
      <c r="I77" s="15" t="s">
        <v>2235</v>
      </c>
      <c r="J77" s="16" t="str">
        <f>VLOOKUP(B77,baru!$B$2:$I$2271,4,FALSE)</f>
        <v>Reguler</v>
      </c>
      <c r="K77" s="16" t="str">
        <f>VLOOKUP(B77,baru!$B$2:$I$2271,5,FALSE)</f>
        <v>JAWA TENGAH</v>
      </c>
      <c r="L77" s="16" t="str">
        <f>VLOOKUP(B77,baru!$B$2:$I$2271,6,FALSE)</f>
        <v>BREBES</v>
      </c>
    </row>
    <row r="78" spans="1:12" x14ac:dyDescent="0.35">
      <c r="A78" s="13">
        <v>1831765</v>
      </c>
      <c r="B78" s="14" t="str">
        <f>"3328064203860006"</f>
        <v>3328064203860006</v>
      </c>
      <c r="C78" s="14" t="s">
        <v>2616</v>
      </c>
      <c r="D78" s="14" t="s">
        <v>189</v>
      </c>
      <c r="E78" s="14" t="s">
        <v>11</v>
      </c>
      <c r="F78" s="14" t="s">
        <v>18</v>
      </c>
      <c r="G78" s="14" t="s">
        <v>19</v>
      </c>
      <c r="H78" s="14" t="s">
        <v>1394</v>
      </c>
      <c r="I78" s="15" t="s">
        <v>2261</v>
      </c>
      <c r="J78" s="16" t="str">
        <f>VLOOKUP(B78,baru!$B$2:$I$2271,4,FALSE)</f>
        <v>Reguler</v>
      </c>
      <c r="K78" s="16" t="str">
        <f>VLOOKUP(B78,baru!$B$2:$I$2271,5,FALSE)</f>
        <v>BANTEN</v>
      </c>
      <c r="L78" s="16" t="str">
        <f>VLOOKUP(B78,baru!$B$2:$I$2271,6,FALSE)</f>
        <v>SERANG</v>
      </c>
    </row>
    <row r="79" spans="1:12" x14ac:dyDescent="0.35">
      <c r="A79" s="13">
        <v>1844983</v>
      </c>
      <c r="B79" s="14" t="str">
        <f>"3328065607980005"</f>
        <v>3328065607980005</v>
      </c>
      <c r="C79" s="14" t="s">
        <v>2633</v>
      </c>
      <c r="D79" s="14" t="s">
        <v>189</v>
      </c>
      <c r="E79" s="14" t="s">
        <v>11</v>
      </c>
      <c r="F79" s="14" t="s">
        <v>18</v>
      </c>
      <c r="G79" s="14" t="s">
        <v>19</v>
      </c>
      <c r="H79" s="14" t="s">
        <v>1394</v>
      </c>
      <c r="I79" s="15" t="s">
        <v>2235</v>
      </c>
      <c r="J79" s="16" t="str">
        <f>VLOOKUP(B79,baru!$B$2:$I$2271,4,FALSE)</f>
        <v>Reguler</v>
      </c>
      <c r="K79" s="16" t="str">
        <f>VLOOKUP(B79,baru!$B$2:$I$2271,5,FALSE)</f>
        <v>JAWA TENGAH</v>
      </c>
      <c r="L79" s="16" t="str">
        <f>VLOOKUP(B79,baru!$B$2:$I$2271,6,FALSE)</f>
        <v>BREBES</v>
      </c>
    </row>
    <row r="80" spans="1:12" x14ac:dyDescent="0.35">
      <c r="A80" s="13">
        <v>1852119</v>
      </c>
      <c r="B80" s="14" t="str">
        <f>"3328065811950001"</f>
        <v>3328065811950001</v>
      </c>
      <c r="C80" s="14" t="s">
        <v>2638</v>
      </c>
      <c r="D80" s="14" t="s">
        <v>189</v>
      </c>
      <c r="E80" s="14" t="s">
        <v>11</v>
      </c>
      <c r="F80" s="14" t="s">
        <v>18</v>
      </c>
      <c r="G80" s="14" t="s">
        <v>19</v>
      </c>
      <c r="H80" s="14" t="s">
        <v>1394</v>
      </c>
      <c r="I80" s="15" t="s">
        <v>2235</v>
      </c>
      <c r="J80" s="16" t="str">
        <f>VLOOKUP(B80,baru!$B$2:$I$2271,4,FALSE)</f>
        <v>Reguler</v>
      </c>
      <c r="K80" s="16" t="str">
        <f>VLOOKUP(B80,baru!$B$2:$I$2271,5,FALSE)</f>
        <v>JAWA TENGAH</v>
      </c>
      <c r="L80" s="16" t="str">
        <f>VLOOKUP(B80,baru!$B$2:$I$2271,6,FALSE)</f>
        <v>BLORA</v>
      </c>
    </row>
    <row r="81" spans="1:12" x14ac:dyDescent="0.35">
      <c r="A81" s="13">
        <v>1765606</v>
      </c>
      <c r="B81" s="14" t="str">
        <f>"3328066205930002"</f>
        <v>3328066205930002</v>
      </c>
      <c r="C81" s="14" t="s">
        <v>2647</v>
      </c>
      <c r="D81" s="14" t="s">
        <v>189</v>
      </c>
      <c r="E81" s="14" t="s">
        <v>11</v>
      </c>
      <c r="F81" s="14" t="s">
        <v>18</v>
      </c>
      <c r="G81" s="14" t="s">
        <v>19</v>
      </c>
      <c r="H81" s="14" t="s">
        <v>1394</v>
      </c>
      <c r="I81" s="15" t="s">
        <v>2189</v>
      </c>
      <c r="J81" s="16" t="str">
        <f>VLOOKUP(B81,baru!$B$2:$I$2271,4,FALSE)</f>
        <v>Reguler</v>
      </c>
      <c r="K81" s="16" t="str">
        <f>VLOOKUP(B81,baru!$B$2:$I$2271,5,FALSE)</f>
        <v>DKI JAKARTA</v>
      </c>
      <c r="L81" s="16" t="str">
        <f>VLOOKUP(B81,baru!$B$2:$I$2271,6,FALSE)</f>
        <v>KOTA JAKARTA PUSAT</v>
      </c>
    </row>
    <row r="82" spans="1:12" x14ac:dyDescent="0.35">
      <c r="A82" s="6">
        <v>426013</v>
      </c>
      <c r="B82" s="7" t="str">
        <f>"3375043003880004"</f>
        <v>3375043003880004</v>
      </c>
      <c r="C82" s="7" t="s">
        <v>2752</v>
      </c>
      <c r="D82" s="7" t="s">
        <v>189</v>
      </c>
      <c r="E82" s="7" t="s">
        <v>11</v>
      </c>
      <c r="F82" s="7" t="s">
        <v>18</v>
      </c>
      <c r="G82" s="7" t="s">
        <v>2753</v>
      </c>
      <c r="H82" s="7" t="s">
        <v>2754</v>
      </c>
      <c r="I82" s="8" t="s">
        <v>2755</v>
      </c>
    </row>
    <row r="83" spans="1:12" x14ac:dyDescent="0.35">
      <c r="A83" s="13">
        <v>1833912</v>
      </c>
      <c r="B83" s="14" t="str">
        <f>"3601244704870005"</f>
        <v>3601244704870005</v>
      </c>
      <c r="C83" s="14" t="s">
        <v>2800</v>
      </c>
      <c r="D83" s="14" t="s">
        <v>189</v>
      </c>
      <c r="E83" s="14" t="s">
        <v>11</v>
      </c>
      <c r="F83" s="14" t="s">
        <v>18</v>
      </c>
      <c r="G83" s="14" t="s">
        <v>19</v>
      </c>
      <c r="H83" s="14" t="s">
        <v>1394</v>
      </c>
      <c r="I83" s="15" t="s">
        <v>2261</v>
      </c>
      <c r="J83" s="16" t="str">
        <f>VLOOKUP(B83,baru!$B$2:$I$2271,4,FALSE)</f>
        <v>Reguler</v>
      </c>
      <c r="K83" s="16" t="str">
        <f>VLOOKUP(B83,baru!$B$2:$I$2271,5,FALSE)</f>
        <v>BANTEN</v>
      </c>
      <c r="L83" s="16" t="str">
        <f>VLOOKUP(B83,baru!$B$2:$I$2271,6,FALSE)</f>
        <v>SERANG</v>
      </c>
    </row>
    <row r="84" spans="1:12" x14ac:dyDescent="0.35">
      <c r="A84" s="6">
        <v>1752981</v>
      </c>
      <c r="B84" s="7" t="str">
        <f>"3328071210910002"</f>
        <v>3328071210910002</v>
      </c>
      <c r="C84" s="7" t="s">
        <v>2926</v>
      </c>
      <c r="D84" s="7" t="s">
        <v>189</v>
      </c>
      <c r="E84" s="7" t="s">
        <v>11</v>
      </c>
      <c r="F84" s="7" t="s">
        <v>18</v>
      </c>
      <c r="G84" s="7" t="s">
        <v>19</v>
      </c>
      <c r="H84" s="7" t="s">
        <v>59</v>
      </c>
      <c r="I84" s="8" t="s">
        <v>222</v>
      </c>
      <c r="J84" t="e">
        <f>VLOOKUP(B84,baru!$B$2:$I$2271,4,FALSE)</f>
        <v>#N/A</v>
      </c>
      <c r="K84" t="e">
        <f>VLOOKUP(B84,baru!$B$2:$I$2271,5,FALSE)</f>
        <v>#N/A</v>
      </c>
      <c r="L84" t="e">
        <f>VLOOKUP(B84,baru!$B$2:$I$2271,6,FALSE)</f>
        <v>#N/A</v>
      </c>
    </row>
    <row r="85" spans="1:12" x14ac:dyDescent="0.35">
      <c r="A85" s="6">
        <v>109235</v>
      </c>
      <c r="B85" s="7" t="str">
        <f>"3328071406790002"</f>
        <v>3328071406790002</v>
      </c>
      <c r="C85" s="7" t="s">
        <v>2927</v>
      </c>
      <c r="D85" s="7" t="s">
        <v>189</v>
      </c>
      <c r="E85" s="7" t="s">
        <v>11</v>
      </c>
      <c r="F85" s="7" t="s">
        <v>516</v>
      </c>
      <c r="G85" s="7" t="s">
        <v>2928</v>
      </c>
      <c r="H85" s="7" t="s">
        <v>2929</v>
      </c>
      <c r="I85" s="8" t="s">
        <v>2930</v>
      </c>
    </row>
    <row r="86" spans="1:12" x14ac:dyDescent="0.35">
      <c r="A86" s="6">
        <v>1701831</v>
      </c>
      <c r="B86" s="7" t="str">
        <f>"3328071507000006"</f>
        <v>3328071507000006</v>
      </c>
      <c r="C86" s="7" t="s">
        <v>2931</v>
      </c>
      <c r="D86" s="7" t="s">
        <v>189</v>
      </c>
      <c r="E86" s="7" t="s">
        <v>11</v>
      </c>
      <c r="F86" s="7" t="s">
        <v>18</v>
      </c>
      <c r="G86" s="7" t="s">
        <v>19</v>
      </c>
      <c r="H86" s="7" t="s">
        <v>59</v>
      </c>
      <c r="I86" s="8" t="s">
        <v>2884</v>
      </c>
      <c r="J86" t="e">
        <f>VLOOKUP(B86,baru!$B$2:$I$2271,4,FALSE)</f>
        <v>#N/A</v>
      </c>
      <c r="K86" t="e">
        <f>VLOOKUP(B86,baru!$B$2:$I$2271,5,FALSE)</f>
        <v>#N/A</v>
      </c>
      <c r="L86" t="e">
        <f>VLOOKUP(B86,baru!$B$2:$I$2271,6,FALSE)</f>
        <v>#N/A</v>
      </c>
    </row>
    <row r="87" spans="1:12" x14ac:dyDescent="0.35">
      <c r="A87" s="6">
        <v>1721595</v>
      </c>
      <c r="B87" s="7" t="str">
        <f>"3328073101070003"</f>
        <v>3328073101070003</v>
      </c>
      <c r="C87" s="7" t="s">
        <v>2949</v>
      </c>
      <c r="D87" s="7" t="s">
        <v>189</v>
      </c>
      <c r="E87" s="7" t="s">
        <v>11</v>
      </c>
      <c r="F87" s="7" t="s">
        <v>18</v>
      </c>
      <c r="G87" s="7" t="s">
        <v>19</v>
      </c>
      <c r="H87" s="7" t="s">
        <v>59</v>
      </c>
      <c r="I87" s="8" t="s">
        <v>2893</v>
      </c>
      <c r="J87" t="e">
        <f>VLOOKUP(B87,baru!$B$2:$I$2271,4,FALSE)</f>
        <v>#N/A</v>
      </c>
      <c r="K87" t="e">
        <f>VLOOKUP(B87,baru!$B$2:$I$2271,5,FALSE)</f>
        <v>#N/A</v>
      </c>
      <c r="L87" t="e">
        <f>VLOOKUP(B87,baru!$B$2:$I$2271,6,FALSE)</f>
        <v>#N/A</v>
      </c>
    </row>
    <row r="88" spans="1:12" x14ac:dyDescent="0.35">
      <c r="A88" s="6">
        <v>1966030</v>
      </c>
      <c r="B88" s="7" t="str">
        <f>"3328075809950001"</f>
        <v>3328075809950001</v>
      </c>
      <c r="C88" s="7" t="s">
        <v>2970</v>
      </c>
      <c r="D88" s="7" t="s">
        <v>189</v>
      </c>
      <c r="E88" s="7" t="s">
        <v>11</v>
      </c>
      <c r="F88" s="7" t="s">
        <v>50</v>
      </c>
      <c r="G88" s="7" t="s">
        <v>58</v>
      </c>
      <c r="H88" s="7" t="s">
        <v>1283</v>
      </c>
      <c r="I88" s="8" t="s">
        <v>2971</v>
      </c>
    </row>
    <row r="89" spans="1:12" x14ac:dyDescent="0.35">
      <c r="A89" s="6">
        <v>1670210</v>
      </c>
      <c r="B89" s="7" t="str">
        <f>"3328076911040007"</f>
        <v>3328076911040007</v>
      </c>
      <c r="C89" s="7" t="s">
        <v>2978</v>
      </c>
      <c r="D89" s="7" t="s">
        <v>189</v>
      </c>
      <c r="E89" s="7" t="s">
        <v>11</v>
      </c>
      <c r="F89" s="7" t="s">
        <v>18</v>
      </c>
      <c r="G89" s="7" t="s">
        <v>19</v>
      </c>
      <c r="H89" s="7" t="s">
        <v>59</v>
      </c>
      <c r="I89" s="8" t="s">
        <v>2856</v>
      </c>
      <c r="J89" t="e">
        <f>VLOOKUP(B89,baru!$B$2:$I$2271,4,FALSE)</f>
        <v>#N/A</v>
      </c>
      <c r="K89" t="e">
        <f>VLOOKUP(B89,baru!$B$2:$I$2271,5,FALSE)</f>
        <v>#N/A</v>
      </c>
      <c r="L89" t="e">
        <f>VLOOKUP(B89,baru!$B$2:$I$2271,6,FALSE)</f>
        <v>#N/A</v>
      </c>
    </row>
    <row r="90" spans="1:12" x14ac:dyDescent="0.35">
      <c r="A90" s="6">
        <v>1220677</v>
      </c>
      <c r="B90" s="7" t="str">
        <f>"3329072010010002"</f>
        <v>3329072010010002</v>
      </c>
      <c r="C90" s="7" t="s">
        <v>2980</v>
      </c>
      <c r="D90" s="7" t="s">
        <v>189</v>
      </c>
      <c r="E90" s="7" t="s">
        <v>11</v>
      </c>
      <c r="F90" s="7" t="s">
        <v>18</v>
      </c>
      <c r="G90" s="7" t="s">
        <v>264</v>
      </c>
      <c r="H90" s="7" t="s">
        <v>265</v>
      </c>
      <c r="I90" s="8" t="s">
        <v>863</v>
      </c>
    </row>
    <row r="91" spans="1:12" x14ac:dyDescent="0.35">
      <c r="A91" s="6">
        <v>1104900</v>
      </c>
      <c r="B91" s="7" t="str">
        <f>"3602126911060002"</f>
        <v>3602126911060002</v>
      </c>
      <c r="C91" s="7" t="s">
        <v>2990</v>
      </c>
      <c r="D91" s="7" t="s">
        <v>189</v>
      </c>
      <c r="E91" s="7" t="s">
        <v>11</v>
      </c>
      <c r="F91" s="7" t="s">
        <v>67</v>
      </c>
      <c r="G91" s="7" t="s">
        <v>638</v>
      </c>
      <c r="H91" s="7" t="s">
        <v>2991</v>
      </c>
      <c r="I91" s="8" t="s">
        <v>2992</v>
      </c>
    </row>
    <row r="92" spans="1:12" x14ac:dyDescent="0.35">
      <c r="A92" s="6">
        <v>265643</v>
      </c>
      <c r="B92" s="7" t="str">
        <f>"3671052009740003"</f>
        <v>3671052009740003</v>
      </c>
      <c r="C92" s="7" t="s">
        <v>2998</v>
      </c>
      <c r="D92" s="7" t="s">
        <v>189</v>
      </c>
      <c r="E92" s="7" t="s">
        <v>11</v>
      </c>
      <c r="F92" s="7" t="s">
        <v>2889</v>
      </c>
      <c r="G92" s="7" t="s">
        <v>2999</v>
      </c>
      <c r="H92" s="7" t="s">
        <v>3000</v>
      </c>
      <c r="I92" s="8" t="s">
        <v>3001</v>
      </c>
    </row>
    <row r="93" spans="1:12" x14ac:dyDescent="0.35">
      <c r="A93" s="13">
        <v>2019369</v>
      </c>
      <c r="B93" s="14" t="str">
        <f>"3328054107920021"</f>
        <v>3328054107920021</v>
      </c>
      <c r="C93" s="14" t="s">
        <v>3066</v>
      </c>
      <c r="D93" s="14" t="s">
        <v>189</v>
      </c>
      <c r="E93" s="14" t="s">
        <v>11</v>
      </c>
      <c r="F93" s="14" t="s">
        <v>18</v>
      </c>
      <c r="G93" s="14" t="s">
        <v>19</v>
      </c>
      <c r="H93" s="14" t="s">
        <v>3014</v>
      </c>
      <c r="I93" s="15" t="s">
        <v>3015</v>
      </c>
      <c r="J93" s="16" t="str">
        <f>VLOOKUP(B93,baru!$B$2:$I$2271,4,FALSE)</f>
        <v>Reguler</v>
      </c>
      <c r="K93" s="16" t="str">
        <f>VLOOKUP(B93,baru!$B$2:$I$2271,5,FALSE)</f>
        <v>BALI</v>
      </c>
      <c r="L93" s="16" t="str">
        <f>VLOOKUP(B93,baru!$B$2:$I$2271,6,FALSE)</f>
        <v>TABANAN</v>
      </c>
    </row>
    <row r="94" spans="1:12" x14ac:dyDescent="0.35">
      <c r="A94" s="17">
        <v>2035459</v>
      </c>
      <c r="B94" s="18" t="str">
        <f>"3328080101060003"</f>
        <v>3328080101060003</v>
      </c>
      <c r="C94" s="18" t="s">
        <v>3073</v>
      </c>
      <c r="D94" s="18" t="s">
        <v>189</v>
      </c>
      <c r="E94" s="18" t="s">
        <v>11</v>
      </c>
      <c r="F94" s="18" t="s">
        <v>18</v>
      </c>
      <c r="G94" s="18" t="s">
        <v>19</v>
      </c>
      <c r="H94" s="18" t="s">
        <v>3014</v>
      </c>
      <c r="I94" s="19" t="s">
        <v>3074</v>
      </c>
      <c r="J94" s="20" t="str">
        <f>VLOOKUP(B94,baru!$B$2:$I$2271,4,FALSE)</f>
        <v>Khusus</v>
      </c>
      <c r="K94" s="20" t="str">
        <f>VLOOKUP(B94,baru!$B$2:$I$2271,5,FALSE)</f>
        <v>JAWA TENGAH</v>
      </c>
      <c r="L94" s="20" t="str">
        <f>VLOOKUP(B94,baru!$B$2:$I$2271,6,FALSE)</f>
        <v>MAGELANG</v>
      </c>
    </row>
    <row r="95" spans="1:12" x14ac:dyDescent="0.35">
      <c r="A95" s="6">
        <v>2006493</v>
      </c>
      <c r="B95" s="7" t="str">
        <f>"3328080802060005"</f>
        <v>3328080802060005</v>
      </c>
      <c r="C95" s="7" t="s">
        <v>3081</v>
      </c>
      <c r="D95" s="7" t="s">
        <v>189</v>
      </c>
      <c r="E95" s="7" t="s">
        <v>11</v>
      </c>
      <c r="F95" s="7" t="s">
        <v>18</v>
      </c>
      <c r="G95" s="7" t="s">
        <v>19</v>
      </c>
      <c r="H95" s="7" t="s">
        <v>3014</v>
      </c>
      <c r="I95" s="8" t="s">
        <v>3040</v>
      </c>
      <c r="J95" t="e">
        <f>VLOOKUP(B95,baru!$B$2:$I$2271,4,FALSE)</f>
        <v>#N/A</v>
      </c>
      <c r="K95" t="e">
        <f>VLOOKUP(B95,baru!$B$2:$I$2271,5,FALSE)</f>
        <v>#N/A</v>
      </c>
      <c r="L95" t="e">
        <f>VLOOKUP(B95,baru!$B$2:$I$2271,6,FALSE)</f>
        <v>#N/A</v>
      </c>
    </row>
    <row r="96" spans="1:12" x14ac:dyDescent="0.35">
      <c r="A96" s="6">
        <v>2005186</v>
      </c>
      <c r="B96" s="7" t="str">
        <f>"3328080805060004"</f>
        <v>3328080805060004</v>
      </c>
      <c r="C96" s="7" t="s">
        <v>3082</v>
      </c>
      <c r="D96" s="7" t="s">
        <v>189</v>
      </c>
      <c r="E96" s="7" t="s">
        <v>11</v>
      </c>
      <c r="F96" s="7" t="s">
        <v>18</v>
      </c>
      <c r="G96" s="7" t="s">
        <v>19</v>
      </c>
      <c r="H96" s="7" t="s">
        <v>3014</v>
      </c>
      <c r="I96" s="8" t="s">
        <v>3040</v>
      </c>
      <c r="J96" t="e">
        <f>VLOOKUP(B96,baru!$B$2:$I$2271,4,FALSE)</f>
        <v>#N/A</v>
      </c>
      <c r="K96" t="e">
        <f>VLOOKUP(B96,baru!$B$2:$I$2271,5,FALSE)</f>
        <v>#N/A</v>
      </c>
      <c r="L96" t="e">
        <f>VLOOKUP(B96,baru!$B$2:$I$2271,6,FALSE)</f>
        <v>#N/A</v>
      </c>
    </row>
    <row r="97" spans="1:12" x14ac:dyDescent="0.35">
      <c r="A97" s="13">
        <v>2010838</v>
      </c>
      <c r="B97" s="14" t="str">
        <f>"3328081812790003"</f>
        <v>3328081812790003</v>
      </c>
      <c r="C97" s="14" t="s">
        <v>1190</v>
      </c>
      <c r="D97" s="14" t="s">
        <v>189</v>
      </c>
      <c r="E97" s="14" t="s">
        <v>11</v>
      </c>
      <c r="F97" s="14" t="s">
        <v>18</v>
      </c>
      <c r="G97" s="14" t="s">
        <v>19</v>
      </c>
      <c r="H97" s="14" t="s">
        <v>3014</v>
      </c>
      <c r="I97" s="15" t="s">
        <v>3095</v>
      </c>
      <c r="J97" s="16" t="str">
        <f>VLOOKUP(B97,baru!$B$2:$I$2271,4,FALSE)</f>
        <v>Reguler</v>
      </c>
      <c r="K97" s="16" t="str">
        <f>VLOOKUP(B97,baru!$B$2:$I$2271,5,FALSE)</f>
        <v>JAWA TENGAH</v>
      </c>
      <c r="L97" s="16" t="str">
        <f>VLOOKUP(B97,baru!$B$2:$I$2271,6,FALSE)</f>
        <v>BREBES</v>
      </c>
    </row>
    <row r="98" spans="1:12" x14ac:dyDescent="0.35">
      <c r="A98" s="6">
        <v>2005126</v>
      </c>
      <c r="B98" s="7" t="str">
        <f>"3328082701060004"</f>
        <v>3328082701060004</v>
      </c>
      <c r="C98" s="7" t="s">
        <v>3102</v>
      </c>
      <c r="D98" s="7" t="s">
        <v>189</v>
      </c>
      <c r="E98" s="7" t="s">
        <v>11</v>
      </c>
      <c r="F98" s="7" t="s">
        <v>18</v>
      </c>
      <c r="G98" s="7" t="s">
        <v>19</v>
      </c>
      <c r="H98" s="7" t="s">
        <v>3014</v>
      </c>
      <c r="I98" s="8" t="s">
        <v>3040</v>
      </c>
      <c r="J98" t="e">
        <f>VLOOKUP(B98,baru!$B$2:$I$2271,4,FALSE)</f>
        <v>#N/A</v>
      </c>
      <c r="K98" t="e">
        <f>VLOOKUP(B98,baru!$B$2:$I$2271,5,FALSE)</f>
        <v>#N/A</v>
      </c>
      <c r="L98" t="e">
        <f>VLOOKUP(B98,baru!$B$2:$I$2271,6,FALSE)</f>
        <v>#N/A</v>
      </c>
    </row>
    <row r="99" spans="1:12" x14ac:dyDescent="0.35">
      <c r="A99" s="6">
        <v>2006401</v>
      </c>
      <c r="B99" s="7" t="str">
        <f>"3328082807060002"</f>
        <v>3328082807060002</v>
      </c>
      <c r="C99" s="7" t="s">
        <v>3103</v>
      </c>
      <c r="D99" s="7" t="s">
        <v>189</v>
      </c>
      <c r="E99" s="7" t="s">
        <v>11</v>
      </c>
      <c r="F99" s="7" t="s">
        <v>18</v>
      </c>
      <c r="G99" s="7" t="s">
        <v>19</v>
      </c>
      <c r="H99" s="7" t="s">
        <v>3014</v>
      </c>
      <c r="I99" s="8" t="s">
        <v>3040</v>
      </c>
      <c r="J99" t="e">
        <f>VLOOKUP(B99,baru!$B$2:$I$2271,4,FALSE)</f>
        <v>#N/A</v>
      </c>
      <c r="K99" t="e">
        <f>VLOOKUP(B99,baru!$B$2:$I$2271,5,FALSE)</f>
        <v>#N/A</v>
      </c>
      <c r="L99" t="e">
        <f>VLOOKUP(B99,baru!$B$2:$I$2271,6,FALSE)</f>
        <v>#N/A</v>
      </c>
    </row>
    <row r="100" spans="1:12" x14ac:dyDescent="0.35">
      <c r="A100" s="6">
        <v>849441</v>
      </c>
      <c r="B100" s="7" t="str">
        <f>"3328083105060002"</f>
        <v>3328083105060002</v>
      </c>
      <c r="C100" s="7" t="s">
        <v>3108</v>
      </c>
      <c r="D100" s="7" t="s">
        <v>189</v>
      </c>
      <c r="E100" s="7" t="s">
        <v>11</v>
      </c>
      <c r="F100" s="7" t="s">
        <v>18</v>
      </c>
      <c r="G100" s="7" t="s">
        <v>264</v>
      </c>
      <c r="H100" s="7" t="s">
        <v>344</v>
      </c>
      <c r="I100" s="8" t="s">
        <v>492</v>
      </c>
    </row>
    <row r="101" spans="1:12" x14ac:dyDescent="0.35">
      <c r="A101" s="6">
        <v>2017097</v>
      </c>
      <c r="B101" s="7" t="str">
        <f>"3328083112060001"</f>
        <v>3328083112060001</v>
      </c>
      <c r="C101" s="7" t="s">
        <v>3111</v>
      </c>
      <c r="D101" s="7" t="s">
        <v>189</v>
      </c>
      <c r="E101" s="7" t="s">
        <v>11</v>
      </c>
      <c r="F101" s="7" t="s">
        <v>18</v>
      </c>
      <c r="G101" s="7" t="s">
        <v>19</v>
      </c>
      <c r="H101" s="7" t="s">
        <v>3014</v>
      </c>
      <c r="I101" s="8" t="s">
        <v>3015</v>
      </c>
      <c r="J101" t="e">
        <f>VLOOKUP(B101,baru!$B$2:$I$2271,4,FALSE)</f>
        <v>#N/A</v>
      </c>
      <c r="K101" t="e">
        <f>VLOOKUP(B101,baru!$B$2:$I$2271,5,FALSE)</f>
        <v>#N/A</v>
      </c>
      <c r="L101" t="e">
        <f>VLOOKUP(B101,baru!$B$2:$I$2271,6,FALSE)</f>
        <v>#N/A</v>
      </c>
    </row>
    <row r="102" spans="1:12" x14ac:dyDescent="0.35">
      <c r="A102" s="6">
        <v>228636</v>
      </c>
      <c r="B102" s="7" t="str">
        <f>"3328084107920027"</f>
        <v>3328084107920027</v>
      </c>
      <c r="C102" s="7" t="s">
        <v>3114</v>
      </c>
      <c r="D102" s="7" t="s">
        <v>189</v>
      </c>
      <c r="E102" s="7" t="s">
        <v>11</v>
      </c>
      <c r="F102" s="7" t="s">
        <v>18</v>
      </c>
      <c r="G102" s="7" t="s">
        <v>268</v>
      </c>
      <c r="H102" s="7" t="s">
        <v>371</v>
      </c>
      <c r="I102" s="8" t="s">
        <v>2346</v>
      </c>
    </row>
    <row r="103" spans="1:12" x14ac:dyDescent="0.35">
      <c r="A103" s="6">
        <v>2039284</v>
      </c>
      <c r="B103" s="7" t="str">
        <f>"3328084508060001"</f>
        <v>3328084508060001</v>
      </c>
      <c r="C103" s="7" t="s">
        <v>3118</v>
      </c>
      <c r="D103" s="7" t="s">
        <v>189</v>
      </c>
      <c r="E103" s="7" t="s">
        <v>11</v>
      </c>
      <c r="F103" s="7" t="s">
        <v>18</v>
      </c>
      <c r="G103" s="7" t="s">
        <v>19</v>
      </c>
      <c r="H103" s="7" t="s">
        <v>3014</v>
      </c>
      <c r="I103" s="8" t="s">
        <v>3014</v>
      </c>
      <c r="J103" t="e">
        <f>VLOOKUP(B103,baru!$B$2:$I$2271,4,FALSE)</f>
        <v>#N/A</v>
      </c>
      <c r="K103" t="e">
        <f>VLOOKUP(B103,baru!$B$2:$I$2271,5,FALSE)</f>
        <v>#N/A</v>
      </c>
      <c r="L103" t="e">
        <f>VLOOKUP(B103,baru!$B$2:$I$2271,6,FALSE)</f>
        <v>#N/A</v>
      </c>
    </row>
    <row r="104" spans="1:12" x14ac:dyDescent="0.35">
      <c r="A104" s="6">
        <v>2005461</v>
      </c>
      <c r="B104" s="7" t="str">
        <f>"3328085103060001"</f>
        <v>3328085103060001</v>
      </c>
      <c r="C104" s="7" t="s">
        <v>3124</v>
      </c>
      <c r="D104" s="7" t="s">
        <v>189</v>
      </c>
      <c r="E104" s="7" t="s">
        <v>11</v>
      </c>
      <c r="F104" s="7" t="s">
        <v>18</v>
      </c>
      <c r="G104" s="7" t="s">
        <v>19</v>
      </c>
      <c r="H104" s="7" t="s">
        <v>3014</v>
      </c>
      <c r="I104" s="8" t="s">
        <v>3040</v>
      </c>
      <c r="J104" t="e">
        <f>VLOOKUP(B104,baru!$B$2:$I$2271,4,FALSE)</f>
        <v>#N/A</v>
      </c>
      <c r="K104" t="e">
        <f>VLOOKUP(B104,baru!$B$2:$I$2271,5,FALSE)</f>
        <v>#N/A</v>
      </c>
      <c r="L104" t="e">
        <f>VLOOKUP(B104,baru!$B$2:$I$2271,6,FALSE)</f>
        <v>#N/A</v>
      </c>
    </row>
    <row r="105" spans="1:12" x14ac:dyDescent="0.35">
      <c r="A105" s="13">
        <v>1926159</v>
      </c>
      <c r="B105" s="14" t="str">
        <f>"3328085804940003"</f>
        <v>3328085804940003</v>
      </c>
      <c r="C105" s="14" t="s">
        <v>3128</v>
      </c>
      <c r="D105" s="14" t="s">
        <v>189</v>
      </c>
      <c r="E105" s="14" t="s">
        <v>11</v>
      </c>
      <c r="F105" s="14" t="s">
        <v>18</v>
      </c>
      <c r="G105" s="14" t="s">
        <v>19</v>
      </c>
      <c r="H105" s="14" t="s">
        <v>3014</v>
      </c>
      <c r="I105" s="15" t="s">
        <v>3035</v>
      </c>
      <c r="J105" s="16" t="str">
        <f>VLOOKUP(B105,baru!$B$2:$I$2271,4,FALSE)</f>
        <v>Reguler</v>
      </c>
      <c r="K105" s="16" t="str">
        <f>VLOOKUP(B105,baru!$B$2:$I$2271,5,FALSE)</f>
        <v>JAWA TENGAH</v>
      </c>
      <c r="L105" s="16" t="str">
        <f>VLOOKUP(B105,baru!$B$2:$I$2271,6,FALSE)</f>
        <v>BREBES</v>
      </c>
    </row>
    <row r="106" spans="1:12" x14ac:dyDescent="0.35">
      <c r="A106" s="13">
        <v>2018166</v>
      </c>
      <c r="B106" s="14" t="str">
        <f>"3328086703010004"</f>
        <v>3328086703010004</v>
      </c>
      <c r="C106" s="14" t="s">
        <v>3134</v>
      </c>
      <c r="D106" s="14" t="s">
        <v>189</v>
      </c>
      <c r="E106" s="14" t="s">
        <v>11</v>
      </c>
      <c r="F106" s="14" t="s">
        <v>18</v>
      </c>
      <c r="G106" s="14" t="s">
        <v>19</v>
      </c>
      <c r="H106" s="14" t="s">
        <v>3014</v>
      </c>
      <c r="I106" s="15" t="s">
        <v>3015</v>
      </c>
      <c r="J106" s="16" t="str">
        <f>VLOOKUP(B106,baru!$B$2:$I$2271,4,FALSE)</f>
        <v>Reguler</v>
      </c>
      <c r="K106" s="16" t="str">
        <f>VLOOKUP(B106,baru!$B$2:$I$2271,5,FALSE)</f>
        <v>DKI JAKARTA</v>
      </c>
      <c r="L106" s="16" t="str">
        <f>VLOOKUP(B106,baru!$B$2:$I$2271,6,FALSE)</f>
        <v>KOTA JAKARTA UTARA</v>
      </c>
    </row>
    <row r="107" spans="1:12" x14ac:dyDescent="0.35">
      <c r="A107" s="6">
        <v>2044501</v>
      </c>
      <c r="B107" s="7" t="str">
        <f>"3603194508770003"</f>
        <v>3603194508770003</v>
      </c>
      <c r="C107" s="7" t="s">
        <v>3149</v>
      </c>
      <c r="D107" s="7" t="s">
        <v>189</v>
      </c>
      <c r="E107" s="7" t="s">
        <v>11</v>
      </c>
      <c r="F107" s="7" t="s">
        <v>18</v>
      </c>
      <c r="G107" s="7" t="s">
        <v>19</v>
      </c>
      <c r="H107" s="7" t="s">
        <v>3014</v>
      </c>
      <c r="I107" s="8" t="s">
        <v>1381</v>
      </c>
      <c r="J107" t="e">
        <f>VLOOKUP(B107,baru!$B$2:$I$2271,4,FALSE)</f>
        <v>#N/A</v>
      </c>
      <c r="K107" t="e">
        <f>VLOOKUP(B107,baru!$B$2:$I$2271,5,FALSE)</f>
        <v>#N/A</v>
      </c>
      <c r="L107" t="e">
        <f>VLOOKUP(B107,baru!$B$2:$I$2271,6,FALSE)</f>
        <v>#N/A</v>
      </c>
    </row>
    <row r="108" spans="1:12" x14ac:dyDescent="0.35">
      <c r="A108" s="6">
        <v>82563</v>
      </c>
      <c r="B108" s="7" t="str">
        <f>"3304026508860001"</f>
        <v>3304026508860001</v>
      </c>
      <c r="C108" s="7" t="s">
        <v>3219</v>
      </c>
      <c r="D108" s="7" t="s">
        <v>189</v>
      </c>
      <c r="E108" s="7" t="s">
        <v>11</v>
      </c>
      <c r="F108" s="7" t="s">
        <v>18</v>
      </c>
      <c r="G108" s="7" t="s">
        <v>951</v>
      </c>
      <c r="H108" s="7" t="s">
        <v>1800</v>
      </c>
      <c r="I108" s="8" t="s">
        <v>1801</v>
      </c>
    </row>
    <row r="109" spans="1:12" x14ac:dyDescent="0.35">
      <c r="A109" s="6">
        <v>761282</v>
      </c>
      <c r="B109" s="7" t="str">
        <f>"3311017012060003"</f>
        <v>3311017012060003</v>
      </c>
      <c r="C109" s="7" t="s">
        <v>3225</v>
      </c>
      <c r="D109" s="7" t="s">
        <v>189</v>
      </c>
      <c r="E109" s="7" t="s">
        <v>11</v>
      </c>
      <c r="F109" s="7" t="s">
        <v>18</v>
      </c>
      <c r="G109" s="7" t="s">
        <v>581</v>
      </c>
      <c r="H109" s="7" t="s">
        <v>1308</v>
      </c>
      <c r="I109" s="8" t="s">
        <v>3226</v>
      </c>
    </row>
    <row r="110" spans="1:12" x14ac:dyDescent="0.35">
      <c r="A110" s="6">
        <v>224780</v>
      </c>
      <c r="B110" s="7" t="str">
        <f>"3328090309970001"</f>
        <v>3328090309970001</v>
      </c>
      <c r="C110" s="7" t="s">
        <v>3239</v>
      </c>
      <c r="D110" s="7" t="s">
        <v>189</v>
      </c>
      <c r="E110" s="7" t="s">
        <v>11</v>
      </c>
      <c r="F110" s="7" t="s">
        <v>379</v>
      </c>
      <c r="G110" s="7" t="s">
        <v>1202</v>
      </c>
      <c r="H110" s="7" t="s">
        <v>3240</v>
      </c>
      <c r="I110" s="8" t="s">
        <v>3241</v>
      </c>
    </row>
    <row r="111" spans="1:12" x14ac:dyDescent="0.35">
      <c r="A111" s="17">
        <v>1434856</v>
      </c>
      <c r="B111" s="18" t="str">
        <f>"3328094911050003"</f>
        <v>3328094911050003</v>
      </c>
      <c r="C111" s="18" t="s">
        <v>3316</v>
      </c>
      <c r="D111" s="18" t="s">
        <v>189</v>
      </c>
      <c r="E111" s="18" t="s">
        <v>11</v>
      </c>
      <c r="F111" s="18" t="s">
        <v>18</v>
      </c>
      <c r="G111" s="18" t="s">
        <v>19</v>
      </c>
      <c r="H111" s="18" t="s">
        <v>2575</v>
      </c>
      <c r="I111" s="19" t="s">
        <v>3180</v>
      </c>
      <c r="J111" s="20" t="str">
        <f>VLOOKUP(B111,baru!$B$2:$I$2271,4,FALSE)</f>
        <v>Khusus</v>
      </c>
      <c r="K111" s="20" t="str">
        <f>VLOOKUP(B111,baru!$B$2:$I$2271,5,FALSE)</f>
        <v>JAWA TENGAH</v>
      </c>
      <c r="L111" s="20" t="str">
        <f>VLOOKUP(B111,baru!$B$2:$I$2271,6,FALSE)</f>
        <v>MAGELANG</v>
      </c>
    </row>
    <row r="112" spans="1:12" x14ac:dyDescent="0.35">
      <c r="A112" s="6">
        <v>1286273</v>
      </c>
      <c r="B112" s="7" t="str">
        <f>"3328096408880003"</f>
        <v>3328096408880003</v>
      </c>
      <c r="C112" s="7" t="s">
        <v>3334</v>
      </c>
      <c r="D112" s="7" t="s">
        <v>189</v>
      </c>
      <c r="E112" s="7" t="s">
        <v>11</v>
      </c>
      <c r="F112" s="7" t="s">
        <v>50</v>
      </c>
      <c r="G112" s="7" t="s">
        <v>58</v>
      </c>
      <c r="H112" s="7" t="s">
        <v>417</v>
      </c>
      <c r="I112" s="8" t="s">
        <v>1131</v>
      </c>
    </row>
    <row r="113" spans="1:12" x14ac:dyDescent="0.35">
      <c r="A113" s="6">
        <v>1286274</v>
      </c>
      <c r="B113" s="7" t="str">
        <f>"3328110209870002"</f>
        <v>3328110209870002</v>
      </c>
      <c r="C113" s="7" t="s">
        <v>3351</v>
      </c>
      <c r="D113" s="7" t="s">
        <v>189</v>
      </c>
      <c r="E113" s="7" t="s">
        <v>11</v>
      </c>
      <c r="F113" s="7" t="s">
        <v>50</v>
      </c>
      <c r="G113" s="7" t="s">
        <v>58</v>
      </c>
      <c r="H113" s="7" t="s">
        <v>417</v>
      </c>
      <c r="I113" s="8" t="s">
        <v>1131</v>
      </c>
    </row>
    <row r="114" spans="1:12" x14ac:dyDescent="0.35">
      <c r="A114" s="13">
        <v>2197979</v>
      </c>
      <c r="B114" s="14" t="str">
        <f>"3328126012000005"</f>
        <v>3328126012000005</v>
      </c>
      <c r="C114" s="14" t="s">
        <v>3353</v>
      </c>
      <c r="D114" s="14" t="s">
        <v>189</v>
      </c>
      <c r="E114" s="14" t="s">
        <v>11</v>
      </c>
      <c r="F114" s="14" t="s">
        <v>18</v>
      </c>
      <c r="G114" s="14" t="s">
        <v>19</v>
      </c>
      <c r="H114" s="14" t="s">
        <v>3354</v>
      </c>
      <c r="I114" s="15" t="s">
        <v>3355</v>
      </c>
      <c r="J114" s="16" t="str">
        <f>VLOOKUP(B114,baru!$B$2:$I$2271,4,FALSE)</f>
        <v>Reguler</v>
      </c>
      <c r="K114" s="16" t="str">
        <f>VLOOKUP(B114,baru!$B$2:$I$2271,5,FALSE)</f>
        <v>JAWA TENGAH</v>
      </c>
      <c r="L114" s="16" t="str">
        <f>VLOOKUP(B114,baru!$B$2:$I$2271,6,FALSE)</f>
        <v>TEGAL</v>
      </c>
    </row>
    <row r="115" spans="1:12" x14ac:dyDescent="0.35">
      <c r="A115" s="6">
        <v>781817</v>
      </c>
      <c r="B115" s="7" t="str">
        <f>"3329091211810006"</f>
        <v>3329091211810006</v>
      </c>
      <c r="C115" s="7" t="s">
        <v>3360</v>
      </c>
      <c r="D115" s="7" t="s">
        <v>189</v>
      </c>
      <c r="E115" s="7" t="s">
        <v>11</v>
      </c>
      <c r="F115" s="7" t="s">
        <v>18</v>
      </c>
      <c r="G115" s="7" t="s">
        <v>264</v>
      </c>
      <c r="H115" s="7" t="s">
        <v>264</v>
      </c>
      <c r="I115" s="8" t="s">
        <v>873</v>
      </c>
    </row>
    <row r="116" spans="1:12" x14ac:dyDescent="0.35">
      <c r="A116" s="6">
        <v>242806</v>
      </c>
      <c r="B116" s="7" t="str">
        <f>"3376022508840001"</f>
        <v>3376022508840001</v>
      </c>
      <c r="C116" s="7" t="s">
        <v>3372</v>
      </c>
      <c r="D116" s="7" t="s">
        <v>189</v>
      </c>
      <c r="E116" s="7" t="s">
        <v>11</v>
      </c>
      <c r="F116" s="7" t="s">
        <v>18</v>
      </c>
      <c r="G116" s="7" t="s">
        <v>268</v>
      </c>
      <c r="H116" s="7" t="s">
        <v>371</v>
      </c>
      <c r="I116" s="8" t="s">
        <v>372</v>
      </c>
    </row>
    <row r="117" spans="1:12" x14ac:dyDescent="0.35">
      <c r="A117" s="6">
        <v>222330</v>
      </c>
      <c r="B117" s="7" t="str">
        <f>"3325110212950005"</f>
        <v>3325110212950005</v>
      </c>
      <c r="C117" s="7" t="s">
        <v>3477</v>
      </c>
      <c r="D117" s="7" t="s">
        <v>189</v>
      </c>
      <c r="E117" s="7" t="s">
        <v>11</v>
      </c>
      <c r="F117" s="7" t="s">
        <v>18</v>
      </c>
      <c r="G117" s="7" t="s">
        <v>190</v>
      </c>
      <c r="H117" s="7" t="s">
        <v>190</v>
      </c>
      <c r="I117" s="8" t="s">
        <v>2460</v>
      </c>
    </row>
    <row r="118" spans="1:12" x14ac:dyDescent="0.35">
      <c r="A118" s="6">
        <v>2296606</v>
      </c>
      <c r="B118" s="7" t="str">
        <f>"3328101210120008"</f>
        <v>3328101210120008</v>
      </c>
      <c r="C118" s="7" t="s">
        <v>3512</v>
      </c>
      <c r="D118" s="7" t="s">
        <v>189</v>
      </c>
      <c r="E118" s="7" t="s">
        <v>11</v>
      </c>
      <c r="F118" s="7" t="s">
        <v>18</v>
      </c>
      <c r="G118" s="7" t="s">
        <v>19</v>
      </c>
      <c r="H118" s="7" t="s">
        <v>251</v>
      </c>
      <c r="I118" s="8" t="s">
        <v>252</v>
      </c>
      <c r="J118" t="e">
        <f>VLOOKUP(B118,baru!$B$2:$I$2271,4,FALSE)</f>
        <v>#N/A</v>
      </c>
      <c r="K118" t="e">
        <f>VLOOKUP(B118,baru!$B$2:$I$2271,5,FALSE)</f>
        <v>#N/A</v>
      </c>
      <c r="L118" t="e">
        <f>VLOOKUP(B118,baru!$B$2:$I$2271,6,FALSE)</f>
        <v>#N/A</v>
      </c>
    </row>
    <row r="119" spans="1:12" x14ac:dyDescent="0.35">
      <c r="A119" s="6">
        <v>2296607</v>
      </c>
      <c r="B119" s="7" t="str">
        <f>"3328101210120008"</f>
        <v>3328101210120008</v>
      </c>
      <c r="C119" s="7" t="s">
        <v>3513</v>
      </c>
      <c r="D119" s="7" t="s">
        <v>189</v>
      </c>
      <c r="E119" s="7" t="s">
        <v>11</v>
      </c>
      <c r="F119" s="7" t="s">
        <v>18</v>
      </c>
      <c r="G119" s="7" t="s">
        <v>19</v>
      </c>
      <c r="H119" s="7" t="s">
        <v>251</v>
      </c>
      <c r="I119" s="8" t="s">
        <v>252</v>
      </c>
      <c r="J119" t="e">
        <f>VLOOKUP(B119,baru!$B$2:$I$2271,4,FALSE)</f>
        <v>#N/A</v>
      </c>
      <c r="K119" t="e">
        <f>VLOOKUP(B119,baru!$B$2:$I$2271,5,FALSE)</f>
        <v>#N/A</v>
      </c>
      <c r="L119" t="e">
        <f>VLOOKUP(B119,baru!$B$2:$I$2271,6,FALSE)</f>
        <v>#N/A</v>
      </c>
    </row>
    <row r="120" spans="1:12" x14ac:dyDescent="0.35">
      <c r="A120" s="13">
        <v>2311478</v>
      </c>
      <c r="B120" s="14" t="str">
        <f>"3328101712970005"</f>
        <v>3328101712970005</v>
      </c>
      <c r="C120" s="14" t="s">
        <v>3523</v>
      </c>
      <c r="D120" s="14" t="s">
        <v>189</v>
      </c>
      <c r="E120" s="14" t="s">
        <v>11</v>
      </c>
      <c r="F120" s="14" t="s">
        <v>18</v>
      </c>
      <c r="G120" s="14" t="s">
        <v>19</v>
      </c>
      <c r="H120" s="14" t="s">
        <v>251</v>
      </c>
      <c r="I120" s="15" t="s">
        <v>3414</v>
      </c>
      <c r="J120" s="16" t="str">
        <f>VLOOKUP(B120,baru!$B$2:$I$2271,4,FALSE)</f>
        <v>Reguler</v>
      </c>
      <c r="K120" s="16" t="str">
        <f>VLOOKUP(B120,baru!$B$2:$I$2271,5,FALSE)</f>
        <v>JAWA TENGAH</v>
      </c>
      <c r="L120" s="16" t="str">
        <f>VLOOKUP(B120,baru!$B$2:$I$2271,6,FALSE)</f>
        <v>KARANGANYAR</v>
      </c>
    </row>
    <row r="121" spans="1:12" x14ac:dyDescent="0.35">
      <c r="A121" s="6">
        <v>1544886</v>
      </c>
      <c r="B121" s="7" t="str">
        <f>"3328102104720005"</f>
        <v>3328102104720005</v>
      </c>
      <c r="C121" s="7" t="s">
        <v>3532</v>
      </c>
      <c r="D121" s="7" t="s">
        <v>189</v>
      </c>
      <c r="E121" s="7" t="s">
        <v>11</v>
      </c>
      <c r="F121" s="7" t="s">
        <v>67</v>
      </c>
      <c r="G121" s="7" t="s">
        <v>375</v>
      </c>
      <c r="H121" s="7" t="s">
        <v>2617</v>
      </c>
      <c r="I121" s="8" t="s">
        <v>3533</v>
      </c>
    </row>
    <row r="122" spans="1:12" x14ac:dyDescent="0.35">
      <c r="A122" s="6">
        <v>397453</v>
      </c>
      <c r="B122" s="7" t="str">
        <f>"3329035303850011"</f>
        <v>3329035303850011</v>
      </c>
      <c r="C122" s="7" t="s">
        <v>3598</v>
      </c>
      <c r="D122" s="7" t="s">
        <v>189</v>
      </c>
      <c r="E122" s="7" t="s">
        <v>11</v>
      </c>
      <c r="F122" s="7" t="s">
        <v>18</v>
      </c>
      <c r="G122" s="7" t="s">
        <v>264</v>
      </c>
      <c r="H122" s="7" t="s">
        <v>396</v>
      </c>
      <c r="I122" s="8" t="s">
        <v>396</v>
      </c>
    </row>
    <row r="123" spans="1:12" x14ac:dyDescent="0.35">
      <c r="A123" s="6">
        <v>239736</v>
      </c>
      <c r="B123" s="7" t="str">
        <f>"3329064807050004"</f>
        <v>3329064807050004</v>
      </c>
      <c r="C123" s="7" t="s">
        <v>3603</v>
      </c>
      <c r="D123" s="7" t="s">
        <v>189</v>
      </c>
      <c r="E123" s="7" t="s">
        <v>11</v>
      </c>
      <c r="F123" s="7" t="s">
        <v>18</v>
      </c>
      <c r="G123" s="7" t="s">
        <v>264</v>
      </c>
      <c r="H123" s="7" t="s">
        <v>468</v>
      </c>
      <c r="I123" s="8" t="s">
        <v>2671</v>
      </c>
    </row>
    <row r="124" spans="1:12" x14ac:dyDescent="0.35">
      <c r="A124" s="6">
        <v>2242494</v>
      </c>
      <c r="B124" s="7" t="str">
        <f>"3329064807050004"</f>
        <v>3329064807050004</v>
      </c>
      <c r="C124" s="7" t="s">
        <v>3604</v>
      </c>
      <c r="D124" s="7" t="s">
        <v>189</v>
      </c>
      <c r="E124" s="7" t="s">
        <v>11</v>
      </c>
      <c r="F124" s="7" t="s">
        <v>18</v>
      </c>
      <c r="G124" s="7" t="s">
        <v>19</v>
      </c>
      <c r="H124" s="7" t="s">
        <v>251</v>
      </c>
      <c r="I124" s="8" t="s">
        <v>3432</v>
      </c>
      <c r="J124" t="e">
        <f>VLOOKUP(B124,baru!$B$2:$I$2271,4,FALSE)</f>
        <v>#N/A</v>
      </c>
      <c r="K124" t="e">
        <f>VLOOKUP(B124,baru!$B$2:$I$2271,5,FALSE)</f>
        <v>#N/A</v>
      </c>
      <c r="L124" t="e">
        <f>VLOOKUP(B124,baru!$B$2:$I$2271,6,FALSE)</f>
        <v>#N/A</v>
      </c>
    </row>
    <row r="125" spans="1:12" x14ac:dyDescent="0.35">
      <c r="A125" s="13">
        <v>2241882</v>
      </c>
      <c r="B125" s="14" t="str">
        <f>"3329072206950001"</f>
        <v>3329072206950001</v>
      </c>
      <c r="C125" s="14" t="s">
        <v>3607</v>
      </c>
      <c r="D125" s="14" t="s">
        <v>189</v>
      </c>
      <c r="E125" s="14" t="s">
        <v>11</v>
      </c>
      <c r="F125" s="14" t="s">
        <v>18</v>
      </c>
      <c r="G125" s="14" t="s">
        <v>19</v>
      </c>
      <c r="H125" s="14" t="s">
        <v>251</v>
      </c>
      <c r="I125" s="15" t="s">
        <v>3432</v>
      </c>
      <c r="J125" s="16" t="str">
        <f>VLOOKUP(B125,baru!$B$2:$I$2271,4,FALSE)</f>
        <v>Reguler</v>
      </c>
      <c r="K125" s="16" t="str">
        <f>VLOOKUP(B125,baru!$B$2:$I$2271,5,FALSE)</f>
        <v>JAWA TENGAH</v>
      </c>
      <c r="L125" s="16" t="str">
        <f>VLOOKUP(B125,baru!$B$2:$I$2271,6,FALSE)</f>
        <v>BREBES</v>
      </c>
    </row>
    <row r="126" spans="1:12" x14ac:dyDescent="0.35">
      <c r="A126" s="6">
        <v>2402927</v>
      </c>
      <c r="B126" s="7" t="str">
        <f>"3175011103580004"</f>
        <v>3175011103580004</v>
      </c>
      <c r="C126" s="7" t="s">
        <v>3680</v>
      </c>
      <c r="D126" s="7" t="s">
        <v>189</v>
      </c>
      <c r="E126" s="7" t="s">
        <v>11</v>
      </c>
      <c r="F126" s="7" t="s">
        <v>50</v>
      </c>
      <c r="G126" s="7" t="s">
        <v>58</v>
      </c>
      <c r="H126" s="7" t="s">
        <v>406</v>
      </c>
      <c r="I126" s="8" t="s">
        <v>3116</v>
      </c>
    </row>
    <row r="127" spans="1:12" x14ac:dyDescent="0.35">
      <c r="A127" s="6">
        <v>2016355</v>
      </c>
      <c r="B127" s="7" t="str">
        <f>"3328110211060002"</f>
        <v>3328110211060002</v>
      </c>
      <c r="C127" s="7" t="s">
        <v>3731</v>
      </c>
      <c r="D127" s="7" t="s">
        <v>189</v>
      </c>
      <c r="E127" s="7" t="s">
        <v>11</v>
      </c>
      <c r="F127" s="7" t="s">
        <v>18</v>
      </c>
      <c r="G127" s="7" t="s">
        <v>19</v>
      </c>
      <c r="H127" s="7" t="s">
        <v>348</v>
      </c>
      <c r="I127" s="8" t="s">
        <v>349</v>
      </c>
      <c r="J127" t="e">
        <f>VLOOKUP(B127,baru!$B$2:$I$2271,4,FALSE)</f>
        <v>#N/A</v>
      </c>
      <c r="K127" t="e">
        <f>VLOOKUP(B127,baru!$B$2:$I$2271,5,FALSE)</f>
        <v>#N/A</v>
      </c>
      <c r="L127" t="e">
        <f>VLOOKUP(B127,baru!$B$2:$I$2271,6,FALSE)</f>
        <v>#N/A</v>
      </c>
    </row>
    <row r="128" spans="1:12" x14ac:dyDescent="0.35">
      <c r="A128" s="13">
        <v>2090941</v>
      </c>
      <c r="B128" s="14" t="str">
        <f>"3328110508760006"</f>
        <v>3328110508760006</v>
      </c>
      <c r="C128" s="14" t="s">
        <v>3740</v>
      </c>
      <c r="D128" s="14" t="s">
        <v>189</v>
      </c>
      <c r="E128" s="14" t="s">
        <v>11</v>
      </c>
      <c r="F128" s="14" t="s">
        <v>18</v>
      </c>
      <c r="G128" s="14" t="s">
        <v>19</v>
      </c>
      <c r="H128" s="14" t="s">
        <v>348</v>
      </c>
      <c r="I128" s="15" t="s">
        <v>3660</v>
      </c>
      <c r="J128" s="16" t="str">
        <f>VLOOKUP(B128,baru!$B$2:$I$2271,4,FALSE)</f>
        <v>Reguler</v>
      </c>
      <c r="K128" s="16" t="str">
        <f>VLOOKUP(B128,baru!$B$2:$I$2271,5,FALSE)</f>
        <v>DKI JAKARTA</v>
      </c>
      <c r="L128" s="16" t="str">
        <f>VLOOKUP(B128,baru!$B$2:$I$2271,6,FALSE)</f>
        <v>KOTA JAKARTA SELATAN</v>
      </c>
    </row>
    <row r="129" spans="1:12" x14ac:dyDescent="0.35">
      <c r="A129" s="6">
        <v>2103021</v>
      </c>
      <c r="B129" s="7" t="str">
        <f>"3328110510050009"</f>
        <v>3328110510050009</v>
      </c>
      <c r="C129" s="7" t="s">
        <v>3742</v>
      </c>
      <c r="D129" s="7" t="s">
        <v>189</v>
      </c>
      <c r="E129" s="7" t="s">
        <v>11</v>
      </c>
      <c r="F129" s="7" t="s">
        <v>18</v>
      </c>
      <c r="G129" s="7" t="s">
        <v>19</v>
      </c>
      <c r="H129" s="7" t="s">
        <v>348</v>
      </c>
      <c r="I129" s="8" t="s">
        <v>3727</v>
      </c>
      <c r="J129" t="e">
        <f>VLOOKUP(B129,baru!$B$2:$I$2271,4,FALSE)</f>
        <v>#N/A</v>
      </c>
      <c r="K129" t="e">
        <f>VLOOKUP(B129,baru!$B$2:$I$2271,5,FALSE)</f>
        <v>#N/A</v>
      </c>
      <c r="L129" t="e">
        <f>VLOOKUP(B129,baru!$B$2:$I$2271,6,FALSE)</f>
        <v>#N/A</v>
      </c>
    </row>
    <row r="130" spans="1:12" x14ac:dyDescent="0.35">
      <c r="A130" s="6">
        <v>2099956</v>
      </c>
      <c r="B130" s="7" t="str">
        <f>"3328111008870010"</f>
        <v>3328111008870010</v>
      </c>
      <c r="C130" s="7" t="s">
        <v>3759</v>
      </c>
      <c r="D130" s="7" t="s">
        <v>189</v>
      </c>
      <c r="E130" s="7" t="s">
        <v>11</v>
      </c>
      <c r="F130" s="7" t="s">
        <v>18</v>
      </c>
      <c r="G130" s="7" t="s">
        <v>19</v>
      </c>
      <c r="H130" s="7" t="s">
        <v>348</v>
      </c>
      <c r="I130" s="8" t="s">
        <v>3727</v>
      </c>
      <c r="J130" t="e">
        <f>VLOOKUP(B130,baru!$B$2:$I$2271,4,FALSE)</f>
        <v>#N/A</v>
      </c>
      <c r="K130" t="e">
        <f>VLOOKUP(B130,baru!$B$2:$I$2271,5,FALSE)</f>
        <v>#N/A</v>
      </c>
      <c r="L130" t="e">
        <f>VLOOKUP(B130,baru!$B$2:$I$2271,6,FALSE)</f>
        <v>#N/A</v>
      </c>
    </row>
    <row r="131" spans="1:12" x14ac:dyDescent="0.35">
      <c r="A131" s="6">
        <v>2021143</v>
      </c>
      <c r="B131" s="7" t="str">
        <f>"3328111105060002"</f>
        <v>3328111105060002</v>
      </c>
      <c r="C131" s="7" t="s">
        <v>3760</v>
      </c>
      <c r="D131" s="7" t="s">
        <v>189</v>
      </c>
      <c r="E131" s="7" t="s">
        <v>11</v>
      </c>
      <c r="F131" s="7" t="s">
        <v>18</v>
      </c>
      <c r="G131" s="7" t="s">
        <v>19</v>
      </c>
      <c r="H131" s="7" t="s">
        <v>348</v>
      </c>
      <c r="I131" s="8" t="s">
        <v>349</v>
      </c>
      <c r="J131" t="e">
        <f>VLOOKUP(B131,baru!$B$2:$I$2271,4,FALSE)</f>
        <v>#N/A</v>
      </c>
      <c r="K131" t="e">
        <f>VLOOKUP(B131,baru!$B$2:$I$2271,5,FALSE)</f>
        <v>#N/A</v>
      </c>
      <c r="L131" t="e">
        <f>VLOOKUP(B131,baru!$B$2:$I$2271,6,FALSE)</f>
        <v>#N/A</v>
      </c>
    </row>
    <row r="132" spans="1:12" x14ac:dyDescent="0.35">
      <c r="A132" s="13">
        <v>2021140</v>
      </c>
      <c r="B132" s="14" t="str">
        <f>"3328111109810006"</f>
        <v>3328111109810006</v>
      </c>
      <c r="C132" s="14" t="s">
        <v>3763</v>
      </c>
      <c r="D132" s="14" t="s">
        <v>189</v>
      </c>
      <c r="E132" s="14" t="s">
        <v>11</v>
      </c>
      <c r="F132" s="14" t="s">
        <v>18</v>
      </c>
      <c r="G132" s="14" t="s">
        <v>19</v>
      </c>
      <c r="H132" s="14" t="s">
        <v>348</v>
      </c>
      <c r="I132" s="15" t="s">
        <v>349</v>
      </c>
      <c r="J132" s="16" t="str">
        <f>VLOOKUP(B132,baru!$B$2:$I$2271,4,FALSE)</f>
        <v>Reguler</v>
      </c>
      <c r="K132" s="16" t="str">
        <f>VLOOKUP(B132,baru!$B$2:$I$2271,5,FALSE)</f>
        <v>JAWA TIMUR</v>
      </c>
      <c r="L132" s="16" t="str">
        <f>VLOOKUP(B132,baru!$B$2:$I$2271,6,FALSE)</f>
        <v>MAGETAN</v>
      </c>
    </row>
    <row r="133" spans="1:12" x14ac:dyDescent="0.35">
      <c r="A133" s="13">
        <v>2083014</v>
      </c>
      <c r="B133" s="14" t="str">
        <f>"3328111303920003"</f>
        <v>3328111303920003</v>
      </c>
      <c r="C133" s="14" t="s">
        <v>71</v>
      </c>
      <c r="D133" s="14" t="s">
        <v>189</v>
      </c>
      <c r="E133" s="14" t="s">
        <v>11</v>
      </c>
      <c r="F133" s="14" t="s">
        <v>18</v>
      </c>
      <c r="G133" s="14" t="s">
        <v>19</v>
      </c>
      <c r="H133" s="14" t="s">
        <v>348</v>
      </c>
      <c r="I133" s="15" t="s">
        <v>3679</v>
      </c>
      <c r="J133" s="16" t="str">
        <f>VLOOKUP(B133,baru!$B$2:$I$2271,4,FALSE)</f>
        <v>Reguler</v>
      </c>
      <c r="K133" s="16" t="str">
        <f>VLOOKUP(B133,baru!$B$2:$I$2271,5,FALSE)</f>
        <v>JAWA TENGAH</v>
      </c>
      <c r="L133" s="16" t="str">
        <f>VLOOKUP(B133,baru!$B$2:$I$2271,6,FALSE)</f>
        <v>KOTA TEGAL</v>
      </c>
    </row>
    <row r="134" spans="1:12" x14ac:dyDescent="0.35">
      <c r="A134" s="13">
        <v>2036854</v>
      </c>
      <c r="B134" s="14" t="str">
        <f>"3328111410970003"</f>
        <v>3328111410970003</v>
      </c>
      <c r="C134" s="14" t="s">
        <v>3783</v>
      </c>
      <c r="D134" s="14" t="s">
        <v>189</v>
      </c>
      <c r="E134" s="14" t="s">
        <v>11</v>
      </c>
      <c r="F134" s="14" t="s">
        <v>18</v>
      </c>
      <c r="G134" s="14" t="s">
        <v>19</v>
      </c>
      <c r="H134" s="14" t="s">
        <v>348</v>
      </c>
      <c r="I134" s="15" t="s">
        <v>3721</v>
      </c>
      <c r="J134" s="16" t="str">
        <f>VLOOKUP(B134,baru!$B$2:$I$2271,4,FALSE)</f>
        <v>Reguler</v>
      </c>
      <c r="K134" s="16" t="str">
        <f>VLOOKUP(B134,baru!$B$2:$I$2271,5,FALSE)</f>
        <v>DAERAH ISTIMEWA YOGYAKARTA</v>
      </c>
      <c r="L134" s="16" t="str">
        <f>VLOOKUP(B134,baru!$B$2:$I$2271,6,FALSE)</f>
        <v>BANTUL</v>
      </c>
    </row>
    <row r="135" spans="1:12" x14ac:dyDescent="0.35">
      <c r="A135" s="13">
        <v>2020897</v>
      </c>
      <c r="B135" s="14" t="str">
        <f>"3328111703760006"</f>
        <v>3328111703760006</v>
      </c>
      <c r="C135" s="14" t="s">
        <v>3797</v>
      </c>
      <c r="D135" s="14" t="s">
        <v>189</v>
      </c>
      <c r="E135" s="14" t="s">
        <v>11</v>
      </c>
      <c r="F135" s="14" t="s">
        <v>18</v>
      </c>
      <c r="G135" s="14" t="s">
        <v>19</v>
      </c>
      <c r="H135" s="14" t="s">
        <v>348</v>
      </c>
      <c r="I135" s="15" t="s">
        <v>349</v>
      </c>
      <c r="J135" s="16" t="str">
        <f>VLOOKUP(B135,baru!$B$2:$I$2271,4,FALSE)</f>
        <v>Reguler</v>
      </c>
      <c r="K135" s="16" t="str">
        <f>VLOOKUP(B135,baru!$B$2:$I$2271,5,FALSE)</f>
        <v>DAERAH ISTIMEWA YOGYAKARTA</v>
      </c>
      <c r="L135" s="16" t="str">
        <f>VLOOKUP(B135,baru!$B$2:$I$2271,6,FALSE)</f>
        <v>KOTA YOGYAKARTA</v>
      </c>
    </row>
    <row r="136" spans="1:12" x14ac:dyDescent="0.35">
      <c r="A136" s="13">
        <v>2162159</v>
      </c>
      <c r="B136" s="14" t="str">
        <f>"3328111710930004"</f>
        <v>3328111710930004</v>
      </c>
      <c r="C136" s="14" t="s">
        <v>3799</v>
      </c>
      <c r="D136" s="14" t="s">
        <v>189</v>
      </c>
      <c r="E136" s="14" t="s">
        <v>11</v>
      </c>
      <c r="F136" s="14" t="s">
        <v>18</v>
      </c>
      <c r="G136" s="14" t="s">
        <v>19</v>
      </c>
      <c r="H136" s="14" t="s">
        <v>348</v>
      </c>
      <c r="I136" s="15" t="s">
        <v>3696</v>
      </c>
      <c r="J136" s="16" t="str">
        <f>VLOOKUP(B136,baru!$B$2:$I$2271,4,FALSE)</f>
        <v>Reguler</v>
      </c>
      <c r="K136" s="16" t="str">
        <f>VLOOKUP(B136,baru!$B$2:$I$2271,5,FALSE)</f>
        <v>JAWA TENGAH</v>
      </c>
      <c r="L136" s="16" t="str">
        <f>VLOOKUP(B136,baru!$B$2:$I$2271,6,FALSE)</f>
        <v>BATANG</v>
      </c>
    </row>
    <row r="137" spans="1:12" x14ac:dyDescent="0.35">
      <c r="A137" s="13">
        <v>2090942</v>
      </c>
      <c r="B137" s="14" t="str">
        <f>"3328112201070002"</f>
        <v>3328112201070002</v>
      </c>
      <c r="C137" s="14" t="s">
        <v>3807</v>
      </c>
      <c r="D137" s="14" t="s">
        <v>189</v>
      </c>
      <c r="E137" s="14" t="s">
        <v>11</v>
      </c>
      <c r="F137" s="14" t="s">
        <v>18</v>
      </c>
      <c r="G137" s="14" t="s">
        <v>19</v>
      </c>
      <c r="H137" s="14" t="s">
        <v>348</v>
      </c>
      <c r="I137" s="15" t="s">
        <v>3660</v>
      </c>
      <c r="J137" s="16" t="str">
        <f>VLOOKUP(B137,baru!$B$2:$I$2271,4,FALSE)</f>
        <v>Reguler</v>
      </c>
      <c r="K137" s="16" t="str">
        <f>VLOOKUP(B137,baru!$B$2:$I$2271,5,FALSE)</f>
        <v>DKI JAKARTA</v>
      </c>
      <c r="L137" s="16" t="str">
        <f>VLOOKUP(B137,baru!$B$2:$I$2271,6,FALSE)</f>
        <v>KOTA JAKARTA SELATAN</v>
      </c>
    </row>
    <row r="138" spans="1:12" x14ac:dyDescent="0.35">
      <c r="A138" s="17">
        <v>2158962</v>
      </c>
      <c r="B138" s="18" t="str">
        <f>"3328112311060006"</f>
        <v>3328112311060006</v>
      </c>
      <c r="C138" s="18" t="s">
        <v>3813</v>
      </c>
      <c r="D138" s="18" t="s">
        <v>189</v>
      </c>
      <c r="E138" s="18" t="s">
        <v>11</v>
      </c>
      <c r="F138" s="18" t="s">
        <v>18</v>
      </c>
      <c r="G138" s="18" t="s">
        <v>19</v>
      </c>
      <c r="H138" s="18" t="s">
        <v>348</v>
      </c>
      <c r="I138" s="19" t="s">
        <v>3688</v>
      </c>
      <c r="J138" s="20" t="str">
        <f>VLOOKUP(B138,baru!$B$2:$I$2271,4,FALSE)</f>
        <v>Khusus</v>
      </c>
      <c r="K138" s="20" t="str">
        <f>VLOOKUP(B138,baru!$B$2:$I$2271,5,FALSE)</f>
        <v>JAWA TENGAH</v>
      </c>
      <c r="L138" s="20" t="str">
        <f>VLOOKUP(B138,baru!$B$2:$I$2271,6,FALSE)</f>
        <v>BATANG</v>
      </c>
    </row>
    <row r="139" spans="1:12" x14ac:dyDescent="0.35">
      <c r="A139" s="6">
        <v>2104819</v>
      </c>
      <c r="B139" s="7" t="str">
        <f>"3328112508050002"</f>
        <v>3328112508050002</v>
      </c>
      <c r="C139" s="7" t="s">
        <v>3821</v>
      </c>
      <c r="D139" s="7" t="s">
        <v>189</v>
      </c>
      <c r="E139" s="7" t="s">
        <v>11</v>
      </c>
      <c r="F139" s="7" t="s">
        <v>18</v>
      </c>
      <c r="G139" s="7" t="s">
        <v>19</v>
      </c>
      <c r="H139" s="7" t="s">
        <v>348</v>
      </c>
      <c r="I139" s="8" t="s">
        <v>3668</v>
      </c>
      <c r="J139" t="e">
        <f>VLOOKUP(B139,baru!$B$2:$I$2271,4,FALSE)</f>
        <v>#N/A</v>
      </c>
      <c r="K139" t="e">
        <f>VLOOKUP(B139,baru!$B$2:$I$2271,5,FALSE)</f>
        <v>#N/A</v>
      </c>
      <c r="L139" t="e">
        <f>VLOOKUP(B139,baru!$B$2:$I$2271,6,FALSE)</f>
        <v>#N/A</v>
      </c>
    </row>
    <row r="140" spans="1:12" x14ac:dyDescent="0.35">
      <c r="A140" s="6">
        <v>2152782</v>
      </c>
      <c r="B140" s="7" t="str">
        <f>"3328112602060002"</f>
        <v>3328112602060002</v>
      </c>
      <c r="C140" s="7" t="s">
        <v>3825</v>
      </c>
      <c r="D140" s="7" t="s">
        <v>189</v>
      </c>
      <c r="E140" s="7" t="s">
        <v>11</v>
      </c>
      <c r="F140" s="7" t="s">
        <v>18</v>
      </c>
      <c r="G140" s="7" t="s">
        <v>19</v>
      </c>
      <c r="H140" s="7" t="s">
        <v>348</v>
      </c>
      <c r="I140" s="8" t="s">
        <v>3688</v>
      </c>
      <c r="J140" t="e">
        <f>VLOOKUP(B140,baru!$B$2:$I$2271,4,FALSE)</f>
        <v>#N/A</v>
      </c>
      <c r="K140" t="e">
        <f>VLOOKUP(B140,baru!$B$2:$I$2271,5,FALSE)</f>
        <v>#N/A</v>
      </c>
      <c r="L140" t="e">
        <f>VLOOKUP(B140,baru!$B$2:$I$2271,6,FALSE)</f>
        <v>#N/A</v>
      </c>
    </row>
    <row r="141" spans="1:12" x14ac:dyDescent="0.35">
      <c r="A141" s="6">
        <v>2082985</v>
      </c>
      <c r="B141" s="7" t="str">
        <f>"3328112707960001"</f>
        <v>3328112707960001</v>
      </c>
      <c r="C141" s="7" t="s">
        <v>3828</v>
      </c>
      <c r="D141" s="7" t="s">
        <v>189</v>
      </c>
      <c r="E141" s="7" t="s">
        <v>11</v>
      </c>
      <c r="F141" s="7" t="s">
        <v>18</v>
      </c>
      <c r="G141" s="7" t="s">
        <v>19</v>
      </c>
      <c r="H141" s="7" t="s">
        <v>348</v>
      </c>
      <c r="I141" s="8" t="s">
        <v>3679</v>
      </c>
      <c r="J141" t="e">
        <f>VLOOKUP(B141,baru!$B$2:$I$2271,4,FALSE)</f>
        <v>#N/A</v>
      </c>
      <c r="K141" t="e">
        <f>VLOOKUP(B141,baru!$B$2:$I$2271,5,FALSE)</f>
        <v>#N/A</v>
      </c>
      <c r="L141" t="e">
        <f>VLOOKUP(B141,baru!$B$2:$I$2271,6,FALSE)</f>
        <v>#N/A</v>
      </c>
    </row>
    <row r="142" spans="1:12" x14ac:dyDescent="0.35">
      <c r="A142" s="6">
        <v>2021274</v>
      </c>
      <c r="B142" s="7" t="str">
        <f>"3328112809060009"</f>
        <v>3328112809060009</v>
      </c>
      <c r="C142" s="7" t="s">
        <v>3830</v>
      </c>
      <c r="D142" s="7" t="s">
        <v>189</v>
      </c>
      <c r="E142" s="7" t="s">
        <v>11</v>
      </c>
      <c r="F142" s="7" t="s">
        <v>18</v>
      </c>
      <c r="G142" s="7" t="s">
        <v>19</v>
      </c>
      <c r="H142" s="7" t="s">
        <v>348</v>
      </c>
      <c r="I142" s="8" t="s">
        <v>349</v>
      </c>
      <c r="J142" t="e">
        <f>VLOOKUP(B142,baru!$B$2:$I$2271,4,FALSE)</f>
        <v>#N/A</v>
      </c>
      <c r="K142" t="e">
        <f>VLOOKUP(B142,baru!$B$2:$I$2271,5,FALSE)</f>
        <v>#N/A</v>
      </c>
      <c r="L142" t="e">
        <f>VLOOKUP(B142,baru!$B$2:$I$2271,6,FALSE)</f>
        <v>#N/A</v>
      </c>
    </row>
    <row r="143" spans="1:12" x14ac:dyDescent="0.35">
      <c r="A143" s="6">
        <v>2021891</v>
      </c>
      <c r="B143" s="7" t="str">
        <f>"3328114102070003"</f>
        <v>3328114102070003</v>
      </c>
      <c r="C143" s="7" t="s">
        <v>3840</v>
      </c>
      <c r="D143" s="7" t="s">
        <v>189</v>
      </c>
      <c r="E143" s="7" t="s">
        <v>11</v>
      </c>
      <c r="F143" s="7" t="s">
        <v>18</v>
      </c>
      <c r="G143" s="7" t="s">
        <v>19</v>
      </c>
      <c r="H143" s="7" t="s">
        <v>348</v>
      </c>
      <c r="I143" s="8" t="s">
        <v>349</v>
      </c>
      <c r="J143" t="e">
        <f>VLOOKUP(B143,baru!$B$2:$I$2271,4,FALSE)</f>
        <v>#N/A</v>
      </c>
      <c r="K143" t="e">
        <f>VLOOKUP(B143,baru!$B$2:$I$2271,5,FALSE)</f>
        <v>#N/A</v>
      </c>
      <c r="L143" t="e">
        <f>VLOOKUP(B143,baru!$B$2:$I$2271,6,FALSE)</f>
        <v>#N/A</v>
      </c>
    </row>
    <row r="144" spans="1:12" x14ac:dyDescent="0.35">
      <c r="A144" s="13">
        <v>2233965</v>
      </c>
      <c r="B144" s="14" t="str">
        <f>"3328115204940004"</f>
        <v>3328115204940004</v>
      </c>
      <c r="C144" s="14" t="s">
        <v>3869</v>
      </c>
      <c r="D144" s="14" t="s">
        <v>189</v>
      </c>
      <c r="E144" s="14" t="s">
        <v>11</v>
      </c>
      <c r="F144" s="14" t="s">
        <v>18</v>
      </c>
      <c r="G144" s="14" t="s">
        <v>19</v>
      </c>
      <c r="H144" s="14" t="s">
        <v>348</v>
      </c>
      <c r="I144" s="15" t="s">
        <v>459</v>
      </c>
      <c r="J144" s="16" t="str">
        <f>VLOOKUP(B144,baru!$B$2:$I$2271,4,FALSE)</f>
        <v>Reguler</v>
      </c>
      <c r="K144" s="16" t="str">
        <f>VLOOKUP(B144,baru!$B$2:$I$2271,5,FALSE)</f>
        <v>JAWA TENGAH</v>
      </c>
      <c r="L144" s="16" t="str">
        <f>VLOOKUP(B144,baru!$B$2:$I$2271,6,FALSE)</f>
        <v>KOTA TEGAL</v>
      </c>
    </row>
    <row r="145" spans="1:12" x14ac:dyDescent="0.35">
      <c r="A145" s="6">
        <v>2168515</v>
      </c>
      <c r="B145" s="7" t="str">
        <f>"3328115901060005"</f>
        <v>3328115901060005</v>
      </c>
      <c r="C145" s="7" t="s">
        <v>3885</v>
      </c>
      <c r="D145" s="7" t="s">
        <v>189</v>
      </c>
      <c r="E145" s="7" t="s">
        <v>11</v>
      </c>
      <c r="F145" s="7" t="s">
        <v>18</v>
      </c>
      <c r="G145" s="7" t="s">
        <v>19</v>
      </c>
      <c r="H145" s="7" t="s">
        <v>348</v>
      </c>
      <c r="I145" s="8" t="s">
        <v>3723</v>
      </c>
      <c r="J145" t="e">
        <f>VLOOKUP(B145,baru!$B$2:$I$2271,4,FALSE)</f>
        <v>#N/A</v>
      </c>
      <c r="K145" t="e">
        <f>VLOOKUP(B145,baru!$B$2:$I$2271,5,FALSE)</f>
        <v>#N/A</v>
      </c>
      <c r="L145" t="e">
        <f>VLOOKUP(B145,baru!$B$2:$I$2271,6,FALSE)</f>
        <v>#N/A</v>
      </c>
    </row>
    <row r="146" spans="1:12" x14ac:dyDescent="0.35">
      <c r="A146" s="13">
        <v>2157387</v>
      </c>
      <c r="B146" s="14" t="str">
        <f>"3328116001000013"</f>
        <v>3328116001000013</v>
      </c>
      <c r="C146" s="14" t="s">
        <v>3887</v>
      </c>
      <c r="D146" s="14" t="s">
        <v>189</v>
      </c>
      <c r="E146" s="14" t="s">
        <v>11</v>
      </c>
      <c r="F146" s="14" t="s">
        <v>18</v>
      </c>
      <c r="G146" s="14" t="s">
        <v>19</v>
      </c>
      <c r="H146" s="14" t="s">
        <v>348</v>
      </c>
      <c r="I146" s="15" t="s">
        <v>3688</v>
      </c>
      <c r="J146" s="16" t="str">
        <f>VLOOKUP(B146,baru!$B$2:$I$2271,4,FALSE)</f>
        <v>Reguler</v>
      </c>
      <c r="K146" s="16" t="str">
        <f>VLOOKUP(B146,baru!$B$2:$I$2271,5,FALSE)</f>
        <v>DKI JAKARTA</v>
      </c>
      <c r="L146" s="16" t="str">
        <f>VLOOKUP(B146,baru!$B$2:$I$2271,6,FALSE)</f>
        <v>KOTA JAKARTA SELATAN</v>
      </c>
    </row>
    <row r="147" spans="1:12" x14ac:dyDescent="0.35">
      <c r="A147" s="13">
        <v>2036139</v>
      </c>
      <c r="B147" s="14" t="str">
        <f>"3328116009020006"</f>
        <v>3328116009020006</v>
      </c>
      <c r="C147" s="14" t="s">
        <v>3888</v>
      </c>
      <c r="D147" s="14" t="s">
        <v>189</v>
      </c>
      <c r="E147" s="14" t="s">
        <v>11</v>
      </c>
      <c r="F147" s="14" t="s">
        <v>18</v>
      </c>
      <c r="G147" s="14" t="s">
        <v>19</v>
      </c>
      <c r="H147" s="14" t="s">
        <v>348</v>
      </c>
      <c r="I147" s="15" t="s">
        <v>3721</v>
      </c>
      <c r="J147" s="16" t="str">
        <f>VLOOKUP(B147,baru!$B$2:$I$2271,4,FALSE)</f>
        <v>Reguler</v>
      </c>
      <c r="K147" s="16" t="str">
        <f>VLOOKUP(B147,baru!$B$2:$I$2271,5,FALSE)</f>
        <v>BANTEN</v>
      </c>
      <c r="L147" s="16" t="str">
        <f>VLOOKUP(B147,baru!$B$2:$I$2271,6,FALSE)</f>
        <v>LEBAK</v>
      </c>
    </row>
    <row r="148" spans="1:12" x14ac:dyDescent="0.35">
      <c r="A148" s="13">
        <v>2090940</v>
      </c>
      <c r="B148" s="14" t="str">
        <f>"3328116010780009"</f>
        <v>3328116010780009</v>
      </c>
      <c r="C148" s="14" t="s">
        <v>3891</v>
      </c>
      <c r="D148" s="14" t="s">
        <v>189</v>
      </c>
      <c r="E148" s="14" t="s">
        <v>11</v>
      </c>
      <c r="F148" s="14" t="s">
        <v>18</v>
      </c>
      <c r="G148" s="14" t="s">
        <v>19</v>
      </c>
      <c r="H148" s="14" t="s">
        <v>348</v>
      </c>
      <c r="I148" s="15" t="s">
        <v>3660</v>
      </c>
      <c r="J148" s="16" t="str">
        <f>VLOOKUP(B148,baru!$B$2:$I$2271,4,FALSE)</f>
        <v>Reguler</v>
      </c>
      <c r="K148" s="16" t="str">
        <f>VLOOKUP(B148,baru!$B$2:$I$2271,5,FALSE)</f>
        <v>DKI JAKARTA</v>
      </c>
      <c r="L148" s="16" t="str">
        <f>VLOOKUP(B148,baru!$B$2:$I$2271,6,FALSE)</f>
        <v>KOTA JAKARTA SELATAN</v>
      </c>
    </row>
    <row r="149" spans="1:12" x14ac:dyDescent="0.35">
      <c r="A149" s="17">
        <v>2016348</v>
      </c>
      <c r="B149" s="18" t="str">
        <f>"3328116701070010"</f>
        <v>3328116701070010</v>
      </c>
      <c r="C149" s="18" t="s">
        <v>3895</v>
      </c>
      <c r="D149" s="18" t="s">
        <v>189</v>
      </c>
      <c r="E149" s="18" t="s">
        <v>11</v>
      </c>
      <c r="F149" s="18" t="s">
        <v>18</v>
      </c>
      <c r="G149" s="18" t="s">
        <v>19</v>
      </c>
      <c r="H149" s="18" t="s">
        <v>348</v>
      </c>
      <c r="I149" s="19" t="s">
        <v>349</v>
      </c>
      <c r="J149" s="20" t="str">
        <f>VLOOKUP(B149,baru!$B$2:$I$2271,4,FALSE)</f>
        <v>Khusus</v>
      </c>
      <c r="K149" s="20" t="str">
        <f>VLOOKUP(B149,baru!$B$2:$I$2271,5,FALSE)</f>
        <v>JAWA TENGAH</v>
      </c>
      <c r="L149" s="20" t="str">
        <f>VLOOKUP(B149,baru!$B$2:$I$2271,6,FALSE)</f>
        <v>MAGELANG</v>
      </c>
    </row>
    <row r="150" spans="1:12" x14ac:dyDescent="0.35">
      <c r="A150" s="6">
        <v>1252806</v>
      </c>
      <c r="B150" s="7" t="str">
        <f>"3329072106840004"</f>
        <v>3329072106840004</v>
      </c>
      <c r="C150" s="7" t="s">
        <v>851</v>
      </c>
      <c r="D150" s="7" t="s">
        <v>189</v>
      </c>
      <c r="E150" s="7" t="s">
        <v>11</v>
      </c>
      <c r="F150" s="7" t="s">
        <v>18</v>
      </c>
      <c r="G150" s="7" t="s">
        <v>264</v>
      </c>
      <c r="H150" s="7" t="s">
        <v>265</v>
      </c>
      <c r="I150" s="8" t="s">
        <v>266</v>
      </c>
    </row>
    <row r="151" spans="1:12" x14ac:dyDescent="0.35">
      <c r="A151" s="13">
        <v>2234078</v>
      </c>
      <c r="B151" s="14" t="str">
        <f>"3329094107480265"</f>
        <v>3329094107480265</v>
      </c>
      <c r="C151" s="14" t="s">
        <v>3946</v>
      </c>
      <c r="D151" s="14" t="s">
        <v>189</v>
      </c>
      <c r="E151" s="14" t="s">
        <v>11</v>
      </c>
      <c r="F151" s="14" t="s">
        <v>18</v>
      </c>
      <c r="G151" s="14" t="s">
        <v>19</v>
      </c>
      <c r="H151" s="14" t="s">
        <v>348</v>
      </c>
      <c r="I151" s="15" t="s">
        <v>459</v>
      </c>
      <c r="J151" s="16" t="str">
        <f>VLOOKUP(B151,baru!$B$2:$I$2271,4,FALSE)</f>
        <v>Reguler</v>
      </c>
      <c r="K151" s="16" t="str">
        <f>VLOOKUP(B151,baru!$B$2:$I$2271,5,FALSE)</f>
        <v>JAWA TENGAH</v>
      </c>
      <c r="L151" s="16" t="str">
        <f>VLOOKUP(B151,baru!$B$2:$I$2271,6,FALSE)</f>
        <v>BREBES</v>
      </c>
    </row>
    <row r="152" spans="1:12" x14ac:dyDescent="0.35">
      <c r="A152" s="6">
        <v>1133705</v>
      </c>
      <c r="B152" s="7" t="str">
        <f>"3329150707900003"</f>
        <v>3329150707900003</v>
      </c>
      <c r="C152" s="7" t="s">
        <v>3962</v>
      </c>
      <c r="D152" s="7" t="s">
        <v>189</v>
      </c>
      <c r="E152" s="7" t="s">
        <v>11</v>
      </c>
      <c r="F152" s="7" t="s">
        <v>18</v>
      </c>
      <c r="G152" s="7" t="s">
        <v>264</v>
      </c>
      <c r="H152" s="7" t="s">
        <v>330</v>
      </c>
      <c r="I152" s="8" t="s">
        <v>489</v>
      </c>
    </row>
    <row r="153" spans="1:12" x14ac:dyDescent="0.35">
      <c r="A153" s="6">
        <v>328238</v>
      </c>
      <c r="B153" s="7" t="str">
        <f>"3376010705950001"</f>
        <v>3376010705950001</v>
      </c>
      <c r="C153" s="7" t="s">
        <v>3966</v>
      </c>
      <c r="D153" s="7" t="s">
        <v>189</v>
      </c>
      <c r="E153" s="7" t="s">
        <v>11</v>
      </c>
      <c r="F153" s="7" t="s">
        <v>18</v>
      </c>
      <c r="G153" s="7" t="s">
        <v>268</v>
      </c>
      <c r="H153" s="7" t="s">
        <v>277</v>
      </c>
      <c r="I153" s="8" t="s">
        <v>278</v>
      </c>
    </row>
    <row r="154" spans="1:12" x14ac:dyDescent="0.35">
      <c r="A154" s="6">
        <v>2328611</v>
      </c>
      <c r="B154" s="7" t="str">
        <f>"3172041703840002"</f>
        <v>3172041703840002</v>
      </c>
      <c r="C154" s="7" t="s">
        <v>4011</v>
      </c>
      <c r="D154" s="7" t="s">
        <v>189</v>
      </c>
      <c r="E154" s="7" t="s">
        <v>11</v>
      </c>
      <c r="F154" s="7" t="s">
        <v>18</v>
      </c>
      <c r="G154" s="7" t="s">
        <v>19</v>
      </c>
      <c r="H154" s="7" t="s">
        <v>3354</v>
      </c>
      <c r="I154" s="8" t="s">
        <v>307</v>
      </c>
      <c r="J154" t="e">
        <f>VLOOKUP(B154,baru!$B$2:$I$2271,4,FALSE)</f>
        <v>#N/A</v>
      </c>
      <c r="K154" t="e">
        <f>VLOOKUP(B154,baru!$B$2:$I$2271,5,FALSE)</f>
        <v>#N/A</v>
      </c>
      <c r="L154" t="e">
        <f>VLOOKUP(B154,baru!$B$2:$I$2271,6,FALSE)</f>
        <v>#N/A</v>
      </c>
    </row>
    <row r="155" spans="1:12" x14ac:dyDescent="0.35">
      <c r="A155" s="6">
        <v>2335314</v>
      </c>
      <c r="B155" s="7" t="str">
        <f>"3328120109620008"</f>
        <v>3328120109620008</v>
      </c>
      <c r="C155" s="7" t="s">
        <v>4084</v>
      </c>
      <c r="D155" s="7" t="s">
        <v>189</v>
      </c>
      <c r="E155" s="7" t="s">
        <v>11</v>
      </c>
      <c r="F155" s="7" t="s">
        <v>18</v>
      </c>
      <c r="G155" s="7" t="s">
        <v>19</v>
      </c>
      <c r="H155" s="7" t="s">
        <v>3354</v>
      </c>
      <c r="I155" s="8" t="s">
        <v>4026</v>
      </c>
      <c r="J155" t="e">
        <f>VLOOKUP(B155,baru!$B$2:$I$2271,4,FALSE)</f>
        <v>#N/A</v>
      </c>
      <c r="K155" t="e">
        <f>VLOOKUP(B155,baru!$B$2:$I$2271,5,FALSE)</f>
        <v>#N/A</v>
      </c>
      <c r="L155" t="e">
        <f>VLOOKUP(B155,baru!$B$2:$I$2271,6,FALSE)</f>
        <v>#N/A</v>
      </c>
    </row>
    <row r="156" spans="1:12" x14ac:dyDescent="0.35">
      <c r="A156" s="13">
        <v>2280142</v>
      </c>
      <c r="B156" s="14" t="str">
        <f>"3328121103990005"</f>
        <v>3328121103990005</v>
      </c>
      <c r="C156" s="14" t="s">
        <v>4115</v>
      </c>
      <c r="D156" s="14" t="s">
        <v>189</v>
      </c>
      <c r="E156" s="14" t="s">
        <v>11</v>
      </c>
      <c r="F156" s="14" t="s">
        <v>18</v>
      </c>
      <c r="G156" s="14" t="s">
        <v>19</v>
      </c>
      <c r="H156" s="14" t="s">
        <v>3354</v>
      </c>
      <c r="I156" s="15" t="s">
        <v>4040</v>
      </c>
      <c r="J156" s="16" t="str">
        <f>VLOOKUP(B156,baru!$B$2:$I$2271,4,FALSE)</f>
        <v>Reguler</v>
      </c>
      <c r="K156" s="16" t="str">
        <f>VLOOKUP(B156,baru!$B$2:$I$2271,5,FALSE)</f>
        <v>JAWA TENGAH</v>
      </c>
      <c r="L156" s="16" t="str">
        <f>VLOOKUP(B156,baru!$B$2:$I$2271,6,FALSE)</f>
        <v>KOTA TEGAL</v>
      </c>
    </row>
    <row r="157" spans="1:12" x14ac:dyDescent="0.35">
      <c r="A157" s="13">
        <v>2434437</v>
      </c>
      <c r="B157" s="14" t="str">
        <f>"3328121109950004"</f>
        <v>3328121109950004</v>
      </c>
      <c r="C157" s="14" t="s">
        <v>4116</v>
      </c>
      <c r="D157" s="14" t="s">
        <v>189</v>
      </c>
      <c r="E157" s="14" t="s">
        <v>11</v>
      </c>
      <c r="F157" s="14" t="s">
        <v>18</v>
      </c>
      <c r="G157" s="14" t="s">
        <v>19</v>
      </c>
      <c r="H157" s="14" t="s">
        <v>3354</v>
      </c>
      <c r="I157" s="15" t="s">
        <v>3999</v>
      </c>
      <c r="J157" s="16" t="str">
        <f>VLOOKUP(B157,baru!$B$2:$I$2271,4,FALSE)</f>
        <v>Reguler</v>
      </c>
      <c r="K157" s="16" t="str">
        <f>VLOOKUP(B157,baru!$B$2:$I$2271,5,FALSE)</f>
        <v>JAWA TENGAH</v>
      </c>
      <c r="L157" s="16" t="str">
        <f>VLOOKUP(B157,baru!$B$2:$I$2271,6,FALSE)</f>
        <v>KOTA SEMARANG</v>
      </c>
    </row>
    <row r="158" spans="1:12" x14ac:dyDescent="0.35">
      <c r="A158" s="6">
        <v>2187742</v>
      </c>
      <c r="B158" s="7" t="str">
        <f>"3328121201010004"</f>
        <v>3328121201010004</v>
      </c>
      <c r="C158" s="7" t="s">
        <v>4122</v>
      </c>
      <c r="D158" s="7" t="s">
        <v>189</v>
      </c>
      <c r="E158" s="7" t="s">
        <v>11</v>
      </c>
      <c r="F158" s="7" t="s">
        <v>18</v>
      </c>
      <c r="G158" s="7" t="s">
        <v>19</v>
      </c>
      <c r="H158" s="7" t="s">
        <v>3354</v>
      </c>
      <c r="I158" s="8" t="s">
        <v>4012</v>
      </c>
      <c r="J158" t="e">
        <f>VLOOKUP(B158,baru!$B$2:$I$2271,4,FALSE)</f>
        <v>#N/A</v>
      </c>
      <c r="K158" t="e">
        <f>VLOOKUP(B158,baru!$B$2:$I$2271,5,FALSE)</f>
        <v>#N/A</v>
      </c>
      <c r="L158" t="e">
        <f>VLOOKUP(B158,baru!$B$2:$I$2271,6,FALSE)</f>
        <v>#N/A</v>
      </c>
    </row>
    <row r="159" spans="1:12" x14ac:dyDescent="0.35">
      <c r="A159" s="6">
        <v>2328130</v>
      </c>
      <c r="B159" s="7" t="str">
        <f>"3328122207050007"</f>
        <v>3328122207050007</v>
      </c>
      <c r="C159" s="7" t="s">
        <v>4146</v>
      </c>
      <c r="D159" s="7" t="s">
        <v>189</v>
      </c>
      <c r="E159" s="7" t="s">
        <v>11</v>
      </c>
      <c r="F159" s="7" t="s">
        <v>18</v>
      </c>
      <c r="G159" s="7" t="s">
        <v>19</v>
      </c>
      <c r="H159" s="7" t="s">
        <v>3354</v>
      </c>
      <c r="I159" s="8" t="s">
        <v>307</v>
      </c>
      <c r="J159" t="e">
        <f>VLOOKUP(B159,baru!$B$2:$I$2271,4,FALSE)</f>
        <v>#N/A</v>
      </c>
      <c r="K159" t="e">
        <f>VLOOKUP(B159,baru!$B$2:$I$2271,5,FALSE)</f>
        <v>#N/A</v>
      </c>
      <c r="L159" t="e">
        <f>VLOOKUP(B159,baru!$B$2:$I$2271,6,FALSE)</f>
        <v>#N/A</v>
      </c>
    </row>
    <row r="160" spans="1:12" x14ac:dyDescent="0.35">
      <c r="A160" s="6">
        <v>2458987</v>
      </c>
      <c r="B160" s="7" t="str">
        <f>"3328122308060004"</f>
        <v>3328122308060004</v>
      </c>
      <c r="C160" s="7" t="s">
        <v>4149</v>
      </c>
      <c r="D160" s="7" t="s">
        <v>189</v>
      </c>
      <c r="E160" s="7" t="s">
        <v>11</v>
      </c>
      <c r="F160" s="7" t="s">
        <v>18</v>
      </c>
      <c r="G160" s="7" t="s">
        <v>19</v>
      </c>
      <c r="H160" s="7" t="s">
        <v>3354</v>
      </c>
      <c r="I160" s="8" t="s">
        <v>4008</v>
      </c>
      <c r="J160" t="e">
        <f>VLOOKUP(B160,baru!$B$2:$I$2271,4,FALSE)</f>
        <v>#N/A</v>
      </c>
      <c r="K160" t="e">
        <f>VLOOKUP(B160,baru!$B$2:$I$2271,5,FALSE)</f>
        <v>#N/A</v>
      </c>
      <c r="L160" t="e">
        <f>VLOOKUP(B160,baru!$B$2:$I$2271,6,FALSE)</f>
        <v>#N/A</v>
      </c>
    </row>
    <row r="161" spans="1:12" x14ac:dyDescent="0.35">
      <c r="A161" s="6">
        <v>2230722</v>
      </c>
      <c r="B161" s="7" t="str">
        <f>"3328122808060008"</f>
        <v>3328122808060008</v>
      </c>
      <c r="C161" s="7" t="s">
        <v>4153</v>
      </c>
      <c r="D161" s="7" t="s">
        <v>189</v>
      </c>
      <c r="E161" s="7" t="s">
        <v>11</v>
      </c>
      <c r="F161" s="7" t="s">
        <v>18</v>
      </c>
      <c r="G161" s="7" t="s">
        <v>19</v>
      </c>
      <c r="H161" s="7" t="s">
        <v>3354</v>
      </c>
      <c r="I161" s="8" t="s">
        <v>4049</v>
      </c>
      <c r="J161" t="e">
        <f>VLOOKUP(B161,baru!$B$2:$I$2271,4,FALSE)</f>
        <v>#N/A</v>
      </c>
      <c r="K161" t="e">
        <f>VLOOKUP(B161,baru!$B$2:$I$2271,5,FALSE)</f>
        <v>#N/A</v>
      </c>
      <c r="L161" t="e">
        <f>VLOOKUP(B161,baru!$B$2:$I$2271,6,FALSE)</f>
        <v>#N/A</v>
      </c>
    </row>
    <row r="162" spans="1:12" x14ac:dyDescent="0.35">
      <c r="A162" s="13">
        <v>2194636</v>
      </c>
      <c r="B162" s="14" t="str">
        <f>"3328122809060004"</f>
        <v>3328122809060004</v>
      </c>
      <c r="C162" s="14" t="s">
        <v>4154</v>
      </c>
      <c r="D162" s="14" t="s">
        <v>189</v>
      </c>
      <c r="E162" s="14" t="s">
        <v>11</v>
      </c>
      <c r="F162" s="14" t="s">
        <v>18</v>
      </c>
      <c r="G162" s="14" t="s">
        <v>19</v>
      </c>
      <c r="H162" s="14" t="s">
        <v>3354</v>
      </c>
      <c r="I162" s="15" t="s">
        <v>4098</v>
      </c>
      <c r="J162" s="16" t="str">
        <f>VLOOKUP(B162,baru!$B$2:$I$2271,4,FALSE)</f>
        <v>Reguler</v>
      </c>
      <c r="K162" s="16" t="str">
        <f>VLOOKUP(B162,baru!$B$2:$I$2271,5,FALSE)</f>
        <v>JAWA TENGAH</v>
      </c>
      <c r="L162" s="16" t="str">
        <f>VLOOKUP(B162,baru!$B$2:$I$2271,6,FALSE)</f>
        <v>BREBES</v>
      </c>
    </row>
    <row r="163" spans="1:12" x14ac:dyDescent="0.35">
      <c r="A163" s="6">
        <v>2222513</v>
      </c>
      <c r="B163" s="7" t="str">
        <f>"3328123008920008"</f>
        <v>3328123008920008</v>
      </c>
      <c r="C163" s="7" t="s">
        <v>4158</v>
      </c>
      <c r="D163" s="7" t="s">
        <v>189</v>
      </c>
      <c r="E163" s="7" t="s">
        <v>11</v>
      </c>
      <c r="F163" s="7" t="s">
        <v>18</v>
      </c>
      <c r="G163" s="7" t="s">
        <v>19</v>
      </c>
      <c r="H163" s="7" t="s">
        <v>3354</v>
      </c>
      <c r="I163" s="8" t="s">
        <v>4003</v>
      </c>
      <c r="J163" t="e">
        <f>VLOOKUP(B163,baru!$B$2:$I$2271,4,FALSE)</f>
        <v>#N/A</v>
      </c>
      <c r="K163" t="e">
        <f>VLOOKUP(B163,baru!$B$2:$I$2271,5,FALSE)</f>
        <v>#N/A</v>
      </c>
      <c r="L163" t="e">
        <f>VLOOKUP(B163,baru!$B$2:$I$2271,6,FALSE)</f>
        <v>#N/A</v>
      </c>
    </row>
    <row r="164" spans="1:12" x14ac:dyDescent="0.35">
      <c r="A164" s="17">
        <v>2328227</v>
      </c>
      <c r="B164" s="18" t="str">
        <f>"3328124212050001"</f>
        <v>3328124212050001</v>
      </c>
      <c r="C164" s="18" t="s">
        <v>4161</v>
      </c>
      <c r="D164" s="18" t="s">
        <v>189</v>
      </c>
      <c r="E164" s="18" t="s">
        <v>11</v>
      </c>
      <c r="F164" s="18" t="s">
        <v>18</v>
      </c>
      <c r="G164" s="18" t="s">
        <v>19</v>
      </c>
      <c r="H164" s="18" t="s">
        <v>3354</v>
      </c>
      <c r="I164" s="19" t="s">
        <v>307</v>
      </c>
      <c r="J164" s="20" t="str">
        <f>VLOOKUP(B164,baru!$B$2:$I$2271,4,FALSE)</f>
        <v>Khusus</v>
      </c>
      <c r="K164" s="20" t="str">
        <f>VLOOKUP(B164,baru!$B$2:$I$2271,5,FALSE)</f>
        <v>JAWA TENGAH</v>
      </c>
      <c r="L164" s="20" t="str">
        <f>VLOOKUP(B164,baru!$B$2:$I$2271,6,FALSE)</f>
        <v>MAGELANG</v>
      </c>
    </row>
    <row r="165" spans="1:12" x14ac:dyDescent="0.35">
      <c r="A165" s="6">
        <v>2433552</v>
      </c>
      <c r="B165" s="7" t="str">
        <f>"3328125410060004"</f>
        <v>3328125410060004</v>
      </c>
      <c r="C165" s="7" t="s">
        <v>4175</v>
      </c>
      <c r="D165" s="7" t="s">
        <v>189</v>
      </c>
      <c r="E165" s="7" t="s">
        <v>11</v>
      </c>
      <c r="F165" s="7" t="s">
        <v>18</v>
      </c>
      <c r="G165" s="7" t="s">
        <v>19</v>
      </c>
      <c r="H165" s="7" t="s">
        <v>3354</v>
      </c>
      <c r="I165" s="8" t="s">
        <v>3999</v>
      </c>
      <c r="J165" t="e">
        <f>VLOOKUP(B165,baru!$B$2:$I$2271,4,FALSE)</f>
        <v>#N/A</v>
      </c>
      <c r="K165" t="e">
        <f>VLOOKUP(B165,baru!$B$2:$I$2271,5,FALSE)</f>
        <v>#N/A</v>
      </c>
      <c r="L165" t="e">
        <f>VLOOKUP(B165,baru!$B$2:$I$2271,6,FALSE)</f>
        <v>#N/A</v>
      </c>
    </row>
    <row r="166" spans="1:12" x14ac:dyDescent="0.35">
      <c r="A166" s="13">
        <v>2200166</v>
      </c>
      <c r="B166" s="14" t="str">
        <f>"3328125803000003"</f>
        <v>3328125803000003</v>
      </c>
      <c r="C166" s="14" t="s">
        <v>4185</v>
      </c>
      <c r="D166" s="14" t="s">
        <v>189</v>
      </c>
      <c r="E166" s="14" t="s">
        <v>11</v>
      </c>
      <c r="F166" s="14" t="s">
        <v>18</v>
      </c>
      <c r="G166" s="14" t="s">
        <v>19</v>
      </c>
      <c r="H166" s="14" t="s">
        <v>3354</v>
      </c>
      <c r="I166" s="15" t="s">
        <v>1954</v>
      </c>
      <c r="J166" s="16" t="str">
        <f>VLOOKUP(B166,baru!$B$2:$I$2271,4,FALSE)</f>
        <v>Reguler</v>
      </c>
      <c r="K166" s="16" t="str">
        <f>VLOOKUP(B166,baru!$B$2:$I$2271,5,FALSE)</f>
        <v>JAWA TENGAH</v>
      </c>
      <c r="L166" s="16" t="str">
        <f>VLOOKUP(B166,baru!$B$2:$I$2271,6,FALSE)</f>
        <v>TEGAL</v>
      </c>
    </row>
    <row r="167" spans="1:12" x14ac:dyDescent="0.35">
      <c r="A167" s="13">
        <v>2360734</v>
      </c>
      <c r="B167" s="14" t="str">
        <f>"3328126412960002"</f>
        <v>3328126412960002</v>
      </c>
      <c r="C167" s="14" t="s">
        <v>4200</v>
      </c>
      <c r="D167" s="14" t="s">
        <v>189</v>
      </c>
      <c r="E167" s="14" t="s">
        <v>11</v>
      </c>
      <c r="F167" s="14" t="s">
        <v>18</v>
      </c>
      <c r="G167" s="14" t="s">
        <v>19</v>
      </c>
      <c r="H167" s="14" t="s">
        <v>3354</v>
      </c>
      <c r="I167" s="15" t="s">
        <v>1309</v>
      </c>
      <c r="J167" s="16" t="str">
        <f>VLOOKUP(B167,baru!$B$2:$I$2271,4,FALSE)</f>
        <v>Reguler</v>
      </c>
      <c r="K167" s="16" t="str">
        <f>VLOOKUP(B167,baru!$B$2:$I$2271,5,FALSE)</f>
        <v>JAWA TENGAH</v>
      </c>
      <c r="L167" s="16" t="str">
        <f>VLOOKUP(B167,baru!$B$2:$I$2271,6,FALSE)</f>
        <v>KOTA TEGAL</v>
      </c>
    </row>
    <row r="168" spans="1:12" x14ac:dyDescent="0.35">
      <c r="A168" s="13">
        <v>2337895</v>
      </c>
      <c r="B168" s="14" t="str">
        <f>"3328126510940002"</f>
        <v>3328126510940002</v>
      </c>
      <c r="C168" s="14" t="s">
        <v>4201</v>
      </c>
      <c r="D168" s="14" t="s">
        <v>189</v>
      </c>
      <c r="E168" s="14" t="s">
        <v>11</v>
      </c>
      <c r="F168" s="14" t="s">
        <v>18</v>
      </c>
      <c r="G168" s="14" t="s">
        <v>19</v>
      </c>
      <c r="H168" s="14" t="s">
        <v>3354</v>
      </c>
      <c r="I168" s="15" t="s">
        <v>4026</v>
      </c>
      <c r="J168" s="16" t="str">
        <f>VLOOKUP(B168,baru!$B$2:$I$2271,4,FALSE)</f>
        <v>Reguler</v>
      </c>
      <c r="K168" s="16" t="str">
        <f>VLOOKUP(B168,baru!$B$2:$I$2271,5,FALSE)</f>
        <v>JAWA BARAT</v>
      </c>
      <c r="L168" s="16" t="str">
        <f>VLOOKUP(B168,baru!$B$2:$I$2271,6,FALSE)</f>
        <v>KARAWANG</v>
      </c>
    </row>
    <row r="169" spans="1:12" x14ac:dyDescent="0.35">
      <c r="A169" s="13">
        <v>2329110</v>
      </c>
      <c r="B169" s="14" t="str">
        <f>"3328126901970002"</f>
        <v>3328126901970002</v>
      </c>
      <c r="C169" s="14" t="s">
        <v>4211</v>
      </c>
      <c r="D169" s="14" t="s">
        <v>189</v>
      </c>
      <c r="E169" s="14" t="s">
        <v>11</v>
      </c>
      <c r="F169" s="14" t="s">
        <v>18</v>
      </c>
      <c r="G169" s="14" t="s">
        <v>19</v>
      </c>
      <c r="H169" s="14" t="s">
        <v>3354</v>
      </c>
      <c r="I169" s="15" t="s">
        <v>307</v>
      </c>
      <c r="J169" s="16" t="str">
        <f>VLOOKUP(B169,baru!$B$2:$I$2271,4,FALSE)</f>
        <v>Reguler</v>
      </c>
      <c r="K169" s="16" t="str">
        <f>VLOOKUP(B169,baru!$B$2:$I$2271,5,FALSE)</f>
        <v>JAWA TENGAH</v>
      </c>
      <c r="L169" s="16" t="str">
        <f>VLOOKUP(B169,baru!$B$2:$I$2271,6,FALSE)</f>
        <v>KOTA TEGAL</v>
      </c>
    </row>
    <row r="170" spans="1:12" x14ac:dyDescent="0.35">
      <c r="A170" s="13">
        <v>2443858</v>
      </c>
      <c r="B170" s="14" t="str">
        <f>"3328126912000002"</f>
        <v>3328126912000002</v>
      </c>
      <c r="C170" s="14" t="s">
        <v>4213</v>
      </c>
      <c r="D170" s="14" t="s">
        <v>189</v>
      </c>
      <c r="E170" s="14" t="s">
        <v>11</v>
      </c>
      <c r="F170" s="14" t="s">
        <v>18</v>
      </c>
      <c r="G170" s="14" t="s">
        <v>19</v>
      </c>
      <c r="H170" s="14" t="s">
        <v>3354</v>
      </c>
      <c r="I170" s="15" t="s">
        <v>4076</v>
      </c>
      <c r="J170" s="16" t="str">
        <f>VLOOKUP(B170,baru!$B$2:$I$2271,4,FALSE)</f>
        <v>Reguler</v>
      </c>
      <c r="K170" s="16" t="str">
        <f>VLOOKUP(B170,baru!$B$2:$I$2271,5,FALSE)</f>
        <v>JAWA TENGAH</v>
      </c>
      <c r="L170" s="16" t="str">
        <f>VLOOKUP(B170,baru!$B$2:$I$2271,6,FALSE)</f>
        <v>BREBES</v>
      </c>
    </row>
    <row r="171" spans="1:12" x14ac:dyDescent="0.35">
      <c r="A171" s="6">
        <v>243935</v>
      </c>
      <c r="B171" s="7" t="str">
        <f>"3328127003010006"</f>
        <v>3328127003010006</v>
      </c>
      <c r="C171" s="7" t="s">
        <v>4214</v>
      </c>
      <c r="D171" s="7" t="s">
        <v>189</v>
      </c>
      <c r="E171" s="7" t="s">
        <v>11</v>
      </c>
      <c r="F171" s="7" t="s">
        <v>18</v>
      </c>
      <c r="G171" s="7" t="s">
        <v>268</v>
      </c>
      <c r="H171" s="7" t="s">
        <v>371</v>
      </c>
      <c r="I171" s="8" t="s">
        <v>372</v>
      </c>
    </row>
    <row r="172" spans="1:12" x14ac:dyDescent="0.35">
      <c r="A172" s="6">
        <v>2199190</v>
      </c>
      <c r="B172" s="7" t="str">
        <f>"3328127101050006"</f>
        <v>3328127101050006</v>
      </c>
      <c r="C172" s="7" t="s">
        <v>4216</v>
      </c>
      <c r="D172" s="7" t="s">
        <v>189</v>
      </c>
      <c r="E172" s="7" t="s">
        <v>11</v>
      </c>
      <c r="F172" s="7" t="s">
        <v>18</v>
      </c>
      <c r="G172" s="7" t="s">
        <v>19</v>
      </c>
      <c r="H172" s="7" t="s">
        <v>3354</v>
      </c>
      <c r="I172" s="8" t="s">
        <v>3355</v>
      </c>
      <c r="J172" t="e">
        <f>VLOOKUP(B172,baru!$B$2:$I$2271,4,FALSE)</f>
        <v>#N/A</v>
      </c>
      <c r="K172" t="e">
        <f>VLOOKUP(B172,baru!$B$2:$I$2271,5,FALSE)</f>
        <v>#N/A</v>
      </c>
      <c r="L172" t="e">
        <f>VLOOKUP(B172,baru!$B$2:$I$2271,6,FALSE)</f>
        <v>#N/A</v>
      </c>
    </row>
    <row r="173" spans="1:12" x14ac:dyDescent="0.35">
      <c r="A173" s="6">
        <v>266207</v>
      </c>
      <c r="B173" s="7" t="str">
        <f>"3329065308950004"</f>
        <v>3329065308950004</v>
      </c>
      <c r="C173" s="7" t="s">
        <v>4221</v>
      </c>
      <c r="D173" s="7" t="s">
        <v>189</v>
      </c>
      <c r="E173" s="7" t="s">
        <v>11</v>
      </c>
      <c r="F173" s="7" t="s">
        <v>18</v>
      </c>
      <c r="G173" s="7" t="s">
        <v>264</v>
      </c>
      <c r="H173" s="7" t="s">
        <v>468</v>
      </c>
      <c r="I173" s="8" t="s">
        <v>468</v>
      </c>
    </row>
    <row r="174" spans="1:12" x14ac:dyDescent="0.35">
      <c r="A174" s="6">
        <v>844993</v>
      </c>
      <c r="B174" s="7" t="str">
        <f>"3329090608900001"</f>
        <v>3329090608900001</v>
      </c>
      <c r="C174" s="7" t="s">
        <v>4229</v>
      </c>
      <c r="D174" s="7" t="s">
        <v>189</v>
      </c>
      <c r="E174" s="7" t="s">
        <v>11</v>
      </c>
      <c r="F174" s="7" t="s">
        <v>18</v>
      </c>
      <c r="G174" s="7" t="s">
        <v>264</v>
      </c>
      <c r="H174" s="7" t="s">
        <v>264</v>
      </c>
      <c r="I174" s="8" t="s">
        <v>264</v>
      </c>
    </row>
    <row r="175" spans="1:12" x14ac:dyDescent="0.35">
      <c r="A175" s="6">
        <v>612406</v>
      </c>
      <c r="B175" s="7" t="str">
        <f>"3329091101940004"</f>
        <v>3329091101940004</v>
      </c>
      <c r="C175" s="7" t="s">
        <v>681</v>
      </c>
      <c r="D175" s="7" t="s">
        <v>189</v>
      </c>
      <c r="E175" s="7" t="s">
        <v>11</v>
      </c>
      <c r="F175" s="7" t="s">
        <v>18</v>
      </c>
      <c r="G175" s="7" t="s">
        <v>264</v>
      </c>
      <c r="H175" s="7" t="s">
        <v>264</v>
      </c>
      <c r="I175" s="8" t="s">
        <v>4232</v>
      </c>
    </row>
    <row r="176" spans="1:12" x14ac:dyDescent="0.35">
      <c r="A176" s="6">
        <v>361871</v>
      </c>
      <c r="B176" s="7" t="str">
        <f>"3376036104060001"</f>
        <v>3376036104060001</v>
      </c>
      <c r="C176" s="7" t="s">
        <v>4261</v>
      </c>
      <c r="D176" s="7" t="s">
        <v>189</v>
      </c>
      <c r="E176" s="7" t="s">
        <v>11</v>
      </c>
      <c r="F176" s="7" t="s">
        <v>18</v>
      </c>
      <c r="G176" s="7" t="s">
        <v>268</v>
      </c>
      <c r="H176" s="7" t="s">
        <v>269</v>
      </c>
      <c r="I176" s="8" t="s">
        <v>996</v>
      </c>
    </row>
    <row r="177" spans="1:12" x14ac:dyDescent="0.35">
      <c r="A177" s="6">
        <v>409605</v>
      </c>
      <c r="B177" s="7" t="str">
        <f>"3323190507940001"</f>
        <v>3323190507940001</v>
      </c>
      <c r="C177" s="7" t="s">
        <v>4376</v>
      </c>
      <c r="D177" s="7" t="s">
        <v>189</v>
      </c>
      <c r="E177" s="7" t="s">
        <v>11</v>
      </c>
      <c r="F177" s="7" t="s">
        <v>18</v>
      </c>
      <c r="G177" s="7" t="s">
        <v>3323</v>
      </c>
      <c r="H177" s="7" t="s">
        <v>4377</v>
      </c>
      <c r="I177" s="8" t="s">
        <v>1089</v>
      </c>
    </row>
    <row r="178" spans="1:12" x14ac:dyDescent="0.35">
      <c r="A178" s="6">
        <v>2084059</v>
      </c>
      <c r="B178" s="7" t="str">
        <f>"3328122402060001"</f>
        <v>3328122402060001</v>
      </c>
      <c r="C178" s="7" t="s">
        <v>4391</v>
      </c>
      <c r="D178" s="7" t="s">
        <v>189</v>
      </c>
      <c r="E178" s="7" t="s">
        <v>11</v>
      </c>
      <c r="F178" s="7" t="s">
        <v>18</v>
      </c>
      <c r="G178" s="7" t="s">
        <v>19</v>
      </c>
      <c r="H178" s="7" t="s">
        <v>4290</v>
      </c>
      <c r="I178" s="8" t="s">
        <v>4309</v>
      </c>
      <c r="J178" t="e">
        <f>VLOOKUP(B178,baru!$B$2:$I$2271,4,FALSE)</f>
        <v>#N/A</v>
      </c>
      <c r="K178" t="e">
        <f>VLOOKUP(B178,baru!$B$2:$I$2271,5,FALSE)</f>
        <v>#N/A</v>
      </c>
      <c r="L178" t="e">
        <f>VLOOKUP(B178,baru!$B$2:$I$2271,6,FALSE)</f>
        <v>#N/A</v>
      </c>
    </row>
    <row r="179" spans="1:12" x14ac:dyDescent="0.35">
      <c r="A179" s="13">
        <v>1942484</v>
      </c>
      <c r="B179" s="14" t="str">
        <f>"3328130707940004"</f>
        <v>3328130707940004</v>
      </c>
      <c r="C179" s="14" t="s">
        <v>4431</v>
      </c>
      <c r="D179" s="14" t="s">
        <v>189</v>
      </c>
      <c r="E179" s="14" t="s">
        <v>11</v>
      </c>
      <c r="F179" s="14" t="s">
        <v>18</v>
      </c>
      <c r="G179" s="14" t="s">
        <v>19</v>
      </c>
      <c r="H179" s="14" t="s">
        <v>4290</v>
      </c>
      <c r="I179" s="15" t="s">
        <v>4329</v>
      </c>
      <c r="J179" s="16" t="str">
        <f>VLOOKUP(B179,baru!$B$2:$I$2271,4,FALSE)</f>
        <v>Reguler</v>
      </c>
      <c r="K179" s="16" t="str">
        <f>VLOOKUP(B179,baru!$B$2:$I$2271,5,FALSE)</f>
        <v>JAWA TENGAH</v>
      </c>
      <c r="L179" s="16" t="str">
        <f>VLOOKUP(B179,baru!$B$2:$I$2271,6,FALSE)</f>
        <v>BREBES</v>
      </c>
    </row>
    <row r="180" spans="1:12" x14ac:dyDescent="0.35">
      <c r="A180" s="13">
        <v>1892666</v>
      </c>
      <c r="B180" s="14" t="str">
        <f>"3328131409010003"</f>
        <v>3328131409010003</v>
      </c>
      <c r="C180" s="14" t="s">
        <v>4459</v>
      </c>
      <c r="D180" s="14" t="s">
        <v>189</v>
      </c>
      <c r="E180" s="14" t="s">
        <v>11</v>
      </c>
      <c r="F180" s="14" t="s">
        <v>18</v>
      </c>
      <c r="G180" s="14" t="s">
        <v>19</v>
      </c>
      <c r="H180" s="14" t="s">
        <v>4290</v>
      </c>
      <c r="I180" s="15" t="s">
        <v>4315</v>
      </c>
      <c r="J180" s="16" t="str">
        <f>VLOOKUP(B180,baru!$B$2:$I$2271,4,FALSE)</f>
        <v>Reguler</v>
      </c>
      <c r="K180" s="16" t="str">
        <f>VLOOKUP(B180,baru!$B$2:$I$2271,5,FALSE)</f>
        <v>JAWA BARAT</v>
      </c>
      <c r="L180" s="16" t="str">
        <f>VLOOKUP(B180,baru!$B$2:$I$2271,6,FALSE)</f>
        <v>KUNINGAN</v>
      </c>
    </row>
    <row r="181" spans="1:12" x14ac:dyDescent="0.35">
      <c r="A181" s="13">
        <v>1901962</v>
      </c>
      <c r="B181" s="14" t="str">
        <f>"3328132203000001"</f>
        <v>3328132203000001</v>
      </c>
      <c r="C181" s="14" t="s">
        <v>4494</v>
      </c>
      <c r="D181" s="14" t="s">
        <v>189</v>
      </c>
      <c r="E181" s="14" t="s">
        <v>11</v>
      </c>
      <c r="F181" s="14" t="s">
        <v>18</v>
      </c>
      <c r="G181" s="14" t="s">
        <v>19</v>
      </c>
      <c r="H181" s="14" t="s">
        <v>4290</v>
      </c>
      <c r="I181" s="15" t="s">
        <v>4358</v>
      </c>
      <c r="J181" s="16" t="str">
        <f>VLOOKUP(B181,baru!$B$2:$I$2271,4,FALSE)</f>
        <v>Reguler</v>
      </c>
      <c r="K181" s="16" t="str">
        <f>VLOOKUP(B181,baru!$B$2:$I$2271,5,FALSE)</f>
        <v>JAWA TENGAH</v>
      </c>
      <c r="L181" s="16" t="str">
        <f>VLOOKUP(B181,baru!$B$2:$I$2271,6,FALSE)</f>
        <v>KOTA TEGAL</v>
      </c>
    </row>
    <row r="182" spans="1:12" x14ac:dyDescent="0.35">
      <c r="A182" s="13">
        <v>1844237</v>
      </c>
      <c r="B182" s="14" t="str">
        <f>"3328133101890004"</f>
        <v>3328133101890004</v>
      </c>
      <c r="C182" s="14" t="s">
        <v>4529</v>
      </c>
      <c r="D182" s="14" t="s">
        <v>189</v>
      </c>
      <c r="E182" s="14" t="s">
        <v>11</v>
      </c>
      <c r="F182" s="14" t="s">
        <v>18</v>
      </c>
      <c r="G182" s="14" t="s">
        <v>19</v>
      </c>
      <c r="H182" s="14" t="s">
        <v>4290</v>
      </c>
      <c r="I182" s="15" t="s">
        <v>4318</v>
      </c>
      <c r="J182" s="16" t="str">
        <f>VLOOKUP(B182,baru!$B$2:$I$2271,4,FALSE)</f>
        <v>Reguler</v>
      </c>
      <c r="K182" s="16" t="str">
        <f>VLOOKUP(B182,baru!$B$2:$I$2271,5,FALSE)</f>
        <v>JAWA TENGAH</v>
      </c>
      <c r="L182" s="16" t="str">
        <f>VLOOKUP(B182,baru!$B$2:$I$2271,6,FALSE)</f>
        <v>PEMALANG</v>
      </c>
    </row>
    <row r="183" spans="1:12" x14ac:dyDescent="0.35">
      <c r="A183" s="13">
        <v>1843117</v>
      </c>
      <c r="B183" s="14" t="str">
        <f>"3328134401030002"</f>
        <v>3328134401030002</v>
      </c>
      <c r="C183" s="14" t="s">
        <v>4543</v>
      </c>
      <c r="D183" s="14" t="s">
        <v>189</v>
      </c>
      <c r="E183" s="14" t="s">
        <v>11</v>
      </c>
      <c r="F183" s="14" t="s">
        <v>18</v>
      </c>
      <c r="G183" s="14" t="s">
        <v>19</v>
      </c>
      <c r="H183" s="14" t="s">
        <v>4290</v>
      </c>
      <c r="I183" s="15" t="s">
        <v>4318</v>
      </c>
      <c r="J183" s="16" t="str">
        <f>VLOOKUP(B183,baru!$B$2:$I$2271,4,FALSE)</f>
        <v>Reguler</v>
      </c>
      <c r="K183" s="16" t="str">
        <f>VLOOKUP(B183,baru!$B$2:$I$2271,5,FALSE)</f>
        <v>JAWA TENGAH</v>
      </c>
      <c r="L183" s="16" t="str">
        <f>VLOOKUP(B183,baru!$B$2:$I$2271,6,FALSE)</f>
        <v>BREBES</v>
      </c>
    </row>
    <row r="184" spans="1:12" x14ac:dyDescent="0.35">
      <c r="A184" s="13">
        <v>1898979</v>
      </c>
      <c r="B184" s="14" t="str">
        <f>"3328135604980003"</f>
        <v>3328135604980003</v>
      </c>
      <c r="C184" s="14" t="s">
        <v>4584</v>
      </c>
      <c r="D184" s="14" t="s">
        <v>189</v>
      </c>
      <c r="E184" s="14" t="s">
        <v>11</v>
      </c>
      <c r="F184" s="14" t="s">
        <v>18</v>
      </c>
      <c r="G184" s="14" t="s">
        <v>19</v>
      </c>
      <c r="H184" s="14" t="s">
        <v>4290</v>
      </c>
      <c r="I184" s="15" t="s">
        <v>4358</v>
      </c>
      <c r="J184" s="16" t="str">
        <f>VLOOKUP(B184,baru!$B$2:$I$2271,4,FALSE)</f>
        <v>Reguler</v>
      </c>
      <c r="K184" s="16" t="str">
        <f>VLOOKUP(B184,baru!$B$2:$I$2271,5,FALSE)</f>
        <v>JAWA TENGAH</v>
      </c>
      <c r="L184" s="16" t="str">
        <f>VLOOKUP(B184,baru!$B$2:$I$2271,6,FALSE)</f>
        <v>KOTA TEGAL</v>
      </c>
    </row>
    <row r="185" spans="1:12" x14ac:dyDescent="0.35">
      <c r="A185" s="13">
        <v>1897528</v>
      </c>
      <c r="B185" s="14" t="str">
        <f>"3328136011910002"</f>
        <v>3328136011910002</v>
      </c>
      <c r="C185" s="14" t="s">
        <v>4605</v>
      </c>
      <c r="D185" s="14" t="s">
        <v>189</v>
      </c>
      <c r="E185" s="14" t="s">
        <v>11</v>
      </c>
      <c r="F185" s="14" t="s">
        <v>18</v>
      </c>
      <c r="G185" s="14" t="s">
        <v>19</v>
      </c>
      <c r="H185" s="14" t="s">
        <v>4290</v>
      </c>
      <c r="I185" s="15" t="s">
        <v>4606</v>
      </c>
      <c r="J185" s="16" t="str">
        <f>VLOOKUP(B185,baru!$B$2:$I$2271,4,FALSE)</f>
        <v>Reguler</v>
      </c>
      <c r="K185" s="16" t="str">
        <f>VLOOKUP(B185,baru!$B$2:$I$2271,5,FALSE)</f>
        <v>JAWA TENGAH</v>
      </c>
      <c r="L185" s="16" t="str">
        <f>VLOOKUP(B185,baru!$B$2:$I$2271,6,FALSE)</f>
        <v>BATANG</v>
      </c>
    </row>
    <row r="186" spans="1:12" x14ac:dyDescent="0.35">
      <c r="A186" s="13">
        <v>1898908</v>
      </c>
      <c r="B186" s="14" t="str">
        <f>"3328136812960004"</f>
        <v>3328136812960004</v>
      </c>
      <c r="C186" s="14" t="s">
        <v>4629</v>
      </c>
      <c r="D186" s="14" t="s">
        <v>189</v>
      </c>
      <c r="E186" s="14" t="s">
        <v>11</v>
      </c>
      <c r="F186" s="14" t="s">
        <v>18</v>
      </c>
      <c r="G186" s="14" t="s">
        <v>19</v>
      </c>
      <c r="H186" s="14" t="s">
        <v>4290</v>
      </c>
      <c r="I186" s="15" t="s">
        <v>4358</v>
      </c>
      <c r="J186" s="16" t="str">
        <f>VLOOKUP(B186,baru!$B$2:$I$2271,4,FALSE)</f>
        <v>Reguler</v>
      </c>
      <c r="K186" s="16" t="str">
        <f>VLOOKUP(B186,baru!$B$2:$I$2271,5,FALSE)</f>
        <v>JAWA TENGAH</v>
      </c>
      <c r="L186" s="16" t="str">
        <f>VLOOKUP(B186,baru!$B$2:$I$2271,6,FALSE)</f>
        <v>BREBES</v>
      </c>
    </row>
    <row r="187" spans="1:12" x14ac:dyDescent="0.35">
      <c r="A187" s="6">
        <v>274309</v>
      </c>
      <c r="B187" s="7" t="str">
        <f>"3376016710990002"</f>
        <v>3376016710990002</v>
      </c>
      <c r="C187" s="7" t="s">
        <v>4658</v>
      </c>
      <c r="D187" s="7" t="s">
        <v>189</v>
      </c>
      <c r="E187" s="7" t="s">
        <v>11</v>
      </c>
      <c r="F187" s="7" t="s">
        <v>18</v>
      </c>
      <c r="G187" s="7" t="s">
        <v>268</v>
      </c>
      <c r="H187" s="7" t="s">
        <v>277</v>
      </c>
      <c r="I187" s="8" t="s">
        <v>3326</v>
      </c>
    </row>
    <row r="188" spans="1:12" x14ac:dyDescent="0.35">
      <c r="A188" s="6">
        <v>365516</v>
      </c>
      <c r="B188" s="7" t="str">
        <f>"3376034301050001"</f>
        <v>3376034301050001</v>
      </c>
      <c r="C188" s="7" t="s">
        <v>4673</v>
      </c>
      <c r="D188" s="7" t="s">
        <v>189</v>
      </c>
      <c r="E188" s="7" t="s">
        <v>11</v>
      </c>
      <c r="F188" s="7" t="s">
        <v>18</v>
      </c>
      <c r="G188" s="7" t="s">
        <v>268</v>
      </c>
      <c r="H188" s="7" t="s">
        <v>269</v>
      </c>
      <c r="I188" s="8" t="s">
        <v>996</v>
      </c>
    </row>
    <row r="189" spans="1:12" x14ac:dyDescent="0.35">
      <c r="A189" s="6">
        <v>1874960</v>
      </c>
      <c r="B189" s="7" t="str">
        <f>"3175065807050008"</f>
        <v>3175065807050008</v>
      </c>
      <c r="C189" s="7" t="s">
        <v>4751</v>
      </c>
      <c r="D189" s="7" t="s">
        <v>189</v>
      </c>
      <c r="E189" s="7" t="s">
        <v>11</v>
      </c>
      <c r="F189" s="7" t="s">
        <v>18</v>
      </c>
      <c r="G189" s="7" t="s">
        <v>19</v>
      </c>
      <c r="H189" s="7" t="s">
        <v>3565</v>
      </c>
      <c r="I189" s="8" t="s">
        <v>4752</v>
      </c>
      <c r="J189" t="e">
        <f>VLOOKUP(B189,baru!$B$2:$I$2271,4,FALSE)</f>
        <v>#N/A</v>
      </c>
      <c r="K189" t="e">
        <f>VLOOKUP(B189,baru!$B$2:$I$2271,5,FALSE)</f>
        <v>#N/A</v>
      </c>
      <c r="L189" t="e">
        <f>VLOOKUP(B189,baru!$B$2:$I$2271,6,FALSE)</f>
        <v>#N/A</v>
      </c>
    </row>
    <row r="190" spans="1:12" x14ac:dyDescent="0.35">
      <c r="A190" s="13">
        <v>1891452</v>
      </c>
      <c r="B190" s="14" t="str">
        <f>"3211084803910011"</f>
        <v>3211084803910011</v>
      </c>
      <c r="C190" s="14" t="s">
        <v>4774</v>
      </c>
      <c r="D190" s="14" t="s">
        <v>189</v>
      </c>
      <c r="E190" s="14" t="s">
        <v>11</v>
      </c>
      <c r="F190" s="14" t="s">
        <v>18</v>
      </c>
      <c r="G190" s="14" t="s">
        <v>19</v>
      </c>
      <c r="H190" s="14" t="s">
        <v>3565</v>
      </c>
      <c r="I190" s="15" t="s">
        <v>4775</v>
      </c>
      <c r="J190" s="16" t="str">
        <f>VLOOKUP(B190,baru!$B$2:$I$2271,4,FALSE)</f>
        <v>Reguler</v>
      </c>
      <c r="K190" s="16" t="str">
        <f>VLOOKUP(B190,baru!$B$2:$I$2271,5,FALSE)</f>
        <v>JAWA BARAT</v>
      </c>
      <c r="L190" s="16" t="str">
        <f>VLOOKUP(B190,baru!$B$2:$I$2271,6,FALSE)</f>
        <v>SUMEDANG</v>
      </c>
    </row>
    <row r="191" spans="1:12" x14ac:dyDescent="0.35">
      <c r="A191" s="6">
        <v>82610</v>
      </c>
      <c r="B191" s="7" t="str">
        <f>"3314030311920001"</f>
        <v>3314030311920001</v>
      </c>
      <c r="C191" s="7" t="s">
        <v>4799</v>
      </c>
      <c r="D191" s="7" t="s">
        <v>189</v>
      </c>
      <c r="E191" s="7" t="s">
        <v>11</v>
      </c>
      <c r="F191" s="7" t="s">
        <v>18</v>
      </c>
      <c r="G191" s="7" t="s">
        <v>3495</v>
      </c>
      <c r="H191" s="7" t="s">
        <v>4800</v>
      </c>
      <c r="I191" s="8" t="s">
        <v>4801</v>
      </c>
    </row>
    <row r="192" spans="1:12" x14ac:dyDescent="0.35">
      <c r="A192" s="6">
        <v>1790935</v>
      </c>
      <c r="B192" s="7" t="str">
        <f>"3328095705930002"</f>
        <v>3328095705930002</v>
      </c>
      <c r="C192" s="7" t="s">
        <v>4807</v>
      </c>
      <c r="D192" s="7" t="s">
        <v>189</v>
      </c>
      <c r="E192" s="7" t="s">
        <v>11</v>
      </c>
      <c r="F192" s="7" t="s">
        <v>18</v>
      </c>
      <c r="G192" s="7" t="s">
        <v>19</v>
      </c>
      <c r="H192" s="7" t="s">
        <v>3565</v>
      </c>
      <c r="I192" s="8" t="s">
        <v>4769</v>
      </c>
      <c r="J192" t="e">
        <f>VLOOKUP(B192,baru!$B$2:$I$2271,4,FALSE)</f>
        <v>#N/A</v>
      </c>
      <c r="K192" t="e">
        <f>VLOOKUP(B192,baru!$B$2:$I$2271,5,FALSE)</f>
        <v>#N/A</v>
      </c>
      <c r="L192" t="e">
        <f>VLOOKUP(B192,baru!$B$2:$I$2271,6,FALSE)</f>
        <v>#N/A</v>
      </c>
    </row>
    <row r="193" spans="1:12" x14ac:dyDescent="0.35">
      <c r="A193" s="6">
        <v>1804331</v>
      </c>
      <c r="B193" s="7" t="str">
        <f>"3328140605020003"</f>
        <v>3328140605020003</v>
      </c>
      <c r="C193" s="7" t="s">
        <v>4826</v>
      </c>
      <c r="D193" s="7" t="s">
        <v>189</v>
      </c>
      <c r="E193" s="7" t="s">
        <v>11</v>
      </c>
      <c r="F193" s="7" t="s">
        <v>18</v>
      </c>
      <c r="G193" s="7" t="s">
        <v>19</v>
      </c>
      <c r="H193" s="7" t="s">
        <v>3565</v>
      </c>
      <c r="I193" s="8" t="s">
        <v>4697</v>
      </c>
      <c r="J193" t="e">
        <f>VLOOKUP(B193,baru!$B$2:$I$2271,4,FALSE)</f>
        <v>#N/A</v>
      </c>
      <c r="K193" t="e">
        <f>VLOOKUP(B193,baru!$B$2:$I$2271,5,FALSE)</f>
        <v>#N/A</v>
      </c>
      <c r="L193" t="e">
        <f>VLOOKUP(B193,baru!$B$2:$I$2271,6,FALSE)</f>
        <v>#N/A</v>
      </c>
    </row>
    <row r="194" spans="1:12" x14ac:dyDescent="0.35">
      <c r="A194" s="6">
        <v>1817896</v>
      </c>
      <c r="B194" s="7" t="str">
        <f>"3328141004060002"</f>
        <v>3328141004060002</v>
      </c>
      <c r="C194" s="7" t="s">
        <v>4837</v>
      </c>
      <c r="D194" s="7" t="s">
        <v>189</v>
      </c>
      <c r="E194" s="7" t="s">
        <v>11</v>
      </c>
      <c r="F194" s="7" t="s">
        <v>18</v>
      </c>
      <c r="G194" s="7" t="s">
        <v>19</v>
      </c>
      <c r="H194" s="7" t="s">
        <v>3565</v>
      </c>
      <c r="I194" s="8" t="s">
        <v>4697</v>
      </c>
      <c r="J194" t="e">
        <f>VLOOKUP(B194,baru!$B$2:$I$2271,4,FALSE)</f>
        <v>#N/A</v>
      </c>
      <c r="K194" t="e">
        <f>VLOOKUP(B194,baru!$B$2:$I$2271,5,FALSE)</f>
        <v>#N/A</v>
      </c>
      <c r="L194" t="e">
        <f>VLOOKUP(B194,baru!$B$2:$I$2271,6,FALSE)</f>
        <v>#N/A</v>
      </c>
    </row>
    <row r="195" spans="1:12" x14ac:dyDescent="0.35">
      <c r="A195" s="6">
        <v>1874759</v>
      </c>
      <c r="B195" s="7" t="str">
        <f>"3328141402940001"</f>
        <v>3328141402940001</v>
      </c>
      <c r="C195" s="7" t="s">
        <v>4845</v>
      </c>
      <c r="D195" s="7" t="s">
        <v>189</v>
      </c>
      <c r="E195" s="7" t="s">
        <v>11</v>
      </c>
      <c r="F195" s="7" t="s">
        <v>18</v>
      </c>
      <c r="G195" s="7" t="s">
        <v>19</v>
      </c>
      <c r="H195" s="7" t="s">
        <v>3565</v>
      </c>
      <c r="I195" s="8" t="s">
        <v>4752</v>
      </c>
      <c r="J195" t="e">
        <f>VLOOKUP(B195,baru!$B$2:$I$2271,4,FALSE)</f>
        <v>#N/A</v>
      </c>
      <c r="K195" t="e">
        <f>VLOOKUP(B195,baru!$B$2:$I$2271,5,FALSE)</f>
        <v>#N/A</v>
      </c>
      <c r="L195" t="e">
        <f>VLOOKUP(B195,baru!$B$2:$I$2271,6,FALSE)</f>
        <v>#N/A</v>
      </c>
    </row>
    <row r="196" spans="1:12" x14ac:dyDescent="0.35">
      <c r="A196" s="6">
        <v>1663455</v>
      </c>
      <c r="B196" s="7" t="str">
        <f>"3328141409050004"</f>
        <v>3328141409050004</v>
      </c>
      <c r="C196" s="7" t="s">
        <v>4847</v>
      </c>
      <c r="D196" s="7" t="s">
        <v>189</v>
      </c>
      <c r="E196" s="7" t="s">
        <v>11</v>
      </c>
      <c r="F196" s="7" t="s">
        <v>18</v>
      </c>
      <c r="G196" s="7" t="s">
        <v>19</v>
      </c>
      <c r="H196" s="7" t="s">
        <v>3565</v>
      </c>
      <c r="I196" s="8" t="s">
        <v>4708</v>
      </c>
      <c r="J196" t="e">
        <f>VLOOKUP(B196,baru!$B$2:$I$2271,4,FALSE)</f>
        <v>#N/A</v>
      </c>
      <c r="K196" t="e">
        <f>VLOOKUP(B196,baru!$B$2:$I$2271,5,FALSE)</f>
        <v>#N/A</v>
      </c>
      <c r="L196" t="e">
        <f>VLOOKUP(B196,baru!$B$2:$I$2271,6,FALSE)</f>
        <v>#N/A</v>
      </c>
    </row>
    <row r="197" spans="1:12" x14ac:dyDescent="0.35">
      <c r="A197" s="6">
        <v>1794040</v>
      </c>
      <c r="B197" s="7" t="str">
        <f>"3328142503980007"</f>
        <v>3328142503980007</v>
      </c>
      <c r="C197" s="7" t="s">
        <v>4854</v>
      </c>
      <c r="D197" s="7" t="s">
        <v>189</v>
      </c>
      <c r="E197" s="7" t="s">
        <v>11</v>
      </c>
      <c r="F197" s="7" t="s">
        <v>18</v>
      </c>
      <c r="G197" s="7" t="s">
        <v>19</v>
      </c>
      <c r="H197" s="7" t="s">
        <v>3565</v>
      </c>
      <c r="I197" s="8" t="s">
        <v>4769</v>
      </c>
      <c r="J197" t="e">
        <f>VLOOKUP(B197,baru!$B$2:$I$2271,4,FALSE)</f>
        <v>#N/A</v>
      </c>
      <c r="K197" t="e">
        <f>VLOOKUP(B197,baru!$B$2:$I$2271,5,FALSE)</f>
        <v>#N/A</v>
      </c>
      <c r="L197" t="e">
        <f>VLOOKUP(B197,baru!$B$2:$I$2271,6,FALSE)</f>
        <v>#N/A</v>
      </c>
    </row>
    <row r="198" spans="1:12" x14ac:dyDescent="0.35">
      <c r="A198" s="6">
        <v>1926834</v>
      </c>
      <c r="B198" s="7" t="str">
        <f>"3328143108060001"</f>
        <v>3328143108060001</v>
      </c>
      <c r="C198" s="7" t="s">
        <v>4871</v>
      </c>
      <c r="D198" s="7" t="s">
        <v>189</v>
      </c>
      <c r="E198" s="7" t="s">
        <v>11</v>
      </c>
      <c r="F198" s="7" t="s">
        <v>18</v>
      </c>
      <c r="G198" s="7" t="s">
        <v>19</v>
      </c>
      <c r="H198" s="7" t="s">
        <v>3565</v>
      </c>
      <c r="I198" s="8" t="s">
        <v>678</v>
      </c>
      <c r="J198" t="e">
        <f>VLOOKUP(B198,baru!$B$2:$I$2271,4,FALSE)</f>
        <v>#N/A</v>
      </c>
      <c r="K198" t="e">
        <f>VLOOKUP(B198,baru!$B$2:$I$2271,5,FALSE)</f>
        <v>#N/A</v>
      </c>
      <c r="L198" t="e">
        <f>VLOOKUP(B198,baru!$B$2:$I$2271,6,FALSE)</f>
        <v>#N/A</v>
      </c>
    </row>
    <row r="199" spans="1:12" x14ac:dyDescent="0.35">
      <c r="A199" s="6">
        <v>1792784</v>
      </c>
      <c r="B199" s="7" t="str">
        <f>"3328145504030005"</f>
        <v>3328145504030005</v>
      </c>
      <c r="C199" s="7" t="s">
        <v>4894</v>
      </c>
      <c r="D199" s="7" t="s">
        <v>189</v>
      </c>
      <c r="E199" s="7" t="s">
        <v>11</v>
      </c>
      <c r="F199" s="7" t="s">
        <v>18</v>
      </c>
      <c r="G199" s="7" t="s">
        <v>19</v>
      </c>
      <c r="H199" s="7" t="s">
        <v>3565</v>
      </c>
      <c r="I199" s="8" t="s">
        <v>4769</v>
      </c>
      <c r="J199" t="e">
        <f>VLOOKUP(B199,baru!$B$2:$I$2271,4,FALSE)</f>
        <v>#N/A</v>
      </c>
      <c r="K199" t="e">
        <f>VLOOKUP(B199,baru!$B$2:$I$2271,5,FALSE)</f>
        <v>#N/A</v>
      </c>
      <c r="L199" t="e">
        <f>VLOOKUP(B199,baru!$B$2:$I$2271,6,FALSE)</f>
        <v>#N/A</v>
      </c>
    </row>
    <row r="200" spans="1:12" x14ac:dyDescent="0.35">
      <c r="A200" s="6">
        <v>1795645</v>
      </c>
      <c r="B200" s="7" t="str">
        <f>"3329070402850005"</f>
        <v>3329070402850005</v>
      </c>
      <c r="C200" s="7" t="s">
        <v>4926</v>
      </c>
      <c r="D200" s="7" t="s">
        <v>189</v>
      </c>
      <c r="E200" s="7" t="s">
        <v>11</v>
      </c>
      <c r="F200" s="7" t="s">
        <v>18</v>
      </c>
      <c r="G200" s="7" t="s">
        <v>19</v>
      </c>
      <c r="H200" s="7" t="s">
        <v>3565</v>
      </c>
      <c r="I200" s="8" t="s">
        <v>4769</v>
      </c>
      <c r="J200" t="e">
        <f>VLOOKUP(B200,baru!$B$2:$I$2271,4,FALSE)</f>
        <v>#N/A</v>
      </c>
      <c r="K200" t="e">
        <f>VLOOKUP(B200,baru!$B$2:$I$2271,5,FALSE)</f>
        <v>#N/A</v>
      </c>
      <c r="L200" t="e">
        <f>VLOOKUP(B200,baru!$B$2:$I$2271,6,FALSE)</f>
        <v>#N/A</v>
      </c>
    </row>
    <row r="201" spans="1:12" x14ac:dyDescent="0.35">
      <c r="A201" s="6">
        <v>1727759</v>
      </c>
      <c r="B201" s="7" t="str">
        <f>"3374080903960003"</f>
        <v>3374080903960003</v>
      </c>
      <c r="C201" s="7" t="s">
        <v>4940</v>
      </c>
      <c r="D201" s="7" t="s">
        <v>189</v>
      </c>
      <c r="E201" s="7" t="s">
        <v>11</v>
      </c>
      <c r="F201" s="7" t="s">
        <v>18</v>
      </c>
      <c r="G201" s="7" t="s">
        <v>1438</v>
      </c>
      <c r="H201" s="7" t="s">
        <v>4941</v>
      </c>
      <c r="I201" s="8" t="s">
        <v>4942</v>
      </c>
    </row>
    <row r="202" spans="1:12" x14ac:dyDescent="0.35">
      <c r="A202" s="13">
        <v>1794108</v>
      </c>
      <c r="B202" s="14" t="str">
        <f>"3376013007920002"</f>
        <v>3376013007920002</v>
      </c>
      <c r="C202" s="14" t="s">
        <v>4944</v>
      </c>
      <c r="D202" s="14" t="s">
        <v>189</v>
      </c>
      <c r="E202" s="14" t="s">
        <v>11</v>
      </c>
      <c r="F202" s="14" t="s">
        <v>18</v>
      </c>
      <c r="G202" s="14" t="s">
        <v>19</v>
      </c>
      <c r="H202" s="14" t="s">
        <v>3565</v>
      </c>
      <c r="I202" s="15" t="s">
        <v>4769</v>
      </c>
      <c r="J202" s="16" t="str">
        <f>VLOOKUP(B202,baru!$B$2:$I$2271,4,FALSE)</f>
        <v>Reguler</v>
      </c>
      <c r="K202" s="16" t="str">
        <f>VLOOKUP(B202,baru!$B$2:$I$2271,5,FALSE)</f>
        <v>JAWA BARAT</v>
      </c>
      <c r="L202" s="16" t="str">
        <f>VLOOKUP(B202,baru!$B$2:$I$2271,6,FALSE)</f>
        <v>KARAWANG</v>
      </c>
    </row>
    <row r="203" spans="1:12" x14ac:dyDescent="0.35">
      <c r="A203" s="6">
        <v>308894</v>
      </c>
      <c r="B203" s="7" t="str">
        <f>"3376030706970001"</f>
        <v>3376030706970001</v>
      </c>
      <c r="C203" s="7" t="s">
        <v>4953</v>
      </c>
      <c r="D203" s="7" t="s">
        <v>189</v>
      </c>
      <c r="E203" s="7" t="s">
        <v>11</v>
      </c>
      <c r="F203" s="7" t="s">
        <v>18</v>
      </c>
      <c r="G203" s="7" t="s">
        <v>268</v>
      </c>
      <c r="H203" s="7" t="s">
        <v>269</v>
      </c>
      <c r="I203" s="8" t="s">
        <v>1398</v>
      </c>
    </row>
    <row r="204" spans="1:12" x14ac:dyDescent="0.35">
      <c r="A204" s="13">
        <v>1289751</v>
      </c>
      <c r="B204" s="14" t="str">
        <f>"3327075410940001"</f>
        <v>3327075410940001</v>
      </c>
      <c r="C204" s="14" t="s">
        <v>5024</v>
      </c>
      <c r="D204" s="14" t="s">
        <v>189</v>
      </c>
      <c r="E204" s="14" t="s">
        <v>11</v>
      </c>
      <c r="F204" s="14" t="s">
        <v>18</v>
      </c>
      <c r="G204" s="14" t="s">
        <v>19</v>
      </c>
      <c r="H204" s="14" t="s">
        <v>266</v>
      </c>
      <c r="I204" s="15" t="s">
        <v>4994</v>
      </c>
      <c r="J204" s="16" t="str">
        <f>VLOOKUP(B204,baru!$B$2:$I$2271,4,FALSE)</f>
        <v>Reguler</v>
      </c>
      <c r="K204" s="16" t="str">
        <f>VLOOKUP(B204,baru!$B$2:$I$2271,5,FALSE)</f>
        <v>JAWA TENGAH</v>
      </c>
      <c r="L204" s="16" t="str">
        <f>VLOOKUP(B204,baru!$B$2:$I$2271,6,FALSE)</f>
        <v>PEMALANG</v>
      </c>
    </row>
    <row r="205" spans="1:12" x14ac:dyDescent="0.35">
      <c r="A205" s="6">
        <v>1329522</v>
      </c>
      <c r="B205" s="7" t="str">
        <f>"3328150308830009"</f>
        <v>3328150308830009</v>
      </c>
      <c r="C205" s="7" t="s">
        <v>5049</v>
      </c>
      <c r="D205" s="7" t="s">
        <v>189</v>
      </c>
      <c r="E205" s="7" t="s">
        <v>11</v>
      </c>
      <c r="F205" s="7" t="s">
        <v>18</v>
      </c>
      <c r="G205" s="7" t="s">
        <v>19</v>
      </c>
      <c r="H205" s="7" t="s">
        <v>266</v>
      </c>
      <c r="I205" s="8" t="s">
        <v>5050</v>
      </c>
      <c r="J205" t="e">
        <f>VLOOKUP(B205,baru!$B$2:$I$2271,4,FALSE)</f>
        <v>#N/A</v>
      </c>
      <c r="K205" t="e">
        <f>VLOOKUP(B205,baru!$B$2:$I$2271,5,FALSE)</f>
        <v>#N/A</v>
      </c>
      <c r="L205" t="e">
        <f>VLOOKUP(B205,baru!$B$2:$I$2271,6,FALSE)</f>
        <v>#N/A</v>
      </c>
    </row>
    <row r="206" spans="1:12" x14ac:dyDescent="0.35">
      <c r="A206" s="6">
        <v>1419975</v>
      </c>
      <c r="B206" s="7" t="str">
        <f>"3328151512860009"</f>
        <v>3328151512860009</v>
      </c>
      <c r="C206" s="7" t="s">
        <v>5071</v>
      </c>
      <c r="D206" s="7" t="s">
        <v>189</v>
      </c>
      <c r="E206" s="7" t="s">
        <v>11</v>
      </c>
      <c r="F206" s="7" t="s">
        <v>18</v>
      </c>
      <c r="G206" s="7" t="s">
        <v>19</v>
      </c>
      <c r="H206" s="7" t="s">
        <v>266</v>
      </c>
      <c r="I206" s="8" t="s">
        <v>5072</v>
      </c>
      <c r="J206" t="e">
        <f>VLOOKUP(B206,baru!$B$2:$I$2271,4,FALSE)</f>
        <v>#N/A</v>
      </c>
      <c r="K206" t="e">
        <f>VLOOKUP(B206,baru!$B$2:$I$2271,5,FALSE)</f>
        <v>#N/A</v>
      </c>
      <c r="L206" t="e">
        <f>VLOOKUP(B206,baru!$B$2:$I$2271,6,FALSE)</f>
        <v>#N/A</v>
      </c>
    </row>
    <row r="207" spans="1:12" x14ac:dyDescent="0.35">
      <c r="A207" s="13">
        <v>1289750</v>
      </c>
      <c r="B207" s="14" t="str">
        <f>"3328151707880006"</f>
        <v>3328151707880006</v>
      </c>
      <c r="C207" s="14" t="s">
        <v>5076</v>
      </c>
      <c r="D207" s="14" t="s">
        <v>189</v>
      </c>
      <c r="E207" s="14" t="s">
        <v>11</v>
      </c>
      <c r="F207" s="14" t="s">
        <v>18</v>
      </c>
      <c r="G207" s="14" t="s">
        <v>19</v>
      </c>
      <c r="H207" s="14" t="s">
        <v>266</v>
      </c>
      <c r="I207" s="15" t="s">
        <v>4994</v>
      </c>
      <c r="J207" s="16" t="str">
        <f>VLOOKUP(B207,baru!$B$2:$I$2271,4,FALSE)</f>
        <v>Reguler</v>
      </c>
      <c r="K207" s="16" t="str">
        <f>VLOOKUP(B207,baru!$B$2:$I$2271,5,FALSE)</f>
        <v>JAWA TENGAH</v>
      </c>
      <c r="L207" s="16" t="str">
        <f>VLOOKUP(B207,baru!$B$2:$I$2271,6,FALSE)</f>
        <v>PEMALANG</v>
      </c>
    </row>
    <row r="208" spans="1:12" x14ac:dyDescent="0.35">
      <c r="A208" s="13">
        <v>1334676</v>
      </c>
      <c r="B208" s="14" t="str">
        <f>"3328152201950009"</f>
        <v>3328152201950009</v>
      </c>
      <c r="C208" s="14" t="s">
        <v>5089</v>
      </c>
      <c r="D208" s="14" t="s">
        <v>189</v>
      </c>
      <c r="E208" s="14" t="s">
        <v>11</v>
      </c>
      <c r="F208" s="14" t="s">
        <v>18</v>
      </c>
      <c r="G208" s="14" t="s">
        <v>19</v>
      </c>
      <c r="H208" s="14" t="s">
        <v>266</v>
      </c>
      <c r="I208" s="15" t="s">
        <v>5044</v>
      </c>
      <c r="J208" s="16" t="str">
        <f>VLOOKUP(B208,baru!$B$2:$I$2271,4,FALSE)</f>
        <v>Reguler</v>
      </c>
      <c r="K208" s="16" t="str">
        <f>VLOOKUP(B208,baru!$B$2:$I$2271,5,FALSE)</f>
        <v>JAWA TENGAH</v>
      </c>
      <c r="L208" s="16" t="str">
        <f>VLOOKUP(B208,baru!$B$2:$I$2271,6,FALSE)</f>
        <v>KOTA TEGAL</v>
      </c>
    </row>
    <row r="209" spans="1:12" x14ac:dyDescent="0.35">
      <c r="A209" s="6">
        <v>1291782</v>
      </c>
      <c r="B209" s="7" t="str">
        <f>"3328152407890006"</f>
        <v>3328152407890006</v>
      </c>
      <c r="C209" s="7" t="s">
        <v>1416</v>
      </c>
      <c r="D209" s="7" t="s">
        <v>189</v>
      </c>
      <c r="E209" s="7" t="s">
        <v>11</v>
      </c>
      <c r="F209" s="7" t="s">
        <v>18</v>
      </c>
      <c r="G209" s="7" t="s">
        <v>19</v>
      </c>
      <c r="H209" s="7" t="s">
        <v>266</v>
      </c>
      <c r="I209" s="8" t="s">
        <v>4990</v>
      </c>
      <c r="J209" t="e">
        <f>VLOOKUP(B209,baru!$B$2:$I$2271,4,FALSE)</f>
        <v>#N/A</v>
      </c>
      <c r="K209" t="e">
        <f>VLOOKUP(B209,baru!$B$2:$I$2271,5,FALSE)</f>
        <v>#N/A</v>
      </c>
      <c r="L209" t="e">
        <f>VLOOKUP(B209,baru!$B$2:$I$2271,6,FALSE)</f>
        <v>#N/A</v>
      </c>
    </row>
    <row r="210" spans="1:12" x14ac:dyDescent="0.35">
      <c r="A210" s="13">
        <v>1297605</v>
      </c>
      <c r="B210" s="14" t="str">
        <f>"3328155005870009"</f>
        <v>3328155005870009</v>
      </c>
      <c r="C210" s="14" t="s">
        <v>5119</v>
      </c>
      <c r="D210" s="14" t="s">
        <v>189</v>
      </c>
      <c r="E210" s="14" t="s">
        <v>11</v>
      </c>
      <c r="F210" s="14" t="s">
        <v>18</v>
      </c>
      <c r="G210" s="14" t="s">
        <v>19</v>
      </c>
      <c r="H210" s="14" t="s">
        <v>266</v>
      </c>
      <c r="I210" s="15" t="s">
        <v>5067</v>
      </c>
      <c r="J210" s="16" t="str">
        <f>VLOOKUP(B210,baru!$B$2:$I$2271,4,FALSE)</f>
        <v>Reguler</v>
      </c>
      <c r="K210" s="16" t="str">
        <f>VLOOKUP(B210,baru!$B$2:$I$2271,5,FALSE)</f>
        <v>JAWA TENGAH</v>
      </c>
      <c r="L210" s="16" t="str">
        <f>VLOOKUP(B210,baru!$B$2:$I$2271,6,FALSE)</f>
        <v>PATI</v>
      </c>
    </row>
    <row r="211" spans="1:12" x14ac:dyDescent="0.35">
      <c r="A211" s="6">
        <v>1227917</v>
      </c>
      <c r="B211" s="7" t="str">
        <f>"3329071109930002"</f>
        <v>3329071109930002</v>
      </c>
      <c r="C211" s="7" t="s">
        <v>5147</v>
      </c>
      <c r="D211" s="7" t="s">
        <v>189</v>
      </c>
      <c r="E211" s="7" t="s">
        <v>11</v>
      </c>
      <c r="F211" s="7" t="s">
        <v>18</v>
      </c>
      <c r="G211" s="7" t="s">
        <v>264</v>
      </c>
      <c r="H211" s="7" t="s">
        <v>265</v>
      </c>
      <c r="I211" s="8" t="s">
        <v>3935</v>
      </c>
    </row>
    <row r="212" spans="1:12" x14ac:dyDescent="0.35">
      <c r="A212" s="6">
        <v>1389668</v>
      </c>
      <c r="B212" s="7" t="str">
        <f>"3328160102070005"</f>
        <v>3328160102070005</v>
      </c>
      <c r="C212" s="7" t="s">
        <v>5290</v>
      </c>
      <c r="D212" s="7" t="s">
        <v>189</v>
      </c>
      <c r="E212" s="7" t="s">
        <v>11</v>
      </c>
      <c r="F212" s="7" t="s">
        <v>18</v>
      </c>
      <c r="G212" s="7" t="s">
        <v>19</v>
      </c>
      <c r="H212" s="7" t="s">
        <v>5207</v>
      </c>
      <c r="I212" s="8" t="s">
        <v>5217</v>
      </c>
      <c r="J212" t="e">
        <f>VLOOKUP(B212,baru!$B$2:$I$2271,4,FALSE)</f>
        <v>#N/A</v>
      </c>
      <c r="K212" t="e">
        <f>VLOOKUP(B212,baru!$B$2:$I$2271,5,FALSE)</f>
        <v>#N/A</v>
      </c>
      <c r="L212" t="e">
        <f>VLOOKUP(B212,baru!$B$2:$I$2271,6,FALSE)</f>
        <v>#N/A</v>
      </c>
    </row>
    <row r="213" spans="1:12" x14ac:dyDescent="0.35">
      <c r="A213" s="13">
        <v>1392437</v>
      </c>
      <c r="B213" s="14" t="str">
        <f>"3328161606960004"</f>
        <v>3328161606960004</v>
      </c>
      <c r="C213" s="14" t="s">
        <v>5305</v>
      </c>
      <c r="D213" s="14" t="s">
        <v>189</v>
      </c>
      <c r="E213" s="14" t="s">
        <v>11</v>
      </c>
      <c r="F213" s="14" t="s">
        <v>18</v>
      </c>
      <c r="G213" s="14" t="s">
        <v>19</v>
      </c>
      <c r="H213" s="14" t="s">
        <v>5207</v>
      </c>
      <c r="I213" s="15" t="s">
        <v>5217</v>
      </c>
      <c r="J213" s="16" t="str">
        <f>VLOOKUP(B213,baru!$B$2:$I$2271,4,FALSE)</f>
        <v>Reguler</v>
      </c>
      <c r="K213" s="16" t="str">
        <f>VLOOKUP(B213,baru!$B$2:$I$2271,5,FALSE)</f>
        <v>DAERAH ISTIMEWA YOGYAKARTA</v>
      </c>
      <c r="L213" s="16" t="str">
        <f>VLOOKUP(B213,baru!$B$2:$I$2271,6,FALSE)</f>
        <v>SLEMAN</v>
      </c>
    </row>
    <row r="214" spans="1:12" x14ac:dyDescent="0.35">
      <c r="A214" s="6">
        <v>1309307</v>
      </c>
      <c r="B214" s="7" t="str">
        <f>"3328165012900001"</f>
        <v>3328165012900001</v>
      </c>
      <c r="C214" s="7" t="s">
        <v>5343</v>
      </c>
      <c r="D214" s="7" t="s">
        <v>189</v>
      </c>
      <c r="E214" s="7" t="s">
        <v>11</v>
      </c>
      <c r="F214" s="7" t="s">
        <v>18</v>
      </c>
      <c r="G214" s="7" t="s">
        <v>19</v>
      </c>
      <c r="H214" s="7" t="s">
        <v>5207</v>
      </c>
      <c r="I214" s="8" t="s">
        <v>674</v>
      </c>
      <c r="J214" t="e">
        <f>VLOOKUP(B214,baru!$B$2:$I$2271,4,FALSE)</f>
        <v>#N/A</v>
      </c>
      <c r="K214" t="e">
        <f>VLOOKUP(B214,baru!$B$2:$I$2271,5,FALSE)</f>
        <v>#N/A</v>
      </c>
      <c r="L214" t="e">
        <f>VLOOKUP(B214,baru!$B$2:$I$2271,6,FALSE)</f>
        <v>#N/A</v>
      </c>
    </row>
    <row r="215" spans="1:12" x14ac:dyDescent="0.35">
      <c r="A215" s="13">
        <v>2079862</v>
      </c>
      <c r="B215" s="14" t="str">
        <f>"3328166806900001"</f>
        <v>3328166806900001</v>
      </c>
      <c r="C215" s="14" t="s">
        <v>4178</v>
      </c>
      <c r="D215" s="14" t="s">
        <v>189</v>
      </c>
      <c r="E215" s="14" t="s">
        <v>11</v>
      </c>
      <c r="F215" s="14" t="s">
        <v>18</v>
      </c>
      <c r="G215" s="14" t="s">
        <v>19</v>
      </c>
      <c r="H215" s="14" t="s">
        <v>5207</v>
      </c>
      <c r="I215" s="15" t="s">
        <v>1964</v>
      </c>
      <c r="J215" s="16" t="str">
        <f>VLOOKUP(B215,baru!$B$2:$I$2271,4,FALSE)</f>
        <v>Reguler</v>
      </c>
      <c r="K215" s="16" t="str">
        <f>VLOOKUP(B215,baru!$B$2:$I$2271,5,FALSE)</f>
        <v>JAWA BARAT</v>
      </c>
      <c r="L215" s="16" t="str">
        <f>VLOOKUP(B215,baru!$B$2:$I$2271,6,FALSE)</f>
        <v>KUNINGAN</v>
      </c>
    </row>
    <row r="216" spans="1:12" x14ac:dyDescent="0.35">
      <c r="A216" s="6">
        <v>2289029</v>
      </c>
      <c r="B216" s="7" t="str">
        <f>"3175061709721001"</f>
        <v>3175061709721001</v>
      </c>
      <c r="C216" s="7" t="s">
        <v>5423</v>
      </c>
      <c r="D216" s="7" t="s">
        <v>189</v>
      </c>
      <c r="E216" s="7" t="s">
        <v>11</v>
      </c>
      <c r="F216" s="7" t="s">
        <v>50</v>
      </c>
      <c r="G216" s="7" t="s">
        <v>58</v>
      </c>
      <c r="H216" s="7" t="s">
        <v>417</v>
      </c>
      <c r="I216" s="8" t="s">
        <v>418</v>
      </c>
    </row>
    <row r="217" spans="1:12" x14ac:dyDescent="0.35">
      <c r="A217" s="6">
        <v>1177288</v>
      </c>
      <c r="B217" s="7" t="str">
        <f>"3315047004940004"</f>
        <v>3315047004940004</v>
      </c>
      <c r="C217" s="7" t="s">
        <v>781</v>
      </c>
      <c r="D217" s="7" t="s">
        <v>189</v>
      </c>
      <c r="E217" s="7" t="s">
        <v>11</v>
      </c>
      <c r="F217" s="7" t="s">
        <v>18</v>
      </c>
      <c r="G217" s="7" t="s">
        <v>180</v>
      </c>
      <c r="H217" s="7" t="s">
        <v>5446</v>
      </c>
      <c r="I217" s="8" t="s">
        <v>1207</v>
      </c>
    </row>
    <row r="218" spans="1:12" x14ac:dyDescent="0.35">
      <c r="A218" s="6">
        <v>2543990</v>
      </c>
      <c r="B218" s="7" t="str">
        <f>"3327081707900086"</f>
        <v>3327081707900086</v>
      </c>
      <c r="C218" s="7" t="s">
        <v>5459</v>
      </c>
      <c r="D218" s="7" t="s">
        <v>189</v>
      </c>
      <c r="E218" s="7" t="s">
        <v>11</v>
      </c>
      <c r="F218" s="7" t="s">
        <v>18</v>
      </c>
      <c r="G218" s="7" t="s">
        <v>199</v>
      </c>
      <c r="H218" s="7" t="s">
        <v>199</v>
      </c>
      <c r="I218" s="8" t="s">
        <v>5460</v>
      </c>
    </row>
    <row r="219" spans="1:12" x14ac:dyDescent="0.35">
      <c r="A219" s="6">
        <v>277115</v>
      </c>
      <c r="B219" s="7" t="str">
        <f>"3328171012960005"</f>
        <v>3328171012960005</v>
      </c>
      <c r="C219" s="7" t="s">
        <v>5489</v>
      </c>
      <c r="D219" s="7" t="s">
        <v>189</v>
      </c>
      <c r="E219" s="7" t="s">
        <v>11</v>
      </c>
      <c r="F219" s="7" t="s">
        <v>18</v>
      </c>
      <c r="G219" s="7" t="s">
        <v>268</v>
      </c>
      <c r="H219" s="7" t="s">
        <v>277</v>
      </c>
      <c r="I219" s="8" t="s">
        <v>3243</v>
      </c>
    </row>
    <row r="220" spans="1:12" x14ac:dyDescent="0.35">
      <c r="A220" s="6">
        <v>1502448</v>
      </c>
      <c r="B220" s="7" t="str">
        <f>"3328171012960005"</f>
        <v>3328171012960005</v>
      </c>
      <c r="C220" s="7" t="s">
        <v>5489</v>
      </c>
      <c r="D220" s="7" t="s">
        <v>189</v>
      </c>
      <c r="E220" s="7" t="s">
        <v>11</v>
      </c>
      <c r="F220" s="7" t="s">
        <v>18</v>
      </c>
      <c r="G220" s="7" t="s">
        <v>19</v>
      </c>
      <c r="H220" s="7" t="s">
        <v>4754</v>
      </c>
      <c r="I220" s="8" t="s">
        <v>5481</v>
      </c>
      <c r="J220" t="e">
        <f>VLOOKUP(B220,baru!$B$2:$I$2271,4,FALSE)</f>
        <v>#N/A</v>
      </c>
      <c r="K220" t="e">
        <f>VLOOKUP(B220,baru!$B$2:$I$2271,5,FALSE)</f>
        <v>#N/A</v>
      </c>
      <c r="L220" t="e">
        <f>VLOOKUP(B220,baru!$B$2:$I$2271,6,FALSE)</f>
        <v>#N/A</v>
      </c>
    </row>
    <row r="221" spans="1:12" x14ac:dyDescent="0.35">
      <c r="A221" s="6">
        <v>1617161</v>
      </c>
      <c r="B221" s="7" t="str">
        <f>"3328171705060003"</f>
        <v>3328171705060003</v>
      </c>
      <c r="C221" s="7" t="s">
        <v>5504</v>
      </c>
      <c r="D221" s="7" t="s">
        <v>189</v>
      </c>
      <c r="E221" s="7" t="s">
        <v>11</v>
      </c>
      <c r="F221" s="7" t="s">
        <v>18</v>
      </c>
      <c r="G221" s="7" t="s">
        <v>19</v>
      </c>
      <c r="H221" s="7" t="s">
        <v>4754</v>
      </c>
      <c r="I221" s="8" t="s">
        <v>5421</v>
      </c>
      <c r="J221" t="e">
        <f>VLOOKUP(B221,baru!$B$2:$I$2271,4,FALSE)</f>
        <v>#N/A</v>
      </c>
      <c r="K221" t="e">
        <f>VLOOKUP(B221,baru!$B$2:$I$2271,5,FALSE)</f>
        <v>#N/A</v>
      </c>
      <c r="L221" t="e">
        <f>VLOOKUP(B221,baru!$B$2:$I$2271,6,FALSE)</f>
        <v>#N/A</v>
      </c>
    </row>
    <row r="222" spans="1:12" x14ac:dyDescent="0.35">
      <c r="A222" s="13">
        <v>1503369</v>
      </c>
      <c r="B222" s="14" t="str">
        <f>"3328172111940003"</f>
        <v>3328172111940003</v>
      </c>
      <c r="C222" s="14" t="s">
        <v>3659</v>
      </c>
      <c r="D222" s="14" t="s">
        <v>189</v>
      </c>
      <c r="E222" s="14" t="s">
        <v>11</v>
      </c>
      <c r="F222" s="14" t="s">
        <v>18</v>
      </c>
      <c r="G222" s="14" t="s">
        <v>19</v>
      </c>
      <c r="H222" s="14" t="s">
        <v>4754</v>
      </c>
      <c r="I222" s="15" t="s">
        <v>5481</v>
      </c>
      <c r="J222" s="16" t="str">
        <f>VLOOKUP(B222,baru!$B$2:$I$2271,4,FALSE)</f>
        <v>Reguler</v>
      </c>
      <c r="K222" s="16" t="str">
        <f>VLOOKUP(B222,baru!$B$2:$I$2271,5,FALSE)</f>
        <v>JAWA TENGAH</v>
      </c>
      <c r="L222" s="16" t="str">
        <f>VLOOKUP(B222,baru!$B$2:$I$2271,6,FALSE)</f>
        <v>PEMALANG</v>
      </c>
    </row>
    <row r="223" spans="1:12" x14ac:dyDescent="0.35">
      <c r="A223" s="13">
        <v>1501135</v>
      </c>
      <c r="B223" s="14" t="str">
        <f>"3328174705810007"</f>
        <v>3328174705810007</v>
      </c>
      <c r="C223" s="14" t="s">
        <v>5538</v>
      </c>
      <c r="D223" s="14" t="s">
        <v>189</v>
      </c>
      <c r="E223" s="14" t="s">
        <v>11</v>
      </c>
      <c r="F223" s="14" t="s">
        <v>18</v>
      </c>
      <c r="G223" s="14" t="s">
        <v>19</v>
      </c>
      <c r="H223" s="14" t="s">
        <v>4754</v>
      </c>
      <c r="I223" s="15" t="s">
        <v>4754</v>
      </c>
      <c r="J223" s="16" t="str">
        <f>VLOOKUP(B223,baru!$B$2:$I$2271,4,FALSE)</f>
        <v>Reguler</v>
      </c>
      <c r="K223" s="16" t="str">
        <f>VLOOKUP(B223,baru!$B$2:$I$2271,5,FALSE)</f>
        <v>DAERAH ISTIMEWA YOGYAKARTA</v>
      </c>
      <c r="L223" s="16" t="str">
        <f>VLOOKUP(B223,baru!$B$2:$I$2271,6,FALSE)</f>
        <v>BANTUL</v>
      </c>
    </row>
    <row r="224" spans="1:12" x14ac:dyDescent="0.35">
      <c r="A224" s="13">
        <v>1544100</v>
      </c>
      <c r="B224" s="14" t="str">
        <f>"3328176009970007"</f>
        <v>3328176009970007</v>
      </c>
      <c r="C224" s="14" t="s">
        <v>5549</v>
      </c>
      <c r="D224" s="14" t="s">
        <v>189</v>
      </c>
      <c r="E224" s="14" t="s">
        <v>11</v>
      </c>
      <c r="F224" s="14" t="s">
        <v>18</v>
      </c>
      <c r="G224" s="14" t="s">
        <v>19</v>
      </c>
      <c r="H224" s="14" t="s">
        <v>4754</v>
      </c>
      <c r="I224" s="15" t="s">
        <v>3958</v>
      </c>
      <c r="J224" s="16" t="str">
        <f>VLOOKUP(B224,baru!$B$2:$I$2271,4,FALSE)</f>
        <v>Reguler</v>
      </c>
      <c r="K224" s="16" t="str">
        <f>VLOOKUP(B224,baru!$B$2:$I$2271,5,FALSE)</f>
        <v>JAWA TENGAH</v>
      </c>
      <c r="L224" s="16" t="str">
        <f>VLOOKUP(B224,baru!$B$2:$I$2271,6,FALSE)</f>
        <v>PEKALONGAN</v>
      </c>
    </row>
    <row r="225" spans="1:12" x14ac:dyDescent="0.35">
      <c r="A225" s="6">
        <v>1006969</v>
      </c>
      <c r="B225" s="7" t="str">
        <f>"3329081205890006"</f>
        <v>3329081205890006</v>
      </c>
      <c r="C225" s="7" t="s">
        <v>5563</v>
      </c>
      <c r="D225" s="7" t="s">
        <v>189</v>
      </c>
      <c r="E225" s="7" t="s">
        <v>11</v>
      </c>
      <c r="F225" s="7" t="s">
        <v>18</v>
      </c>
      <c r="G225" s="7" t="s">
        <v>264</v>
      </c>
      <c r="H225" s="7" t="s">
        <v>248</v>
      </c>
      <c r="I225" s="8" t="s">
        <v>2689</v>
      </c>
    </row>
    <row r="226" spans="1:12" x14ac:dyDescent="0.35">
      <c r="A226" s="6">
        <v>433392</v>
      </c>
      <c r="B226" s="7" t="str">
        <f>"3302154504940001"</f>
        <v>3302154504940001</v>
      </c>
      <c r="C226" s="7" t="s">
        <v>5640</v>
      </c>
      <c r="D226" s="7" t="s">
        <v>189</v>
      </c>
      <c r="E226" s="7" t="s">
        <v>11</v>
      </c>
      <c r="F226" s="7" t="s">
        <v>18</v>
      </c>
      <c r="G226" s="7" t="s">
        <v>167</v>
      </c>
      <c r="H226" s="7" t="s">
        <v>5330</v>
      </c>
      <c r="I226" s="8" t="s">
        <v>5641</v>
      </c>
    </row>
    <row r="227" spans="1:12" x14ac:dyDescent="0.35">
      <c r="A227" s="6">
        <v>1293847</v>
      </c>
      <c r="B227" s="7" t="str">
        <f>"3324050101880003"</f>
        <v>3324050101880003</v>
      </c>
      <c r="C227" s="7" t="s">
        <v>5646</v>
      </c>
      <c r="D227" s="7" t="s">
        <v>189</v>
      </c>
      <c r="E227" s="7" t="s">
        <v>11</v>
      </c>
      <c r="F227" s="7" t="s">
        <v>18</v>
      </c>
      <c r="G227" s="7" t="s">
        <v>184</v>
      </c>
      <c r="H227" s="7" t="s">
        <v>5647</v>
      </c>
      <c r="I227" s="8" t="s">
        <v>5648</v>
      </c>
    </row>
    <row r="228" spans="1:12" x14ac:dyDescent="0.35">
      <c r="A228" s="6">
        <v>1985562</v>
      </c>
      <c r="B228" s="7" t="str">
        <f>"3327102801770065"</f>
        <v>3327102801770065</v>
      </c>
      <c r="C228" s="7" t="s">
        <v>5418</v>
      </c>
      <c r="D228" s="7" t="s">
        <v>189</v>
      </c>
      <c r="E228" s="7" t="s">
        <v>11</v>
      </c>
      <c r="F228" s="7" t="s">
        <v>18</v>
      </c>
      <c r="G228" s="7" t="s">
        <v>19</v>
      </c>
      <c r="H228" s="7" t="s">
        <v>5581</v>
      </c>
      <c r="I228" s="8" t="s">
        <v>5653</v>
      </c>
      <c r="J228" t="e">
        <f>VLOOKUP(B228,baru!$B$2:$I$2271,4,FALSE)</f>
        <v>#N/A</v>
      </c>
      <c r="K228" t="e">
        <f>VLOOKUP(B228,baru!$B$2:$I$2271,5,FALSE)</f>
        <v>#N/A</v>
      </c>
      <c r="L228" t="e">
        <f>VLOOKUP(B228,baru!$B$2:$I$2271,6,FALSE)</f>
        <v>#N/A</v>
      </c>
    </row>
    <row r="229" spans="1:12" x14ac:dyDescent="0.35">
      <c r="A229" s="13">
        <v>1980088</v>
      </c>
      <c r="B229" s="14" t="str">
        <f>"3328181006780002"</f>
        <v>3328181006780002</v>
      </c>
      <c r="C229" s="14" t="s">
        <v>1490</v>
      </c>
      <c r="D229" s="14" t="s">
        <v>189</v>
      </c>
      <c r="E229" s="14" t="s">
        <v>11</v>
      </c>
      <c r="F229" s="14" t="s">
        <v>18</v>
      </c>
      <c r="G229" s="14" t="s">
        <v>19</v>
      </c>
      <c r="H229" s="14" t="s">
        <v>5581</v>
      </c>
      <c r="I229" s="15" t="s">
        <v>5589</v>
      </c>
      <c r="J229" s="16" t="str">
        <f>VLOOKUP(B229,baru!$B$2:$I$2271,4,FALSE)</f>
        <v>Reguler</v>
      </c>
      <c r="K229" s="16" t="str">
        <f>VLOOKUP(B229,baru!$B$2:$I$2271,5,FALSE)</f>
        <v>JAWA TENGAH</v>
      </c>
      <c r="L229" s="16" t="str">
        <f>VLOOKUP(B229,baru!$B$2:$I$2271,6,FALSE)</f>
        <v>KOTA TEGAL</v>
      </c>
    </row>
    <row r="230" spans="1:12" x14ac:dyDescent="0.35">
      <c r="A230" s="13">
        <v>1971545</v>
      </c>
      <c r="B230" s="14" t="str">
        <f>"3328185307960004"</f>
        <v>3328185307960004</v>
      </c>
      <c r="C230" s="14" t="s">
        <v>5729</v>
      </c>
      <c r="D230" s="14" t="s">
        <v>189</v>
      </c>
      <c r="E230" s="14" t="s">
        <v>11</v>
      </c>
      <c r="F230" s="14" t="s">
        <v>18</v>
      </c>
      <c r="G230" s="14" t="s">
        <v>19</v>
      </c>
      <c r="H230" s="14" t="s">
        <v>5581</v>
      </c>
      <c r="I230" s="15" t="s">
        <v>5582</v>
      </c>
      <c r="J230" s="16" t="str">
        <f>VLOOKUP(B230,baru!$B$2:$I$2271,4,FALSE)</f>
        <v>Reguler</v>
      </c>
      <c r="K230" s="16" t="str">
        <f>VLOOKUP(B230,baru!$B$2:$I$2271,5,FALSE)</f>
        <v>JAWA TENGAH</v>
      </c>
      <c r="L230" s="16" t="str">
        <f>VLOOKUP(B230,baru!$B$2:$I$2271,6,FALSE)</f>
        <v>BREBES</v>
      </c>
    </row>
    <row r="231" spans="1:12" x14ac:dyDescent="0.35">
      <c r="A231" s="6">
        <v>1961962</v>
      </c>
      <c r="B231" s="7" t="str">
        <f>"3328186702060003"</f>
        <v>3328186702060003</v>
      </c>
      <c r="C231" s="7" t="s">
        <v>5742</v>
      </c>
      <c r="D231" s="7" t="s">
        <v>189</v>
      </c>
      <c r="E231" s="7" t="s">
        <v>11</v>
      </c>
      <c r="F231" s="7" t="s">
        <v>18</v>
      </c>
      <c r="G231" s="7" t="s">
        <v>19</v>
      </c>
      <c r="H231" s="7" t="s">
        <v>5581</v>
      </c>
      <c r="I231" s="8" t="s">
        <v>5593</v>
      </c>
      <c r="J231" t="e">
        <f>VLOOKUP(B231,baru!$B$2:$I$2271,4,FALSE)</f>
        <v>#N/A</v>
      </c>
      <c r="K231" t="e">
        <f>VLOOKUP(B231,baru!$B$2:$I$2271,5,FALSE)</f>
        <v>#N/A</v>
      </c>
      <c r="L231" t="e">
        <f>VLOOKUP(B231,baru!$B$2:$I$2271,6,FALSE)</f>
        <v>#N/A</v>
      </c>
    </row>
    <row r="232" spans="1:12" x14ac:dyDescent="0.35">
      <c r="A232" s="6">
        <v>247819</v>
      </c>
      <c r="B232" s="7" t="str">
        <f>"3329064607980002"</f>
        <v>3329064607980002</v>
      </c>
      <c r="C232" s="7" t="s">
        <v>5749</v>
      </c>
      <c r="D232" s="7" t="s">
        <v>189</v>
      </c>
      <c r="E232" s="7" t="s">
        <v>11</v>
      </c>
      <c r="F232" s="7" t="s">
        <v>18</v>
      </c>
      <c r="G232" s="7" t="s">
        <v>264</v>
      </c>
      <c r="H232" s="7" t="s">
        <v>468</v>
      </c>
      <c r="I232" s="8" t="s">
        <v>861</v>
      </c>
    </row>
    <row r="233" spans="1:12" x14ac:dyDescent="0.35">
      <c r="A233" s="6">
        <v>834815</v>
      </c>
      <c r="B233" s="7" t="str">
        <f>"3329095605990009"</f>
        <v>3329095605990009</v>
      </c>
      <c r="C233" s="7" t="s">
        <v>5771</v>
      </c>
      <c r="D233" s="7" t="s">
        <v>189</v>
      </c>
      <c r="E233" s="7" t="s">
        <v>11</v>
      </c>
      <c r="F233" s="7" t="s">
        <v>18</v>
      </c>
      <c r="G233" s="7" t="s">
        <v>264</v>
      </c>
      <c r="H233" s="7" t="s">
        <v>264</v>
      </c>
      <c r="I233" s="8" t="s">
        <v>264</v>
      </c>
    </row>
    <row r="234" spans="1:12" x14ac:dyDescent="0.35">
      <c r="A234" s="13">
        <v>1967491</v>
      </c>
      <c r="B234" s="14" t="str">
        <f>"3375014308060004"</f>
        <v>3375014308060004</v>
      </c>
      <c r="C234" s="14" t="s">
        <v>5781</v>
      </c>
      <c r="D234" s="14" t="s">
        <v>189</v>
      </c>
      <c r="E234" s="14" t="s">
        <v>11</v>
      </c>
      <c r="F234" s="14" t="s">
        <v>18</v>
      </c>
      <c r="G234" s="14" t="s">
        <v>19</v>
      </c>
      <c r="H234" s="14" t="s">
        <v>5581</v>
      </c>
      <c r="I234" s="15" t="s">
        <v>5599</v>
      </c>
      <c r="J234" s="16" t="str">
        <f>VLOOKUP(B234,baru!$B$2:$I$2271,4,FALSE)</f>
        <v>Reguler</v>
      </c>
      <c r="K234" s="16" t="str">
        <f>VLOOKUP(B234,baru!$B$2:$I$2271,5,FALSE)</f>
        <v>JAWA TENGAH</v>
      </c>
      <c r="L234" s="16" t="str">
        <f>VLOOKUP(B234,baru!$B$2:$I$2271,6,FALSE)</f>
        <v>KOTA PEKALONGAN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F8436-AF80-4AC8-8EFD-6FD94CDFB578}">
  <dimension ref="A1:I2271"/>
  <sheetViews>
    <sheetView tabSelected="1" topLeftCell="D2232" workbookViewId="0">
      <selection activeCell="E2264" sqref="E2264"/>
    </sheetView>
  </sheetViews>
  <sheetFormatPr defaultRowHeight="14.5" x14ac:dyDescent="0.35"/>
  <cols>
    <col min="1" max="1" width="9" bestFit="1" customWidth="1"/>
    <col min="2" max="2" width="15.453125" bestFit="1" customWidth="1"/>
    <col min="3" max="3" width="52.81640625" bestFit="1" customWidth="1"/>
    <col min="4" max="4" width="10.08984375" bestFit="1" customWidth="1"/>
    <col min="5" max="5" width="12.7265625" bestFit="1" customWidth="1"/>
    <col min="6" max="6" width="26.453125" bestFit="1" customWidth="1"/>
    <col min="7" max="7" width="26" bestFit="1" customWidth="1"/>
    <col min="8" max="8" width="20.7265625" bestFit="1" customWidth="1"/>
    <col min="9" max="9" width="26.90625" bestFit="1" customWidth="1"/>
  </cols>
  <sheetData>
    <row r="1" spans="1:9" x14ac:dyDescent="0.3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</row>
    <row r="2" spans="1:9" x14ac:dyDescent="0.35">
      <c r="A2" s="6">
        <v>2519824</v>
      </c>
      <c r="B2" s="7" t="str">
        <f>"1302082409780002"</f>
        <v>1302082409780002</v>
      </c>
      <c r="C2" s="7" t="s">
        <v>16</v>
      </c>
      <c r="D2" s="7" t="s">
        <v>17</v>
      </c>
      <c r="E2" s="7" t="s">
        <v>11</v>
      </c>
      <c r="F2" s="7" t="s">
        <v>18</v>
      </c>
      <c r="G2" s="7" t="s">
        <v>19</v>
      </c>
      <c r="H2" s="7" t="s">
        <v>20</v>
      </c>
      <c r="I2" s="8" t="s">
        <v>21</v>
      </c>
    </row>
    <row r="3" spans="1:9" x14ac:dyDescent="0.35">
      <c r="A3" s="6">
        <v>335779</v>
      </c>
      <c r="B3" s="7" t="str">
        <f>"1505021401740001"</f>
        <v>1505021401740001</v>
      </c>
      <c r="C3" s="7" t="s">
        <v>22</v>
      </c>
      <c r="D3" s="7" t="s">
        <v>17</v>
      </c>
      <c r="E3" s="7" t="s">
        <v>11</v>
      </c>
      <c r="F3" s="7" t="s">
        <v>24</v>
      </c>
      <c r="G3" s="7" t="s">
        <v>25</v>
      </c>
      <c r="H3" s="7" t="s">
        <v>26</v>
      </c>
      <c r="I3" s="8" t="s">
        <v>27</v>
      </c>
    </row>
    <row r="4" spans="1:9" x14ac:dyDescent="0.35">
      <c r="A4" s="6">
        <v>335746</v>
      </c>
      <c r="B4" s="7" t="str">
        <f>"1505022105040003"</f>
        <v>1505022105040003</v>
      </c>
      <c r="C4" s="7" t="s">
        <v>29</v>
      </c>
      <c r="D4" s="7" t="s">
        <v>17</v>
      </c>
      <c r="E4" s="7" t="s">
        <v>11</v>
      </c>
      <c r="F4" s="7" t="s">
        <v>24</v>
      </c>
      <c r="G4" s="7" t="s">
        <v>25</v>
      </c>
      <c r="H4" s="7" t="s">
        <v>26</v>
      </c>
      <c r="I4" s="8" t="s">
        <v>27</v>
      </c>
    </row>
    <row r="5" spans="1:9" x14ac:dyDescent="0.35">
      <c r="A5" s="6">
        <v>335736</v>
      </c>
      <c r="B5" s="7" t="str">
        <f>"1505024409770002"</f>
        <v>1505024409770002</v>
      </c>
      <c r="C5" s="7" t="s">
        <v>31</v>
      </c>
      <c r="D5" s="7" t="s">
        <v>17</v>
      </c>
      <c r="E5" s="7" t="s">
        <v>11</v>
      </c>
      <c r="F5" s="7" t="s">
        <v>24</v>
      </c>
      <c r="G5" s="7" t="s">
        <v>25</v>
      </c>
      <c r="H5" s="7" t="s">
        <v>26</v>
      </c>
      <c r="I5" s="8" t="s">
        <v>27</v>
      </c>
    </row>
    <row r="6" spans="1:9" x14ac:dyDescent="0.35">
      <c r="A6" s="6">
        <v>2520319</v>
      </c>
      <c r="B6" s="7" t="str">
        <f>"1608021512920001"</f>
        <v>1608021512920001</v>
      </c>
      <c r="C6" s="7" t="s">
        <v>32</v>
      </c>
      <c r="D6" s="7" t="s">
        <v>17</v>
      </c>
      <c r="E6" s="7" t="s">
        <v>11</v>
      </c>
      <c r="F6" s="7" t="s">
        <v>18</v>
      </c>
      <c r="G6" s="7" t="s">
        <v>19</v>
      </c>
      <c r="H6" s="7" t="s">
        <v>20</v>
      </c>
      <c r="I6" s="8" t="s">
        <v>37</v>
      </c>
    </row>
    <row r="7" spans="1:9" x14ac:dyDescent="0.35">
      <c r="A7" s="6">
        <v>2520081</v>
      </c>
      <c r="B7" s="7" t="str">
        <f>"1611014403990002"</f>
        <v>1611014403990002</v>
      </c>
      <c r="C7" s="7" t="s">
        <v>42</v>
      </c>
      <c r="D7" s="7" t="s">
        <v>17</v>
      </c>
      <c r="E7" s="7" t="s">
        <v>11</v>
      </c>
      <c r="F7" s="7" t="s">
        <v>18</v>
      </c>
      <c r="G7" s="7" t="s">
        <v>19</v>
      </c>
      <c r="H7" s="7" t="s">
        <v>20</v>
      </c>
      <c r="I7" s="8" t="s">
        <v>21</v>
      </c>
    </row>
    <row r="8" spans="1:9" x14ac:dyDescent="0.35">
      <c r="A8" s="6">
        <v>2520732</v>
      </c>
      <c r="B8" s="7" t="str">
        <f>"1806040804030001"</f>
        <v>1806040804030001</v>
      </c>
      <c r="C8" s="7" t="s">
        <v>43</v>
      </c>
      <c r="D8" s="7" t="s">
        <v>17</v>
      </c>
      <c r="E8" s="7" t="s">
        <v>11</v>
      </c>
      <c r="F8" s="7" t="s">
        <v>18</v>
      </c>
      <c r="G8" s="7" t="s">
        <v>19</v>
      </c>
      <c r="H8" s="7" t="s">
        <v>20</v>
      </c>
      <c r="I8" s="8" t="s">
        <v>48</v>
      </c>
    </row>
    <row r="9" spans="1:9" x14ac:dyDescent="0.35">
      <c r="A9" s="6">
        <v>2572908</v>
      </c>
      <c r="B9" s="7" t="str">
        <f>"3172012309780004"</f>
        <v>3172012309780004</v>
      </c>
      <c r="C9" s="7" t="s">
        <v>49</v>
      </c>
      <c r="D9" s="7" t="s">
        <v>17</v>
      </c>
      <c r="E9" s="7" t="s">
        <v>11</v>
      </c>
      <c r="F9" s="7" t="s">
        <v>18</v>
      </c>
      <c r="G9" s="7" t="s">
        <v>19</v>
      </c>
      <c r="H9" s="7" t="s">
        <v>20</v>
      </c>
      <c r="I9" s="8" t="s">
        <v>53</v>
      </c>
    </row>
    <row r="10" spans="1:9" x14ac:dyDescent="0.35">
      <c r="A10" s="6">
        <v>2519451</v>
      </c>
      <c r="B10" s="7" t="str">
        <f>"3172025406860006"</f>
        <v>3172025406860006</v>
      </c>
      <c r="C10" s="7" t="s">
        <v>64</v>
      </c>
      <c r="D10" s="7" t="s">
        <v>17</v>
      </c>
      <c r="E10" s="7" t="s">
        <v>11</v>
      </c>
      <c r="F10" s="7" t="s">
        <v>18</v>
      </c>
      <c r="G10" s="7" t="s">
        <v>19</v>
      </c>
      <c r="H10" s="7" t="s">
        <v>20</v>
      </c>
      <c r="I10" s="8" t="s">
        <v>65</v>
      </c>
    </row>
    <row r="11" spans="1:9" x14ac:dyDescent="0.35">
      <c r="A11" s="6">
        <v>2520310</v>
      </c>
      <c r="B11" s="7" t="str">
        <f>"3172032506861001"</f>
        <v>3172032506861001</v>
      </c>
      <c r="C11" s="7" t="s">
        <v>70</v>
      </c>
      <c r="D11" s="7" t="s">
        <v>17</v>
      </c>
      <c r="E11" s="7" t="s">
        <v>11</v>
      </c>
      <c r="F11" s="7" t="s">
        <v>18</v>
      </c>
      <c r="G11" s="7" t="s">
        <v>19</v>
      </c>
      <c r="H11" s="7" t="s">
        <v>20</v>
      </c>
      <c r="I11" s="8" t="s">
        <v>37</v>
      </c>
    </row>
    <row r="12" spans="1:9" x14ac:dyDescent="0.35">
      <c r="A12" s="6">
        <v>2573070</v>
      </c>
      <c r="B12" s="7" t="str">
        <f>"3172041510740005"</f>
        <v>3172041510740005</v>
      </c>
      <c r="C12" s="7" t="s">
        <v>71</v>
      </c>
      <c r="D12" s="7" t="s">
        <v>17</v>
      </c>
      <c r="E12" s="7" t="s">
        <v>11</v>
      </c>
      <c r="F12" s="7" t="s">
        <v>18</v>
      </c>
      <c r="G12" s="7" t="s">
        <v>19</v>
      </c>
      <c r="H12" s="7" t="s">
        <v>20</v>
      </c>
      <c r="I12" s="8" t="s">
        <v>53</v>
      </c>
    </row>
    <row r="13" spans="1:9" x14ac:dyDescent="0.35">
      <c r="A13" s="6">
        <v>2519231</v>
      </c>
      <c r="B13" s="7" t="str">
        <f>"3172042708011001"</f>
        <v>3172042708011001</v>
      </c>
      <c r="C13" s="7" t="s">
        <v>75</v>
      </c>
      <c r="D13" s="7" t="s">
        <v>17</v>
      </c>
      <c r="E13" s="7" t="s">
        <v>11</v>
      </c>
      <c r="F13" s="7" t="s">
        <v>18</v>
      </c>
      <c r="G13" s="7" t="s">
        <v>19</v>
      </c>
      <c r="H13" s="7" t="s">
        <v>20</v>
      </c>
      <c r="I13" s="8" t="s">
        <v>76</v>
      </c>
    </row>
    <row r="14" spans="1:9" x14ac:dyDescent="0.35">
      <c r="A14" s="6">
        <v>1392013</v>
      </c>
      <c r="B14" s="7" t="str">
        <f>"3172042708011001"</f>
        <v>3172042708011001</v>
      </c>
      <c r="C14" s="7" t="s">
        <v>77</v>
      </c>
      <c r="D14" s="7" t="s">
        <v>17</v>
      </c>
      <c r="E14" s="7" t="s">
        <v>11</v>
      </c>
      <c r="F14" s="7" t="s">
        <v>50</v>
      </c>
      <c r="G14" s="7" t="s">
        <v>51</v>
      </c>
      <c r="H14" s="7" t="s">
        <v>78</v>
      </c>
      <c r="I14" s="8" t="s">
        <v>79</v>
      </c>
    </row>
    <row r="15" spans="1:9" x14ac:dyDescent="0.35">
      <c r="A15" s="6">
        <v>2518880</v>
      </c>
      <c r="B15" s="7" t="str">
        <f>"3172045005810029"</f>
        <v>3172045005810029</v>
      </c>
      <c r="C15" s="7" t="s">
        <v>82</v>
      </c>
      <c r="D15" s="7" t="s">
        <v>17</v>
      </c>
      <c r="E15" s="7" t="s">
        <v>11</v>
      </c>
      <c r="F15" s="7" t="s">
        <v>18</v>
      </c>
      <c r="G15" s="7" t="s">
        <v>19</v>
      </c>
      <c r="H15" s="7" t="s">
        <v>20</v>
      </c>
      <c r="I15" s="8" t="s">
        <v>23</v>
      </c>
    </row>
    <row r="16" spans="1:9" x14ac:dyDescent="0.35">
      <c r="A16" s="6">
        <v>2519845</v>
      </c>
      <c r="B16" s="7" t="str">
        <f>"3172046808850023"</f>
        <v>3172046808850023</v>
      </c>
      <c r="C16" s="7" t="s">
        <v>83</v>
      </c>
      <c r="D16" s="7" t="s">
        <v>17</v>
      </c>
      <c r="E16" s="7" t="s">
        <v>11</v>
      </c>
      <c r="F16" s="7" t="s">
        <v>18</v>
      </c>
      <c r="G16" s="7" t="s">
        <v>19</v>
      </c>
      <c r="H16" s="7" t="s">
        <v>20</v>
      </c>
      <c r="I16" s="8" t="s">
        <v>21</v>
      </c>
    </row>
    <row r="17" spans="1:9" x14ac:dyDescent="0.35">
      <c r="A17" s="6">
        <v>2518913</v>
      </c>
      <c r="B17" s="7" t="str">
        <f>"3173060906770010"</f>
        <v>3173060906770010</v>
      </c>
      <c r="C17" s="7" t="s">
        <v>85</v>
      </c>
      <c r="D17" s="7" t="s">
        <v>17</v>
      </c>
      <c r="E17" s="7" t="s">
        <v>11</v>
      </c>
      <c r="F17" s="7" t="s">
        <v>18</v>
      </c>
      <c r="G17" s="7" t="s">
        <v>19</v>
      </c>
      <c r="H17" s="7" t="s">
        <v>20</v>
      </c>
      <c r="I17" s="8" t="s">
        <v>23</v>
      </c>
    </row>
    <row r="18" spans="1:9" x14ac:dyDescent="0.35">
      <c r="A18" s="6">
        <v>2518914</v>
      </c>
      <c r="B18" s="7" t="str">
        <f>"3173065207760013"</f>
        <v>3173065207760013</v>
      </c>
      <c r="C18" s="7" t="s">
        <v>89</v>
      </c>
      <c r="D18" s="7" t="s">
        <v>17</v>
      </c>
      <c r="E18" s="7" t="s">
        <v>11</v>
      </c>
      <c r="F18" s="7" t="s">
        <v>18</v>
      </c>
      <c r="G18" s="7" t="s">
        <v>19</v>
      </c>
      <c r="H18" s="7" t="s">
        <v>20</v>
      </c>
      <c r="I18" s="8" t="s">
        <v>23</v>
      </c>
    </row>
    <row r="19" spans="1:9" x14ac:dyDescent="0.35">
      <c r="A19" s="6">
        <v>2520198</v>
      </c>
      <c r="B19" s="7" t="str">
        <f>"3175021206850013"</f>
        <v>3175021206850013</v>
      </c>
      <c r="C19" s="7" t="s">
        <v>95</v>
      </c>
      <c r="D19" s="7" t="s">
        <v>17</v>
      </c>
      <c r="E19" s="7" t="s">
        <v>11</v>
      </c>
      <c r="F19" s="7" t="s">
        <v>18</v>
      </c>
      <c r="G19" s="7" t="s">
        <v>19</v>
      </c>
      <c r="H19" s="7" t="s">
        <v>20</v>
      </c>
      <c r="I19" s="8" t="s">
        <v>37</v>
      </c>
    </row>
    <row r="20" spans="1:9" x14ac:dyDescent="0.35">
      <c r="A20" s="6">
        <v>2518595</v>
      </c>
      <c r="B20" s="7" t="str">
        <f>"3175047003770002"</f>
        <v>3175047003770002</v>
      </c>
      <c r="C20" s="7" t="s">
        <v>99</v>
      </c>
      <c r="D20" s="7" t="s">
        <v>17</v>
      </c>
      <c r="E20" s="7" t="s">
        <v>11</v>
      </c>
      <c r="F20" s="7" t="s">
        <v>18</v>
      </c>
      <c r="G20" s="7" t="s">
        <v>19</v>
      </c>
      <c r="H20" s="7" t="s">
        <v>20</v>
      </c>
      <c r="I20" s="8" t="s">
        <v>53</v>
      </c>
    </row>
    <row r="21" spans="1:9" x14ac:dyDescent="0.35">
      <c r="A21" s="6">
        <v>2518945</v>
      </c>
      <c r="B21" s="7" t="str">
        <f>"3202052406000002"</f>
        <v>3202052406000002</v>
      </c>
      <c r="C21" s="7" t="s">
        <v>103</v>
      </c>
      <c r="D21" s="7" t="s">
        <v>17</v>
      </c>
      <c r="E21" s="7" t="s">
        <v>11</v>
      </c>
      <c r="F21" s="7" t="s">
        <v>18</v>
      </c>
      <c r="G21" s="7" t="s">
        <v>19</v>
      </c>
      <c r="H21" s="7" t="s">
        <v>20</v>
      </c>
      <c r="I21" s="8" t="s">
        <v>23</v>
      </c>
    </row>
    <row r="22" spans="1:9" x14ac:dyDescent="0.35">
      <c r="A22" s="6">
        <v>2520628</v>
      </c>
      <c r="B22" s="7" t="str">
        <f>"3205021503010002"</f>
        <v>3205021503010002</v>
      </c>
      <c r="C22" s="7" t="s">
        <v>107</v>
      </c>
      <c r="D22" s="7" t="s">
        <v>17</v>
      </c>
      <c r="E22" s="7" t="s">
        <v>11</v>
      </c>
      <c r="F22" s="7" t="s">
        <v>18</v>
      </c>
      <c r="G22" s="7" t="s">
        <v>19</v>
      </c>
      <c r="H22" s="7" t="s">
        <v>20</v>
      </c>
      <c r="I22" s="8" t="s">
        <v>48</v>
      </c>
    </row>
    <row r="23" spans="1:9" x14ac:dyDescent="0.35">
      <c r="A23" s="6">
        <v>2520569</v>
      </c>
      <c r="B23" s="7" t="str">
        <f>"3208072810880005"</f>
        <v>3208072810880005</v>
      </c>
      <c r="C23" s="7" t="s">
        <v>112</v>
      </c>
      <c r="D23" s="7" t="s">
        <v>17</v>
      </c>
      <c r="E23" s="7" t="s">
        <v>11</v>
      </c>
      <c r="F23" s="7" t="s">
        <v>18</v>
      </c>
      <c r="G23" s="7" t="s">
        <v>19</v>
      </c>
      <c r="H23" s="7" t="s">
        <v>20</v>
      </c>
      <c r="I23" s="8" t="s">
        <v>48</v>
      </c>
    </row>
    <row r="24" spans="1:9" x14ac:dyDescent="0.35">
      <c r="A24" s="6">
        <v>2520080</v>
      </c>
      <c r="B24" s="7" t="str">
        <f>"3212102001860003"</f>
        <v>3212102001860003</v>
      </c>
      <c r="C24" s="7" t="s">
        <v>117</v>
      </c>
      <c r="D24" s="7" t="s">
        <v>17</v>
      </c>
      <c r="E24" s="7" t="s">
        <v>11</v>
      </c>
      <c r="F24" s="7" t="s">
        <v>18</v>
      </c>
      <c r="G24" s="7" t="s">
        <v>19</v>
      </c>
      <c r="H24" s="7" t="s">
        <v>20</v>
      </c>
      <c r="I24" s="8" t="s">
        <v>21</v>
      </c>
    </row>
    <row r="25" spans="1:9" x14ac:dyDescent="0.35">
      <c r="A25" s="6">
        <v>2519113</v>
      </c>
      <c r="B25" s="7" t="str">
        <f>"3214100607050002"</f>
        <v>3214100607050002</v>
      </c>
      <c r="C25" s="7" t="s">
        <v>122</v>
      </c>
      <c r="D25" s="7" t="s">
        <v>17</v>
      </c>
      <c r="E25" s="7" t="s">
        <v>11</v>
      </c>
      <c r="F25" s="7" t="s">
        <v>18</v>
      </c>
      <c r="G25" s="7" t="s">
        <v>19</v>
      </c>
      <c r="H25" s="7" t="s">
        <v>20</v>
      </c>
      <c r="I25" s="8" t="s">
        <v>76</v>
      </c>
    </row>
    <row r="26" spans="1:9" x14ac:dyDescent="0.35">
      <c r="A26" s="6">
        <v>2574221</v>
      </c>
      <c r="B26" s="7" t="str">
        <f>"3216017012940004"</f>
        <v>3216017012940004</v>
      </c>
      <c r="C26" s="7" t="s">
        <v>126</v>
      </c>
      <c r="D26" s="7" t="s">
        <v>17</v>
      </c>
      <c r="E26" s="7" t="s">
        <v>11</v>
      </c>
      <c r="F26" s="7" t="s">
        <v>18</v>
      </c>
      <c r="G26" s="7" t="s">
        <v>19</v>
      </c>
      <c r="H26" s="7" t="s">
        <v>20</v>
      </c>
      <c r="I26" s="8" t="s">
        <v>20</v>
      </c>
    </row>
    <row r="27" spans="1:9" x14ac:dyDescent="0.35">
      <c r="A27" s="6">
        <v>2518762</v>
      </c>
      <c r="B27" s="7" t="str">
        <f>"3216092606780008"</f>
        <v>3216092606780008</v>
      </c>
      <c r="C27" s="7" t="s">
        <v>130</v>
      </c>
      <c r="D27" s="7" t="s">
        <v>17</v>
      </c>
      <c r="E27" s="7" t="s">
        <v>11</v>
      </c>
      <c r="F27" s="7" t="s">
        <v>18</v>
      </c>
      <c r="G27" s="7" t="s">
        <v>19</v>
      </c>
      <c r="H27" s="7" t="s">
        <v>20</v>
      </c>
      <c r="I27" s="8" t="s">
        <v>131</v>
      </c>
    </row>
    <row r="28" spans="1:9" x14ac:dyDescent="0.35">
      <c r="A28" s="6">
        <v>2518764</v>
      </c>
      <c r="B28" s="7" t="str">
        <f>"3216096010050006"</f>
        <v>3216096010050006</v>
      </c>
      <c r="C28" s="7" t="s">
        <v>133</v>
      </c>
      <c r="D28" s="7" t="s">
        <v>17</v>
      </c>
      <c r="E28" s="7" t="s">
        <v>11</v>
      </c>
      <c r="F28" s="7" t="s">
        <v>18</v>
      </c>
      <c r="G28" s="7" t="s">
        <v>19</v>
      </c>
      <c r="H28" s="7" t="s">
        <v>20</v>
      </c>
      <c r="I28" s="8" t="s">
        <v>131</v>
      </c>
    </row>
    <row r="29" spans="1:9" x14ac:dyDescent="0.35">
      <c r="A29" s="6">
        <v>2518763</v>
      </c>
      <c r="B29" s="7" t="str">
        <f>"3216096402820007"</f>
        <v>3216096402820007</v>
      </c>
      <c r="C29" s="7" t="s">
        <v>135</v>
      </c>
      <c r="D29" s="7" t="s">
        <v>17</v>
      </c>
      <c r="E29" s="7" t="s">
        <v>11</v>
      </c>
      <c r="F29" s="7" t="s">
        <v>18</v>
      </c>
      <c r="G29" s="7" t="s">
        <v>19</v>
      </c>
      <c r="H29" s="7" t="s">
        <v>20</v>
      </c>
      <c r="I29" s="8" t="s">
        <v>131</v>
      </c>
    </row>
    <row r="30" spans="1:9" x14ac:dyDescent="0.35">
      <c r="A30" s="6">
        <v>2519193</v>
      </c>
      <c r="B30" s="7" t="str">
        <f>"3217031511830008"</f>
        <v>3217031511830008</v>
      </c>
      <c r="C30" s="7" t="s">
        <v>140</v>
      </c>
      <c r="D30" s="7" t="s">
        <v>17</v>
      </c>
      <c r="E30" s="7" t="s">
        <v>11</v>
      </c>
      <c r="F30" s="7" t="s">
        <v>18</v>
      </c>
      <c r="G30" s="7" t="s">
        <v>19</v>
      </c>
      <c r="H30" s="7" t="s">
        <v>20</v>
      </c>
      <c r="I30" s="8" t="s">
        <v>76</v>
      </c>
    </row>
    <row r="31" spans="1:9" x14ac:dyDescent="0.35">
      <c r="A31" s="6">
        <v>2520505</v>
      </c>
      <c r="B31" s="7" t="str">
        <f>"3217081207630011"</f>
        <v>3217081207630011</v>
      </c>
      <c r="C31" s="7" t="s">
        <v>144</v>
      </c>
      <c r="D31" s="7" t="s">
        <v>17</v>
      </c>
      <c r="E31" s="7" t="s">
        <v>11</v>
      </c>
      <c r="F31" s="7" t="s">
        <v>18</v>
      </c>
      <c r="G31" s="7" t="s">
        <v>19</v>
      </c>
      <c r="H31" s="7" t="s">
        <v>20</v>
      </c>
      <c r="I31" s="8" t="s">
        <v>145</v>
      </c>
    </row>
    <row r="32" spans="1:9" x14ac:dyDescent="0.35">
      <c r="A32" s="6">
        <v>2520501</v>
      </c>
      <c r="B32" s="7" t="str">
        <f>"3217084309020010"</f>
        <v>3217084309020010</v>
      </c>
      <c r="C32" s="7" t="s">
        <v>147</v>
      </c>
      <c r="D32" s="7" t="s">
        <v>17</v>
      </c>
      <c r="E32" s="7" t="s">
        <v>11</v>
      </c>
      <c r="F32" s="7" t="s">
        <v>18</v>
      </c>
      <c r="G32" s="7" t="s">
        <v>19</v>
      </c>
      <c r="H32" s="7" t="s">
        <v>20</v>
      </c>
      <c r="I32" s="8" t="s">
        <v>145</v>
      </c>
    </row>
    <row r="33" spans="1:9" x14ac:dyDescent="0.35">
      <c r="A33" s="6">
        <v>2520045</v>
      </c>
      <c r="B33" s="7" t="str">
        <f>"3273010310960004"</f>
        <v>3273010310960004</v>
      </c>
      <c r="C33" s="7" t="s">
        <v>148</v>
      </c>
      <c r="D33" s="7" t="s">
        <v>17</v>
      </c>
      <c r="E33" s="7" t="s">
        <v>11</v>
      </c>
      <c r="F33" s="7" t="s">
        <v>18</v>
      </c>
      <c r="G33" s="7" t="s">
        <v>19</v>
      </c>
      <c r="H33" s="7" t="s">
        <v>20</v>
      </c>
      <c r="I33" s="8" t="s">
        <v>21</v>
      </c>
    </row>
    <row r="34" spans="1:9" x14ac:dyDescent="0.35">
      <c r="A34" s="6">
        <v>2520050</v>
      </c>
      <c r="B34" s="7" t="str">
        <f>"3273013112740007"</f>
        <v>3273013112740007</v>
      </c>
      <c r="C34" s="7" t="s">
        <v>152</v>
      </c>
      <c r="D34" s="7" t="s">
        <v>17</v>
      </c>
      <c r="E34" s="7" t="s">
        <v>11</v>
      </c>
      <c r="F34" s="7" t="s">
        <v>18</v>
      </c>
      <c r="G34" s="7" t="s">
        <v>19</v>
      </c>
      <c r="H34" s="7" t="s">
        <v>20</v>
      </c>
      <c r="I34" s="8" t="s">
        <v>21</v>
      </c>
    </row>
    <row r="35" spans="1:9" x14ac:dyDescent="0.35">
      <c r="A35" s="6">
        <v>2520051</v>
      </c>
      <c r="B35" s="7" t="str">
        <f>"3273014501790007"</f>
        <v>3273014501790007</v>
      </c>
      <c r="C35" s="7" t="s">
        <v>153</v>
      </c>
      <c r="D35" s="7" t="s">
        <v>17</v>
      </c>
      <c r="E35" s="7" t="s">
        <v>11</v>
      </c>
      <c r="F35" s="7" t="s">
        <v>18</v>
      </c>
      <c r="G35" s="7" t="s">
        <v>19</v>
      </c>
      <c r="H35" s="7" t="s">
        <v>20</v>
      </c>
      <c r="I35" s="8" t="s">
        <v>21</v>
      </c>
    </row>
    <row r="36" spans="1:9" x14ac:dyDescent="0.35">
      <c r="A36" s="6">
        <v>2572903</v>
      </c>
      <c r="B36" s="7" t="str">
        <f>"3274015212990006"</f>
        <v>3274015212990006</v>
      </c>
      <c r="C36" s="7" t="s">
        <v>154</v>
      </c>
      <c r="D36" s="7" t="s">
        <v>17</v>
      </c>
      <c r="E36" s="7" t="s">
        <v>11</v>
      </c>
      <c r="F36" s="7" t="s">
        <v>18</v>
      </c>
      <c r="G36" s="7" t="s">
        <v>19</v>
      </c>
      <c r="H36" s="7" t="s">
        <v>20</v>
      </c>
      <c r="I36" s="8" t="s">
        <v>53</v>
      </c>
    </row>
    <row r="37" spans="1:9" x14ac:dyDescent="0.35">
      <c r="A37" s="6">
        <v>2519619</v>
      </c>
      <c r="B37" s="7" t="str">
        <f>"3275054108930011"</f>
        <v>3275054108930011</v>
      </c>
      <c r="C37" s="7" t="s">
        <v>158</v>
      </c>
      <c r="D37" s="7" t="s">
        <v>17</v>
      </c>
      <c r="E37" s="7" t="s">
        <v>11</v>
      </c>
      <c r="F37" s="7" t="s">
        <v>18</v>
      </c>
      <c r="G37" s="7" t="s">
        <v>19</v>
      </c>
      <c r="H37" s="7" t="s">
        <v>20</v>
      </c>
      <c r="I37" s="8" t="s">
        <v>20</v>
      </c>
    </row>
    <row r="38" spans="1:9" x14ac:dyDescent="0.35">
      <c r="A38" s="6">
        <v>3060271</v>
      </c>
      <c r="B38" s="7" t="str">
        <f>"3301021404830009"</f>
        <v>3301021404830009</v>
      </c>
      <c r="C38" s="7" t="s">
        <v>162</v>
      </c>
      <c r="D38" s="7" t="s">
        <v>17</v>
      </c>
      <c r="E38" s="7" t="s">
        <v>11</v>
      </c>
      <c r="F38" s="7" t="s">
        <v>18</v>
      </c>
      <c r="G38" s="7" t="s">
        <v>163</v>
      </c>
      <c r="H38" s="7" t="s">
        <v>164</v>
      </c>
      <c r="I38" s="8" t="s">
        <v>165</v>
      </c>
    </row>
    <row r="39" spans="1:9" x14ac:dyDescent="0.35">
      <c r="A39" s="6">
        <v>1648216</v>
      </c>
      <c r="B39" s="7" t="str">
        <f>"3302256804060004"</f>
        <v>3302256804060004</v>
      </c>
      <c r="C39" s="7" t="s">
        <v>166</v>
      </c>
      <c r="D39" s="7" t="s">
        <v>17</v>
      </c>
      <c r="E39" s="7" t="s">
        <v>11</v>
      </c>
      <c r="F39" s="7" t="s">
        <v>18</v>
      </c>
      <c r="G39" s="7" t="s">
        <v>167</v>
      </c>
      <c r="H39" s="7" t="s">
        <v>168</v>
      </c>
      <c r="I39" s="8" t="s">
        <v>169</v>
      </c>
    </row>
    <row r="40" spans="1:9" x14ac:dyDescent="0.35">
      <c r="A40" s="6">
        <v>2521425</v>
      </c>
      <c r="B40" s="7" t="str">
        <f>"3302256804060004"</f>
        <v>3302256804060004</v>
      </c>
      <c r="C40" s="7" t="s">
        <v>166</v>
      </c>
      <c r="D40" s="7" t="s">
        <v>17</v>
      </c>
      <c r="E40" s="7" t="s">
        <v>11</v>
      </c>
      <c r="F40" s="7" t="s">
        <v>18</v>
      </c>
      <c r="G40" s="7" t="s">
        <v>19</v>
      </c>
      <c r="H40" s="7" t="s">
        <v>20</v>
      </c>
      <c r="I40" s="8" t="s">
        <v>48</v>
      </c>
    </row>
    <row r="41" spans="1:9" x14ac:dyDescent="0.35">
      <c r="A41" s="6">
        <v>2573030</v>
      </c>
      <c r="B41" s="7" t="str">
        <f>"3305064806990005"</f>
        <v>3305064806990005</v>
      </c>
      <c r="C41" s="7" t="s">
        <v>170</v>
      </c>
      <c r="D41" s="7" t="s">
        <v>17</v>
      </c>
      <c r="E41" s="7" t="s">
        <v>11</v>
      </c>
      <c r="F41" s="7" t="s">
        <v>18</v>
      </c>
      <c r="G41" s="7" t="s">
        <v>19</v>
      </c>
      <c r="H41" s="7" t="s">
        <v>20</v>
      </c>
      <c r="I41" s="8" t="s">
        <v>53</v>
      </c>
    </row>
    <row r="42" spans="1:9" x14ac:dyDescent="0.35">
      <c r="A42" s="6">
        <v>3104922</v>
      </c>
      <c r="B42" s="7" t="str">
        <f>"3315023112020009"</f>
        <v>3315023112020009</v>
      </c>
      <c r="C42" s="7" t="s">
        <v>175</v>
      </c>
      <c r="D42" s="7" t="s">
        <v>17</v>
      </c>
      <c r="E42" s="7" t="s">
        <v>11</v>
      </c>
      <c r="F42" s="7" t="s">
        <v>18</v>
      </c>
      <c r="G42" s="7" t="s">
        <v>163</v>
      </c>
      <c r="H42" s="7" t="s">
        <v>176</v>
      </c>
      <c r="I42" s="8" t="s">
        <v>177</v>
      </c>
    </row>
    <row r="43" spans="1:9" x14ac:dyDescent="0.35">
      <c r="A43" s="6">
        <v>2574145</v>
      </c>
      <c r="B43" s="7" t="str">
        <f>"3324104412020002"</f>
        <v>3324104412020002</v>
      </c>
      <c r="C43" s="7" t="s">
        <v>187</v>
      </c>
      <c r="D43" s="7" t="s">
        <v>17</v>
      </c>
      <c r="E43" s="7" t="s">
        <v>11</v>
      </c>
      <c r="F43" s="7" t="s">
        <v>18</v>
      </c>
      <c r="G43" s="7" t="s">
        <v>19</v>
      </c>
      <c r="H43" s="7" t="s">
        <v>20</v>
      </c>
      <c r="I43" s="8" t="s">
        <v>20</v>
      </c>
    </row>
    <row r="44" spans="1:9" x14ac:dyDescent="0.35">
      <c r="A44" s="6">
        <v>2519846</v>
      </c>
      <c r="B44" s="7" t="str">
        <f>"3325097005970001"</f>
        <v>3325097005970001</v>
      </c>
      <c r="C44" s="7" t="s">
        <v>188</v>
      </c>
      <c r="D44" s="7" t="s">
        <v>17</v>
      </c>
      <c r="E44" s="7" t="s">
        <v>11</v>
      </c>
      <c r="F44" s="7" t="s">
        <v>18</v>
      </c>
      <c r="G44" s="7" t="s">
        <v>19</v>
      </c>
      <c r="H44" s="7" t="s">
        <v>20</v>
      </c>
      <c r="I44" s="8" t="s">
        <v>21</v>
      </c>
    </row>
    <row r="45" spans="1:9" x14ac:dyDescent="0.35">
      <c r="A45" s="6">
        <v>1555244</v>
      </c>
      <c r="B45" s="7" t="str">
        <f>"3326094308770002"</f>
        <v>3326094308770002</v>
      </c>
      <c r="C45" s="7" t="s">
        <v>194</v>
      </c>
      <c r="D45" s="7" t="s">
        <v>17</v>
      </c>
      <c r="E45" s="7" t="s">
        <v>11</v>
      </c>
      <c r="F45" s="7" t="s">
        <v>18</v>
      </c>
      <c r="G45" s="7" t="s">
        <v>195</v>
      </c>
      <c r="H45" s="7" t="s">
        <v>196</v>
      </c>
      <c r="I45" s="8" t="s">
        <v>197</v>
      </c>
    </row>
    <row r="46" spans="1:9" x14ac:dyDescent="0.35">
      <c r="A46" s="6">
        <v>2656191</v>
      </c>
      <c r="B46" s="7" t="str">
        <f>"3327103005870001"</f>
        <v>3327103005870001</v>
      </c>
      <c r="C46" s="7" t="s">
        <v>198</v>
      </c>
      <c r="D46" s="7" t="s">
        <v>17</v>
      </c>
      <c r="E46" s="7" t="s">
        <v>11</v>
      </c>
      <c r="F46" s="7" t="s">
        <v>18</v>
      </c>
      <c r="G46" s="7" t="s">
        <v>199</v>
      </c>
      <c r="H46" s="7" t="s">
        <v>200</v>
      </c>
      <c r="I46" s="8" t="s">
        <v>201</v>
      </c>
    </row>
    <row r="47" spans="1:9" x14ac:dyDescent="0.35">
      <c r="A47" s="6">
        <v>2573031</v>
      </c>
      <c r="B47" s="7" t="str">
        <f>"3327141304900002"</f>
        <v>3327141304900002</v>
      </c>
      <c r="C47" s="7" t="s">
        <v>202</v>
      </c>
      <c r="D47" s="7" t="s">
        <v>17</v>
      </c>
      <c r="E47" s="7" t="s">
        <v>11</v>
      </c>
      <c r="F47" s="7" t="s">
        <v>18</v>
      </c>
      <c r="G47" s="7" t="s">
        <v>19</v>
      </c>
      <c r="H47" s="7" t="s">
        <v>20</v>
      </c>
      <c r="I47" s="8" t="s">
        <v>53</v>
      </c>
    </row>
    <row r="48" spans="1:9" x14ac:dyDescent="0.35">
      <c r="A48" s="6">
        <v>1941640</v>
      </c>
      <c r="B48" s="7" t="str">
        <f>"3328010107810080"</f>
        <v>3328010107810080</v>
      </c>
      <c r="C48" s="7" t="s">
        <v>204</v>
      </c>
      <c r="D48" s="7" t="s">
        <v>17</v>
      </c>
      <c r="E48" s="7" t="s">
        <v>11</v>
      </c>
      <c r="F48" s="7" t="s">
        <v>50</v>
      </c>
      <c r="G48" s="7" t="s">
        <v>86</v>
      </c>
      <c r="H48" s="7" t="s">
        <v>205</v>
      </c>
      <c r="I48" s="8" t="s">
        <v>206</v>
      </c>
    </row>
    <row r="49" spans="1:9" x14ac:dyDescent="0.35">
      <c r="A49" s="6">
        <v>2520662</v>
      </c>
      <c r="B49" s="7" t="str">
        <f>"3328010108490002"</f>
        <v>3328010108490002</v>
      </c>
      <c r="C49" s="7" t="s">
        <v>215</v>
      </c>
      <c r="D49" s="7" t="s">
        <v>17</v>
      </c>
      <c r="E49" s="7" t="s">
        <v>11</v>
      </c>
      <c r="F49" s="7" t="s">
        <v>18</v>
      </c>
      <c r="G49" s="7" t="s">
        <v>19</v>
      </c>
      <c r="H49" s="7" t="s">
        <v>20</v>
      </c>
      <c r="I49" s="8" t="s">
        <v>48</v>
      </c>
    </row>
    <row r="50" spans="1:9" x14ac:dyDescent="0.35">
      <c r="A50" s="6">
        <v>1337201</v>
      </c>
      <c r="B50" s="7" t="str">
        <f>"3328010112900007"</f>
        <v>3328010112900007</v>
      </c>
      <c r="C50" s="7" t="s">
        <v>217</v>
      </c>
      <c r="D50" s="7" t="s">
        <v>17</v>
      </c>
      <c r="E50" s="7" t="s">
        <v>11</v>
      </c>
      <c r="F50" s="7" t="s">
        <v>91</v>
      </c>
      <c r="G50" s="7" t="s">
        <v>137</v>
      </c>
      <c r="H50" s="7" t="s">
        <v>218</v>
      </c>
      <c r="I50" s="8" t="s">
        <v>219</v>
      </c>
    </row>
    <row r="51" spans="1:9" x14ac:dyDescent="0.35">
      <c r="A51" s="6">
        <v>2518749</v>
      </c>
      <c r="B51" s="7" t="str">
        <f>"3328010304840003"</f>
        <v>3328010304840003</v>
      </c>
      <c r="C51" s="7" t="s">
        <v>223</v>
      </c>
      <c r="D51" s="7" t="s">
        <v>17</v>
      </c>
      <c r="E51" s="7" t="s">
        <v>11</v>
      </c>
      <c r="F51" s="7" t="s">
        <v>18</v>
      </c>
      <c r="G51" s="7" t="s">
        <v>19</v>
      </c>
      <c r="H51" s="7" t="s">
        <v>20</v>
      </c>
      <c r="I51" s="8" t="s">
        <v>131</v>
      </c>
    </row>
    <row r="52" spans="1:9" x14ac:dyDescent="0.35">
      <c r="A52" s="6">
        <v>263614</v>
      </c>
      <c r="B52" s="7" t="str">
        <f>"3328010305910006"</f>
        <v>3328010305910006</v>
      </c>
      <c r="C52" s="7" t="s">
        <v>224</v>
      </c>
      <c r="D52" s="7" t="s">
        <v>17</v>
      </c>
      <c r="E52" s="7" t="s">
        <v>11</v>
      </c>
      <c r="F52" s="7" t="s">
        <v>225</v>
      </c>
      <c r="G52" s="7" t="s">
        <v>226</v>
      </c>
      <c r="H52" s="7" t="s">
        <v>227</v>
      </c>
      <c r="I52" s="8" t="s">
        <v>228</v>
      </c>
    </row>
    <row r="53" spans="1:9" x14ac:dyDescent="0.35">
      <c r="A53" s="6">
        <v>2520158</v>
      </c>
      <c r="B53" s="7" t="str">
        <f>"3328010309900004"</f>
        <v>3328010309900004</v>
      </c>
      <c r="C53" s="7" t="s">
        <v>230</v>
      </c>
      <c r="D53" s="7" t="s">
        <v>17</v>
      </c>
      <c r="E53" s="7" t="s">
        <v>11</v>
      </c>
      <c r="F53" s="7" t="s">
        <v>18</v>
      </c>
      <c r="G53" s="7" t="s">
        <v>19</v>
      </c>
      <c r="H53" s="7" t="s">
        <v>20</v>
      </c>
      <c r="I53" s="8" t="s">
        <v>37</v>
      </c>
    </row>
    <row r="54" spans="1:9" x14ac:dyDescent="0.35">
      <c r="A54" s="6">
        <v>2520178</v>
      </c>
      <c r="B54" s="7" t="str">
        <f>"3328010603030006"</f>
        <v>3328010603030006</v>
      </c>
      <c r="C54" s="7" t="s">
        <v>231</v>
      </c>
      <c r="D54" s="7" t="s">
        <v>17</v>
      </c>
      <c r="E54" s="7" t="s">
        <v>11</v>
      </c>
      <c r="F54" s="7" t="s">
        <v>18</v>
      </c>
      <c r="G54" s="7" t="s">
        <v>19</v>
      </c>
      <c r="H54" s="7" t="s">
        <v>20</v>
      </c>
      <c r="I54" s="8" t="s">
        <v>37</v>
      </c>
    </row>
    <row r="55" spans="1:9" x14ac:dyDescent="0.35">
      <c r="A55" s="6">
        <v>2574218</v>
      </c>
      <c r="B55" s="7" t="str">
        <f>"3328010605750002"</f>
        <v>3328010605750002</v>
      </c>
      <c r="C55" s="7" t="s">
        <v>238</v>
      </c>
      <c r="D55" s="7" t="s">
        <v>17</v>
      </c>
      <c r="E55" s="7" t="s">
        <v>11</v>
      </c>
      <c r="F55" s="7" t="s">
        <v>18</v>
      </c>
      <c r="G55" s="7" t="s">
        <v>19</v>
      </c>
      <c r="H55" s="7" t="s">
        <v>20</v>
      </c>
      <c r="I55" s="8" t="s">
        <v>20</v>
      </c>
    </row>
    <row r="56" spans="1:9" x14ac:dyDescent="0.35">
      <c r="A56" s="6">
        <v>2520715</v>
      </c>
      <c r="B56" s="7" t="str">
        <f>"3328010605920007"</f>
        <v>3328010605920007</v>
      </c>
      <c r="C56" s="7" t="s">
        <v>244</v>
      </c>
      <c r="D56" s="7" t="s">
        <v>17</v>
      </c>
      <c r="E56" s="7" t="s">
        <v>11</v>
      </c>
      <c r="F56" s="7" t="s">
        <v>18</v>
      </c>
      <c r="G56" s="7" t="s">
        <v>19</v>
      </c>
      <c r="H56" s="7" t="s">
        <v>20</v>
      </c>
      <c r="I56" s="8" t="s">
        <v>48</v>
      </c>
    </row>
    <row r="57" spans="1:9" x14ac:dyDescent="0.35">
      <c r="A57" s="6">
        <v>2519391</v>
      </c>
      <c r="B57" s="7" t="str">
        <f>"3328010608800006"</f>
        <v>3328010608800006</v>
      </c>
      <c r="C57" s="7" t="s">
        <v>245</v>
      </c>
      <c r="D57" s="7" t="s">
        <v>17</v>
      </c>
      <c r="E57" s="7" t="s">
        <v>11</v>
      </c>
      <c r="F57" s="7" t="s">
        <v>18</v>
      </c>
      <c r="G57" s="7" t="s">
        <v>19</v>
      </c>
      <c r="H57" s="7" t="s">
        <v>20</v>
      </c>
      <c r="I57" s="8" t="s">
        <v>248</v>
      </c>
    </row>
    <row r="58" spans="1:9" x14ac:dyDescent="0.35">
      <c r="A58" s="6">
        <v>2572442</v>
      </c>
      <c r="B58" s="7" t="str">
        <f>"3328010703040001"</f>
        <v>3328010703040001</v>
      </c>
      <c r="C58" s="7" t="s">
        <v>250</v>
      </c>
      <c r="D58" s="7" t="s">
        <v>17</v>
      </c>
      <c r="E58" s="7" t="s">
        <v>11</v>
      </c>
      <c r="F58" s="7" t="s">
        <v>18</v>
      </c>
      <c r="G58" s="7" t="s">
        <v>19</v>
      </c>
      <c r="H58" s="7" t="s">
        <v>251</v>
      </c>
      <c r="I58" s="8" t="s">
        <v>252</v>
      </c>
    </row>
    <row r="59" spans="1:9" x14ac:dyDescent="0.35">
      <c r="A59" s="6">
        <v>2520673</v>
      </c>
      <c r="B59" s="7" t="str">
        <f>"3328010704870014"</f>
        <v>3328010704870014</v>
      </c>
      <c r="C59" s="7" t="s">
        <v>253</v>
      </c>
      <c r="D59" s="7" t="s">
        <v>17</v>
      </c>
      <c r="E59" s="7" t="s">
        <v>11</v>
      </c>
      <c r="F59" s="7" t="s">
        <v>18</v>
      </c>
      <c r="G59" s="7" t="s">
        <v>19</v>
      </c>
      <c r="H59" s="7" t="s">
        <v>20</v>
      </c>
      <c r="I59" s="8" t="s">
        <v>48</v>
      </c>
    </row>
    <row r="60" spans="1:9" x14ac:dyDescent="0.35">
      <c r="A60" s="6">
        <v>2519075</v>
      </c>
      <c r="B60" s="7" t="str">
        <f>"3328010909850005"</f>
        <v>3328010909850005</v>
      </c>
      <c r="C60" s="7" t="s">
        <v>259</v>
      </c>
      <c r="D60" s="7" t="s">
        <v>17</v>
      </c>
      <c r="E60" s="7" t="s">
        <v>11</v>
      </c>
      <c r="F60" s="7" t="s">
        <v>18</v>
      </c>
      <c r="G60" s="7" t="s">
        <v>19</v>
      </c>
      <c r="H60" s="7" t="s">
        <v>20</v>
      </c>
      <c r="I60" s="8" t="s">
        <v>76</v>
      </c>
    </row>
    <row r="61" spans="1:9" x14ac:dyDescent="0.35">
      <c r="A61" s="6">
        <v>1690588</v>
      </c>
      <c r="B61" s="7" t="str">
        <f>"3328011103880005"</f>
        <v>3328011103880005</v>
      </c>
      <c r="C61" s="7" t="s">
        <v>263</v>
      </c>
      <c r="D61" s="7" t="s">
        <v>17</v>
      </c>
      <c r="E61" s="7" t="s">
        <v>11</v>
      </c>
      <c r="F61" s="7" t="s">
        <v>18</v>
      </c>
      <c r="G61" s="7" t="s">
        <v>264</v>
      </c>
      <c r="H61" s="7" t="s">
        <v>265</v>
      </c>
      <c r="I61" s="8" t="s">
        <v>266</v>
      </c>
    </row>
    <row r="62" spans="1:9" x14ac:dyDescent="0.35">
      <c r="A62" s="6">
        <v>422620</v>
      </c>
      <c r="B62" s="7" t="str">
        <f>"3328011209950006"</f>
        <v>3328011209950006</v>
      </c>
      <c r="C62" s="7" t="s">
        <v>267</v>
      </c>
      <c r="D62" s="7" t="s">
        <v>17</v>
      </c>
      <c r="E62" s="7" t="s">
        <v>11</v>
      </c>
      <c r="F62" s="7" t="s">
        <v>18</v>
      </c>
      <c r="G62" s="7" t="s">
        <v>268</v>
      </c>
      <c r="H62" s="7" t="s">
        <v>269</v>
      </c>
      <c r="I62" s="8" t="s">
        <v>270</v>
      </c>
    </row>
    <row r="63" spans="1:9" x14ac:dyDescent="0.35">
      <c r="A63" s="6">
        <v>1693234</v>
      </c>
      <c r="B63" s="7" t="str">
        <f>"3328011210850007"</f>
        <v>3328011210850007</v>
      </c>
      <c r="C63" s="7" t="s">
        <v>272</v>
      </c>
      <c r="D63" s="7" t="s">
        <v>17</v>
      </c>
      <c r="E63" s="7" t="s">
        <v>11</v>
      </c>
      <c r="F63" s="7" t="s">
        <v>18</v>
      </c>
      <c r="G63" s="7" t="s">
        <v>264</v>
      </c>
      <c r="H63" s="7" t="s">
        <v>273</v>
      </c>
      <c r="I63" s="8" t="s">
        <v>274</v>
      </c>
    </row>
    <row r="64" spans="1:9" x14ac:dyDescent="0.35">
      <c r="A64" s="6">
        <v>2572999</v>
      </c>
      <c r="B64" s="7" t="str">
        <f>"3328011402030003"</f>
        <v>3328011402030003</v>
      </c>
      <c r="C64" s="7" t="s">
        <v>279</v>
      </c>
      <c r="D64" s="7" t="s">
        <v>17</v>
      </c>
      <c r="E64" s="7" t="s">
        <v>11</v>
      </c>
      <c r="F64" s="7" t="s">
        <v>18</v>
      </c>
      <c r="G64" s="7" t="s">
        <v>19</v>
      </c>
      <c r="H64" s="7" t="s">
        <v>20</v>
      </c>
      <c r="I64" s="8" t="s">
        <v>53</v>
      </c>
    </row>
    <row r="65" spans="1:9" x14ac:dyDescent="0.35">
      <c r="A65" s="6">
        <v>2520267</v>
      </c>
      <c r="B65" s="7" t="str">
        <f>"3328011502550003"</f>
        <v>3328011502550003</v>
      </c>
      <c r="C65" s="7" t="s">
        <v>283</v>
      </c>
      <c r="D65" s="7" t="s">
        <v>17</v>
      </c>
      <c r="E65" s="7" t="s">
        <v>11</v>
      </c>
      <c r="F65" s="7" t="s">
        <v>18</v>
      </c>
      <c r="G65" s="7" t="s">
        <v>19</v>
      </c>
      <c r="H65" s="7" t="s">
        <v>20</v>
      </c>
      <c r="I65" s="8" t="s">
        <v>37</v>
      </c>
    </row>
    <row r="66" spans="1:9" x14ac:dyDescent="0.35">
      <c r="A66" s="6">
        <v>2519614</v>
      </c>
      <c r="B66" s="7" t="str">
        <f>"3328011503730004"</f>
        <v>3328011503730004</v>
      </c>
      <c r="C66" s="7" t="s">
        <v>245</v>
      </c>
      <c r="D66" s="7" t="s">
        <v>17</v>
      </c>
      <c r="E66" s="7" t="s">
        <v>11</v>
      </c>
      <c r="F66" s="7" t="s">
        <v>18</v>
      </c>
      <c r="G66" s="7" t="s">
        <v>19</v>
      </c>
      <c r="H66" s="7" t="s">
        <v>20</v>
      </c>
      <c r="I66" s="8" t="s">
        <v>20</v>
      </c>
    </row>
    <row r="67" spans="1:9" x14ac:dyDescent="0.35">
      <c r="A67" s="6">
        <v>1660288</v>
      </c>
      <c r="B67" s="7" t="str">
        <f>"3328011503930008"</f>
        <v>3328011503930008</v>
      </c>
      <c r="C67" s="7" t="s">
        <v>288</v>
      </c>
      <c r="D67" s="7" t="s">
        <v>17</v>
      </c>
      <c r="E67" s="7" t="s">
        <v>11</v>
      </c>
      <c r="F67" s="7" t="s">
        <v>18</v>
      </c>
      <c r="G67" s="7" t="s">
        <v>264</v>
      </c>
      <c r="H67" s="7" t="s">
        <v>289</v>
      </c>
      <c r="I67" s="8" t="s">
        <v>290</v>
      </c>
    </row>
    <row r="68" spans="1:9" x14ac:dyDescent="0.35">
      <c r="A68" s="6">
        <v>3111744</v>
      </c>
      <c r="B68" s="7" t="str">
        <f>"3328011511980004"</f>
        <v>3328011511980004</v>
      </c>
      <c r="C68" s="7" t="s">
        <v>291</v>
      </c>
      <c r="D68" s="7" t="s">
        <v>17</v>
      </c>
      <c r="E68" s="7" t="s">
        <v>11</v>
      </c>
      <c r="F68" s="7" t="s">
        <v>18</v>
      </c>
      <c r="G68" s="7" t="s">
        <v>163</v>
      </c>
      <c r="H68" s="7" t="s">
        <v>292</v>
      </c>
      <c r="I68" s="8" t="s">
        <v>293</v>
      </c>
    </row>
    <row r="69" spans="1:9" x14ac:dyDescent="0.35">
      <c r="A69" s="6">
        <v>2518946</v>
      </c>
      <c r="B69" s="7" t="str">
        <f>"3328011601860003"</f>
        <v>3328011601860003</v>
      </c>
      <c r="C69" s="7" t="s">
        <v>296</v>
      </c>
      <c r="D69" s="7" t="s">
        <v>17</v>
      </c>
      <c r="E69" s="7" t="s">
        <v>11</v>
      </c>
      <c r="F69" s="7" t="s">
        <v>18</v>
      </c>
      <c r="G69" s="7" t="s">
        <v>19</v>
      </c>
      <c r="H69" s="7" t="s">
        <v>20</v>
      </c>
      <c r="I69" s="8" t="s">
        <v>23</v>
      </c>
    </row>
    <row r="70" spans="1:9" x14ac:dyDescent="0.35">
      <c r="A70" s="6">
        <v>2520964</v>
      </c>
      <c r="B70" s="7" t="str">
        <f>"3328011704050003"</f>
        <v>3328011704050003</v>
      </c>
      <c r="C70" s="7" t="s">
        <v>297</v>
      </c>
      <c r="D70" s="7" t="s">
        <v>17</v>
      </c>
      <c r="E70" s="7" t="s">
        <v>11</v>
      </c>
      <c r="F70" s="7" t="s">
        <v>18</v>
      </c>
      <c r="G70" s="7" t="s">
        <v>19</v>
      </c>
      <c r="H70" s="7" t="s">
        <v>20</v>
      </c>
      <c r="I70" s="8" t="s">
        <v>301</v>
      </c>
    </row>
    <row r="71" spans="1:9" x14ac:dyDescent="0.35">
      <c r="A71" s="6">
        <v>1442380</v>
      </c>
      <c r="B71" s="7" t="str">
        <f>"3328011705820008"</f>
        <v>3328011705820008</v>
      </c>
      <c r="C71" s="7" t="s">
        <v>302</v>
      </c>
      <c r="D71" s="7" t="s">
        <v>17</v>
      </c>
      <c r="E71" s="7" t="s">
        <v>11</v>
      </c>
      <c r="F71" s="7" t="s">
        <v>303</v>
      </c>
      <c r="G71" s="7" t="s">
        <v>304</v>
      </c>
      <c r="H71" s="7" t="s">
        <v>305</v>
      </c>
      <c r="I71" s="8" t="s">
        <v>305</v>
      </c>
    </row>
    <row r="72" spans="1:9" x14ac:dyDescent="0.35">
      <c r="A72" s="6">
        <v>1552436</v>
      </c>
      <c r="B72" s="7" t="str">
        <f>"3328011707960003"</f>
        <v>3328011707960003</v>
      </c>
      <c r="C72" s="7" t="s">
        <v>306</v>
      </c>
      <c r="D72" s="7" t="s">
        <v>17</v>
      </c>
      <c r="E72" s="7" t="s">
        <v>11</v>
      </c>
      <c r="F72" s="7" t="s">
        <v>18</v>
      </c>
      <c r="G72" s="7" t="s">
        <v>195</v>
      </c>
      <c r="H72" s="7" t="s">
        <v>307</v>
      </c>
      <c r="I72" s="8" t="s">
        <v>308</v>
      </c>
    </row>
    <row r="73" spans="1:9" x14ac:dyDescent="0.35">
      <c r="A73" s="6">
        <v>2519598</v>
      </c>
      <c r="B73" s="7" t="str">
        <f>"3328011712850002"</f>
        <v>3328011712850002</v>
      </c>
      <c r="C73" s="7" t="s">
        <v>259</v>
      </c>
      <c r="D73" s="7" t="s">
        <v>17</v>
      </c>
      <c r="E73" s="7" t="s">
        <v>11</v>
      </c>
      <c r="F73" s="7" t="s">
        <v>18</v>
      </c>
      <c r="G73" s="7" t="s">
        <v>19</v>
      </c>
      <c r="H73" s="7" t="s">
        <v>20</v>
      </c>
      <c r="I73" s="8" t="s">
        <v>20</v>
      </c>
    </row>
    <row r="74" spans="1:9" x14ac:dyDescent="0.35">
      <c r="A74" s="6">
        <v>2519629</v>
      </c>
      <c r="B74" s="7" t="str">
        <f>"3328011810970005"</f>
        <v>3328011810970005</v>
      </c>
      <c r="C74" s="7" t="s">
        <v>309</v>
      </c>
      <c r="D74" s="7" t="s">
        <v>17</v>
      </c>
      <c r="E74" s="7" t="s">
        <v>11</v>
      </c>
      <c r="F74" s="7" t="s">
        <v>18</v>
      </c>
      <c r="G74" s="7" t="s">
        <v>19</v>
      </c>
      <c r="H74" s="7" t="s">
        <v>20</v>
      </c>
      <c r="I74" s="8" t="s">
        <v>20</v>
      </c>
    </row>
    <row r="75" spans="1:9" x14ac:dyDescent="0.35">
      <c r="A75" s="6">
        <v>1951864</v>
      </c>
      <c r="B75" s="7" t="str">
        <f>"3328012007020006"</f>
        <v>3328012007020006</v>
      </c>
      <c r="C75" s="7" t="s">
        <v>312</v>
      </c>
      <c r="D75" s="7" t="s">
        <v>17</v>
      </c>
      <c r="E75" s="7" t="s">
        <v>11</v>
      </c>
      <c r="F75" s="7" t="s">
        <v>50</v>
      </c>
      <c r="G75" s="7" t="s">
        <v>86</v>
      </c>
      <c r="H75" s="7" t="s">
        <v>313</v>
      </c>
      <c r="I75" s="8" t="s">
        <v>313</v>
      </c>
    </row>
    <row r="76" spans="1:9" x14ac:dyDescent="0.35">
      <c r="A76" s="6">
        <v>2574147</v>
      </c>
      <c r="B76" s="7" t="str">
        <f>"3328012007020006"</f>
        <v>3328012007020006</v>
      </c>
      <c r="C76" s="7" t="s">
        <v>312</v>
      </c>
      <c r="D76" s="7" t="s">
        <v>17</v>
      </c>
      <c r="E76" s="7" t="s">
        <v>11</v>
      </c>
      <c r="F76" s="7" t="s">
        <v>18</v>
      </c>
      <c r="G76" s="7" t="s">
        <v>19</v>
      </c>
      <c r="H76" s="7" t="s">
        <v>20</v>
      </c>
      <c r="I76" s="8" t="s">
        <v>20</v>
      </c>
    </row>
    <row r="77" spans="1:9" x14ac:dyDescent="0.35">
      <c r="A77" s="6">
        <v>2424482</v>
      </c>
      <c r="B77" s="7" t="str">
        <f>"3328012109870002"</f>
        <v>3328012109870002</v>
      </c>
      <c r="C77" s="7" t="s">
        <v>315</v>
      </c>
      <c r="D77" s="7" t="s">
        <v>17</v>
      </c>
      <c r="E77" s="7" t="s">
        <v>11</v>
      </c>
      <c r="F77" s="7" t="s">
        <v>50</v>
      </c>
      <c r="G77" s="7" t="s">
        <v>58</v>
      </c>
      <c r="H77" s="7" t="s">
        <v>316</v>
      </c>
      <c r="I77" s="8" t="s">
        <v>317</v>
      </c>
    </row>
    <row r="78" spans="1:9" x14ac:dyDescent="0.35">
      <c r="A78" s="6">
        <v>1877374</v>
      </c>
      <c r="B78" s="7" t="str">
        <f>"3328012204990007"</f>
        <v>3328012204990007</v>
      </c>
      <c r="C78" s="7" t="s">
        <v>319</v>
      </c>
      <c r="D78" s="7" t="s">
        <v>17</v>
      </c>
      <c r="E78" s="7" t="s">
        <v>11</v>
      </c>
      <c r="F78" s="7" t="s">
        <v>91</v>
      </c>
      <c r="G78" s="7" t="s">
        <v>320</v>
      </c>
      <c r="H78" s="7" t="s">
        <v>321</v>
      </c>
      <c r="I78" s="8" t="s">
        <v>222</v>
      </c>
    </row>
    <row r="79" spans="1:9" x14ac:dyDescent="0.35">
      <c r="A79" s="6">
        <v>1577679</v>
      </c>
      <c r="B79" s="7" t="str">
        <f>"3328012205990008"</f>
        <v>3328012205990008</v>
      </c>
      <c r="C79" s="7" t="s">
        <v>323</v>
      </c>
      <c r="D79" s="7" t="s">
        <v>17</v>
      </c>
      <c r="E79" s="7" t="s">
        <v>11</v>
      </c>
      <c r="F79" s="7" t="s">
        <v>18</v>
      </c>
      <c r="G79" s="7" t="s">
        <v>264</v>
      </c>
      <c r="H79" s="7" t="s">
        <v>324</v>
      </c>
      <c r="I79" s="8" t="s">
        <v>325</v>
      </c>
    </row>
    <row r="80" spans="1:9" x14ac:dyDescent="0.35">
      <c r="A80" s="6">
        <v>2520458</v>
      </c>
      <c r="B80" s="7" t="str">
        <f>"3328012211770001"</f>
        <v>3328012211770001</v>
      </c>
      <c r="C80" s="7" t="s">
        <v>326</v>
      </c>
      <c r="D80" s="7" t="s">
        <v>17</v>
      </c>
      <c r="E80" s="7" t="s">
        <v>11</v>
      </c>
      <c r="F80" s="7" t="s">
        <v>18</v>
      </c>
      <c r="G80" s="7" t="s">
        <v>19</v>
      </c>
      <c r="H80" s="7" t="s">
        <v>20</v>
      </c>
      <c r="I80" s="8" t="s">
        <v>145</v>
      </c>
    </row>
    <row r="81" spans="1:9" x14ac:dyDescent="0.35">
      <c r="A81" s="6">
        <v>2521136</v>
      </c>
      <c r="B81" s="7" t="str">
        <f>"3328012304970005"</f>
        <v>3328012304970005</v>
      </c>
      <c r="C81" s="7" t="s">
        <v>332</v>
      </c>
      <c r="D81" s="7" t="s">
        <v>17</v>
      </c>
      <c r="E81" s="7" t="s">
        <v>11</v>
      </c>
      <c r="F81" s="7" t="s">
        <v>18</v>
      </c>
      <c r="G81" s="7" t="s">
        <v>19</v>
      </c>
      <c r="H81" s="7" t="s">
        <v>20</v>
      </c>
      <c r="I81" s="8" t="s">
        <v>301</v>
      </c>
    </row>
    <row r="82" spans="1:9" x14ac:dyDescent="0.35">
      <c r="A82" s="6">
        <v>2520155</v>
      </c>
      <c r="B82" s="7" t="str">
        <f>"3328012506020005"</f>
        <v>3328012506020005</v>
      </c>
      <c r="C82" s="7" t="s">
        <v>333</v>
      </c>
      <c r="D82" s="7" t="s">
        <v>17</v>
      </c>
      <c r="E82" s="7" t="s">
        <v>11</v>
      </c>
      <c r="F82" s="7" t="s">
        <v>18</v>
      </c>
      <c r="G82" s="7" t="s">
        <v>19</v>
      </c>
      <c r="H82" s="7" t="s">
        <v>20</v>
      </c>
      <c r="I82" s="8" t="s">
        <v>37</v>
      </c>
    </row>
    <row r="83" spans="1:9" x14ac:dyDescent="0.35">
      <c r="A83" s="6">
        <v>2574144</v>
      </c>
      <c r="B83" s="7" t="str">
        <f>"3328012708940001"</f>
        <v>3328012708940001</v>
      </c>
      <c r="C83" s="7" t="s">
        <v>336</v>
      </c>
      <c r="D83" s="7" t="s">
        <v>17</v>
      </c>
      <c r="E83" s="7" t="s">
        <v>11</v>
      </c>
      <c r="F83" s="7" t="s">
        <v>18</v>
      </c>
      <c r="G83" s="7" t="s">
        <v>19</v>
      </c>
      <c r="H83" s="7" t="s">
        <v>20</v>
      </c>
      <c r="I83" s="8" t="s">
        <v>20</v>
      </c>
    </row>
    <row r="84" spans="1:9" x14ac:dyDescent="0.35">
      <c r="A84" s="6">
        <v>2572917</v>
      </c>
      <c r="B84" s="7" t="str">
        <f>"3328012708970002"</f>
        <v>3328012708970002</v>
      </c>
      <c r="C84" s="7" t="s">
        <v>337</v>
      </c>
      <c r="D84" s="7" t="s">
        <v>17</v>
      </c>
      <c r="E84" s="7" t="s">
        <v>11</v>
      </c>
      <c r="F84" s="7" t="s">
        <v>18</v>
      </c>
      <c r="G84" s="7" t="s">
        <v>19</v>
      </c>
      <c r="H84" s="7" t="s">
        <v>20</v>
      </c>
      <c r="I84" s="8" t="s">
        <v>53</v>
      </c>
    </row>
    <row r="85" spans="1:9" x14ac:dyDescent="0.35">
      <c r="A85" s="6">
        <v>2519707</v>
      </c>
      <c r="B85" s="7" t="str">
        <f>"3328012806020004"</f>
        <v>3328012806020004</v>
      </c>
      <c r="C85" s="7" t="s">
        <v>341</v>
      </c>
      <c r="D85" s="7" t="s">
        <v>17</v>
      </c>
      <c r="E85" s="7" t="s">
        <v>11</v>
      </c>
      <c r="F85" s="7" t="s">
        <v>18</v>
      </c>
      <c r="G85" s="7" t="s">
        <v>19</v>
      </c>
      <c r="H85" s="7" t="s">
        <v>20</v>
      </c>
      <c r="I85" s="8" t="s">
        <v>20</v>
      </c>
    </row>
    <row r="86" spans="1:9" x14ac:dyDescent="0.35">
      <c r="A86" s="6">
        <v>2519384</v>
      </c>
      <c r="B86" s="7" t="str">
        <f>"3328012904000004"</f>
        <v>3328012904000004</v>
      </c>
      <c r="C86" s="7" t="s">
        <v>346</v>
      </c>
      <c r="D86" s="7" t="s">
        <v>17</v>
      </c>
      <c r="E86" s="7" t="s">
        <v>11</v>
      </c>
      <c r="F86" s="7" t="s">
        <v>18</v>
      </c>
      <c r="G86" s="7" t="s">
        <v>19</v>
      </c>
      <c r="H86" s="7" t="s">
        <v>20</v>
      </c>
      <c r="I86" s="8" t="s">
        <v>248</v>
      </c>
    </row>
    <row r="87" spans="1:9" x14ac:dyDescent="0.35">
      <c r="A87" s="6">
        <v>2574194</v>
      </c>
      <c r="B87" s="7" t="str">
        <f>"3328012904910002"</f>
        <v>3328012904910002</v>
      </c>
      <c r="C87" s="7" t="s">
        <v>347</v>
      </c>
      <c r="D87" s="7" t="s">
        <v>17</v>
      </c>
      <c r="E87" s="7" t="s">
        <v>11</v>
      </c>
      <c r="F87" s="7" t="s">
        <v>18</v>
      </c>
      <c r="G87" s="7" t="s">
        <v>19</v>
      </c>
      <c r="H87" s="7" t="s">
        <v>20</v>
      </c>
      <c r="I87" s="8" t="s">
        <v>20</v>
      </c>
    </row>
    <row r="88" spans="1:9" x14ac:dyDescent="0.35">
      <c r="A88" s="6">
        <v>1635376</v>
      </c>
      <c r="B88" s="7" t="str">
        <f>"3328013006870006"</f>
        <v>3328013006870006</v>
      </c>
      <c r="C88" s="7" t="s">
        <v>351</v>
      </c>
      <c r="D88" s="7" t="s">
        <v>17</v>
      </c>
      <c r="E88" s="7" t="s">
        <v>11</v>
      </c>
      <c r="F88" s="7" t="s">
        <v>18</v>
      </c>
      <c r="G88" s="7" t="s">
        <v>167</v>
      </c>
      <c r="H88" s="7" t="s">
        <v>352</v>
      </c>
      <c r="I88" s="8" t="s">
        <v>353</v>
      </c>
    </row>
    <row r="89" spans="1:9" x14ac:dyDescent="0.35">
      <c r="A89" s="6">
        <v>1097474</v>
      </c>
      <c r="B89" s="7" t="str">
        <f>"3328013008970006"</f>
        <v>3328013008970006</v>
      </c>
      <c r="C89" s="7" t="s">
        <v>354</v>
      </c>
      <c r="D89" s="7" t="s">
        <v>17</v>
      </c>
      <c r="E89" s="7" t="s">
        <v>11</v>
      </c>
      <c r="F89" s="7" t="s">
        <v>18</v>
      </c>
      <c r="G89" s="7" t="s">
        <v>171</v>
      </c>
      <c r="H89" s="7" t="s">
        <v>355</v>
      </c>
      <c r="I89" s="8" t="s">
        <v>356</v>
      </c>
    </row>
    <row r="90" spans="1:9" x14ac:dyDescent="0.35">
      <c r="A90" s="6">
        <v>1910276</v>
      </c>
      <c r="B90" s="7" t="str">
        <f>"3328013112920013"</f>
        <v>3328013112920013</v>
      </c>
      <c r="C90" s="7" t="s">
        <v>359</v>
      </c>
      <c r="D90" s="7" t="s">
        <v>17</v>
      </c>
      <c r="E90" s="7" t="s">
        <v>11</v>
      </c>
      <c r="F90" s="7" t="s">
        <v>91</v>
      </c>
      <c r="G90" s="7" t="s">
        <v>320</v>
      </c>
      <c r="H90" s="7" t="s">
        <v>360</v>
      </c>
      <c r="I90" s="8" t="s">
        <v>361</v>
      </c>
    </row>
    <row r="91" spans="1:9" x14ac:dyDescent="0.35">
      <c r="A91" s="6">
        <v>1111516</v>
      </c>
      <c r="B91" s="7" t="str">
        <f>"3328014102870003"</f>
        <v>3328014102870003</v>
      </c>
      <c r="C91" s="7" t="s">
        <v>362</v>
      </c>
      <c r="D91" s="7" t="s">
        <v>17</v>
      </c>
      <c r="E91" s="7" t="s">
        <v>11</v>
      </c>
      <c r="F91" s="7" t="s">
        <v>18</v>
      </c>
      <c r="G91" s="7" t="s">
        <v>171</v>
      </c>
      <c r="H91" s="7" t="s">
        <v>363</v>
      </c>
      <c r="I91" s="8" t="s">
        <v>364</v>
      </c>
    </row>
    <row r="92" spans="1:9" x14ac:dyDescent="0.35">
      <c r="A92" s="6">
        <v>1951894</v>
      </c>
      <c r="B92" s="7" t="str">
        <f>"3328014107860008"</f>
        <v>3328014107860008</v>
      </c>
      <c r="C92" s="7" t="s">
        <v>366</v>
      </c>
      <c r="D92" s="7" t="s">
        <v>17</v>
      </c>
      <c r="E92" s="7" t="s">
        <v>11</v>
      </c>
      <c r="F92" s="7" t="s">
        <v>50</v>
      </c>
      <c r="G92" s="7" t="s">
        <v>86</v>
      </c>
      <c r="H92" s="7" t="s">
        <v>313</v>
      </c>
      <c r="I92" s="8" t="s">
        <v>313</v>
      </c>
    </row>
    <row r="93" spans="1:9" x14ac:dyDescent="0.35">
      <c r="A93" s="6">
        <v>2519097</v>
      </c>
      <c r="B93" s="7" t="str">
        <f>"3328014111020003"</f>
        <v>3328014111020003</v>
      </c>
      <c r="C93" s="7" t="s">
        <v>367</v>
      </c>
      <c r="D93" s="7" t="s">
        <v>17</v>
      </c>
      <c r="E93" s="7" t="s">
        <v>11</v>
      </c>
      <c r="F93" s="7" t="s">
        <v>18</v>
      </c>
      <c r="G93" s="7" t="s">
        <v>19</v>
      </c>
      <c r="H93" s="7" t="s">
        <v>20</v>
      </c>
      <c r="I93" s="8" t="s">
        <v>76</v>
      </c>
    </row>
    <row r="94" spans="1:9" x14ac:dyDescent="0.35">
      <c r="A94" s="6">
        <v>2520125</v>
      </c>
      <c r="B94" s="7" t="str">
        <f>"3328014208890003"</f>
        <v>3328014208890003</v>
      </c>
      <c r="C94" s="7" t="s">
        <v>373</v>
      </c>
      <c r="D94" s="7" t="s">
        <v>17</v>
      </c>
      <c r="E94" s="7" t="s">
        <v>11</v>
      </c>
      <c r="F94" s="7" t="s">
        <v>18</v>
      </c>
      <c r="G94" s="7" t="s">
        <v>19</v>
      </c>
      <c r="H94" s="7" t="s">
        <v>20</v>
      </c>
      <c r="I94" s="8" t="s">
        <v>37</v>
      </c>
    </row>
    <row r="95" spans="1:9" x14ac:dyDescent="0.35">
      <c r="A95" s="6">
        <v>2574192</v>
      </c>
      <c r="B95" s="7" t="str">
        <f>"3328014304960006"</f>
        <v>3328014304960006</v>
      </c>
      <c r="C95" s="7" t="s">
        <v>383</v>
      </c>
      <c r="D95" s="7" t="s">
        <v>17</v>
      </c>
      <c r="E95" s="7" t="s">
        <v>11</v>
      </c>
      <c r="F95" s="7" t="s">
        <v>18</v>
      </c>
      <c r="G95" s="7" t="s">
        <v>19</v>
      </c>
      <c r="H95" s="7" t="s">
        <v>20</v>
      </c>
      <c r="I95" s="8" t="s">
        <v>20</v>
      </c>
    </row>
    <row r="96" spans="1:9" x14ac:dyDescent="0.35">
      <c r="A96" s="6">
        <v>1008962</v>
      </c>
      <c r="B96" s="7" t="str">
        <f>"3328014306870013"</f>
        <v>3328014306870013</v>
      </c>
      <c r="C96" s="7" t="s">
        <v>384</v>
      </c>
      <c r="D96" s="7" t="s">
        <v>17</v>
      </c>
      <c r="E96" s="7" t="s">
        <v>11</v>
      </c>
      <c r="F96" s="7" t="s">
        <v>18</v>
      </c>
      <c r="G96" s="7" t="s">
        <v>385</v>
      </c>
      <c r="H96" s="7" t="s">
        <v>386</v>
      </c>
      <c r="I96" s="8" t="s">
        <v>387</v>
      </c>
    </row>
    <row r="97" spans="1:9" x14ac:dyDescent="0.35">
      <c r="A97" s="6">
        <v>1691642</v>
      </c>
      <c r="B97" s="7" t="str">
        <f>"3328014308860005"</f>
        <v>3328014308860005</v>
      </c>
      <c r="C97" s="7" t="s">
        <v>388</v>
      </c>
      <c r="D97" s="7" t="s">
        <v>17</v>
      </c>
      <c r="E97" s="7" t="s">
        <v>11</v>
      </c>
      <c r="F97" s="7" t="s">
        <v>18</v>
      </c>
      <c r="G97" s="7" t="s">
        <v>264</v>
      </c>
      <c r="H97" s="7" t="s">
        <v>273</v>
      </c>
      <c r="I97" s="8" t="s">
        <v>273</v>
      </c>
    </row>
    <row r="98" spans="1:9" x14ac:dyDescent="0.35">
      <c r="A98" s="6">
        <v>2574219</v>
      </c>
      <c r="B98" s="7" t="str">
        <f>"3328014507800004"</f>
        <v>3328014507800004</v>
      </c>
      <c r="C98" s="7" t="s">
        <v>390</v>
      </c>
      <c r="D98" s="7" t="s">
        <v>17</v>
      </c>
      <c r="E98" s="7" t="s">
        <v>11</v>
      </c>
      <c r="F98" s="7" t="s">
        <v>18</v>
      </c>
      <c r="G98" s="7" t="s">
        <v>19</v>
      </c>
      <c r="H98" s="7" t="s">
        <v>20</v>
      </c>
      <c r="I98" s="8" t="s">
        <v>20</v>
      </c>
    </row>
    <row r="99" spans="1:9" x14ac:dyDescent="0.35">
      <c r="A99" s="6">
        <v>723136</v>
      </c>
      <c r="B99" s="7" t="str">
        <f>"3328014507820008"</f>
        <v>3328014507820008</v>
      </c>
      <c r="C99" s="7" t="s">
        <v>391</v>
      </c>
      <c r="D99" s="7" t="s">
        <v>17</v>
      </c>
      <c r="E99" s="7" t="s">
        <v>11</v>
      </c>
      <c r="F99" s="7" t="s">
        <v>18</v>
      </c>
      <c r="G99" s="7" t="s">
        <v>392</v>
      </c>
      <c r="H99" s="7" t="s">
        <v>393</v>
      </c>
      <c r="I99" s="8" t="s">
        <v>394</v>
      </c>
    </row>
    <row r="100" spans="1:9" x14ac:dyDescent="0.35">
      <c r="A100" s="6">
        <v>1674063</v>
      </c>
      <c r="B100" s="7" t="str">
        <f>"3328014508990005"</f>
        <v>3328014508990005</v>
      </c>
      <c r="C100" s="7" t="s">
        <v>395</v>
      </c>
      <c r="D100" s="7" t="s">
        <v>17</v>
      </c>
      <c r="E100" s="7" t="s">
        <v>11</v>
      </c>
      <c r="F100" s="7" t="s">
        <v>18</v>
      </c>
      <c r="G100" s="7" t="s">
        <v>264</v>
      </c>
      <c r="H100" s="7" t="s">
        <v>396</v>
      </c>
      <c r="I100" s="8" t="s">
        <v>397</v>
      </c>
    </row>
    <row r="101" spans="1:9" x14ac:dyDescent="0.35">
      <c r="A101" s="6">
        <v>1376094</v>
      </c>
      <c r="B101" s="7" t="str">
        <f>"3328014705960007"</f>
        <v>3328014705960007</v>
      </c>
      <c r="C101" s="7" t="s">
        <v>399</v>
      </c>
      <c r="D101" s="7" t="s">
        <v>17</v>
      </c>
      <c r="E101" s="7" t="s">
        <v>11</v>
      </c>
      <c r="F101" s="7" t="s">
        <v>50</v>
      </c>
      <c r="G101" s="7" t="s">
        <v>51</v>
      </c>
      <c r="H101" s="7" t="s">
        <v>284</v>
      </c>
      <c r="I101" s="8" t="s">
        <v>400</v>
      </c>
    </row>
    <row r="102" spans="1:9" x14ac:dyDescent="0.35">
      <c r="A102" s="6">
        <v>2518963</v>
      </c>
      <c r="B102" s="7" t="str">
        <f>"3328014812780010"</f>
        <v>3328014812780010</v>
      </c>
      <c r="C102" s="7" t="s">
        <v>403</v>
      </c>
      <c r="D102" s="7" t="s">
        <v>17</v>
      </c>
      <c r="E102" s="7" t="s">
        <v>11</v>
      </c>
      <c r="F102" s="7" t="s">
        <v>18</v>
      </c>
      <c r="G102" s="7" t="s">
        <v>19</v>
      </c>
      <c r="H102" s="7" t="s">
        <v>20</v>
      </c>
      <c r="I102" s="8" t="s">
        <v>23</v>
      </c>
    </row>
    <row r="103" spans="1:9" x14ac:dyDescent="0.35">
      <c r="A103" s="6">
        <v>2519392</v>
      </c>
      <c r="B103" s="7" t="str">
        <f>"3328014911870006"</f>
        <v>3328014911870006</v>
      </c>
      <c r="C103" s="7" t="s">
        <v>404</v>
      </c>
      <c r="D103" s="7" t="s">
        <v>17</v>
      </c>
      <c r="E103" s="7" t="s">
        <v>11</v>
      </c>
      <c r="F103" s="7" t="s">
        <v>18</v>
      </c>
      <c r="G103" s="7" t="s">
        <v>19</v>
      </c>
      <c r="H103" s="7" t="s">
        <v>20</v>
      </c>
      <c r="I103" s="8" t="s">
        <v>248</v>
      </c>
    </row>
    <row r="104" spans="1:9" x14ac:dyDescent="0.35">
      <c r="A104" s="6">
        <v>2427565</v>
      </c>
      <c r="B104" s="7" t="str">
        <f>"3328015002880012"</f>
        <v>3328015002880012</v>
      </c>
      <c r="C104" s="7" t="s">
        <v>405</v>
      </c>
      <c r="D104" s="7" t="s">
        <v>17</v>
      </c>
      <c r="E104" s="7" t="s">
        <v>11</v>
      </c>
      <c r="F104" s="7" t="s">
        <v>50</v>
      </c>
      <c r="G104" s="7" t="s">
        <v>58</v>
      </c>
      <c r="H104" s="7" t="s">
        <v>406</v>
      </c>
      <c r="I104" s="8" t="s">
        <v>407</v>
      </c>
    </row>
    <row r="105" spans="1:9" x14ac:dyDescent="0.35">
      <c r="A105" s="6">
        <v>2519568</v>
      </c>
      <c r="B105" s="7" t="str">
        <f>"3328015104010001"</f>
        <v>3328015104010001</v>
      </c>
      <c r="C105" s="7" t="s">
        <v>408</v>
      </c>
      <c r="D105" s="7" t="s">
        <v>17</v>
      </c>
      <c r="E105" s="7" t="s">
        <v>11</v>
      </c>
      <c r="F105" s="7" t="s">
        <v>18</v>
      </c>
      <c r="G105" s="7" t="s">
        <v>19</v>
      </c>
      <c r="H105" s="7" t="s">
        <v>20</v>
      </c>
      <c r="I105" s="8" t="s">
        <v>55</v>
      </c>
    </row>
    <row r="106" spans="1:9" x14ac:dyDescent="0.35">
      <c r="A106" s="6">
        <v>2519253</v>
      </c>
      <c r="B106" s="7" t="str">
        <f>"3328015106960004"</f>
        <v>3328015106960004</v>
      </c>
      <c r="C106" s="7" t="s">
        <v>411</v>
      </c>
      <c r="D106" s="7" t="s">
        <v>17</v>
      </c>
      <c r="E106" s="7" t="s">
        <v>11</v>
      </c>
      <c r="F106" s="7" t="s">
        <v>18</v>
      </c>
      <c r="G106" s="7" t="s">
        <v>19</v>
      </c>
      <c r="H106" s="7" t="s">
        <v>20</v>
      </c>
      <c r="I106" s="8" t="s">
        <v>248</v>
      </c>
    </row>
    <row r="107" spans="1:9" x14ac:dyDescent="0.35">
      <c r="A107" s="6">
        <v>2518987</v>
      </c>
      <c r="B107" s="7" t="str">
        <f>"3328015204780003"</f>
        <v>3328015204780003</v>
      </c>
      <c r="C107" s="7" t="s">
        <v>419</v>
      </c>
      <c r="D107" s="7" t="s">
        <v>17</v>
      </c>
      <c r="E107" s="7" t="s">
        <v>11</v>
      </c>
      <c r="F107" s="7" t="s">
        <v>18</v>
      </c>
      <c r="G107" s="7" t="s">
        <v>19</v>
      </c>
      <c r="H107" s="7" t="s">
        <v>20</v>
      </c>
      <c r="I107" s="8" t="s">
        <v>23</v>
      </c>
    </row>
    <row r="108" spans="1:9" x14ac:dyDescent="0.35">
      <c r="A108" s="6">
        <v>2520817</v>
      </c>
      <c r="B108" s="7" t="str">
        <f>"3328015305660003"</f>
        <v>3328015305660003</v>
      </c>
      <c r="C108" s="7" t="s">
        <v>420</v>
      </c>
      <c r="D108" s="7" t="s">
        <v>17</v>
      </c>
      <c r="E108" s="7" t="s">
        <v>11</v>
      </c>
      <c r="F108" s="7" t="s">
        <v>18</v>
      </c>
      <c r="G108" s="7" t="s">
        <v>19</v>
      </c>
      <c r="H108" s="7" t="s">
        <v>20</v>
      </c>
      <c r="I108" s="8" t="s">
        <v>48</v>
      </c>
    </row>
    <row r="109" spans="1:9" x14ac:dyDescent="0.35">
      <c r="A109" s="6">
        <v>1007195</v>
      </c>
      <c r="B109" s="7" t="str">
        <f>"3328015306940001"</f>
        <v>3328015306940001</v>
      </c>
      <c r="C109" s="7" t="s">
        <v>421</v>
      </c>
      <c r="D109" s="7" t="s">
        <v>17</v>
      </c>
      <c r="E109" s="7" t="s">
        <v>11</v>
      </c>
      <c r="F109" s="7" t="s">
        <v>18</v>
      </c>
      <c r="G109" s="7" t="s">
        <v>385</v>
      </c>
      <c r="H109" s="7" t="s">
        <v>422</v>
      </c>
      <c r="I109" s="8" t="s">
        <v>423</v>
      </c>
    </row>
    <row r="110" spans="1:9" x14ac:dyDescent="0.35">
      <c r="A110" s="6">
        <v>2518827</v>
      </c>
      <c r="B110" s="7" t="str">
        <f>"3328015801840001"</f>
        <v>3328015801840001</v>
      </c>
      <c r="C110" s="7" t="s">
        <v>424</v>
      </c>
      <c r="D110" s="7" t="s">
        <v>17</v>
      </c>
      <c r="E110" s="7" t="s">
        <v>11</v>
      </c>
      <c r="F110" s="7" t="s">
        <v>18</v>
      </c>
      <c r="G110" s="7" t="s">
        <v>19</v>
      </c>
      <c r="H110" s="7" t="s">
        <v>20</v>
      </c>
      <c r="I110" s="8" t="s">
        <v>23</v>
      </c>
    </row>
    <row r="111" spans="1:9" x14ac:dyDescent="0.35">
      <c r="A111" s="6">
        <v>3122319</v>
      </c>
      <c r="B111" s="7" t="str">
        <f>"3328015811970002"</f>
        <v>3328015811970002</v>
      </c>
      <c r="C111" s="7" t="s">
        <v>427</v>
      </c>
      <c r="D111" s="7" t="s">
        <v>17</v>
      </c>
      <c r="E111" s="7" t="s">
        <v>11</v>
      </c>
      <c r="F111" s="7" t="s">
        <v>18</v>
      </c>
      <c r="G111" s="7" t="s">
        <v>163</v>
      </c>
      <c r="H111" s="7" t="s">
        <v>428</v>
      </c>
      <c r="I111" s="8" t="s">
        <v>429</v>
      </c>
    </row>
    <row r="112" spans="1:9" x14ac:dyDescent="0.35">
      <c r="A112" s="6">
        <v>1374780</v>
      </c>
      <c r="B112" s="7" t="str">
        <f>"3328016009880010"</f>
        <v>3328016009880010</v>
      </c>
      <c r="C112" s="7" t="s">
        <v>430</v>
      </c>
      <c r="D112" s="7" t="s">
        <v>17</v>
      </c>
      <c r="E112" s="7" t="s">
        <v>11</v>
      </c>
      <c r="F112" s="7" t="s">
        <v>50</v>
      </c>
      <c r="G112" s="7" t="s">
        <v>51</v>
      </c>
      <c r="H112" s="7" t="s">
        <v>284</v>
      </c>
      <c r="I112" s="8" t="s">
        <v>284</v>
      </c>
    </row>
    <row r="113" spans="1:9" x14ac:dyDescent="0.35">
      <c r="A113" s="6">
        <v>2520459</v>
      </c>
      <c r="B113" s="7" t="str">
        <f>"3328016011820001"</f>
        <v>3328016011820001</v>
      </c>
      <c r="C113" s="7" t="s">
        <v>431</v>
      </c>
      <c r="D113" s="7" t="s">
        <v>17</v>
      </c>
      <c r="E113" s="7" t="s">
        <v>11</v>
      </c>
      <c r="F113" s="7" t="s">
        <v>18</v>
      </c>
      <c r="G113" s="7" t="s">
        <v>19</v>
      </c>
      <c r="H113" s="7" t="s">
        <v>20</v>
      </c>
      <c r="I113" s="8" t="s">
        <v>145</v>
      </c>
    </row>
    <row r="114" spans="1:9" x14ac:dyDescent="0.35">
      <c r="A114" s="6">
        <v>2518824</v>
      </c>
      <c r="B114" s="7" t="str">
        <f>"3328016101060005"</f>
        <v>3328016101060005</v>
      </c>
      <c r="C114" s="7" t="s">
        <v>433</v>
      </c>
      <c r="D114" s="7" t="s">
        <v>17</v>
      </c>
      <c r="E114" s="7" t="s">
        <v>11</v>
      </c>
      <c r="F114" s="7" t="s">
        <v>18</v>
      </c>
      <c r="G114" s="7" t="s">
        <v>19</v>
      </c>
      <c r="H114" s="7" t="s">
        <v>20</v>
      </c>
      <c r="I114" s="8" t="s">
        <v>23</v>
      </c>
    </row>
    <row r="115" spans="1:9" x14ac:dyDescent="0.35">
      <c r="A115" s="6">
        <v>1385685</v>
      </c>
      <c r="B115" s="7" t="str">
        <f>"3328016208910016"</f>
        <v>3328016208910016</v>
      </c>
      <c r="C115" s="7" t="s">
        <v>435</v>
      </c>
      <c r="D115" s="7" t="s">
        <v>17</v>
      </c>
      <c r="E115" s="7" t="s">
        <v>11</v>
      </c>
      <c r="F115" s="7" t="s">
        <v>50</v>
      </c>
      <c r="G115" s="7" t="s">
        <v>51</v>
      </c>
      <c r="H115" s="7" t="s">
        <v>78</v>
      </c>
      <c r="I115" s="8" t="s">
        <v>436</v>
      </c>
    </row>
    <row r="116" spans="1:9" x14ac:dyDescent="0.35">
      <c r="A116" s="6">
        <v>2519463</v>
      </c>
      <c r="B116" s="7" t="str">
        <f>"3328016312880005"</f>
        <v>3328016312880005</v>
      </c>
      <c r="C116" s="7" t="s">
        <v>441</v>
      </c>
      <c r="D116" s="7" t="s">
        <v>17</v>
      </c>
      <c r="E116" s="7" t="s">
        <v>11</v>
      </c>
      <c r="F116" s="7" t="s">
        <v>18</v>
      </c>
      <c r="G116" s="7" t="s">
        <v>19</v>
      </c>
      <c r="H116" s="7" t="s">
        <v>20</v>
      </c>
      <c r="I116" s="8" t="s">
        <v>65</v>
      </c>
    </row>
    <row r="117" spans="1:9" x14ac:dyDescent="0.35">
      <c r="A117" s="6">
        <v>2572912</v>
      </c>
      <c r="B117" s="7" t="str">
        <f>"3328016703640001"</f>
        <v>3328016703640001</v>
      </c>
      <c r="C117" s="7" t="s">
        <v>443</v>
      </c>
      <c r="D117" s="7" t="s">
        <v>17</v>
      </c>
      <c r="E117" s="7" t="s">
        <v>11</v>
      </c>
      <c r="F117" s="7" t="s">
        <v>18</v>
      </c>
      <c r="G117" s="7" t="s">
        <v>19</v>
      </c>
      <c r="H117" s="7" t="s">
        <v>20</v>
      </c>
      <c r="I117" s="8" t="s">
        <v>53</v>
      </c>
    </row>
    <row r="118" spans="1:9" x14ac:dyDescent="0.35">
      <c r="A118" s="6">
        <v>2519962</v>
      </c>
      <c r="B118" s="7" t="str">
        <f>"3328016804970001"</f>
        <v>3328016804970001</v>
      </c>
      <c r="C118" s="7" t="s">
        <v>444</v>
      </c>
      <c r="D118" s="7" t="s">
        <v>17</v>
      </c>
      <c r="E118" s="7" t="s">
        <v>11</v>
      </c>
      <c r="F118" s="7" t="s">
        <v>18</v>
      </c>
      <c r="G118" s="7" t="s">
        <v>19</v>
      </c>
      <c r="H118" s="7" t="s">
        <v>20</v>
      </c>
      <c r="I118" s="8" t="s">
        <v>21</v>
      </c>
    </row>
    <row r="119" spans="1:9" x14ac:dyDescent="0.35">
      <c r="A119" s="6">
        <v>420957</v>
      </c>
      <c r="B119" s="7" t="str">
        <f>"3328016809000004"</f>
        <v>3328016809000004</v>
      </c>
      <c r="C119" s="7" t="s">
        <v>447</v>
      </c>
      <c r="D119" s="7" t="s">
        <v>17</v>
      </c>
      <c r="E119" s="7" t="s">
        <v>11</v>
      </c>
      <c r="F119" s="7" t="s">
        <v>18</v>
      </c>
      <c r="G119" s="7" t="s">
        <v>268</v>
      </c>
      <c r="H119" s="7" t="s">
        <v>448</v>
      </c>
      <c r="I119" s="8" t="s">
        <v>449</v>
      </c>
    </row>
    <row r="120" spans="1:9" x14ac:dyDescent="0.35">
      <c r="A120" s="6">
        <v>2520038</v>
      </c>
      <c r="B120" s="7" t="str">
        <f>"3328016810860005"</f>
        <v>3328016810860005</v>
      </c>
      <c r="C120" s="7" t="s">
        <v>450</v>
      </c>
      <c r="D120" s="7" t="s">
        <v>17</v>
      </c>
      <c r="E120" s="7" t="s">
        <v>11</v>
      </c>
      <c r="F120" s="7" t="s">
        <v>18</v>
      </c>
      <c r="G120" s="7" t="s">
        <v>19</v>
      </c>
      <c r="H120" s="7" t="s">
        <v>20</v>
      </c>
      <c r="I120" s="8" t="s">
        <v>21</v>
      </c>
    </row>
    <row r="121" spans="1:9" x14ac:dyDescent="0.35">
      <c r="A121" s="6">
        <v>2520456</v>
      </c>
      <c r="B121" s="7" t="str">
        <f>"3328016911990003"</f>
        <v>3328016911990003</v>
      </c>
      <c r="C121" s="7" t="s">
        <v>452</v>
      </c>
      <c r="D121" s="7" t="s">
        <v>17</v>
      </c>
      <c r="E121" s="7" t="s">
        <v>11</v>
      </c>
      <c r="F121" s="7" t="s">
        <v>18</v>
      </c>
      <c r="G121" s="7" t="s">
        <v>19</v>
      </c>
      <c r="H121" s="7" t="s">
        <v>20</v>
      </c>
      <c r="I121" s="8" t="s">
        <v>145</v>
      </c>
    </row>
    <row r="122" spans="1:9" x14ac:dyDescent="0.35">
      <c r="A122" s="6">
        <v>2520083</v>
      </c>
      <c r="B122" s="7" t="str">
        <f>"3328017112730044"</f>
        <v>3328017112730044</v>
      </c>
      <c r="C122" s="7" t="s">
        <v>457</v>
      </c>
      <c r="D122" s="7" t="s">
        <v>17</v>
      </c>
      <c r="E122" s="7" t="s">
        <v>11</v>
      </c>
      <c r="F122" s="7" t="s">
        <v>18</v>
      </c>
      <c r="G122" s="7" t="s">
        <v>19</v>
      </c>
      <c r="H122" s="7" t="s">
        <v>20</v>
      </c>
      <c r="I122" s="8" t="s">
        <v>21</v>
      </c>
    </row>
    <row r="123" spans="1:9" x14ac:dyDescent="0.35">
      <c r="A123" s="6">
        <v>2520117</v>
      </c>
      <c r="B123" s="7" t="str">
        <f>"3328180602800007"</f>
        <v>3328180602800007</v>
      </c>
      <c r="C123" s="7" t="s">
        <v>458</v>
      </c>
      <c r="D123" s="7" t="s">
        <v>17</v>
      </c>
      <c r="E123" s="7" t="s">
        <v>11</v>
      </c>
      <c r="F123" s="7" t="s">
        <v>18</v>
      </c>
      <c r="G123" s="7" t="s">
        <v>19</v>
      </c>
      <c r="H123" s="7" t="s">
        <v>20</v>
      </c>
      <c r="I123" s="8" t="s">
        <v>37</v>
      </c>
    </row>
    <row r="124" spans="1:9" x14ac:dyDescent="0.35">
      <c r="A124" s="6">
        <v>1655054</v>
      </c>
      <c r="B124" s="7" t="str">
        <f>"3329032002930004"</f>
        <v>3329032002930004</v>
      </c>
      <c r="C124" s="7" t="s">
        <v>460</v>
      </c>
      <c r="D124" s="7" t="s">
        <v>17</v>
      </c>
      <c r="E124" s="7" t="s">
        <v>11</v>
      </c>
      <c r="F124" s="7" t="s">
        <v>18</v>
      </c>
      <c r="G124" s="7" t="s">
        <v>264</v>
      </c>
      <c r="H124" s="7" t="s">
        <v>461</v>
      </c>
      <c r="I124" s="8" t="s">
        <v>462</v>
      </c>
    </row>
    <row r="125" spans="1:9" x14ac:dyDescent="0.35">
      <c r="A125" s="6">
        <v>1655052</v>
      </c>
      <c r="B125" s="7" t="str">
        <f>"3329035203730006"</f>
        <v>3329035203730006</v>
      </c>
      <c r="C125" s="7" t="s">
        <v>463</v>
      </c>
      <c r="D125" s="7" t="s">
        <v>17</v>
      </c>
      <c r="E125" s="7" t="s">
        <v>11</v>
      </c>
      <c r="F125" s="7" t="s">
        <v>18</v>
      </c>
      <c r="G125" s="7" t="s">
        <v>264</v>
      </c>
      <c r="H125" s="7" t="s">
        <v>461</v>
      </c>
      <c r="I125" s="8" t="s">
        <v>462</v>
      </c>
    </row>
    <row r="126" spans="1:9" x14ac:dyDescent="0.35">
      <c r="A126" s="6">
        <v>1680933</v>
      </c>
      <c r="B126" s="7" t="str">
        <f>"3329055208680003"</f>
        <v>3329055208680003</v>
      </c>
      <c r="C126" s="7" t="s">
        <v>465</v>
      </c>
      <c r="D126" s="7" t="s">
        <v>17</v>
      </c>
      <c r="E126" s="7" t="s">
        <v>11</v>
      </c>
      <c r="F126" s="7" t="s">
        <v>18</v>
      </c>
      <c r="G126" s="7" t="s">
        <v>264</v>
      </c>
      <c r="H126" s="7" t="s">
        <v>289</v>
      </c>
      <c r="I126" s="8" t="s">
        <v>466</v>
      </c>
    </row>
    <row r="127" spans="1:9" x14ac:dyDescent="0.35">
      <c r="A127" s="6">
        <v>2519117</v>
      </c>
      <c r="B127" s="7" t="str">
        <f>"3329061404920001"</f>
        <v>3329061404920001</v>
      </c>
      <c r="C127" s="7" t="s">
        <v>467</v>
      </c>
      <c r="D127" s="7" t="s">
        <v>17</v>
      </c>
      <c r="E127" s="7" t="s">
        <v>11</v>
      </c>
      <c r="F127" s="7" t="s">
        <v>18</v>
      </c>
      <c r="G127" s="7" t="s">
        <v>19</v>
      </c>
      <c r="H127" s="7" t="s">
        <v>20</v>
      </c>
      <c r="I127" s="8" t="s">
        <v>76</v>
      </c>
    </row>
    <row r="128" spans="1:9" x14ac:dyDescent="0.35">
      <c r="A128" s="6">
        <v>2572965</v>
      </c>
      <c r="B128" s="7" t="str">
        <f>"3329070301830006"</f>
        <v>3329070301830006</v>
      </c>
      <c r="C128" s="7" t="s">
        <v>288</v>
      </c>
      <c r="D128" s="7" t="s">
        <v>17</v>
      </c>
      <c r="E128" s="7" t="s">
        <v>11</v>
      </c>
      <c r="F128" s="7" t="s">
        <v>18</v>
      </c>
      <c r="G128" s="7" t="s">
        <v>19</v>
      </c>
      <c r="H128" s="7" t="s">
        <v>20</v>
      </c>
      <c r="I128" s="8" t="s">
        <v>53</v>
      </c>
    </row>
    <row r="129" spans="1:9" x14ac:dyDescent="0.35">
      <c r="A129" s="6">
        <v>2518866</v>
      </c>
      <c r="B129" s="7" t="str">
        <f>"3329081801890004"</f>
        <v>3329081801890004</v>
      </c>
      <c r="C129" s="7" t="s">
        <v>471</v>
      </c>
      <c r="D129" s="7" t="s">
        <v>17</v>
      </c>
      <c r="E129" s="7" t="s">
        <v>11</v>
      </c>
      <c r="F129" s="7" t="s">
        <v>18</v>
      </c>
      <c r="G129" s="7" t="s">
        <v>19</v>
      </c>
      <c r="H129" s="7" t="s">
        <v>20</v>
      </c>
      <c r="I129" s="8" t="s">
        <v>23</v>
      </c>
    </row>
    <row r="130" spans="1:9" x14ac:dyDescent="0.35">
      <c r="A130" s="6">
        <v>2520639</v>
      </c>
      <c r="B130" s="7" t="str">
        <f>"3329092308900005"</f>
        <v>3329092308900005</v>
      </c>
      <c r="C130" s="7" t="s">
        <v>473</v>
      </c>
      <c r="D130" s="7" t="s">
        <v>17</v>
      </c>
      <c r="E130" s="7" t="s">
        <v>11</v>
      </c>
      <c r="F130" s="7" t="s">
        <v>18</v>
      </c>
      <c r="G130" s="7" t="s">
        <v>19</v>
      </c>
      <c r="H130" s="7" t="s">
        <v>20</v>
      </c>
      <c r="I130" s="8" t="s">
        <v>48</v>
      </c>
    </row>
    <row r="131" spans="1:9" x14ac:dyDescent="0.35">
      <c r="A131" s="6">
        <v>2518822</v>
      </c>
      <c r="B131" s="7" t="str">
        <f>"3329100308760001"</f>
        <v>3329100308760001</v>
      </c>
      <c r="C131" s="7" t="s">
        <v>475</v>
      </c>
      <c r="D131" s="7" t="s">
        <v>17</v>
      </c>
      <c r="E131" s="7" t="s">
        <v>11</v>
      </c>
      <c r="F131" s="7" t="s">
        <v>18</v>
      </c>
      <c r="G131" s="7" t="s">
        <v>19</v>
      </c>
      <c r="H131" s="7" t="s">
        <v>20</v>
      </c>
      <c r="I131" s="8" t="s">
        <v>23</v>
      </c>
    </row>
    <row r="132" spans="1:9" x14ac:dyDescent="0.35">
      <c r="A132" s="6">
        <v>1639218</v>
      </c>
      <c r="B132" s="7" t="str">
        <f>"3329145002880015"</f>
        <v>3329145002880015</v>
      </c>
      <c r="C132" s="7" t="s">
        <v>476</v>
      </c>
      <c r="D132" s="7" t="s">
        <v>17</v>
      </c>
      <c r="E132" s="7" t="s">
        <v>11</v>
      </c>
      <c r="F132" s="7" t="s">
        <v>18</v>
      </c>
      <c r="G132" s="7" t="s">
        <v>264</v>
      </c>
      <c r="H132" s="7" t="s">
        <v>477</v>
      </c>
      <c r="I132" s="8" t="s">
        <v>478</v>
      </c>
    </row>
    <row r="133" spans="1:9" x14ac:dyDescent="0.35">
      <c r="A133" s="6">
        <v>1632864</v>
      </c>
      <c r="B133" s="7" t="str">
        <f>"3329146811610001"</f>
        <v>3329146811610001</v>
      </c>
      <c r="C133" s="7" t="s">
        <v>479</v>
      </c>
      <c r="D133" s="7" t="s">
        <v>17</v>
      </c>
      <c r="E133" s="7" t="s">
        <v>11</v>
      </c>
      <c r="F133" s="7" t="s">
        <v>18</v>
      </c>
      <c r="G133" s="7" t="s">
        <v>264</v>
      </c>
      <c r="H133" s="7" t="s">
        <v>477</v>
      </c>
      <c r="I133" s="8" t="s">
        <v>480</v>
      </c>
    </row>
    <row r="134" spans="1:9" x14ac:dyDescent="0.35">
      <c r="A134" s="6">
        <v>2520367</v>
      </c>
      <c r="B134" s="7" t="str">
        <f>"3329151401910001"</f>
        <v>3329151401910001</v>
      </c>
      <c r="C134" s="7" t="s">
        <v>482</v>
      </c>
      <c r="D134" s="7" t="s">
        <v>17</v>
      </c>
      <c r="E134" s="7" t="s">
        <v>11</v>
      </c>
      <c r="F134" s="7" t="s">
        <v>18</v>
      </c>
      <c r="G134" s="7" t="s">
        <v>19</v>
      </c>
      <c r="H134" s="7" t="s">
        <v>20</v>
      </c>
      <c r="I134" s="8" t="s">
        <v>145</v>
      </c>
    </row>
    <row r="135" spans="1:9" x14ac:dyDescent="0.35">
      <c r="A135" s="6">
        <v>2519025</v>
      </c>
      <c r="B135" s="7" t="str">
        <f>"3329152304800004"</f>
        <v>3329152304800004</v>
      </c>
      <c r="C135" s="7" t="s">
        <v>484</v>
      </c>
      <c r="D135" s="7" t="s">
        <v>17</v>
      </c>
      <c r="E135" s="7" t="s">
        <v>11</v>
      </c>
      <c r="F135" s="7" t="s">
        <v>18</v>
      </c>
      <c r="G135" s="7" t="s">
        <v>19</v>
      </c>
      <c r="H135" s="7" t="s">
        <v>20</v>
      </c>
      <c r="I135" s="8" t="s">
        <v>23</v>
      </c>
    </row>
    <row r="136" spans="1:9" x14ac:dyDescent="0.35">
      <c r="A136" s="6">
        <v>2520956</v>
      </c>
      <c r="B136" s="7" t="str">
        <f>"3329154312990002"</f>
        <v>3329154312990002</v>
      </c>
      <c r="C136" s="7" t="s">
        <v>373</v>
      </c>
      <c r="D136" s="7" t="s">
        <v>17</v>
      </c>
      <c r="E136" s="7" t="s">
        <v>11</v>
      </c>
      <c r="F136" s="7" t="s">
        <v>18</v>
      </c>
      <c r="G136" s="7" t="s">
        <v>19</v>
      </c>
      <c r="H136" s="7" t="s">
        <v>20</v>
      </c>
      <c r="I136" s="8" t="s">
        <v>301</v>
      </c>
    </row>
    <row r="137" spans="1:9" x14ac:dyDescent="0.35">
      <c r="A137" s="6">
        <v>2519026</v>
      </c>
      <c r="B137" s="7" t="str">
        <f>"3329154711880001"</f>
        <v>3329154711880001</v>
      </c>
      <c r="C137" s="7" t="s">
        <v>486</v>
      </c>
      <c r="D137" s="7" t="s">
        <v>17</v>
      </c>
      <c r="E137" s="7" t="s">
        <v>11</v>
      </c>
      <c r="F137" s="7" t="s">
        <v>18</v>
      </c>
      <c r="G137" s="7" t="s">
        <v>19</v>
      </c>
      <c r="H137" s="7" t="s">
        <v>20</v>
      </c>
      <c r="I137" s="8" t="s">
        <v>23</v>
      </c>
    </row>
    <row r="138" spans="1:9" x14ac:dyDescent="0.35">
      <c r="A138" s="6">
        <v>2521137</v>
      </c>
      <c r="B138" s="7" t="str">
        <f>"3329156207990004"</f>
        <v>3329156207990004</v>
      </c>
      <c r="C138" s="7" t="s">
        <v>491</v>
      </c>
      <c r="D138" s="7" t="s">
        <v>17</v>
      </c>
      <c r="E138" s="7" t="s">
        <v>11</v>
      </c>
      <c r="F138" s="7" t="s">
        <v>18</v>
      </c>
      <c r="G138" s="7" t="s">
        <v>19</v>
      </c>
      <c r="H138" s="7" t="s">
        <v>20</v>
      </c>
      <c r="I138" s="8" t="s">
        <v>301</v>
      </c>
    </row>
    <row r="139" spans="1:9" x14ac:dyDescent="0.35">
      <c r="A139" s="6">
        <v>1640844</v>
      </c>
      <c r="B139" s="7" t="str">
        <f>"3329163103590003"</f>
        <v>3329163103590003</v>
      </c>
      <c r="C139" s="7" t="s">
        <v>288</v>
      </c>
      <c r="D139" s="7" t="s">
        <v>17</v>
      </c>
      <c r="E139" s="7" t="s">
        <v>11</v>
      </c>
      <c r="F139" s="7" t="s">
        <v>18</v>
      </c>
      <c r="G139" s="7" t="s">
        <v>264</v>
      </c>
      <c r="H139" s="7" t="s">
        <v>344</v>
      </c>
      <c r="I139" s="8" t="s">
        <v>492</v>
      </c>
    </row>
    <row r="140" spans="1:9" x14ac:dyDescent="0.35">
      <c r="A140" s="6">
        <v>1649958</v>
      </c>
      <c r="B140" s="7" t="str">
        <f>"3329165706770006"</f>
        <v>3329165706770006</v>
      </c>
      <c r="C140" s="7" t="s">
        <v>494</v>
      </c>
      <c r="D140" s="7" t="s">
        <v>17</v>
      </c>
      <c r="E140" s="7" t="s">
        <v>11</v>
      </c>
      <c r="F140" s="7" t="s">
        <v>18</v>
      </c>
      <c r="G140" s="7" t="s">
        <v>264</v>
      </c>
      <c r="H140" s="7" t="s">
        <v>344</v>
      </c>
      <c r="I140" s="8" t="s">
        <v>495</v>
      </c>
    </row>
    <row r="141" spans="1:9" x14ac:dyDescent="0.35">
      <c r="A141" s="6">
        <v>2519595</v>
      </c>
      <c r="B141" s="7" t="str">
        <f>"3376020801850002"</f>
        <v>3376020801850002</v>
      </c>
      <c r="C141" s="7" t="s">
        <v>496</v>
      </c>
      <c r="D141" s="7" t="s">
        <v>17</v>
      </c>
      <c r="E141" s="7" t="s">
        <v>11</v>
      </c>
      <c r="F141" s="7" t="s">
        <v>18</v>
      </c>
      <c r="G141" s="7" t="s">
        <v>19</v>
      </c>
      <c r="H141" s="7" t="s">
        <v>20</v>
      </c>
      <c r="I141" s="8" t="s">
        <v>20</v>
      </c>
    </row>
    <row r="142" spans="1:9" x14ac:dyDescent="0.35">
      <c r="A142" s="6">
        <v>2520124</v>
      </c>
      <c r="B142" s="7" t="str">
        <f>"3376021712900002"</f>
        <v>3376021712900002</v>
      </c>
      <c r="C142" s="7" t="s">
        <v>498</v>
      </c>
      <c r="D142" s="7" t="s">
        <v>17</v>
      </c>
      <c r="E142" s="7" t="s">
        <v>11</v>
      </c>
      <c r="F142" s="7" t="s">
        <v>18</v>
      </c>
      <c r="G142" s="7" t="s">
        <v>19</v>
      </c>
      <c r="H142" s="7" t="s">
        <v>20</v>
      </c>
      <c r="I142" s="8" t="s">
        <v>37</v>
      </c>
    </row>
    <row r="143" spans="1:9" x14ac:dyDescent="0.35">
      <c r="A143" s="6">
        <v>4208298</v>
      </c>
      <c r="B143" s="7" t="str">
        <f>"3507320502910002"</f>
        <v>3507320502910002</v>
      </c>
      <c r="C143" s="7" t="s">
        <v>499</v>
      </c>
      <c r="D143" s="7" t="s">
        <v>17</v>
      </c>
      <c r="E143" s="7" t="s">
        <v>11</v>
      </c>
      <c r="F143" s="7" t="s">
        <v>303</v>
      </c>
      <c r="G143" s="7" t="s">
        <v>500</v>
      </c>
      <c r="H143" s="7" t="s">
        <v>501</v>
      </c>
      <c r="I143" s="8" t="s">
        <v>501</v>
      </c>
    </row>
    <row r="144" spans="1:9" x14ac:dyDescent="0.35">
      <c r="A144" s="6">
        <v>4208300</v>
      </c>
      <c r="B144" s="7" t="str">
        <f>"3507320601020003"</f>
        <v>3507320601020003</v>
      </c>
      <c r="C144" s="7" t="s">
        <v>502</v>
      </c>
      <c r="D144" s="7" t="s">
        <v>17</v>
      </c>
      <c r="E144" s="7" t="s">
        <v>11</v>
      </c>
      <c r="F144" s="7" t="s">
        <v>303</v>
      </c>
      <c r="G144" s="7" t="s">
        <v>500</v>
      </c>
      <c r="H144" s="7" t="s">
        <v>501</v>
      </c>
      <c r="I144" s="8" t="s">
        <v>501</v>
      </c>
    </row>
    <row r="145" spans="1:9" x14ac:dyDescent="0.35">
      <c r="A145" s="6">
        <v>4208299</v>
      </c>
      <c r="B145" s="7" t="str">
        <f>"3507322806960001"</f>
        <v>3507322806960001</v>
      </c>
      <c r="C145" s="7" t="s">
        <v>503</v>
      </c>
      <c r="D145" s="7" t="s">
        <v>17</v>
      </c>
      <c r="E145" s="7" t="s">
        <v>11</v>
      </c>
      <c r="F145" s="7" t="s">
        <v>303</v>
      </c>
      <c r="G145" s="7" t="s">
        <v>500</v>
      </c>
      <c r="H145" s="7" t="s">
        <v>501</v>
      </c>
      <c r="I145" s="8" t="s">
        <v>501</v>
      </c>
    </row>
    <row r="146" spans="1:9" x14ac:dyDescent="0.35">
      <c r="A146" s="6">
        <v>2518750</v>
      </c>
      <c r="B146" s="7" t="str">
        <f>"3521120609780005"</f>
        <v>3521120609780005</v>
      </c>
      <c r="C146" s="7" t="s">
        <v>507</v>
      </c>
      <c r="D146" s="7" t="s">
        <v>17</v>
      </c>
      <c r="E146" s="7" t="s">
        <v>11</v>
      </c>
      <c r="F146" s="7" t="s">
        <v>18</v>
      </c>
      <c r="G146" s="7" t="s">
        <v>19</v>
      </c>
      <c r="H146" s="7" t="s">
        <v>20</v>
      </c>
      <c r="I146" s="8" t="s">
        <v>131</v>
      </c>
    </row>
    <row r="147" spans="1:9" x14ac:dyDescent="0.35">
      <c r="A147" s="6">
        <v>1534570</v>
      </c>
      <c r="B147" s="7" t="str">
        <f>"3527071609970001"</f>
        <v>3527071609970001</v>
      </c>
      <c r="C147" s="7" t="s">
        <v>508</v>
      </c>
      <c r="D147" s="7" t="s">
        <v>17</v>
      </c>
      <c r="E147" s="7" t="s">
        <v>11</v>
      </c>
      <c r="F147" s="7" t="s">
        <v>303</v>
      </c>
      <c r="G147" s="7" t="s">
        <v>509</v>
      </c>
      <c r="H147" s="7" t="s">
        <v>510</v>
      </c>
      <c r="I147" s="8" t="s">
        <v>510</v>
      </c>
    </row>
    <row r="148" spans="1:9" x14ac:dyDescent="0.35">
      <c r="A148" s="6">
        <v>2519051</v>
      </c>
      <c r="B148" s="7" t="str">
        <f>"3671064604020002"</f>
        <v>3671064604020002</v>
      </c>
      <c r="C148" s="7" t="s">
        <v>511</v>
      </c>
      <c r="D148" s="7" t="s">
        <v>17</v>
      </c>
      <c r="E148" s="7" t="s">
        <v>11</v>
      </c>
      <c r="F148" s="7" t="s">
        <v>18</v>
      </c>
      <c r="G148" s="7" t="s">
        <v>19</v>
      </c>
      <c r="H148" s="7" t="s">
        <v>20</v>
      </c>
      <c r="I148" s="8" t="s">
        <v>76</v>
      </c>
    </row>
    <row r="149" spans="1:9" x14ac:dyDescent="0.35">
      <c r="A149" s="6">
        <v>440040</v>
      </c>
      <c r="B149" s="7" t="str">
        <f>"6107030711940001"</f>
        <v>6107030711940001</v>
      </c>
      <c r="C149" s="7" t="s">
        <v>515</v>
      </c>
      <c r="D149" s="7" t="s">
        <v>17</v>
      </c>
      <c r="E149" s="7" t="s">
        <v>11</v>
      </c>
      <c r="F149" s="7" t="s">
        <v>516</v>
      </c>
      <c r="G149" s="7" t="s">
        <v>517</v>
      </c>
      <c r="H149" s="7" t="s">
        <v>518</v>
      </c>
      <c r="I149" s="8" t="s">
        <v>519</v>
      </c>
    </row>
    <row r="150" spans="1:9" x14ac:dyDescent="0.35">
      <c r="A150" s="6">
        <v>2520800</v>
      </c>
      <c r="B150" s="7" t="str">
        <f>"6203075208950004"</f>
        <v>6203075208950004</v>
      </c>
      <c r="C150" s="7" t="s">
        <v>520</v>
      </c>
      <c r="D150" s="7" t="s">
        <v>17</v>
      </c>
      <c r="E150" s="7" t="s">
        <v>11</v>
      </c>
      <c r="F150" s="7" t="s">
        <v>18</v>
      </c>
      <c r="G150" s="7" t="s">
        <v>19</v>
      </c>
      <c r="H150" s="7" t="s">
        <v>20</v>
      </c>
      <c r="I150" s="8" t="s">
        <v>48</v>
      </c>
    </row>
    <row r="151" spans="1:9" x14ac:dyDescent="0.35">
      <c r="A151" s="6">
        <v>2526555</v>
      </c>
      <c r="B151" s="7" t="str">
        <f>"3173042006730019"</f>
        <v>3173042006730019</v>
      </c>
      <c r="C151" s="7" t="s">
        <v>526</v>
      </c>
      <c r="D151" s="7" t="s">
        <v>17</v>
      </c>
      <c r="E151" s="7" t="s">
        <v>11</v>
      </c>
      <c r="F151" s="7" t="s">
        <v>18</v>
      </c>
      <c r="G151" s="7" t="s">
        <v>19</v>
      </c>
      <c r="H151" s="7" t="s">
        <v>527</v>
      </c>
      <c r="I151" s="8" t="s">
        <v>528</v>
      </c>
    </row>
    <row r="152" spans="1:9" x14ac:dyDescent="0.35">
      <c r="A152" s="6">
        <v>2524600</v>
      </c>
      <c r="B152" s="7" t="str">
        <f>"3173074707980005"</f>
        <v>3173074707980005</v>
      </c>
      <c r="C152" s="7" t="s">
        <v>529</v>
      </c>
      <c r="D152" s="7" t="s">
        <v>17</v>
      </c>
      <c r="E152" s="7" t="s">
        <v>11</v>
      </c>
      <c r="F152" s="7" t="s">
        <v>18</v>
      </c>
      <c r="G152" s="7" t="s">
        <v>19</v>
      </c>
      <c r="H152" s="7" t="s">
        <v>527</v>
      </c>
      <c r="I152" s="8" t="s">
        <v>532</v>
      </c>
    </row>
    <row r="153" spans="1:9" x14ac:dyDescent="0.35">
      <c r="A153" s="6">
        <v>2523344</v>
      </c>
      <c r="B153" s="7" t="str">
        <f>"3173084407590008"</f>
        <v>3173084407590008</v>
      </c>
      <c r="C153" s="7" t="s">
        <v>533</v>
      </c>
      <c r="D153" s="7" t="s">
        <v>17</v>
      </c>
      <c r="E153" s="7" t="s">
        <v>11</v>
      </c>
      <c r="F153" s="7" t="s">
        <v>18</v>
      </c>
      <c r="G153" s="7" t="s">
        <v>19</v>
      </c>
      <c r="H153" s="7" t="s">
        <v>527</v>
      </c>
      <c r="I153" s="8" t="s">
        <v>535</v>
      </c>
    </row>
    <row r="154" spans="1:9" x14ac:dyDescent="0.35">
      <c r="A154" s="6">
        <v>2523506</v>
      </c>
      <c r="B154" s="7" t="str">
        <f>"3173085001830007"</f>
        <v>3173085001830007</v>
      </c>
      <c r="C154" s="7" t="s">
        <v>538</v>
      </c>
      <c r="D154" s="7" t="s">
        <v>17</v>
      </c>
      <c r="E154" s="7" t="s">
        <v>11</v>
      </c>
      <c r="F154" s="7" t="s">
        <v>18</v>
      </c>
      <c r="G154" s="7" t="s">
        <v>19</v>
      </c>
      <c r="H154" s="7" t="s">
        <v>527</v>
      </c>
      <c r="I154" s="8" t="s">
        <v>539</v>
      </c>
    </row>
    <row r="155" spans="1:9" x14ac:dyDescent="0.35">
      <c r="A155" s="6">
        <v>2524863</v>
      </c>
      <c r="B155" s="7" t="str">
        <f>"3174104604580003"</f>
        <v>3174104604580003</v>
      </c>
      <c r="C155" s="7" t="s">
        <v>540</v>
      </c>
      <c r="D155" s="7" t="s">
        <v>17</v>
      </c>
      <c r="E155" s="7" t="s">
        <v>11</v>
      </c>
      <c r="F155" s="7" t="s">
        <v>18</v>
      </c>
      <c r="G155" s="7" t="s">
        <v>19</v>
      </c>
      <c r="H155" s="7" t="s">
        <v>527</v>
      </c>
      <c r="I155" s="8" t="s">
        <v>543</v>
      </c>
    </row>
    <row r="156" spans="1:9" x14ac:dyDescent="0.35">
      <c r="A156" s="6">
        <v>2522880</v>
      </c>
      <c r="B156" s="7" t="str">
        <f>"3175010707720002"</f>
        <v>3175010707720002</v>
      </c>
      <c r="C156" s="7" t="s">
        <v>546</v>
      </c>
      <c r="D156" s="7" t="s">
        <v>17</v>
      </c>
      <c r="E156" s="7" t="s">
        <v>11</v>
      </c>
      <c r="F156" s="7" t="s">
        <v>18</v>
      </c>
      <c r="G156" s="7" t="s">
        <v>19</v>
      </c>
      <c r="H156" s="7" t="s">
        <v>527</v>
      </c>
      <c r="I156" s="8" t="s">
        <v>527</v>
      </c>
    </row>
    <row r="157" spans="1:9" x14ac:dyDescent="0.35">
      <c r="A157" s="6">
        <v>2523282</v>
      </c>
      <c r="B157" s="7" t="str">
        <f>"3175041702790012"</f>
        <v>3175041702790012</v>
      </c>
      <c r="C157" s="7" t="s">
        <v>547</v>
      </c>
      <c r="D157" s="7" t="s">
        <v>17</v>
      </c>
      <c r="E157" s="7" t="s">
        <v>11</v>
      </c>
      <c r="F157" s="7" t="s">
        <v>18</v>
      </c>
      <c r="G157" s="7" t="s">
        <v>19</v>
      </c>
      <c r="H157" s="7" t="s">
        <v>527</v>
      </c>
      <c r="I157" s="8" t="s">
        <v>535</v>
      </c>
    </row>
    <row r="158" spans="1:9" x14ac:dyDescent="0.35">
      <c r="A158" s="6">
        <v>2522536</v>
      </c>
      <c r="B158" s="7" t="str">
        <f>"3175046710580006"</f>
        <v>3175046710580006</v>
      </c>
      <c r="C158" s="7" t="s">
        <v>549</v>
      </c>
      <c r="D158" s="7" t="s">
        <v>17</v>
      </c>
      <c r="E158" s="7" t="s">
        <v>11</v>
      </c>
      <c r="F158" s="7" t="s">
        <v>18</v>
      </c>
      <c r="G158" s="7" t="s">
        <v>19</v>
      </c>
      <c r="H158" s="7" t="s">
        <v>527</v>
      </c>
      <c r="I158" s="8" t="s">
        <v>527</v>
      </c>
    </row>
    <row r="159" spans="1:9" x14ac:dyDescent="0.35">
      <c r="A159" s="6">
        <v>2526801</v>
      </c>
      <c r="B159" s="7" t="str">
        <f>"3202241102820004"</f>
        <v>3202241102820004</v>
      </c>
      <c r="C159" s="7" t="s">
        <v>550</v>
      </c>
      <c r="D159" s="7" t="s">
        <v>17</v>
      </c>
      <c r="E159" s="7" t="s">
        <v>11</v>
      </c>
      <c r="F159" s="7" t="s">
        <v>18</v>
      </c>
      <c r="G159" s="7" t="s">
        <v>19</v>
      </c>
      <c r="H159" s="7" t="s">
        <v>527</v>
      </c>
      <c r="I159" s="8" t="s">
        <v>528</v>
      </c>
    </row>
    <row r="160" spans="1:9" x14ac:dyDescent="0.35">
      <c r="A160" s="6">
        <v>2526802</v>
      </c>
      <c r="B160" s="7" t="str">
        <f>"3202245002840005"</f>
        <v>3202245002840005</v>
      </c>
      <c r="C160" s="7" t="s">
        <v>553</v>
      </c>
      <c r="D160" s="7" t="s">
        <v>17</v>
      </c>
      <c r="E160" s="7" t="s">
        <v>11</v>
      </c>
      <c r="F160" s="7" t="s">
        <v>18</v>
      </c>
      <c r="G160" s="7" t="s">
        <v>19</v>
      </c>
      <c r="H160" s="7" t="s">
        <v>527</v>
      </c>
      <c r="I160" s="8" t="s">
        <v>528</v>
      </c>
    </row>
    <row r="161" spans="1:9" x14ac:dyDescent="0.35">
      <c r="A161" s="6">
        <v>2524870</v>
      </c>
      <c r="B161" s="7" t="str">
        <f>"3203150506850008"</f>
        <v>3203150506850008</v>
      </c>
      <c r="C161" s="7" t="s">
        <v>554</v>
      </c>
      <c r="D161" s="7" t="s">
        <v>17</v>
      </c>
      <c r="E161" s="7" t="s">
        <v>11</v>
      </c>
      <c r="F161" s="7" t="s">
        <v>18</v>
      </c>
      <c r="G161" s="7" t="s">
        <v>19</v>
      </c>
      <c r="H161" s="7" t="s">
        <v>527</v>
      </c>
      <c r="I161" s="8" t="s">
        <v>543</v>
      </c>
    </row>
    <row r="162" spans="1:9" x14ac:dyDescent="0.35">
      <c r="A162" s="6">
        <v>2522174</v>
      </c>
      <c r="B162" s="7" t="str">
        <f>"3203151101900005"</f>
        <v>3203151101900005</v>
      </c>
      <c r="C162" s="7" t="s">
        <v>559</v>
      </c>
      <c r="D162" s="7" t="s">
        <v>17</v>
      </c>
      <c r="E162" s="7" t="s">
        <v>11</v>
      </c>
      <c r="F162" s="7" t="s">
        <v>18</v>
      </c>
      <c r="G162" s="7" t="s">
        <v>19</v>
      </c>
      <c r="H162" s="7" t="s">
        <v>527</v>
      </c>
      <c r="I162" s="8" t="s">
        <v>560</v>
      </c>
    </row>
    <row r="163" spans="1:9" x14ac:dyDescent="0.35">
      <c r="A163" s="6">
        <v>2523639</v>
      </c>
      <c r="B163" s="7" t="str">
        <f>"3212100211950001"</f>
        <v>3212100211950001</v>
      </c>
      <c r="C163" s="7" t="s">
        <v>561</v>
      </c>
      <c r="D163" s="7" t="s">
        <v>17</v>
      </c>
      <c r="E163" s="7" t="s">
        <v>11</v>
      </c>
      <c r="F163" s="7" t="s">
        <v>18</v>
      </c>
      <c r="G163" s="7" t="s">
        <v>19</v>
      </c>
      <c r="H163" s="7" t="s">
        <v>527</v>
      </c>
      <c r="I163" s="8" t="s">
        <v>564</v>
      </c>
    </row>
    <row r="164" spans="1:9" x14ac:dyDescent="0.35">
      <c r="A164" s="6">
        <v>2522807</v>
      </c>
      <c r="B164" s="7" t="str">
        <f>"3215082603840001"</f>
        <v>3215082603840001</v>
      </c>
      <c r="C164" s="7" t="s">
        <v>565</v>
      </c>
      <c r="D164" s="7" t="s">
        <v>17</v>
      </c>
      <c r="E164" s="7" t="s">
        <v>11</v>
      </c>
      <c r="F164" s="7" t="s">
        <v>18</v>
      </c>
      <c r="G164" s="7" t="s">
        <v>19</v>
      </c>
      <c r="H164" s="7" t="s">
        <v>527</v>
      </c>
      <c r="I164" s="8" t="s">
        <v>527</v>
      </c>
    </row>
    <row r="165" spans="1:9" x14ac:dyDescent="0.35">
      <c r="A165" s="6">
        <v>2524692</v>
      </c>
      <c r="B165" s="7" t="str">
        <f>"3215202106890002"</f>
        <v>3215202106890002</v>
      </c>
      <c r="C165" s="7" t="s">
        <v>567</v>
      </c>
      <c r="D165" s="7" t="s">
        <v>17</v>
      </c>
      <c r="E165" s="7" t="s">
        <v>11</v>
      </c>
      <c r="F165" s="7" t="s">
        <v>18</v>
      </c>
      <c r="G165" s="7" t="s">
        <v>19</v>
      </c>
      <c r="H165" s="7" t="s">
        <v>527</v>
      </c>
      <c r="I165" s="8" t="s">
        <v>543</v>
      </c>
    </row>
    <row r="166" spans="1:9" x14ac:dyDescent="0.35">
      <c r="A166" s="6">
        <v>2522924</v>
      </c>
      <c r="B166" s="7" t="str">
        <f>"3216191501830003"</f>
        <v>3216191501830003</v>
      </c>
      <c r="C166" s="7" t="s">
        <v>570</v>
      </c>
      <c r="D166" s="7" t="s">
        <v>17</v>
      </c>
      <c r="E166" s="7" t="s">
        <v>11</v>
      </c>
      <c r="F166" s="7" t="s">
        <v>18</v>
      </c>
      <c r="G166" s="7" t="s">
        <v>19</v>
      </c>
      <c r="H166" s="7" t="s">
        <v>527</v>
      </c>
      <c r="I166" s="8" t="s">
        <v>527</v>
      </c>
    </row>
    <row r="167" spans="1:9" x14ac:dyDescent="0.35">
      <c r="A167" s="6">
        <v>2523363</v>
      </c>
      <c r="B167" s="7" t="str">
        <f>"3275092108930005"</f>
        <v>3275092108930005</v>
      </c>
      <c r="C167" s="7" t="s">
        <v>573</v>
      </c>
      <c r="D167" s="7" t="s">
        <v>17</v>
      </c>
      <c r="E167" s="7" t="s">
        <v>11</v>
      </c>
      <c r="F167" s="7" t="s">
        <v>18</v>
      </c>
      <c r="G167" s="7" t="s">
        <v>19</v>
      </c>
      <c r="H167" s="7" t="s">
        <v>527</v>
      </c>
      <c r="I167" s="8" t="s">
        <v>535</v>
      </c>
    </row>
    <row r="168" spans="1:9" x14ac:dyDescent="0.35">
      <c r="A168" s="6">
        <v>2523364</v>
      </c>
      <c r="B168" s="7" t="str">
        <f>"3275094403650008"</f>
        <v>3275094403650008</v>
      </c>
      <c r="C168" s="7" t="s">
        <v>577</v>
      </c>
      <c r="D168" s="7" t="s">
        <v>17</v>
      </c>
      <c r="E168" s="7" t="s">
        <v>11</v>
      </c>
      <c r="F168" s="7" t="s">
        <v>18</v>
      </c>
      <c r="G168" s="7" t="s">
        <v>19</v>
      </c>
      <c r="H168" s="7" t="s">
        <v>527</v>
      </c>
      <c r="I168" s="8" t="s">
        <v>535</v>
      </c>
    </row>
    <row r="169" spans="1:9" x14ac:dyDescent="0.35">
      <c r="A169" s="6">
        <v>2522209</v>
      </c>
      <c r="B169" s="7" t="str">
        <f>"3276010202990010"</f>
        <v>3276010202990010</v>
      </c>
      <c r="C169" s="7" t="s">
        <v>578</v>
      </c>
      <c r="D169" s="7" t="s">
        <v>17</v>
      </c>
      <c r="E169" s="7" t="s">
        <v>11</v>
      </c>
      <c r="F169" s="7" t="s">
        <v>18</v>
      </c>
      <c r="G169" s="7" t="s">
        <v>19</v>
      </c>
      <c r="H169" s="7" t="s">
        <v>527</v>
      </c>
      <c r="I169" s="8" t="s">
        <v>527</v>
      </c>
    </row>
    <row r="170" spans="1:9" x14ac:dyDescent="0.35">
      <c r="A170" s="6">
        <v>1628611</v>
      </c>
      <c r="B170" s="7" t="str">
        <f>"3276010202990010"</f>
        <v>3276010202990010</v>
      </c>
      <c r="C170" s="7" t="s">
        <v>579</v>
      </c>
      <c r="D170" s="7" t="s">
        <v>17</v>
      </c>
      <c r="E170" s="7" t="s">
        <v>11</v>
      </c>
      <c r="F170" s="7" t="s">
        <v>18</v>
      </c>
      <c r="G170" s="7" t="s">
        <v>264</v>
      </c>
      <c r="H170" s="7" t="s">
        <v>248</v>
      </c>
      <c r="I170" s="8" t="s">
        <v>472</v>
      </c>
    </row>
    <row r="171" spans="1:9" x14ac:dyDescent="0.35">
      <c r="A171" s="6">
        <v>2522982</v>
      </c>
      <c r="B171" s="7" t="str">
        <f>"3311060908960001"</f>
        <v>3311060908960001</v>
      </c>
      <c r="C171" s="7" t="s">
        <v>584</v>
      </c>
      <c r="D171" s="7" t="s">
        <v>17</v>
      </c>
      <c r="E171" s="7" t="s">
        <v>11</v>
      </c>
      <c r="F171" s="7" t="s">
        <v>18</v>
      </c>
      <c r="G171" s="7" t="s">
        <v>19</v>
      </c>
      <c r="H171" s="7" t="s">
        <v>527</v>
      </c>
      <c r="I171" s="8" t="s">
        <v>527</v>
      </c>
    </row>
    <row r="172" spans="1:9" x14ac:dyDescent="0.35">
      <c r="A172" s="6">
        <v>2526288</v>
      </c>
      <c r="B172" s="7" t="str">
        <f>"3326022907850002"</f>
        <v>3326022907850002</v>
      </c>
      <c r="C172" s="7" t="s">
        <v>588</v>
      </c>
      <c r="D172" s="7" t="s">
        <v>17</v>
      </c>
      <c r="E172" s="7" t="s">
        <v>11</v>
      </c>
      <c r="F172" s="7" t="s">
        <v>18</v>
      </c>
      <c r="G172" s="7" t="s">
        <v>19</v>
      </c>
      <c r="H172" s="7" t="s">
        <v>527</v>
      </c>
      <c r="I172" s="8" t="s">
        <v>528</v>
      </c>
    </row>
    <row r="173" spans="1:9" x14ac:dyDescent="0.35">
      <c r="A173" s="6">
        <v>2523922</v>
      </c>
      <c r="B173" s="7" t="str">
        <f>"3326094807900003"</f>
        <v>3326094807900003</v>
      </c>
      <c r="C173" s="7" t="s">
        <v>589</v>
      </c>
      <c r="D173" s="7" t="s">
        <v>17</v>
      </c>
      <c r="E173" s="7" t="s">
        <v>11</v>
      </c>
      <c r="F173" s="7" t="s">
        <v>18</v>
      </c>
      <c r="G173" s="7" t="s">
        <v>19</v>
      </c>
      <c r="H173" s="7" t="s">
        <v>527</v>
      </c>
      <c r="I173" s="8" t="s">
        <v>590</v>
      </c>
    </row>
    <row r="174" spans="1:9" x14ac:dyDescent="0.35">
      <c r="A174" s="6">
        <v>2522281</v>
      </c>
      <c r="B174" s="7" t="str">
        <f>"3326180107990011"</f>
        <v>3326180107990011</v>
      </c>
      <c r="C174" s="7" t="s">
        <v>591</v>
      </c>
      <c r="D174" s="7" t="s">
        <v>17</v>
      </c>
      <c r="E174" s="7" t="s">
        <v>11</v>
      </c>
      <c r="F174" s="7" t="s">
        <v>18</v>
      </c>
      <c r="G174" s="7" t="s">
        <v>19</v>
      </c>
      <c r="H174" s="7" t="s">
        <v>527</v>
      </c>
      <c r="I174" s="8" t="s">
        <v>527</v>
      </c>
    </row>
    <row r="175" spans="1:9" x14ac:dyDescent="0.35">
      <c r="A175" s="6">
        <v>2522547</v>
      </c>
      <c r="B175" s="7" t="str">
        <f>"3327023112820010"</f>
        <v>3327023112820010</v>
      </c>
      <c r="C175" s="7" t="s">
        <v>597</v>
      </c>
      <c r="D175" s="7" t="s">
        <v>17</v>
      </c>
      <c r="E175" s="7" t="s">
        <v>11</v>
      </c>
      <c r="F175" s="7" t="s">
        <v>18</v>
      </c>
      <c r="G175" s="7" t="s">
        <v>19</v>
      </c>
      <c r="H175" s="7" t="s">
        <v>527</v>
      </c>
      <c r="I175" s="8" t="s">
        <v>527</v>
      </c>
    </row>
    <row r="176" spans="1:9" x14ac:dyDescent="0.35">
      <c r="A176" s="6">
        <v>2521707</v>
      </c>
      <c r="B176" s="7" t="str">
        <f>"3327032409840005"</f>
        <v>3327032409840005</v>
      </c>
      <c r="C176" s="7" t="s">
        <v>601</v>
      </c>
      <c r="D176" s="7" t="s">
        <v>17</v>
      </c>
      <c r="E176" s="7" t="s">
        <v>11</v>
      </c>
      <c r="F176" s="7" t="s">
        <v>18</v>
      </c>
      <c r="G176" s="7" t="s">
        <v>19</v>
      </c>
      <c r="H176" s="7" t="s">
        <v>527</v>
      </c>
      <c r="I176" s="8" t="s">
        <v>602</v>
      </c>
    </row>
    <row r="177" spans="1:9" x14ac:dyDescent="0.35">
      <c r="A177" s="6">
        <v>2525338</v>
      </c>
      <c r="B177" s="7" t="str">
        <f>"3327103009950044"</f>
        <v>3327103009950044</v>
      </c>
      <c r="C177" s="7" t="s">
        <v>604</v>
      </c>
      <c r="D177" s="7" t="s">
        <v>17</v>
      </c>
      <c r="E177" s="7" t="s">
        <v>11</v>
      </c>
      <c r="F177" s="7" t="s">
        <v>18</v>
      </c>
      <c r="G177" s="7" t="s">
        <v>19</v>
      </c>
      <c r="H177" s="7" t="s">
        <v>527</v>
      </c>
      <c r="I177" s="8" t="s">
        <v>605</v>
      </c>
    </row>
    <row r="178" spans="1:9" x14ac:dyDescent="0.35">
      <c r="A178" s="6">
        <v>1656598</v>
      </c>
      <c r="B178" s="7" t="str">
        <f>"3328020106980005"</f>
        <v>3328020106980005</v>
      </c>
      <c r="C178" s="7" t="s">
        <v>612</v>
      </c>
      <c r="D178" s="7" t="s">
        <v>17</v>
      </c>
      <c r="E178" s="7" t="s">
        <v>11</v>
      </c>
      <c r="F178" s="7" t="s">
        <v>18</v>
      </c>
      <c r="G178" s="7" t="s">
        <v>264</v>
      </c>
      <c r="H178" s="7" t="s">
        <v>289</v>
      </c>
      <c r="I178" s="8" t="s">
        <v>613</v>
      </c>
    </row>
    <row r="179" spans="1:9" x14ac:dyDescent="0.35">
      <c r="A179" s="6">
        <v>2521764</v>
      </c>
      <c r="B179" s="7" t="str">
        <f>"3328020107000059"</f>
        <v>3328020107000059</v>
      </c>
      <c r="C179" s="7" t="s">
        <v>614</v>
      </c>
      <c r="D179" s="7" t="s">
        <v>17</v>
      </c>
      <c r="E179" s="7" t="s">
        <v>11</v>
      </c>
      <c r="F179" s="7" t="s">
        <v>18</v>
      </c>
      <c r="G179" s="7" t="s">
        <v>19</v>
      </c>
      <c r="H179" s="7" t="s">
        <v>527</v>
      </c>
      <c r="I179" s="8" t="s">
        <v>616</v>
      </c>
    </row>
    <row r="180" spans="1:9" x14ac:dyDescent="0.35">
      <c r="A180" s="6">
        <v>2522777</v>
      </c>
      <c r="B180" s="7" t="str">
        <f>"3328020209970008"</f>
        <v>3328020209970008</v>
      </c>
      <c r="C180" s="7" t="s">
        <v>622</v>
      </c>
      <c r="D180" s="7" t="s">
        <v>17</v>
      </c>
      <c r="E180" s="7" t="s">
        <v>11</v>
      </c>
      <c r="F180" s="7" t="s">
        <v>18</v>
      </c>
      <c r="G180" s="7" t="s">
        <v>19</v>
      </c>
      <c r="H180" s="7" t="s">
        <v>527</v>
      </c>
      <c r="I180" s="8" t="s">
        <v>527</v>
      </c>
    </row>
    <row r="181" spans="1:9" x14ac:dyDescent="0.35">
      <c r="A181" s="6">
        <v>2524735</v>
      </c>
      <c r="B181" s="7" t="str">
        <f>"3328020502950007"</f>
        <v>3328020502950007</v>
      </c>
      <c r="C181" s="7" t="s">
        <v>625</v>
      </c>
      <c r="D181" s="7" t="s">
        <v>17</v>
      </c>
      <c r="E181" s="7" t="s">
        <v>11</v>
      </c>
      <c r="F181" s="7" t="s">
        <v>18</v>
      </c>
      <c r="G181" s="7" t="s">
        <v>19</v>
      </c>
      <c r="H181" s="7" t="s">
        <v>527</v>
      </c>
      <c r="I181" s="8" t="s">
        <v>543</v>
      </c>
    </row>
    <row r="182" spans="1:9" x14ac:dyDescent="0.35">
      <c r="A182" s="6">
        <v>2526155</v>
      </c>
      <c r="B182" s="7" t="str">
        <f>"3328020802720001"</f>
        <v>3328020802720001</v>
      </c>
      <c r="C182" s="7" t="s">
        <v>627</v>
      </c>
      <c r="D182" s="7" t="s">
        <v>17</v>
      </c>
      <c r="E182" s="7" t="s">
        <v>11</v>
      </c>
      <c r="F182" s="7" t="s">
        <v>18</v>
      </c>
      <c r="G182" s="7" t="s">
        <v>19</v>
      </c>
      <c r="H182" s="7" t="s">
        <v>527</v>
      </c>
      <c r="I182" s="8" t="s">
        <v>528</v>
      </c>
    </row>
    <row r="183" spans="1:9" x14ac:dyDescent="0.35">
      <c r="A183" s="6">
        <v>1133362</v>
      </c>
      <c r="B183" s="7" t="str">
        <f>"3328020804730005"</f>
        <v>3328020804730005</v>
      </c>
      <c r="C183" s="7" t="s">
        <v>630</v>
      </c>
      <c r="D183" s="7" t="s">
        <v>17</v>
      </c>
      <c r="E183" s="7" t="s">
        <v>11</v>
      </c>
      <c r="F183" s="7" t="s">
        <v>91</v>
      </c>
      <c r="G183" s="7" t="s">
        <v>631</v>
      </c>
      <c r="H183" s="7" t="s">
        <v>632</v>
      </c>
      <c r="I183" s="8" t="s">
        <v>633</v>
      </c>
    </row>
    <row r="184" spans="1:9" x14ac:dyDescent="0.35">
      <c r="A184" s="6">
        <v>2523067</v>
      </c>
      <c r="B184" s="7" t="str">
        <f>"3328020811930002"</f>
        <v>3328020811930002</v>
      </c>
      <c r="C184" s="7" t="s">
        <v>634</v>
      </c>
      <c r="D184" s="7" t="s">
        <v>17</v>
      </c>
      <c r="E184" s="7" t="s">
        <v>11</v>
      </c>
      <c r="F184" s="7" t="s">
        <v>18</v>
      </c>
      <c r="G184" s="7" t="s">
        <v>19</v>
      </c>
      <c r="H184" s="7" t="s">
        <v>527</v>
      </c>
      <c r="I184" s="8" t="s">
        <v>527</v>
      </c>
    </row>
    <row r="185" spans="1:9" x14ac:dyDescent="0.35">
      <c r="A185" s="6">
        <v>2526162</v>
      </c>
      <c r="B185" s="7" t="str">
        <f>"3328020910950004"</f>
        <v>3328020910950004</v>
      </c>
      <c r="C185" s="7" t="s">
        <v>636</v>
      </c>
      <c r="D185" s="7" t="s">
        <v>17</v>
      </c>
      <c r="E185" s="7" t="s">
        <v>11</v>
      </c>
      <c r="F185" s="7" t="s">
        <v>18</v>
      </c>
      <c r="G185" s="7" t="s">
        <v>19</v>
      </c>
      <c r="H185" s="7" t="s">
        <v>527</v>
      </c>
      <c r="I185" s="8" t="s">
        <v>528</v>
      </c>
    </row>
    <row r="186" spans="1:9" x14ac:dyDescent="0.35">
      <c r="A186" s="6">
        <v>211317</v>
      </c>
      <c r="B186" s="7" t="str">
        <f>"3328021002990002"</f>
        <v>3328021002990002</v>
      </c>
      <c r="C186" s="7" t="s">
        <v>641</v>
      </c>
      <c r="D186" s="7" t="s">
        <v>17</v>
      </c>
      <c r="E186" s="7" t="s">
        <v>11</v>
      </c>
      <c r="F186" s="7" t="s">
        <v>232</v>
      </c>
      <c r="G186" s="7" t="s">
        <v>642</v>
      </c>
      <c r="H186" s="7" t="s">
        <v>643</v>
      </c>
      <c r="I186" s="8" t="s">
        <v>644</v>
      </c>
    </row>
    <row r="187" spans="1:9" x14ac:dyDescent="0.35">
      <c r="A187" s="6">
        <v>2521570</v>
      </c>
      <c r="B187" s="7" t="str">
        <f>"3328021012750001"</f>
        <v>3328021012750001</v>
      </c>
      <c r="C187" s="7" t="s">
        <v>649</v>
      </c>
      <c r="D187" s="7" t="s">
        <v>17</v>
      </c>
      <c r="E187" s="7" t="s">
        <v>11</v>
      </c>
      <c r="F187" s="7" t="s">
        <v>18</v>
      </c>
      <c r="G187" s="7" t="s">
        <v>19</v>
      </c>
      <c r="H187" s="7" t="s">
        <v>527</v>
      </c>
      <c r="I187" s="8" t="s">
        <v>602</v>
      </c>
    </row>
    <row r="188" spans="1:9" x14ac:dyDescent="0.35">
      <c r="A188" s="6">
        <v>2522932</v>
      </c>
      <c r="B188" s="7" t="str">
        <f>"3328021408860001"</f>
        <v>3328021408860001</v>
      </c>
      <c r="C188" s="7" t="s">
        <v>663</v>
      </c>
      <c r="D188" s="7" t="s">
        <v>17</v>
      </c>
      <c r="E188" s="7" t="s">
        <v>11</v>
      </c>
      <c r="F188" s="7" t="s">
        <v>18</v>
      </c>
      <c r="G188" s="7" t="s">
        <v>19</v>
      </c>
      <c r="H188" s="7" t="s">
        <v>527</v>
      </c>
      <c r="I188" s="8" t="s">
        <v>527</v>
      </c>
    </row>
    <row r="189" spans="1:9" x14ac:dyDescent="0.35">
      <c r="A189" s="6">
        <v>2523785</v>
      </c>
      <c r="B189" s="7" t="str">
        <f>"3328021412980009"</f>
        <v>3328021412980009</v>
      </c>
      <c r="C189" s="7" t="s">
        <v>666</v>
      </c>
      <c r="D189" s="7" t="s">
        <v>17</v>
      </c>
      <c r="E189" s="7" t="s">
        <v>11</v>
      </c>
      <c r="F189" s="7" t="s">
        <v>18</v>
      </c>
      <c r="G189" s="7" t="s">
        <v>19</v>
      </c>
      <c r="H189" s="7" t="s">
        <v>527</v>
      </c>
      <c r="I189" s="8" t="s">
        <v>671</v>
      </c>
    </row>
    <row r="190" spans="1:9" x14ac:dyDescent="0.35">
      <c r="A190" s="6">
        <v>2523431</v>
      </c>
      <c r="B190" s="7" t="str">
        <f>"3328021502860003"</f>
        <v>3328021502860003</v>
      </c>
      <c r="C190" s="7" t="s">
        <v>672</v>
      </c>
      <c r="D190" s="7" t="s">
        <v>17</v>
      </c>
      <c r="E190" s="7" t="s">
        <v>11</v>
      </c>
      <c r="F190" s="7" t="s">
        <v>18</v>
      </c>
      <c r="G190" s="7" t="s">
        <v>19</v>
      </c>
      <c r="H190" s="7" t="s">
        <v>527</v>
      </c>
      <c r="I190" s="8" t="s">
        <v>539</v>
      </c>
    </row>
    <row r="191" spans="1:9" x14ac:dyDescent="0.35">
      <c r="A191" s="6">
        <v>2523454</v>
      </c>
      <c r="B191" s="7" t="str">
        <f>"3328021506851458"</f>
        <v>3328021506851458</v>
      </c>
      <c r="C191" s="7" t="s">
        <v>677</v>
      </c>
      <c r="D191" s="7" t="s">
        <v>17</v>
      </c>
      <c r="E191" s="7" t="s">
        <v>11</v>
      </c>
      <c r="F191" s="7" t="s">
        <v>18</v>
      </c>
      <c r="G191" s="7" t="s">
        <v>19</v>
      </c>
      <c r="H191" s="7" t="s">
        <v>527</v>
      </c>
      <c r="I191" s="8" t="s">
        <v>539</v>
      </c>
    </row>
    <row r="192" spans="1:9" x14ac:dyDescent="0.35">
      <c r="A192" s="6">
        <v>2524976</v>
      </c>
      <c r="B192" s="7" t="str">
        <f>"3328021508850006"</f>
        <v>3328021508850006</v>
      </c>
      <c r="C192" s="7" t="s">
        <v>679</v>
      </c>
      <c r="D192" s="7" t="s">
        <v>17</v>
      </c>
      <c r="E192" s="7" t="s">
        <v>11</v>
      </c>
      <c r="F192" s="7" t="s">
        <v>18</v>
      </c>
      <c r="G192" s="7" t="s">
        <v>19</v>
      </c>
      <c r="H192" s="7" t="s">
        <v>527</v>
      </c>
      <c r="I192" s="8" t="s">
        <v>543</v>
      </c>
    </row>
    <row r="193" spans="1:9" x14ac:dyDescent="0.35">
      <c r="A193" s="6">
        <v>1884184</v>
      </c>
      <c r="B193" s="7" t="str">
        <f>"3328021610840003"</f>
        <v>3328021610840003</v>
      </c>
      <c r="C193" s="7" t="s">
        <v>683</v>
      </c>
      <c r="D193" s="7" t="s">
        <v>17</v>
      </c>
      <c r="E193" s="7" t="s">
        <v>57</v>
      </c>
      <c r="F193" s="7" t="s">
        <v>91</v>
      </c>
      <c r="G193" s="7" t="s">
        <v>159</v>
      </c>
      <c r="H193" s="7" t="s">
        <v>685</v>
      </c>
      <c r="I193" s="8" t="s">
        <v>686</v>
      </c>
    </row>
    <row r="194" spans="1:9" x14ac:dyDescent="0.35">
      <c r="A194" s="6">
        <v>2525154</v>
      </c>
      <c r="B194" s="7" t="str">
        <f>"3328021612030003"</f>
        <v>3328021612030003</v>
      </c>
      <c r="C194" s="7" t="s">
        <v>690</v>
      </c>
      <c r="D194" s="7" t="s">
        <v>17</v>
      </c>
      <c r="E194" s="7" t="s">
        <v>11</v>
      </c>
      <c r="F194" s="7" t="s">
        <v>18</v>
      </c>
      <c r="G194" s="7" t="s">
        <v>19</v>
      </c>
      <c r="H194" s="7" t="s">
        <v>527</v>
      </c>
      <c r="I194" s="8" t="s">
        <v>691</v>
      </c>
    </row>
    <row r="195" spans="1:9" x14ac:dyDescent="0.35">
      <c r="A195" s="6">
        <v>1685127</v>
      </c>
      <c r="B195" s="7" t="str">
        <f>"3328021707950024"</f>
        <v>3328021707950024</v>
      </c>
      <c r="C195" s="7" t="s">
        <v>692</v>
      </c>
      <c r="D195" s="7" t="s">
        <v>17</v>
      </c>
      <c r="E195" s="7" t="s">
        <v>11</v>
      </c>
      <c r="F195" s="7" t="s">
        <v>18</v>
      </c>
      <c r="G195" s="7" t="s">
        <v>184</v>
      </c>
      <c r="H195" s="7" t="s">
        <v>693</v>
      </c>
      <c r="I195" s="8" t="s">
        <v>694</v>
      </c>
    </row>
    <row r="196" spans="1:9" x14ac:dyDescent="0.35">
      <c r="A196" s="6">
        <v>2524772</v>
      </c>
      <c r="B196" s="7" t="str">
        <f>"3328021711920004"</f>
        <v>3328021711920004</v>
      </c>
      <c r="C196" s="7" t="s">
        <v>698</v>
      </c>
      <c r="D196" s="7" t="s">
        <v>17</v>
      </c>
      <c r="E196" s="7" t="s">
        <v>11</v>
      </c>
      <c r="F196" s="7" t="s">
        <v>18</v>
      </c>
      <c r="G196" s="7" t="s">
        <v>19</v>
      </c>
      <c r="H196" s="7" t="s">
        <v>527</v>
      </c>
      <c r="I196" s="8" t="s">
        <v>543</v>
      </c>
    </row>
    <row r="197" spans="1:9" x14ac:dyDescent="0.35">
      <c r="A197" s="6">
        <v>2524818</v>
      </c>
      <c r="B197" s="7" t="str">
        <f>"3328021802960002"</f>
        <v>3328021802960002</v>
      </c>
      <c r="C197" s="7" t="s">
        <v>701</v>
      </c>
      <c r="D197" s="7" t="s">
        <v>17</v>
      </c>
      <c r="E197" s="7" t="s">
        <v>11</v>
      </c>
      <c r="F197" s="7" t="s">
        <v>18</v>
      </c>
      <c r="G197" s="7" t="s">
        <v>19</v>
      </c>
      <c r="H197" s="7" t="s">
        <v>527</v>
      </c>
      <c r="I197" s="8" t="s">
        <v>543</v>
      </c>
    </row>
    <row r="198" spans="1:9" x14ac:dyDescent="0.35">
      <c r="A198" s="6">
        <v>2524832</v>
      </c>
      <c r="B198" s="7" t="str">
        <f>"3328021910920004"</f>
        <v>3328021910920004</v>
      </c>
      <c r="C198" s="7" t="s">
        <v>702</v>
      </c>
      <c r="D198" s="7" t="s">
        <v>17</v>
      </c>
      <c r="E198" s="7" t="s">
        <v>11</v>
      </c>
      <c r="F198" s="7" t="s">
        <v>18</v>
      </c>
      <c r="G198" s="7" t="s">
        <v>19</v>
      </c>
      <c r="H198" s="7" t="s">
        <v>527</v>
      </c>
      <c r="I198" s="8" t="s">
        <v>543</v>
      </c>
    </row>
    <row r="199" spans="1:9" x14ac:dyDescent="0.35">
      <c r="A199" s="6">
        <v>2523097</v>
      </c>
      <c r="B199" s="7" t="str">
        <f>"3328022006970005"</f>
        <v>3328022006970005</v>
      </c>
      <c r="C199" s="7" t="s">
        <v>705</v>
      </c>
      <c r="D199" s="7" t="s">
        <v>17</v>
      </c>
      <c r="E199" s="7" t="s">
        <v>11</v>
      </c>
      <c r="F199" s="7" t="s">
        <v>18</v>
      </c>
      <c r="G199" s="7" t="s">
        <v>19</v>
      </c>
      <c r="H199" s="7" t="s">
        <v>527</v>
      </c>
      <c r="I199" s="8" t="s">
        <v>527</v>
      </c>
    </row>
    <row r="200" spans="1:9" x14ac:dyDescent="0.35">
      <c r="A200" s="6">
        <v>2523470</v>
      </c>
      <c r="B200" s="7" t="str">
        <f>"3328022011030002"</f>
        <v>3328022011030002</v>
      </c>
      <c r="C200" s="7" t="s">
        <v>708</v>
      </c>
      <c r="D200" s="7" t="s">
        <v>17</v>
      </c>
      <c r="E200" s="7" t="s">
        <v>11</v>
      </c>
      <c r="F200" s="7" t="s">
        <v>18</v>
      </c>
      <c r="G200" s="7" t="s">
        <v>19</v>
      </c>
      <c r="H200" s="7" t="s">
        <v>527</v>
      </c>
      <c r="I200" s="8" t="s">
        <v>539</v>
      </c>
    </row>
    <row r="201" spans="1:9" x14ac:dyDescent="0.35">
      <c r="A201" s="6">
        <v>781589</v>
      </c>
      <c r="B201" s="7" t="str">
        <f>"3328022105960002"</f>
        <v>3328022105960002</v>
      </c>
      <c r="C201" s="7" t="s">
        <v>710</v>
      </c>
      <c r="D201" s="7" t="s">
        <v>17</v>
      </c>
      <c r="E201" s="7" t="s">
        <v>11</v>
      </c>
      <c r="F201" s="7" t="s">
        <v>379</v>
      </c>
      <c r="G201" s="7" t="s">
        <v>711</v>
      </c>
      <c r="H201" s="7" t="s">
        <v>712</v>
      </c>
      <c r="I201" s="8" t="s">
        <v>713</v>
      </c>
    </row>
    <row r="202" spans="1:9" x14ac:dyDescent="0.35">
      <c r="A202" s="6">
        <v>1660252</v>
      </c>
      <c r="B202" s="7" t="str">
        <f>"3328022211910009"</f>
        <v>3328022211910009</v>
      </c>
      <c r="C202" s="7" t="s">
        <v>715</v>
      </c>
      <c r="D202" s="7" t="s">
        <v>17</v>
      </c>
      <c r="E202" s="7" t="s">
        <v>11</v>
      </c>
      <c r="F202" s="7" t="s">
        <v>18</v>
      </c>
      <c r="G202" s="7" t="s">
        <v>264</v>
      </c>
      <c r="H202" s="7" t="s">
        <v>289</v>
      </c>
      <c r="I202" s="8" t="s">
        <v>290</v>
      </c>
    </row>
    <row r="203" spans="1:9" x14ac:dyDescent="0.35">
      <c r="A203" s="6">
        <v>1660286</v>
      </c>
      <c r="B203" s="7" t="str">
        <f>"3328022305780001"</f>
        <v>3328022305780001</v>
      </c>
      <c r="C203" s="7" t="s">
        <v>720</v>
      </c>
      <c r="D203" s="7" t="s">
        <v>17</v>
      </c>
      <c r="E203" s="7" t="s">
        <v>11</v>
      </c>
      <c r="F203" s="7" t="s">
        <v>18</v>
      </c>
      <c r="G203" s="7" t="s">
        <v>264</v>
      </c>
      <c r="H203" s="7" t="s">
        <v>289</v>
      </c>
      <c r="I203" s="8" t="s">
        <v>290</v>
      </c>
    </row>
    <row r="204" spans="1:9" x14ac:dyDescent="0.35">
      <c r="A204" s="6">
        <v>3124665</v>
      </c>
      <c r="B204" s="7" t="str">
        <f>"3328022409010004"</f>
        <v>3328022409010004</v>
      </c>
      <c r="C204" s="7" t="s">
        <v>722</v>
      </c>
      <c r="D204" s="7" t="s">
        <v>17</v>
      </c>
      <c r="E204" s="7" t="s">
        <v>57</v>
      </c>
      <c r="F204" s="7" t="s">
        <v>18</v>
      </c>
      <c r="G204" s="7" t="s">
        <v>163</v>
      </c>
      <c r="H204" s="7" t="s">
        <v>723</v>
      </c>
      <c r="I204" s="8" t="s">
        <v>724</v>
      </c>
    </row>
    <row r="205" spans="1:9" x14ac:dyDescent="0.35">
      <c r="A205" s="6">
        <v>2524707</v>
      </c>
      <c r="B205" s="7" t="str">
        <f>"3328022510030005"</f>
        <v>3328022510030005</v>
      </c>
      <c r="C205" s="7" t="s">
        <v>731</v>
      </c>
      <c r="D205" s="7" t="s">
        <v>17</v>
      </c>
      <c r="E205" s="7" t="s">
        <v>11</v>
      </c>
      <c r="F205" s="7" t="s">
        <v>18</v>
      </c>
      <c r="G205" s="7" t="s">
        <v>19</v>
      </c>
      <c r="H205" s="7" t="s">
        <v>527</v>
      </c>
      <c r="I205" s="8" t="s">
        <v>543</v>
      </c>
    </row>
    <row r="206" spans="1:9" x14ac:dyDescent="0.35">
      <c r="A206" s="6">
        <v>2523885</v>
      </c>
      <c r="B206" s="7" t="str">
        <f>"3328022609900006"</f>
        <v>3328022609900006</v>
      </c>
      <c r="C206" s="7" t="s">
        <v>737</v>
      </c>
      <c r="D206" s="7" t="s">
        <v>17</v>
      </c>
      <c r="E206" s="7" t="s">
        <v>11</v>
      </c>
      <c r="F206" s="7" t="s">
        <v>18</v>
      </c>
      <c r="G206" s="7" t="s">
        <v>19</v>
      </c>
      <c r="H206" s="7" t="s">
        <v>527</v>
      </c>
      <c r="I206" s="8" t="s">
        <v>590</v>
      </c>
    </row>
    <row r="207" spans="1:9" x14ac:dyDescent="0.35">
      <c r="A207" s="6">
        <v>2424880</v>
      </c>
      <c r="B207" s="7" t="str">
        <f>"3328022807010003"</f>
        <v>3328022807010003</v>
      </c>
      <c r="C207" s="7" t="s">
        <v>742</v>
      </c>
      <c r="D207" s="7" t="s">
        <v>17</v>
      </c>
      <c r="E207" s="7" t="s">
        <v>11</v>
      </c>
      <c r="F207" s="7" t="s">
        <v>50</v>
      </c>
      <c r="G207" s="7" t="s">
        <v>58</v>
      </c>
      <c r="H207" s="7" t="s">
        <v>316</v>
      </c>
      <c r="I207" s="8" t="s">
        <v>743</v>
      </c>
    </row>
    <row r="208" spans="1:9" x14ac:dyDescent="0.35">
      <c r="A208" s="6">
        <v>2573902</v>
      </c>
      <c r="B208" s="7" t="str">
        <f>"3328023112750077"</f>
        <v>3328023112750077</v>
      </c>
      <c r="C208" s="7" t="s">
        <v>744</v>
      </c>
      <c r="D208" s="7" t="s">
        <v>17</v>
      </c>
      <c r="E208" s="7" t="s">
        <v>11</v>
      </c>
      <c r="F208" s="7" t="s">
        <v>18</v>
      </c>
      <c r="G208" s="7" t="s">
        <v>19</v>
      </c>
      <c r="H208" s="7" t="s">
        <v>745</v>
      </c>
      <c r="I208" s="8" t="s">
        <v>746</v>
      </c>
    </row>
    <row r="209" spans="1:9" x14ac:dyDescent="0.35">
      <c r="A209" s="6">
        <v>2526399</v>
      </c>
      <c r="B209" s="7" t="str">
        <f>"3328024107770163"</f>
        <v>3328024107770163</v>
      </c>
      <c r="C209" s="7" t="s">
        <v>488</v>
      </c>
      <c r="D209" s="7" t="s">
        <v>17</v>
      </c>
      <c r="E209" s="7" t="s">
        <v>11</v>
      </c>
      <c r="F209" s="7" t="s">
        <v>18</v>
      </c>
      <c r="G209" s="7" t="s">
        <v>19</v>
      </c>
      <c r="H209" s="7" t="s">
        <v>527</v>
      </c>
      <c r="I209" s="8" t="s">
        <v>528</v>
      </c>
    </row>
    <row r="210" spans="1:9" x14ac:dyDescent="0.35">
      <c r="A210" s="6">
        <v>2526556</v>
      </c>
      <c r="B210" s="7" t="str">
        <f>"3328024107790181"</f>
        <v>3328024107790181</v>
      </c>
      <c r="C210" s="7" t="s">
        <v>748</v>
      </c>
      <c r="D210" s="7" t="s">
        <v>17</v>
      </c>
      <c r="E210" s="7" t="s">
        <v>11</v>
      </c>
      <c r="F210" s="7" t="s">
        <v>18</v>
      </c>
      <c r="G210" s="7" t="s">
        <v>19</v>
      </c>
      <c r="H210" s="7" t="s">
        <v>527</v>
      </c>
      <c r="I210" s="8" t="s">
        <v>528</v>
      </c>
    </row>
    <row r="211" spans="1:9" x14ac:dyDescent="0.35">
      <c r="A211" s="6">
        <v>2526521</v>
      </c>
      <c r="B211" s="7" t="str">
        <f>"3328024107930059"</f>
        <v>3328024107930059</v>
      </c>
      <c r="C211" s="7" t="s">
        <v>749</v>
      </c>
      <c r="D211" s="7" t="s">
        <v>17</v>
      </c>
      <c r="E211" s="7" t="s">
        <v>11</v>
      </c>
      <c r="F211" s="7" t="s">
        <v>18</v>
      </c>
      <c r="G211" s="7" t="s">
        <v>19</v>
      </c>
      <c r="H211" s="7" t="s">
        <v>527</v>
      </c>
      <c r="I211" s="8" t="s">
        <v>528</v>
      </c>
    </row>
    <row r="212" spans="1:9" x14ac:dyDescent="0.35">
      <c r="A212" s="6">
        <v>1660381</v>
      </c>
      <c r="B212" s="7" t="str">
        <f>"3328024107930059"</f>
        <v>3328024107930059</v>
      </c>
      <c r="C212" s="7" t="s">
        <v>750</v>
      </c>
      <c r="D212" s="7" t="s">
        <v>17</v>
      </c>
      <c r="E212" s="7" t="s">
        <v>11</v>
      </c>
      <c r="F212" s="7" t="s">
        <v>18</v>
      </c>
      <c r="G212" s="7" t="s">
        <v>264</v>
      </c>
      <c r="H212" s="7" t="s">
        <v>289</v>
      </c>
      <c r="I212" s="8" t="s">
        <v>290</v>
      </c>
    </row>
    <row r="213" spans="1:9" x14ac:dyDescent="0.35">
      <c r="A213" s="6">
        <v>1656907</v>
      </c>
      <c r="B213" s="7" t="str">
        <f>"3328024405020009"</f>
        <v>3328024405020009</v>
      </c>
      <c r="C213" s="7" t="s">
        <v>751</v>
      </c>
      <c r="D213" s="7" t="s">
        <v>17</v>
      </c>
      <c r="E213" s="7" t="s">
        <v>11</v>
      </c>
      <c r="F213" s="7" t="s">
        <v>18</v>
      </c>
      <c r="G213" s="7" t="s">
        <v>264</v>
      </c>
      <c r="H213" s="7" t="s">
        <v>289</v>
      </c>
      <c r="I213" s="8" t="s">
        <v>613</v>
      </c>
    </row>
    <row r="214" spans="1:9" x14ac:dyDescent="0.35">
      <c r="A214" s="6">
        <v>359571</v>
      </c>
      <c r="B214" s="7" t="str">
        <f>"3328024410870002"</f>
        <v>3328024410870002</v>
      </c>
      <c r="C214" s="7" t="s">
        <v>753</v>
      </c>
      <c r="D214" s="7" t="s">
        <v>17</v>
      </c>
      <c r="E214" s="7" t="s">
        <v>11</v>
      </c>
      <c r="F214" s="7" t="s">
        <v>91</v>
      </c>
      <c r="G214" s="7" t="s">
        <v>754</v>
      </c>
      <c r="H214" s="7" t="s">
        <v>755</v>
      </c>
      <c r="I214" s="8" t="s">
        <v>756</v>
      </c>
    </row>
    <row r="215" spans="1:9" x14ac:dyDescent="0.35">
      <c r="A215" s="6">
        <v>2526772</v>
      </c>
      <c r="B215" s="7" t="str">
        <f>"3328024410950005"</f>
        <v>3328024410950005</v>
      </c>
      <c r="C215" s="7" t="s">
        <v>757</v>
      </c>
      <c r="D215" s="7" t="s">
        <v>17</v>
      </c>
      <c r="E215" s="7" t="s">
        <v>11</v>
      </c>
      <c r="F215" s="7" t="s">
        <v>18</v>
      </c>
      <c r="G215" s="7" t="s">
        <v>19</v>
      </c>
      <c r="H215" s="7" t="s">
        <v>527</v>
      </c>
      <c r="I215" s="8" t="s">
        <v>528</v>
      </c>
    </row>
    <row r="216" spans="1:9" x14ac:dyDescent="0.35">
      <c r="A216" s="6">
        <v>2524328</v>
      </c>
      <c r="B216" s="7" t="str">
        <f>"3328024508740007"</f>
        <v>3328024508740007</v>
      </c>
      <c r="C216" s="7" t="s">
        <v>759</v>
      </c>
      <c r="D216" s="7" t="s">
        <v>17</v>
      </c>
      <c r="E216" s="7" t="s">
        <v>11</v>
      </c>
      <c r="F216" s="7" t="s">
        <v>18</v>
      </c>
      <c r="G216" s="7" t="s">
        <v>19</v>
      </c>
      <c r="H216" s="7" t="s">
        <v>527</v>
      </c>
      <c r="I216" s="8" t="s">
        <v>532</v>
      </c>
    </row>
    <row r="217" spans="1:9" x14ac:dyDescent="0.35">
      <c r="A217" s="6">
        <v>2523452</v>
      </c>
      <c r="B217" s="7" t="str">
        <f>"3328024510040004"</f>
        <v>3328024510040004</v>
      </c>
      <c r="C217" s="7" t="s">
        <v>762</v>
      </c>
      <c r="D217" s="7" t="s">
        <v>17</v>
      </c>
      <c r="E217" s="7" t="s">
        <v>11</v>
      </c>
      <c r="F217" s="7" t="s">
        <v>18</v>
      </c>
      <c r="G217" s="7" t="s">
        <v>19</v>
      </c>
      <c r="H217" s="7" t="s">
        <v>527</v>
      </c>
      <c r="I217" s="8" t="s">
        <v>539</v>
      </c>
    </row>
    <row r="218" spans="1:9" x14ac:dyDescent="0.35">
      <c r="A218" s="6">
        <v>2425236</v>
      </c>
      <c r="B218" s="7" t="str">
        <f>"3328024701770003"</f>
        <v>3328024701770003</v>
      </c>
      <c r="C218" s="7" t="s">
        <v>764</v>
      </c>
      <c r="D218" s="7" t="s">
        <v>17</v>
      </c>
      <c r="E218" s="7" t="s">
        <v>11</v>
      </c>
      <c r="F218" s="7" t="s">
        <v>50</v>
      </c>
      <c r="G218" s="7" t="s">
        <v>58</v>
      </c>
      <c r="H218" s="7" t="s">
        <v>260</v>
      </c>
      <c r="I218" s="8" t="s">
        <v>626</v>
      </c>
    </row>
    <row r="219" spans="1:9" x14ac:dyDescent="0.35">
      <c r="A219" s="6">
        <v>2524268</v>
      </c>
      <c r="B219" s="7" t="str">
        <f>"3328024807990005"</f>
        <v>3328024807990005</v>
      </c>
      <c r="C219" s="7" t="s">
        <v>765</v>
      </c>
      <c r="D219" s="7" t="s">
        <v>17</v>
      </c>
      <c r="E219" s="7" t="s">
        <v>11</v>
      </c>
      <c r="F219" s="7" t="s">
        <v>18</v>
      </c>
      <c r="G219" s="7" t="s">
        <v>19</v>
      </c>
      <c r="H219" s="7" t="s">
        <v>527</v>
      </c>
      <c r="I219" s="8" t="s">
        <v>682</v>
      </c>
    </row>
    <row r="220" spans="1:9" x14ac:dyDescent="0.35">
      <c r="A220" s="6">
        <v>2424866</v>
      </c>
      <c r="B220" s="7" t="str">
        <f>"3328024811920002"</f>
        <v>3328024811920002</v>
      </c>
      <c r="C220" s="7" t="s">
        <v>769</v>
      </c>
      <c r="D220" s="7" t="s">
        <v>17</v>
      </c>
      <c r="E220" s="7" t="s">
        <v>11</v>
      </c>
      <c r="F220" s="7" t="s">
        <v>50</v>
      </c>
      <c r="G220" s="7" t="s">
        <v>58</v>
      </c>
      <c r="H220" s="7" t="s">
        <v>316</v>
      </c>
      <c r="I220" s="8" t="s">
        <v>743</v>
      </c>
    </row>
    <row r="221" spans="1:9" x14ac:dyDescent="0.35">
      <c r="A221" s="6">
        <v>2635364</v>
      </c>
      <c r="B221" s="7" t="str">
        <f>"3328024909920004"</f>
        <v>3328024909920004</v>
      </c>
      <c r="C221" s="7" t="s">
        <v>770</v>
      </c>
      <c r="D221" s="7" t="s">
        <v>17</v>
      </c>
      <c r="E221" s="7" t="s">
        <v>11</v>
      </c>
      <c r="F221" s="7" t="s">
        <v>18</v>
      </c>
      <c r="G221" s="7" t="s">
        <v>199</v>
      </c>
      <c r="H221" s="7" t="s">
        <v>599</v>
      </c>
      <c r="I221" s="8" t="s">
        <v>600</v>
      </c>
    </row>
    <row r="222" spans="1:9" x14ac:dyDescent="0.35">
      <c r="A222" s="6">
        <v>2521712</v>
      </c>
      <c r="B222" s="7" t="str">
        <f>"3328024909920004"</f>
        <v>3328024909920004</v>
      </c>
      <c r="C222" s="7" t="s">
        <v>771</v>
      </c>
      <c r="D222" s="7" t="s">
        <v>17</v>
      </c>
      <c r="E222" s="7" t="s">
        <v>11</v>
      </c>
      <c r="F222" s="7" t="s">
        <v>18</v>
      </c>
      <c r="G222" s="7" t="s">
        <v>19</v>
      </c>
      <c r="H222" s="7" t="s">
        <v>527</v>
      </c>
      <c r="I222" s="8" t="s">
        <v>602</v>
      </c>
    </row>
    <row r="223" spans="1:9" x14ac:dyDescent="0.35">
      <c r="A223" s="6">
        <v>2524258</v>
      </c>
      <c r="B223" s="7" t="str">
        <f>"3328024911020005"</f>
        <v>3328024911020005</v>
      </c>
      <c r="C223" s="7" t="s">
        <v>772</v>
      </c>
      <c r="D223" s="7" t="s">
        <v>17</v>
      </c>
      <c r="E223" s="7" t="s">
        <v>11</v>
      </c>
      <c r="F223" s="7" t="s">
        <v>18</v>
      </c>
      <c r="G223" s="7" t="s">
        <v>19</v>
      </c>
      <c r="H223" s="7" t="s">
        <v>527</v>
      </c>
      <c r="I223" s="8" t="s">
        <v>682</v>
      </c>
    </row>
    <row r="224" spans="1:9" x14ac:dyDescent="0.35">
      <c r="A224" s="6">
        <v>851500</v>
      </c>
      <c r="B224" s="7" t="str">
        <f>"3328025005930011"</f>
        <v>3328025005930011</v>
      </c>
      <c r="C224" s="7" t="s">
        <v>775</v>
      </c>
      <c r="D224" s="7" t="s">
        <v>17</v>
      </c>
      <c r="E224" s="7" t="s">
        <v>11</v>
      </c>
      <c r="F224" s="7" t="s">
        <v>50</v>
      </c>
      <c r="G224" s="7" t="s">
        <v>280</v>
      </c>
      <c r="H224" s="7" t="s">
        <v>776</v>
      </c>
      <c r="I224" s="8" t="s">
        <v>777</v>
      </c>
    </row>
    <row r="225" spans="1:9" x14ac:dyDescent="0.35">
      <c r="A225" s="6">
        <v>2524065</v>
      </c>
      <c r="B225" s="7" t="str">
        <f>"3328025007960006"</f>
        <v>3328025007960006</v>
      </c>
      <c r="C225" s="7" t="s">
        <v>781</v>
      </c>
      <c r="D225" s="7" t="s">
        <v>17</v>
      </c>
      <c r="E225" s="7" t="s">
        <v>11</v>
      </c>
      <c r="F225" s="7" t="s">
        <v>18</v>
      </c>
      <c r="G225" s="7" t="s">
        <v>19</v>
      </c>
      <c r="H225" s="7" t="s">
        <v>527</v>
      </c>
      <c r="I225" s="8" t="s">
        <v>590</v>
      </c>
    </row>
    <row r="226" spans="1:9" x14ac:dyDescent="0.35">
      <c r="A226" s="6">
        <v>2523863</v>
      </c>
      <c r="B226" s="7" t="str">
        <f>"3328025106810002"</f>
        <v>3328025106810002</v>
      </c>
      <c r="C226" s="7" t="s">
        <v>782</v>
      </c>
      <c r="D226" s="7" t="s">
        <v>17</v>
      </c>
      <c r="E226" s="7" t="s">
        <v>11</v>
      </c>
      <c r="F226" s="7" t="s">
        <v>18</v>
      </c>
      <c r="G226" s="7" t="s">
        <v>19</v>
      </c>
      <c r="H226" s="7" t="s">
        <v>527</v>
      </c>
      <c r="I226" s="8" t="s">
        <v>671</v>
      </c>
    </row>
    <row r="227" spans="1:9" x14ac:dyDescent="0.35">
      <c r="A227" s="6">
        <v>1940122</v>
      </c>
      <c r="B227" s="7" t="str">
        <f>"3328025109920002"</f>
        <v>3328025109920002</v>
      </c>
      <c r="C227" s="7" t="s">
        <v>788</v>
      </c>
      <c r="D227" s="7" t="s">
        <v>17</v>
      </c>
      <c r="E227" s="7" t="s">
        <v>11</v>
      </c>
      <c r="F227" s="7" t="s">
        <v>50</v>
      </c>
      <c r="G227" s="7" t="s">
        <v>86</v>
      </c>
      <c r="H227" s="7" t="s">
        <v>530</v>
      </c>
      <c r="I227" s="8" t="s">
        <v>789</v>
      </c>
    </row>
    <row r="228" spans="1:9" x14ac:dyDescent="0.35">
      <c r="A228" s="6">
        <v>2524341</v>
      </c>
      <c r="B228" s="7" t="str">
        <f>"3328025111980001"</f>
        <v>3328025111980001</v>
      </c>
      <c r="C228" s="7" t="s">
        <v>790</v>
      </c>
      <c r="D228" s="7" t="s">
        <v>17</v>
      </c>
      <c r="E228" s="7" t="s">
        <v>11</v>
      </c>
      <c r="F228" s="7" t="s">
        <v>18</v>
      </c>
      <c r="G228" s="7" t="s">
        <v>19</v>
      </c>
      <c r="H228" s="7" t="s">
        <v>527</v>
      </c>
      <c r="I228" s="8" t="s">
        <v>532</v>
      </c>
    </row>
    <row r="229" spans="1:9" x14ac:dyDescent="0.35">
      <c r="A229" s="6">
        <v>2524090</v>
      </c>
      <c r="B229" s="7" t="str">
        <f>"3328025206950007"</f>
        <v>3328025206950007</v>
      </c>
      <c r="C229" s="7" t="s">
        <v>796</v>
      </c>
      <c r="D229" s="7" t="s">
        <v>17</v>
      </c>
      <c r="E229" s="7" t="s">
        <v>11</v>
      </c>
      <c r="F229" s="7" t="s">
        <v>18</v>
      </c>
      <c r="G229" s="7" t="s">
        <v>19</v>
      </c>
      <c r="H229" s="7" t="s">
        <v>527</v>
      </c>
      <c r="I229" s="8" t="s">
        <v>590</v>
      </c>
    </row>
    <row r="230" spans="1:9" x14ac:dyDescent="0.35">
      <c r="A230" s="6">
        <v>1660287</v>
      </c>
      <c r="B230" s="7" t="str">
        <f>"3328025406920007"</f>
        <v>3328025406920007</v>
      </c>
      <c r="C230" s="7" t="s">
        <v>798</v>
      </c>
      <c r="D230" s="7" t="s">
        <v>17</v>
      </c>
      <c r="E230" s="7" t="s">
        <v>11</v>
      </c>
      <c r="F230" s="7" t="s">
        <v>18</v>
      </c>
      <c r="G230" s="7" t="s">
        <v>264</v>
      </c>
      <c r="H230" s="7" t="s">
        <v>289</v>
      </c>
      <c r="I230" s="8" t="s">
        <v>290</v>
      </c>
    </row>
    <row r="231" spans="1:9" x14ac:dyDescent="0.35">
      <c r="A231" s="6">
        <v>2525217</v>
      </c>
      <c r="B231" s="7" t="str">
        <f>"3328025410910001"</f>
        <v>3328025410910001</v>
      </c>
      <c r="C231" s="7" t="s">
        <v>799</v>
      </c>
      <c r="D231" s="7" t="s">
        <v>17</v>
      </c>
      <c r="E231" s="7" t="s">
        <v>11</v>
      </c>
      <c r="F231" s="7" t="s">
        <v>18</v>
      </c>
      <c r="G231" s="7" t="s">
        <v>19</v>
      </c>
      <c r="H231" s="7" t="s">
        <v>527</v>
      </c>
      <c r="I231" s="8" t="s">
        <v>801</v>
      </c>
    </row>
    <row r="232" spans="1:9" x14ac:dyDescent="0.35">
      <c r="A232" s="6">
        <v>2524995</v>
      </c>
      <c r="B232" s="7" t="str">
        <f>"3328025502960004"</f>
        <v>3328025502960004</v>
      </c>
      <c r="C232" s="7" t="s">
        <v>802</v>
      </c>
      <c r="D232" s="7" t="s">
        <v>17</v>
      </c>
      <c r="E232" s="7" t="s">
        <v>11</v>
      </c>
      <c r="F232" s="7" t="s">
        <v>18</v>
      </c>
      <c r="G232" s="7" t="s">
        <v>19</v>
      </c>
      <c r="H232" s="7" t="s">
        <v>527</v>
      </c>
      <c r="I232" s="8" t="s">
        <v>543</v>
      </c>
    </row>
    <row r="233" spans="1:9" x14ac:dyDescent="0.35">
      <c r="A233" s="6">
        <v>2522749</v>
      </c>
      <c r="B233" s="7" t="str">
        <f>"3328025601990005"</f>
        <v>3328025601990005</v>
      </c>
      <c r="C233" s="7" t="s">
        <v>809</v>
      </c>
      <c r="D233" s="7" t="s">
        <v>17</v>
      </c>
      <c r="E233" s="7" t="s">
        <v>11</v>
      </c>
      <c r="F233" s="7" t="s">
        <v>18</v>
      </c>
      <c r="G233" s="7" t="s">
        <v>19</v>
      </c>
      <c r="H233" s="7" t="s">
        <v>527</v>
      </c>
      <c r="I233" s="8" t="s">
        <v>527</v>
      </c>
    </row>
    <row r="234" spans="1:9" x14ac:dyDescent="0.35">
      <c r="A234" s="6">
        <v>2523018</v>
      </c>
      <c r="B234" s="7" t="str">
        <f>"3328025705920002"</f>
        <v>3328025705920002</v>
      </c>
      <c r="C234" s="7" t="s">
        <v>810</v>
      </c>
      <c r="D234" s="7" t="s">
        <v>17</v>
      </c>
      <c r="E234" s="7" t="s">
        <v>11</v>
      </c>
      <c r="F234" s="7" t="s">
        <v>18</v>
      </c>
      <c r="G234" s="7" t="s">
        <v>19</v>
      </c>
      <c r="H234" s="7" t="s">
        <v>527</v>
      </c>
      <c r="I234" s="8" t="s">
        <v>527</v>
      </c>
    </row>
    <row r="235" spans="1:9" x14ac:dyDescent="0.35">
      <c r="A235" s="6">
        <v>1680217</v>
      </c>
      <c r="B235" s="7" t="str">
        <f>"3328025902050003"</f>
        <v>3328025902050003</v>
      </c>
      <c r="C235" s="7" t="s">
        <v>821</v>
      </c>
      <c r="D235" s="7" t="s">
        <v>17</v>
      </c>
      <c r="E235" s="7" t="s">
        <v>11</v>
      </c>
      <c r="F235" s="7" t="s">
        <v>18</v>
      </c>
      <c r="G235" s="7" t="s">
        <v>264</v>
      </c>
      <c r="H235" s="7" t="s">
        <v>289</v>
      </c>
      <c r="I235" s="8" t="s">
        <v>822</v>
      </c>
    </row>
    <row r="236" spans="1:9" x14ac:dyDescent="0.35">
      <c r="A236" s="6">
        <v>2525224</v>
      </c>
      <c r="B236" s="7" t="str">
        <f>"3328026401010001"</f>
        <v>3328026401010001</v>
      </c>
      <c r="C236" s="7" t="s">
        <v>823</v>
      </c>
      <c r="D236" s="7" t="s">
        <v>17</v>
      </c>
      <c r="E236" s="7" t="s">
        <v>11</v>
      </c>
      <c r="F236" s="7" t="s">
        <v>18</v>
      </c>
      <c r="G236" s="7" t="s">
        <v>19</v>
      </c>
      <c r="H236" s="7" t="s">
        <v>527</v>
      </c>
      <c r="I236" s="8" t="s">
        <v>801</v>
      </c>
    </row>
    <row r="237" spans="1:9" x14ac:dyDescent="0.35">
      <c r="A237" s="6">
        <v>2525198</v>
      </c>
      <c r="B237" s="7" t="str">
        <f>"3328026410760001"</f>
        <v>3328026410760001</v>
      </c>
      <c r="C237" s="7" t="s">
        <v>827</v>
      </c>
      <c r="D237" s="7" t="s">
        <v>17</v>
      </c>
      <c r="E237" s="7" t="s">
        <v>11</v>
      </c>
      <c r="F237" s="7" t="s">
        <v>18</v>
      </c>
      <c r="G237" s="7" t="s">
        <v>19</v>
      </c>
      <c r="H237" s="7" t="s">
        <v>527</v>
      </c>
      <c r="I237" s="8" t="s">
        <v>801</v>
      </c>
    </row>
    <row r="238" spans="1:9" x14ac:dyDescent="0.35">
      <c r="A238" s="6">
        <v>2526156</v>
      </c>
      <c r="B238" s="7" t="str">
        <f>"3328026509990009"</f>
        <v>3328026509990009</v>
      </c>
      <c r="C238" s="7" t="s">
        <v>828</v>
      </c>
      <c r="D238" s="7" t="s">
        <v>17</v>
      </c>
      <c r="E238" s="7" t="s">
        <v>11</v>
      </c>
      <c r="F238" s="7" t="s">
        <v>18</v>
      </c>
      <c r="G238" s="7" t="s">
        <v>19</v>
      </c>
      <c r="H238" s="7" t="s">
        <v>527</v>
      </c>
      <c r="I238" s="8" t="s">
        <v>528</v>
      </c>
    </row>
    <row r="239" spans="1:9" x14ac:dyDescent="0.35">
      <c r="A239" s="6">
        <v>2523270</v>
      </c>
      <c r="B239" s="7" t="str">
        <f>"3328026606050003"</f>
        <v>3328026606050003</v>
      </c>
      <c r="C239" s="7" t="s">
        <v>829</v>
      </c>
      <c r="D239" s="7" t="s">
        <v>17</v>
      </c>
      <c r="E239" s="7" t="s">
        <v>11</v>
      </c>
      <c r="F239" s="7" t="s">
        <v>18</v>
      </c>
      <c r="G239" s="7" t="s">
        <v>19</v>
      </c>
      <c r="H239" s="7" t="s">
        <v>527</v>
      </c>
      <c r="I239" s="8" t="s">
        <v>535</v>
      </c>
    </row>
    <row r="240" spans="1:9" x14ac:dyDescent="0.35">
      <c r="A240" s="6">
        <v>1373082</v>
      </c>
      <c r="B240" s="7" t="str">
        <f>"3328026606050003"</f>
        <v>3328026606050003</v>
      </c>
      <c r="C240" s="7" t="s">
        <v>830</v>
      </c>
      <c r="D240" s="7" t="s">
        <v>17</v>
      </c>
      <c r="E240" s="7" t="s">
        <v>11</v>
      </c>
      <c r="F240" s="7" t="s">
        <v>50</v>
      </c>
      <c r="G240" s="7" t="s">
        <v>51</v>
      </c>
      <c r="H240" s="7" t="s">
        <v>78</v>
      </c>
      <c r="I240" s="8" t="s">
        <v>84</v>
      </c>
    </row>
    <row r="241" spans="1:9" x14ac:dyDescent="0.35">
      <c r="A241" s="6">
        <v>2522205</v>
      </c>
      <c r="B241" s="7" t="str">
        <f>"3328026906050001"</f>
        <v>3328026906050001</v>
      </c>
      <c r="C241" s="7" t="s">
        <v>831</v>
      </c>
      <c r="D241" s="7" t="s">
        <v>17</v>
      </c>
      <c r="E241" s="7" t="s">
        <v>11</v>
      </c>
      <c r="F241" s="7" t="s">
        <v>18</v>
      </c>
      <c r="G241" s="7" t="s">
        <v>19</v>
      </c>
      <c r="H241" s="7" t="s">
        <v>527</v>
      </c>
      <c r="I241" s="8" t="s">
        <v>527</v>
      </c>
    </row>
    <row r="242" spans="1:9" x14ac:dyDescent="0.35">
      <c r="A242" s="6">
        <v>2523886</v>
      </c>
      <c r="B242" s="7" t="str">
        <f>"3328027101920003"</f>
        <v>3328027101920003</v>
      </c>
      <c r="C242" s="7" t="s">
        <v>832</v>
      </c>
      <c r="D242" s="7" t="s">
        <v>17</v>
      </c>
      <c r="E242" s="7" t="s">
        <v>11</v>
      </c>
      <c r="F242" s="7" t="s">
        <v>18</v>
      </c>
      <c r="G242" s="7" t="s">
        <v>19</v>
      </c>
      <c r="H242" s="7" t="s">
        <v>527</v>
      </c>
      <c r="I242" s="8" t="s">
        <v>590</v>
      </c>
    </row>
    <row r="243" spans="1:9" x14ac:dyDescent="0.35">
      <c r="A243" s="6">
        <v>1679015</v>
      </c>
      <c r="B243" s="7" t="str">
        <f>"3328027112030004"</f>
        <v>3328027112030004</v>
      </c>
      <c r="C243" s="7" t="s">
        <v>833</v>
      </c>
      <c r="D243" s="7" t="s">
        <v>17</v>
      </c>
      <c r="E243" s="7" t="s">
        <v>11</v>
      </c>
      <c r="F243" s="7" t="s">
        <v>18</v>
      </c>
      <c r="G243" s="7" t="s">
        <v>264</v>
      </c>
      <c r="H243" s="7" t="s">
        <v>289</v>
      </c>
      <c r="I243" s="8" t="s">
        <v>834</v>
      </c>
    </row>
    <row r="244" spans="1:9" x14ac:dyDescent="0.35">
      <c r="A244" s="6">
        <v>2573323</v>
      </c>
      <c r="B244" s="7" t="str">
        <f>"3328040906920010"</f>
        <v>3328040906920010</v>
      </c>
      <c r="C244" s="7" t="s">
        <v>836</v>
      </c>
      <c r="D244" s="7" t="s">
        <v>17</v>
      </c>
      <c r="E244" s="7" t="s">
        <v>11</v>
      </c>
      <c r="F244" s="7" t="s">
        <v>18</v>
      </c>
      <c r="G244" s="7" t="s">
        <v>19</v>
      </c>
      <c r="H244" s="7" t="s">
        <v>745</v>
      </c>
      <c r="I244" s="8" t="s">
        <v>746</v>
      </c>
    </row>
    <row r="245" spans="1:9" x14ac:dyDescent="0.35">
      <c r="A245" s="6">
        <v>1652860</v>
      </c>
      <c r="B245" s="7" t="str">
        <f>"3329034511940004"</f>
        <v>3329034511940004</v>
      </c>
      <c r="C245" s="7" t="s">
        <v>841</v>
      </c>
      <c r="D245" s="7" t="s">
        <v>17</v>
      </c>
      <c r="E245" s="7" t="s">
        <v>11</v>
      </c>
      <c r="F245" s="7" t="s">
        <v>18</v>
      </c>
      <c r="G245" s="7" t="s">
        <v>264</v>
      </c>
      <c r="H245" s="7" t="s">
        <v>461</v>
      </c>
      <c r="I245" s="8" t="s">
        <v>842</v>
      </c>
    </row>
    <row r="246" spans="1:9" x14ac:dyDescent="0.35">
      <c r="A246" s="6">
        <v>2522904</v>
      </c>
      <c r="B246" s="7" t="str">
        <f>"3329045102020009"</f>
        <v>3329045102020009</v>
      </c>
      <c r="C246" s="7" t="s">
        <v>843</v>
      </c>
      <c r="D246" s="7" t="s">
        <v>17</v>
      </c>
      <c r="E246" s="7" t="s">
        <v>11</v>
      </c>
      <c r="F246" s="7" t="s">
        <v>18</v>
      </c>
      <c r="G246" s="7" t="s">
        <v>19</v>
      </c>
      <c r="H246" s="7" t="s">
        <v>527</v>
      </c>
      <c r="I246" s="8" t="s">
        <v>527</v>
      </c>
    </row>
    <row r="247" spans="1:9" x14ac:dyDescent="0.35">
      <c r="A247" s="6">
        <v>2522040</v>
      </c>
      <c r="B247" s="7" t="str">
        <f>"3329046402980003"</f>
        <v>3329046402980003</v>
      </c>
      <c r="C247" s="7" t="s">
        <v>847</v>
      </c>
      <c r="D247" s="7" t="s">
        <v>17</v>
      </c>
      <c r="E247" s="7" t="s">
        <v>11</v>
      </c>
      <c r="F247" s="7" t="s">
        <v>18</v>
      </c>
      <c r="G247" s="7" t="s">
        <v>19</v>
      </c>
      <c r="H247" s="7" t="s">
        <v>527</v>
      </c>
      <c r="I247" s="8" t="s">
        <v>616</v>
      </c>
    </row>
    <row r="248" spans="1:9" x14ac:dyDescent="0.35">
      <c r="A248" s="6">
        <v>1656906</v>
      </c>
      <c r="B248" s="7" t="str">
        <f>"3329050107990033"</f>
        <v>3329050107990033</v>
      </c>
      <c r="C248" s="7" t="s">
        <v>848</v>
      </c>
      <c r="D248" s="7" t="s">
        <v>17</v>
      </c>
      <c r="E248" s="7" t="s">
        <v>11</v>
      </c>
      <c r="F248" s="7" t="s">
        <v>18</v>
      </c>
      <c r="G248" s="7" t="s">
        <v>264</v>
      </c>
      <c r="H248" s="7" t="s">
        <v>289</v>
      </c>
      <c r="I248" s="8" t="s">
        <v>613</v>
      </c>
    </row>
    <row r="249" spans="1:9" x14ac:dyDescent="0.35">
      <c r="A249" s="6">
        <v>2526158</v>
      </c>
      <c r="B249" s="7" t="str">
        <f>"3329050109960001"</f>
        <v>3329050109960001</v>
      </c>
      <c r="C249" s="7" t="s">
        <v>849</v>
      </c>
      <c r="D249" s="7" t="s">
        <v>17</v>
      </c>
      <c r="E249" s="7" t="s">
        <v>11</v>
      </c>
      <c r="F249" s="7" t="s">
        <v>18</v>
      </c>
      <c r="G249" s="7" t="s">
        <v>19</v>
      </c>
      <c r="H249" s="7" t="s">
        <v>527</v>
      </c>
      <c r="I249" s="8" t="s">
        <v>528</v>
      </c>
    </row>
    <row r="250" spans="1:9" x14ac:dyDescent="0.35">
      <c r="A250" s="6">
        <v>2526520</v>
      </c>
      <c r="B250" s="7" t="str">
        <f>"3329050611820001"</f>
        <v>3329050611820001</v>
      </c>
      <c r="C250" s="7" t="s">
        <v>850</v>
      </c>
      <c r="D250" s="7" t="s">
        <v>17</v>
      </c>
      <c r="E250" s="7" t="s">
        <v>11</v>
      </c>
      <c r="F250" s="7" t="s">
        <v>18</v>
      </c>
      <c r="G250" s="7" t="s">
        <v>19</v>
      </c>
      <c r="H250" s="7" t="s">
        <v>527</v>
      </c>
      <c r="I250" s="8" t="s">
        <v>528</v>
      </c>
    </row>
    <row r="251" spans="1:9" x14ac:dyDescent="0.35">
      <c r="A251" s="6">
        <v>2526301</v>
      </c>
      <c r="B251" s="7" t="str">
        <f>"3329050911900004"</f>
        <v>3329050911900004</v>
      </c>
      <c r="C251" s="7" t="s">
        <v>851</v>
      </c>
      <c r="D251" s="7" t="s">
        <v>17</v>
      </c>
      <c r="E251" s="7" t="s">
        <v>11</v>
      </c>
      <c r="F251" s="7" t="s">
        <v>18</v>
      </c>
      <c r="G251" s="7" t="s">
        <v>19</v>
      </c>
      <c r="H251" s="7" t="s">
        <v>527</v>
      </c>
      <c r="I251" s="8" t="s">
        <v>528</v>
      </c>
    </row>
    <row r="252" spans="1:9" x14ac:dyDescent="0.35">
      <c r="A252" s="6">
        <v>2526779</v>
      </c>
      <c r="B252" s="7" t="str">
        <f>"3329051212830003"</f>
        <v>3329051212830003</v>
      </c>
      <c r="C252" s="7" t="s">
        <v>854</v>
      </c>
      <c r="D252" s="7" t="s">
        <v>17</v>
      </c>
      <c r="E252" s="7" t="s">
        <v>11</v>
      </c>
      <c r="F252" s="7" t="s">
        <v>18</v>
      </c>
      <c r="G252" s="7" t="s">
        <v>19</v>
      </c>
      <c r="H252" s="7" t="s">
        <v>527</v>
      </c>
      <c r="I252" s="8" t="s">
        <v>528</v>
      </c>
    </row>
    <row r="253" spans="1:9" x14ac:dyDescent="0.35">
      <c r="A253" s="6">
        <v>1680216</v>
      </c>
      <c r="B253" s="7" t="str">
        <f>"3329051811950001"</f>
        <v>3329051811950001</v>
      </c>
      <c r="C253" s="7" t="s">
        <v>856</v>
      </c>
      <c r="D253" s="7" t="s">
        <v>17</v>
      </c>
      <c r="E253" s="7" t="s">
        <v>11</v>
      </c>
      <c r="F253" s="7" t="s">
        <v>18</v>
      </c>
      <c r="G253" s="7" t="s">
        <v>264</v>
      </c>
      <c r="H253" s="7" t="s">
        <v>289</v>
      </c>
      <c r="I253" s="8" t="s">
        <v>822</v>
      </c>
    </row>
    <row r="254" spans="1:9" x14ac:dyDescent="0.35">
      <c r="A254" s="6">
        <v>2521948</v>
      </c>
      <c r="B254" s="7" t="str">
        <f>"3329053108060004"</f>
        <v>3329053108060004</v>
      </c>
      <c r="C254" s="7" t="s">
        <v>857</v>
      </c>
      <c r="D254" s="7" t="s">
        <v>17</v>
      </c>
      <c r="E254" s="7" t="s">
        <v>11</v>
      </c>
      <c r="F254" s="7" t="s">
        <v>18</v>
      </c>
      <c r="G254" s="7" t="s">
        <v>19</v>
      </c>
      <c r="H254" s="7" t="s">
        <v>527</v>
      </c>
      <c r="I254" s="8" t="s">
        <v>616</v>
      </c>
    </row>
    <row r="255" spans="1:9" x14ac:dyDescent="0.35">
      <c r="A255" s="6">
        <v>2521959</v>
      </c>
      <c r="B255" s="7" t="str">
        <f>"3329054404960006"</f>
        <v>3329054404960006</v>
      </c>
      <c r="C255" s="7" t="s">
        <v>858</v>
      </c>
      <c r="D255" s="7" t="s">
        <v>17</v>
      </c>
      <c r="E255" s="7" t="s">
        <v>11</v>
      </c>
      <c r="F255" s="7" t="s">
        <v>18</v>
      </c>
      <c r="G255" s="7" t="s">
        <v>19</v>
      </c>
      <c r="H255" s="7" t="s">
        <v>527</v>
      </c>
      <c r="I255" s="8" t="s">
        <v>616</v>
      </c>
    </row>
    <row r="256" spans="1:9" x14ac:dyDescent="0.35">
      <c r="A256" s="6">
        <v>2521970</v>
      </c>
      <c r="B256" s="7" t="str">
        <f>"3329054809850002"</f>
        <v>3329054809850002</v>
      </c>
      <c r="C256" s="7" t="s">
        <v>859</v>
      </c>
      <c r="D256" s="7" t="s">
        <v>17</v>
      </c>
      <c r="E256" s="7" t="s">
        <v>11</v>
      </c>
      <c r="F256" s="7" t="s">
        <v>18</v>
      </c>
      <c r="G256" s="7" t="s">
        <v>19</v>
      </c>
      <c r="H256" s="7" t="s">
        <v>527</v>
      </c>
      <c r="I256" s="8" t="s">
        <v>616</v>
      </c>
    </row>
    <row r="257" spans="1:9" x14ac:dyDescent="0.35">
      <c r="A257" s="6">
        <v>2521913</v>
      </c>
      <c r="B257" s="7" t="str">
        <f>"3329064307950005"</f>
        <v>3329064307950005</v>
      </c>
      <c r="C257" s="7" t="s">
        <v>860</v>
      </c>
      <c r="D257" s="7" t="s">
        <v>17</v>
      </c>
      <c r="E257" s="7" t="s">
        <v>11</v>
      </c>
      <c r="F257" s="7" t="s">
        <v>18</v>
      </c>
      <c r="G257" s="7" t="s">
        <v>19</v>
      </c>
      <c r="H257" s="7" t="s">
        <v>527</v>
      </c>
      <c r="I257" s="8" t="s">
        <v>616</v>
      </c>
    </row>
    <row r="258" spans="1:9" x14ac:dyDescent="0.35">
      <c r="A258" s="6">
        <v>1681490</v>
      </c>
      <c r="B258" s="7" t="str">
        <f>"3329071911850003"</f>
        <v>3329071911850003</v>
      </c>
      <c r="C258" s="7" t="s">
        <v>862</v>
      </c>
      <c r="D258" s="7" t="s">
        <v>17</v>
      </c>
      <c r="E258" s="7" t="s">
        <v>11</v>
      </c>
      <c r="F258" s="7" t="s">
        <v>18</v>
      </c>
      <c r="G258" s="7" t="s">
        <v>264</v>
      </c>
      <c r="H258" s="7" t="s">
        <v>265</v>
      </c>
      <c r="I258" s="8" t="s">
        <v>863</v>
      </c>
    </row>
    <row r="259" spans="1:9" x14ac:dyDescent="0.35">
      <c r="A259" s="6">
        <v>2523988</v>
      </c>
      <c r="B259" s="7" t="str">
        <f>"3329072812850009"</f>
        <v>3329072812850009</v>
      </c>
      <c r="C259" s="7" t="s">
        <v>866</v>
      </c>
      <c r="D259" s="7" t="s">
        <v>17</v>
      </c>
      <c r="E259" s="7" t="s">
        <v>11</v>
      </c>
      <c r="F259" s="7" t="s">
        <v>18</v>
      </c>
      <c r="G259" s="7" t="s">
        <v>19</v>
      </c>
      <c r="H259" s="7" t="s">
        <v>527</v>
      </c>
      <c r="I259" s="8" t="s">
        <v>590</v>
      </c>
    </row>
    <row r="260" spans="1:9" x14ac:dyDescent="0.35">
      <c r="A260" s="6">
        <v>2522846</v>
      </c>
      <c r="B260" s="7" t="str">
        <f>"3329085903860006"</f>
        <v>3329085903860006</v>
      </c>
      <c r="C260" s="7" t="s">
        <v>867</v>
      </c>
      <c r="D260" s="7" t="s">
        <v>17</v>
      </c>
      <c r="E260" s="7" t="s">
        <v>11</v>
      </c>
      <c r="F260" s="7" t="s">
        <v>18</v>
      </c>
      <c r="G260" s="7" t="s">
        <v>19</v>
      </c>
      <c r="H260" s="7" t="s">
        <v>527</v>
      </c>
      <c r="I260" s="8" t="s">
        <v>527</v>
      </c>
    </row>
    <row r="261" spans="1:9" x14ac:dyDescent="0.35">
      <c r="A261" s="6">
        <v>2522847</v>
      </c>
      <c r="B261" s="7" t="str">
        <f>"3329095705900008"</f>
        <v>3329095705900008</v>
      </c>
      <c r="C261" s="7" t="s">
        <v>872</v>
      </c>
      <c r="D261" s="7" t="s">
        <v>17</v>
      </c>
      <c r="E261" s="7" t="s">
        <v>11</v>
      </c>
      <c r="F261" s="7" t="s">
        <v>18</v>
      </c>
      <c r="G261" s="7" t="s">
        <v>19</v>
      </c>
      <c r="H261" s="7" t="s">
        <v>527</v>
      </c>
      <c r="I261" s="8" t="s">
        <v>527</v>
      </c>
    </row>
    <row r="262" spans="1:9" x14ac:dyDescent="0.35">
      <c r="A262" s="6">
        <v>2523905</v>
      </c>
      <c r="B262" s="7" t="str">
        <f>"3329100901820003"</f>
        <v>3329100901820003</v>
      </c>
      <c r="C262" s="7" t="s">
        <v>874</v>
      </c>
      <c r="D262" s="7" t="s">
        <v>17</v>
      </c>
      <c r="E262" s="7" t="s">
        <v>11</v>
      </c>
      <c r="F262" s="7" t="s">
        <v>18</v>
      </c>
      <c r="G262" s="7" t="s">
        <v>19</v>
      </c>
      <c r="H262" s="7" t="s">
        <v>527</v>
      </c>
      <c r="I262" s="8" t="s">
        <v>590</v>
      </c>
    </row>
    <row r="263" spans="1:9" x14ac:dyDescent="0.35">
      <c r="A263" s="6">
        <v>2522844</v>
      </c>
      <c r="B263" s="7" t="str">
        <f>"3329122003000005"</f>
        <v>3329122003000005</v>
      </c>
      <c r="C263" s="7" t="s">
        <v>876</v>
      </c>
      <c r="D263" s="7" t="s">
        <v>17</v>
      </c>
      <c r="E263" s="7" t="s">
        <v>11</v>
      </c>
      <c r="F263" s="7" t="s">
        <v>18</v>
      </c>
      <c r="G263" s="7" t="s">
        <v>19</v>
      </c>
      <c r="H263" s="7" t="s">
        <v>527</v>
      </c>
      <c r="I263" s="8" t="s">
        <v>527</v>
      </c>
    </row>
    <row r="264" spans="1:9" x14ac:dyDescent="0.35">
      <c r="A264" s="6">
        <v>2522962</v>
      </c>
      <c r="B264" s="7" t="str">
        <f>"3329164809890002"</f>
        <v>3329164809890002</v>
      </c>
      <c r="C264" s="7" t="s">
        <v>879</v>
      </c>
      <c r="D264" s="7" t="s">
        <v>17</v>
      </c>
      <c r="E264" s="7" t="s">
        <v>11</v>
      </c>
      <c r="F264" s="7" t="s">
        <v>18</v>
      </c>
      <c r="G264" s="7" t="s">
        <v>19</v>
      </c>
      <c r="H264" s="7" t="s">
        <v>527</v>
      </c>
      <c r="I264" s="8" t="s">
        <v>527</v>
      </c>
    </row>
    <row r="265" spans="1:9" x14ac:dyDescent="0.35">
      <c r="A265" s="6">
        <v>2522104</v>
      </c>
      <c r="B265" s="7" t="str">
        <f>"3376016105660002"</f>
        <v>3376016105660002</v>
      </c>
      <c r="C265" s="7" t="s">
        <v>883</v>
      </c>
      <c r="D265" s="7" t="s">
        <v>17</v>
      </c>
      <c r="E265" s="7" t="s">
        <v>11</v>
      </c>
      <c r="F265" s="7" t="s">
        <v>18</v>
      </c>
      <c r="G265" s="7" t="s">
        <v>19</v>
      </c>
      <c r="H265" s="7" t="s">
        <v>527</v>
      </c>
      <c r="I265" s="8" t="s">
        <v>560</v>
      </c>
    </row>
    <row r="266" spans="1:9" x14ac:dyDescent="0.35">
      <c r="A266" s="6">
        <v>2522956</v>
      </c>
      <c r="B266" s="7" t="str">
        <f>"3376022003560002"</f>
        <v>3376022003560002</v>
      </c>
      <c r="C266" s="7" t="s">
        <v>885</v>
      </c>
      <c r="D266" s="7" t="s">
        <v>17</v>
      </c>
      <c r="E266" s="7" t="s">
        <v>11</v>
      </c>
      <c r="F266" s="7" t="s">
        <v>18</v>
      </c>
      <c r="G266" s="7" t="s">
        <v>19</v>
      </c>
      <c r="H266" s="7" t="s">
        <v>527</v>
      </c>
      <c r="I266" s="8" t="s">
        <v>527</v>
      </c>
    </row>
    <row r="267" spans="1:9" x14ac:dyDescent="0.35">
      <c r="A267" s="6">
        <v>2522957</v>
      </c>
      <c r="B267" s="7" t="str">
        <f>"3376025602760001"</f>
        <v>3376025602760001</v>
      </c>
      <c r="C267" s="7" t="s">
        <v>886</v>
      </c>
      <c r="D267" s="7" t="s">
        <v>17</v>
      </c>
      <c r="E267" s="7" t="s">
        <v>11</v>
      </c>
      <c r="F267" s="7" t="s">
        <v>18</v>
      </c>
      <c r="G267" s="7" t="s">
        <v>19</v>
      </c>
      <c r="H267" s="7" t="s">
        <v>527</v>
      </c>
      <c r="I267" s="8" t="s">
        <v>527</v>
      </c>
    </row>
    <row r="268" spans="1:9" x14ac:dyDescent="0.35">
      <c r="A268" s="6">
        <v>2523967</v>
      </c>
      <c r="B268" s="7" t="str">
        <f>"3376043112730005"</f>
        <v>3376043112730005</v>
      </c>
      <c r="C268" s="7" t="s">
        <v>887</v>
      </c>
      <c r="D268" s="7" t="s">
        <v>17</v>
      </c>
      <c r="E268" s="7" t="s">
        <v>11</v>
      </c>
      <c r="F268" s="7" t="s">
        <v>18</v>
      </c>
      <c r="G268" s="7" t="s">
        <v>19</v>
      </c>
      <c r="H268" s="7" t="s">
        <v>527</v>
      </c>
      <c r="I268" s="8" t="s">
        <v>590</v>
      </c>
    </row>
    <row r="269" spans="1:9" x14ac:dyDescent="0.35">
      <c r="A269" s="6">
        <v>2525211</v>
      </c>
      <c r="B269" s="7" t="str">
        <f>"3601094904830002"</f>
        <v>3601094904830002</v>
      </c>
      <c r="C269" s="7" t="s">
        <v>892</v>
      </c>
      <c r="D269" s="7" t="s">
        <v>17</v>
      </c>
      <c r="E269" s="7" t="s">
        <v>11</v>
      </c>
      <c r="F269" s="7" t="s">
        <v>18</v>
      </c>
      <c r="G269" s="7" t="s">
        <v>19</v>
      </c>
      <c r="H269" s="7" t="s">
        <v>527</v>
      </c>
      <c r="I269" s="8" t="s">
        <v>801</v>
      </c>
    </row>
    <row r="270" spans="1:9" x14ac:dyDescent="0.35">
      <c r="A270" s="6">
        <v>2526274</v>
      </c>
      <c r="B270" s="7" t="str">
        <f>"3602116808930002"</f>
        <v>3602116808930002</v>
      </c>
      <c r="C270" s="7" t="s">
        <v>893</v>
      </c>
      <c r="D270" s="7" t="s">
        <v>17</v>
      </c>
      <c r="E270" s="7" t="s">
        <v>11</v>
      </c>
      <c r="F270" s="7" t="s">
        <v>18</v>
      </c>
      <c r="G270" s="7" t="s">
        <v>19</v>
      </c>
      <c r="H270" s="7" t="s">
        <v>527</v>
      </c>
      <c r="I270" s="8" t="s">
        <v>528</v>
      </c>
    </row>
    <row r="271" spans="1:9" x14ac:dyDescent="0.35">
      <c r="A271" s="6">
        <v>2414186</v>
      </c>
      <c r="B271" s="7" t="str">
        <f>"3603135703960001"</f>
        <v>3603135703960001</v>
      </c>
      <c r="C271" s="7" t="s">
        <v>897</v>
      </c>
      <c r="D271" s="7" t="s">
        <v>17</v>
      </c>
      <c r="E271" s="7" t="s">
        <v>11</v>
      </c>
      <c r="F271" s="7" t="s">
        <v>67</v>
      </c>
      <c r="G271" s="7" t="s">
        <v>791</v>
      </c>
      <c r="H271" s="7" t="s">
        <v>898</v>
      </c>
      <c r="I271" s="8" t="s">
        <v>899</v>
      </c>
    </row>
    <row r="272" spans="1:9" x14ac:dyDescent="0.35">
      <c r="A272" s="6">
        <v>2625824</v>
      </c>
      <c r="B272" s="7" t="str">
        <f>"3604295407880006"</f>
        <v>3604295407880006</v>
      </c>
      <c r="C272" s="7" t="s">
        <v>900</v>
      </c>
      <c r="D272" s="7" t="s">
        <v>17</v>
      </c>
      <c r="E272" s="7" t="s">
        <v>11</v>
      </c>
      <c r="F272" s="7" t="s">
        <v>67</v>
      </c>
      <c r="G272" s="7" t="s">
        <v>375</v>
      </c>
      <c r="H272" s="7" t="s">
        <v>901</v>
      </c>
      <c r="I272" s="8" t="s">
        <v>637</v>
      </c>
    </row>
    <row r="273" spans="1:9" x14ac:dyDescent="0.35">
      <c r="A273" s="6">
        <v>2529840</v>
      </c>
      <c r="B273" s="7" t="str">
        <f>"1304080308940003"</f>
        <v>1304080308940003</v>
      </c>
      <c r="C273" s="7" t="s">
        <v>902</v>
      </c>
      <c r="D273" s="7" t="s">
        <v>17</v>
      </c>
      <c r="E273" s="7" t="s">
        <v>11</v>
      </c>
      <c r="F273" s="7" t="s">
        <v>18</v>
      </c>
      <c r="G273" s="7" t="s">
        <v>19</v>
      </c>
      <c r="H273" s="7" t="s">
        <v>906</v>
      </c>
      <c r="I273" s="8" t="s">
        <v>907</v>
      </c>
    </row>
    <row r="274" spans="1:9" x14ac:dyDescent="0.35">
      <c r="A274" s="6">
        <v>2529678</v>
      </c>
      <c r="B274" s="7" t="str">
        <f>"1801175508930004"</f>
        <v>1801175508930004</v>
      </c>
      <c r="C274" s="7" t="s">
        <v>912</v>
      </c>
      <c r="D274" s="7" t="s">
        <v>17</v>
      </c>
      <c r="E274" s="7" t="s">
        <v>11</v>
      </c>
      <c r="F274" s="7" t="s">
        <v>18</v>
      </c>
      <c r="G274" s="7" t="s">
        <v>19</v>
      </c>
      <c r="H274" s="7" t="s">
        <v>906</v>
      </c>
      <c r="I274" s="8" t="s">
        <v>913</v>
      </c>
    </row>
    <row r="275" spans="1:9" x14ac:dyDescent="0.35">
      <c r="A275" s="6">
        <v>2529841</v>
      </c>
      <c r="B275" s="7" t="str">
        <f>"3172015410800008"</f>
        <v>3172015410800008</v>
      </c>
      <c r="C275" s="7" t="s">
        <v>914</v>
      </c>
      <c r="D275" s="7" t="s">
        <v>17</v>
      </c>
      <c r="E275" s="7" t="s">
        <v>11</v>
      </c>
      <c r="F275" s="7" t="s">
        <v>18</v>
      </c>
      <c r="G275" s="7" t="s">
        <v>19</v>
      </c>
      <c r="H275" s="7" t="s">
        <v>906</v>
      </c>
      <c r="I275" s="8" t="s">
        <v>907</v>
      </c>
    </row>
    <row r="276" spans="1:9" x14ac:dyDescent="0.35">
      <c r="A276" s="6">
        <v>2529557</v>
      </c>
      <c r="B276" s="7" t="str">
        <f>"3172020711880014"</f>
        <v>3172020711880014</v>
      </c>
      <c r="C276" s="7" t="s">
        <v>919</v>
      </c>
      <c r="D276" s="7" t="s">
        <v>17</v>
      </c>
      <c r="E276" s="7" t="s">
        <v>11</v>
      </c>
      <c r="F276" s="7" t="s">
        <v>18</v>
      </c>
      <c r="G276" s="7" t="s">
        <v>19</v>
      </c>
      <c r="H276" s="7" t="s">
        <v>906</v>
      </c>
      <c r="I276" s="8" t="s">
        <v>920</v>
      </c>
    </row>
    <row r="277" spans="1:9" x14ac:dyDescent="0.35">
      <c r="A277" s="6">
        <v>2529842</v>
      </c>
      <c r="B277" s="7" t="str">
        <f>"3172052607811001"</f>
        <v>3172052607811001</v>
      </c>
      <c r="C277" s="7" t="s">
        <v>921</v>
      </c>
      <c r="D277" s="7" t="s">
        <v>17</v>
      </c>
      <c r="E277" s="7" t="s">
        <v>11</v>
      </c>
      <c r="F277" s="7" t="s">
        <v>18</v>
      </c>
      <c r="G277" s="7" t="s">
        <v>19</v>
      </c>
      <c r="H277" s="7" t="s">
        <v>906</v>
      </c>
      <c r="I277" s="8" t="s">
        <v>907</v>
      </c>
    </row>
    <row r="278" spans="1:9" x14ac:dyDescent="0.35">
      <c r="A278" s="6">
        <v>2529281</v>
      </c>
      <c r="B278" s="7" t="str">
        <f>"3173070309801001"</f>
        <v>3173070309801001</v>
      </c>
      <c r="C278" s="7" t="s">
        <v>924</v>
      </c>
      <c r="D278" s="7" t="s">
        <v>17</v>
      </c>
      <c r="E278" s="7" t="s">
        <v>11</v>
      </c>
      <c r="F278" s="7" t="s">
        <v>18</v>
      </c>
      <c r="G278" s="7" t="s">
        <v>19</v>
      </c>
      <c r="H278" s="7" t="s">
        <v>906</v>
      </c>
      <c r="I278" s="8" t="s">
        <v>927</v>
      </c>
    </row>
    <row r="279" spans="1:9" x14ac:dyDescent="0.35">
      <c r="A279" s="6">
        <v>2528895</v>
      </c>
      <c r="B279" s="7" t="str">
        <f>"3173074606840014"</f>
        <v>3173074606840014</v>
      </c>
      <c r="C279" s="7" t="s">
        <v>928</v>
      </c>
      <c r="D279" s="7" t="s">
        <v>17</v>
      </c>
      <c r="E279" s="7" t="s">
        <v>11</v>
      </c>
      <c r="F279" s="7" t="s">
        <v>18</v>
      </c>
      <c r="G279" s="7" t="s">
        <v>19</v>
      </c>
      <c r="H279" s="7" t="s">
        <v>906</v>
      </c>
      <c r="I279" s="8" t="s">
        <v>929</v>
      </c>
    </row>
    <row r="280" spans="1:9" x14ac:dyDescent="0.35">
      <c r="A280" s="6">
        <v>2528892</v>
      </c>
      <c r="B280" s="7" t="str">
        <f>"3173076206060006"</f>
        <v>3173076206060006</v>
      </c>
      <c r="C280" s="7" t="s">
        <v>930</v>
      </c>
      <c r="D280" s="7" t="s">
        <v>17</v>
      </c>
      <c r="E280" s="7" t="s">
        <v>11</v>
      </c>
      <c r="F280" s="7" t="s">
        <v>18</v>
      </c>
      <c r="G280" s="7" t="s">
        <v>19</v>
      </c>
      <c r="H280" s="7" t="s">
        <v>906</v>
      </c>
      <c r="I280" s="8" t="s">
        <v>929</v>
      </c>
    </row>
    <row r="281" spans="1:9" x14ac:dyDescent="0.35">
      <c r="A281" s="6">
        <v>2528093</v>
      </c>
      <c r="B281" s="7" t="str">
        <f>"3174092405770009"</f>
        <v>3174092405770009</v>
      </c>
      <c r="C281" s="7" t="s">
        <v>932</v>
      </c>
      <c r="D281" s="7" t="s">
        <v>17</v>
      </c>
      <c r="E281" s="7" t="s">
        <v>11</v>
      </c>
      <c r="F281" s="7" t="s">
        <v>18</v>
      </c>
      <c r="G281" s="7" t="s">
        <v>19</v>
      </c>
      <c r="H281" s="7" t="s">
        <v>906</v>
      </c>
      <c r="I281" s="8" t="s">
        <v>933</v>
      </c>
    </row>
    <row r="282" spans="1:9" x14ac:dyDescent="0.35">
      <c r="A282" s="6">
        <v>2529816</v>
      </c>
      <c r="B282" s="7" t="str">
        <f>"3175046511750009"</f>
        <v>3175046511750009</v>
      </c>
      <c r="C282" s="7" t="s">
        <v>936</v>
      </c>
      <c r="D282" s="7" t="s">
        <v>17</v>
      </c>
      <c r="E282" s="7" t="s">
        <v>11</v>
      </c>
      <c r="F282" s="7" t="s">
        <v>18</v>
      </c>
      <c r="G282" s="7" t="s">
        <v>19</v>
      </c>
      <c r="H282" s="7" t="s">
        <v>906</v>
      </c>
      <c r="I282" s="8" t="s">
        <v>907</v>
      </c>
    </row>
    <row r="283" spans="1:9" x14ac:dyDescent="0.35">
      <c r="A283" s="6">
        <v>2527248</v>
      </c>
      <c r="B283" s="7" t="str">
        <f>"3201145806930005"</f>
        <v>3201145806930005</v>
      </c>
      <c r="C283" s="7" t="s">
        <v>937</v>
      </c>
      <c r="D283" s="7" t="s">
        <v>17</v>
      </c>
      <c r="E283" s="7" t="s">
        <v>11</v>
      </c>
      <c r="F283" s="7" t="s">
        <v>18</v>
      </c>
      <c r="G283" s="7" t="s">
        <v>19</v>
      </c>
      <c r="H283" s="7" t="s">
        <v>906</v>
      </c>
      <c r="I283" s="8" t="s">
        <v>939</v>
      </c>
    </row>
    <row r="284" spans="1:9" x14ac:dyDescent="0.35">
      <c r="A284" s="6">
        <v>2528459</v>
      </c>
      <c r="B284" s="7" t="str">
        <f>"3212035206950001"</f>
        <v>3212035206950001</v>
      </c>
      <c r="C284" s="7" t="s">
        <v>940</v>
      </c>
      <c r="D284" s="7" t="s">
        <v>17</v>
      </c>
      <c r="E284" s="7" t="s">
        <v>11</v>
      </c>
      <c r="F284" s="7" t="s">
        <v>18</v>
      </c>
      <c r="G284" s="7" t="s">
        <v>19</v>
      </c>
      <c r="H284" s="7" t="s">
        <v>906</v>
      </c>
      <c r="I284" s="8" t="s">
        <v>942</v>
      </c>
    </row>
    <row r="285" spans="1:9" x14ac:dyDescent="0.35">
      <c r="A285" s="6">
        <v>2527234</v>
      </c>
      <c r="B285" s="7" t="str">
        <f>"3212081409870004"</f>
        <v>3212081409870004</v>
      </c>
      <c r="C285" s="7" t="s">
        <v>943</v>
      </c>
      <c r="D285" s="7" t="s">
        <v>17</v>
      </c>
      <c r="E285" s="7" t="s">
        <v>11</v>
      </c>
      <c r="F285" s="7" t="s">
        <v>18</v>
      </c>
      <c r="G285" s="7" t="s">
        <v>19</v>
      </c>
      <c r="H285" s="7" t="s">
        <v>906</v>
      </c>
      <c r="I285" s="8" t="s">
        <v>939</v>
      </c>
    </row>
    <row r="286" spans="1:9" x14ac:dyDescent="0.35">
      <c r="A286" s="6">
        <v>2573618</v>
      </c>
      <c r="B286" s="7" t="str">
        <f>"3216082004890006"</f>
        <v>3216082004890006</v>
      </c>
      <c r="C286" s="7" t="s">
        <v>946</v>
      </c>
      <c r="D286" s="7" t="s">
        <v>17</v>
      </c>
      <c r="E286" s="7" t="s">
        <v>11</v>
      </c>
      <c r="F286" s="7" t="s">
        <v>18</v>
      </c>
      <c r="G286" s="7" t="s">
        <v>19</v>
      </c>
      <c r="H286" s="7" t="s">
        <v>745</v>
      </c>
      <c r="I286" s="8" t="s">
        <v>746</v>
      </c>
    </row>
    <row r="287" spans="1:9" x14ac:dyDescent="0.35">
      <c r="A287" s="6">
        <v>2528273</v>
      </c>
      <c r="B287" s="7" t="str">
        <f>"3275045106010009"</f>
        <v>3275045106010009</v>
      </c>
      <c r="C287" s="7" t="s">
        <v>947</v>
      </c>
      <c r="D287" s="7" t="s">
        <v>17</v>
      </c>
      <c r="E287" s="7" t="s">
        <v>11</v>
      </c>
      <c r="F287" s="7" t="s">
        <v>18</v>
      </c>
      <c r="G287" s="7" t="s">
        <v>19</v>
      </c>
      <c r="H287" s="7" t="s">
        <v>906</v>
      </c>
      <c r="I287" s="8" t="s">
        <v>942</v>
      </c>
    </row>
    <row r="288" spans="1:9" x14ac:dyDescent="0.35">
      <c r="A288" s="6">
        <v>2528460</v>
      </c>
      <c r="B288" s="7" t="str">
        <f>"3304046008970002"</f>
        <v>3304046008970002</v>
      </c>
      <c r="C288" s="7" t="s">
        <v>950</v>
      </c>
      <c r="D288" s="7" t="s">
        <v>17</v>
      </c>
      <c r="E288" s="7" t="s">
        <v>11</v>
      </c>
      <c r="F288" s="7" t="s">
        <v>18</v>
      </c>
      <c r="G288" s="7" t="s">
        <v>19</v>
      </c>
      <c r="H288" s="7" t="s">
        <v>906</v>
      </c>
      <c r="I288" s="8" t="s">
        <v>942</v>
      </c>
    </row>
    <row r="289" spans="1:9" x14ac:dyDescent="0.35">
      <c r="A289" s="6">
        <v>2528360</v>
      </c>
      <c r="B289" s="7" t="str">
        <f>"3318082509820001"</f>
        <v>3318082509820001</v>
      </c>
      <c r="C289" s="7" t="s">
        <v>953</v>
      </c>
      <c r="D289" s="7" t="s">
        <v>17</v>
      </c>
      <c r="E289" s="7" t="s">
        <v>11</v>
      </c>
      <c r="F289" s="7" t="s">
        <v>18</v>
      </c>
      <c r="G289" s="7" t="s">
        <v>19</v>
      </c>
      <c r="H289" s="7" t="s">
        <v>906</v>
      </c>
      <c r="I289" s="8" t="s">
        <v>942</v>
      </c>
    </row>
    <row r="290" spans="1:9" x14ac:dyDescent="0.35">
      <c r="A290" s="6">
        <v>544035</v>
      </c>
      <c r="B290" s="7" t="str">
        <f>"3318082509820001"</f>
        <v>3318082509820001</v>
      </c>
      <c r="C290" s="7" t="s">
        <v>953</v>
      </c>
      <c r="D290" s="7" t="s">
        <v>17</v>
      </c>
      <c r="E290" s="7" t="s">
        <v>11</v>
      </c>
      <c r="F290" s="7" t="s">
        <v>954</v>
      </c>
      <c r="G290" s="7" t="s">
        <v>955</v>
      </c>
      <c r="H290" s="7" t="s">
        <v>956</v>
      </c>
      <c r="I290" s="8" t="s">
        <v>957</v>
      </c>
    </row>
    <row r="291" spans="1:9" x14ac:dyDescent="0.35">
      <c r="A291" s="6">
        <v>2529523</v>
      </c>
      <c r="B291" s="7" t="str">
        <f>"3323036203820001"</f>
        <v>3323036203820001</v>
      </c>
      <c r="C291" s="7" t="s">
        <v>965</v>
      </c>
      <c r="D291" s="7" t="s">
        <v>17</v>
      </c>
      <c r="E291" s="7" t="s">
        <v>11</v>
      </c>
      <c r="F291" s="7" t="s">
        <v>18</v>
      </c>
      <c r="G291" s="7" t="s">
        <v>19</v>
      </c>
      <c r="H291" s="7" t="s">
        <v>906</v>
      </c>
      <c r="I291" s="8" t="s">
        <v>966</v>
      </c>
    </row>
    <row r="292" spans="1:9" x14ac:dyDescent="0.35">
      <c r="A292" s="6">
        <v>677327</v>
      </c>
      <c r="B292" s="7" t="str">
        <f>"3325090609860003"</f>
        <v>3325090609860003</v>
      </c>
      <c r="C292" s="7" t="s">
        <v>967</v>
      </c>
      <c r="D292" s="7" t="s">
        <v>17</v>
      </c>
      <c r="E292" s="7" t="s">
        <v>11</v>
      </c>
      <c r="F292" s="7" t="s">
        <v>18</v>
      </c>
      <c r="G292" s="7" t="s">
        <v>190</v>
      </c>
      <c r="H292" s="7" t="s">
        <v>191</v>
      </c>
      <c r="I292" s="8" t="s">
        <v>968</v>
      </c>
    </row>
    <row r="293" spans="1:9" x14ac:dyDescent="0.35">
      <c r="A293" s="6">
        <v>2529251</v>
      </c>
      <c r="B293" s="7" t="str">
        <f>"3327034508700005"</f>
        <v>3327034508700005</v>
      </c>
      <c r="C293" s="7" t="s">
        <v>971</v>
      </c>
      <c r="D293" s="7" t="s">
        <v>17</v>
      </c>
      <c r="E293" s="7" t="s">
        <v>11</v>
      </c>
      <c r="F293" s="7" t="s">
        <v>18</v>
      </c>
      <c r="G293" s="7" t="s">
        <v>19</v>
      </c>
      <c r="H293" s="7" t="s">
        <v>906</v>
      </c>
      <c r="I293" s="8" t="s">
        <v>972</v>
      </c>
    </row>
    <row r="294" spans="1:9" x14ac:dyDescent="0.35">
      <c r="A294" s="6">
        <v>2529915</v>
      </c>
      <c r="B294" s="7" t="str">
        <f>"3327065210950004"</f>
        <v>3327065210950004</v>
      </c>
      <c r="C294" s="7" t="s">
        <v>973</v>
      </c>
      <c r="D294" s="7" t="s">
        <v>17</v>
      </c>
      <c r="E294" s="7" t="s">
        <v>11</v>
      </c>
      <c r="F294" s="7" t="s">
        <v>18</v>
      </c>
      <c r="G294" s="7" t="s">
        <v>19</v>
      </c>
      <c r="H294" s="7" t="s">
        <v>906</v>
      </c>
      <c r="I294" s="8" t="s">
        <v>907</v>
      </c>
    </row>
    <row r="295" spans="1:9" x14ac:dyDescent="0.35">
      <c r="A295" s="6">
        <v>2529119</v>
      </c>
      <c r="B295" s="7" t="str">
        <f>"3328012904870003"</f>
        <v>3328012904870003</v>
      </c>
      <c r="C295" s="7" t="s">
        <v>976</v>
      </c>
      <c r="D295" s="7" t="s">
        <v>17</v>
      </c>
      <c r="E295" s="7" t="s">
        <v>11</v>
      </c>
      <c r="F295" s="7" t="s">
        <v>18</v>
      </c>
      <c r="G295" s="7" t="s">
        <v>19</v>
      </c>
      <c r="H295" s="7" t="s">
        <v>906</v>
      </c>
      <c r="I295" s="8" t="s">
        <v>978</v>
      </c>
    </row>
    <row r="296" spans="1:9" x14ac:dyDescent="0.35">
      <c r="A296" s="6">
        <v>2529282</v>
      </c>
      <c r="B296" s="7" t="str">
        <f>"3328030101820001"</f>
        <v>3328030101820001</v>
      </c>
      <c r="C296" s="7" t="s">
        <v>979</v>
      </c>
      <c r="D296" s="7" t="s">
        <v>17</v>
      </c>
      <c r="E296" s="7" t="s">
        <v>11</v>
      </c>
      <c r="F296" s="7" t="s">
        <v>18</v>
      </c>
      <c r="G296" s="7" t="s">
        <v>19</v>
      </c>
      <c r="H296" s="7" t="s">
        <v>906</v>
      </c>
      <c r="I296" s="8" t="s">
        <v>927</v>
      </c>
    </row>
    <row r="297" spans="1:9" x14ac:dyDescent="0.35">
      <c r="A297" s="6">
        <v>2529739</v>
      </c>
      <c r="B297" s="7" t="str">
        <f>"3328030101940001"</f>
        <v>3328030101940001</v>
      </c>
      <c r="C297" s="7" t="s">
        <v>983</v>
      </c>
      <c r="D297" s="7" t="s">
        <v>17</v>
      </c>
      <c r="E297" s="7" t="s">
        <v>11</v>
      </c>
      <c r="F297" s="7" t="s">
        <v>18</v>
      </c>
      <c r="G297" s="7" t="s">
        <v>19</v>
      </c>
      <c r="H297" s="7" t="s">
        <v>906</v>
      </c>
      <c r="I297" s="8" t="s">
        <v>913</v>
      </c>
    </row>
    <row r="298" spans="1:9" x14ac:dyDescent="0.35">
      <c r="A298" s="6">
        <v>2530102</v>
      </c>
      <c r="B298" s="7" t="str">
        <f>"3328030107050012"</f>
        <v>3328030107050012</v>
      </c>
      <c r="C298" s="7" t="s">
        <v>988</v>
      </c>
      <c r="D298" s="7" t="s">
        <v>17</v>
      </c>
      <c r="E298" s="7" t="s">
        <v>11</v>
      </c>
      <c r="F298" s="7" t="s">
        <v>18</v>
      </c>
      <c r="G298" s="7" t="s">
        <v>19</v>
      </c>
      <c r="H298" s="7" t="s">
        <v>906</v>
      </c>
      <c r="I298" s="8" t="s">
        <v>989</v>
      </c>
    </row>
    <row r="299" spans="1:9" x14ac:dyDescent="0.35">
      <c r="A299" s="6">
        <v>2529107</v>
      </c>
      <c r="B299" s="7" t="str">
        <f>"3328030107700021"</f>
        <v>3328030107700021</v>
      </c>
      <c r="C299" s="7" t="s">
        <v>990</v>
      </c>
      <c r="D299" s="7" t="s">
        <v>17</v>
      </c>
      <c r="E299" s="7" t="s">
        <v>11</v>
      </c>
      <c r="F299" s="7" t="s">
        <v>18</v>
      </c>
      <c r="G299" s="7" t="s">
        <v>19</v>
      </c>
      <c r="H299" s="7" t="s">
        <v>906</v>
      </c>
      <c r="I299" s="8" t="s">
        <v>978</v>
      </c>
    </row>
    <row r="300" spans="1:9" x14ac:dyDescent="0.35">
      <c r="A300" s="6">
        <v>422460</v>
      </c>
      <c r="B300" s="7" t="str">
        <f>"3328030306950010"</f>
        <v>3328030306950010</v>
      </c>
      <c r="C300" s="7" t="s">
        <v>995</v>
      </c>
      <c r="D300" s="7" t="s">
        <v>17</v>
      </c>
      <c r="E300" s="7" t="s">
        <v>11</v>
      </c>
      <c r="F300" s="7" t="s">
        <v>18</v>
      </c>
      <c r="G300" s="7" t="s">
        <v>268</v>
      </c>
      <c r="H300" s="7" t="s">
        <v>269</v>
      </c>
      <c r="I300" s="8" t="s">
        <v>996</v>
      </c>
    </row>
    <row r="301" spans="1:9" x14ac:dyDescent="0.35">
      <c r="A301" s="6">
        <v>2527881</v>
      </c>
      <c r="B301" s="7" t="str">
        <f>"3328030501010004"</f>
        <v>3328030501010004</v>
      </c>
      <c r="C301" s="7" t="s">
        <v>998</v>
      </c>
      <c r="D301" s="7" t="s">
        <v>17</v>
      </c>
      <c r="E301" s="7" t="s">
        <v>11</v>
      </c>
      <c r="F301" s="7" t="s">
        <v>18</v>
      </c>
      <c r="G301" s="7" t="s">
        <v>19</v>
      </c>
      <c r="H301" s="7" t="s">
        <v>906</v>
      </c>
      <c r="I301" s="8" t="s">
        <v>999</v>
      </c>
    </row>
    <row r="302" spans="1:9" x14ac:dyDescent="0.35">
      <c r="A302" s="6">
        <v>1641230</v>
      </c>
      <c r="B302" s="7" t="str">
        <f>"3328030504850007"</f>
        <v>3328030504850007</v>
      </c>
      <c r="C302" s="7" t="s">
        <v>1007</v>
      </c>
      <c r="D302" s="7" t="s">
        <v>17</v>
      </c>
      <c r="E302" s="7" t="s">
        <v>11</v>
      </c>
      <c r="F302" s="7" t="s">
        <v>18</v>
      </c>
      <c r="G302" s="7" t="s">
        <v>264</v>
      </c>
      <c r="H302" s="7" t="s">
        <v>344</v>
      </c>
      <c r="I302" s="8" t="s">
        <v>1008</v>
      </c>
    </row>
    <row r="303" spans="1:9" x14ac:dyDescent="0.35">
      <c r="A303" s="6">
        <v>2527219</v>
      </c>
      <c r="B303" s="7" t="str">
        <f>"3328030612740001"</f>
        <v>3328030612740001</v>
      </c>
      <c r="C303" s="7" t="s">
        <v>508</v>
      </c>
      <c r="D303" s="7" t="s">
        <v>17</v>
      </c>
      <c r="E303" s="7" t="s">
        <v>11</v>
      </c>
      <c r="F303" s="7" t="s">
        <v>18</v>
      </c>
      <c r="G303" s="7" t="s">
        <v>19</v>
      </c>
      <c r="H303" s="7" t="s">
        <v>906</v>
      </c>
      <c r="I303" s="8" t="s">
        <v>1011</v>
      </c>
    </row>
    <row r="304" spans="1:9" x14ac:dyDescent="0.35">
      <c r="A304" s="6">
        <v>2527032</v>
      </c>
      <c r="B304" s="7" t="str">
        <f>"3328030906000002"</f>
        <v>3328030906000002</v>
      </c>
      <c r="C304" s="7" t="s">
        <v>1023</v>
      </c>
      <c r="D304" s="7" t="s">
        <v>17</v>
      </c>
      <c r="E304" s="7" t="s">
        <v>11</v>
      </c>
      <c r="F304" s="7" t="s">
        <v>18</v>
      </c>
      <c r="G304" s="7" t="s">
        <v>19</v>
      </c>
      <c r="H304" s="7" t="s">
        <v>906</v>
      </c>
      <c r="I304" s="8" t="s">
        <v>1011</v>
      </c>
    </row>
    <row r="305" spans="1:9" x14ac:dyDescent="0.35">
      <c r="A305" s="6">
        <v>2528428</v>
      </c>
      <c r="B305" s="7" t="str">
        <f>"3328030910040001"</f>
        <v>3328030910040001</v>
      </c>
      <c r="C305" s="7" t="s">
        <v>1028</v>
      </c>
      <c r="D305" s="7" t="s">
        <v>17</v>
      </c>
      <c r="E305" s="7" t="s">
        <v>11</v>
      </c>
      <c r="F305" s="7" t="s">
        <v>18</v>
      </c>
      <c r="G305" s="7" t="s">
        <v>19</v>
      </c>
      <c r="H305" s="7" t="s">
        <v>906</v>
      </c>
      <c r="I305" s="8" t="s">
        <v>942</v>
      </c>
    </row>
    <row r="306" spans="1:9" x14ac:dyDescent="0.35">
      <c r="A306" s="6">
        <v>2573107</v>
      </c>
      <c r="B306" s="7" t="str">
        <f>"3328031005990008"</f>
        <v>3328031005990008</v>
      </c>
      <c r="C306" s="7" t="s">
        <v>1029</v>
      </c>
      <c r="D306" s="7" t="s">
        <v>17</v>
      </c>
      <c r="E306" s="7" t="s">
        <v>11</v>
      </c>
      <c r="F306" s="7" t="s">
        <v>18</v>
      </c>
      <c r="G306" s="7" t="s">
        <v>19</v>
      </c>
      <c r="H306" s="7" t="s">
        <v>745</v>
      </c>
      <c r="I306" s="8" t="s">
        <v>746</v>
      </c>
    </row>
    <row r="307" spans="1:9" x14ac:dyDescent="0.35">
      <c r="A307" s="6">
        <v>3125175</v>
      </c>
      <c r="B307" s="7" t="str">
        <f>"3328031506980002"</f>
        <v>3328031506980002</v>
      </c>
      <c r="C307" s="7" t="s">
        <v>1038</v>
      </c>
      <c r="D307" s="7" t="s">
        <v>17</v>
      </c>
      <c r="E307" s="7" t="s">
        <v>57</v>
      </c>
      <c r="F307" s="7" t="s">
        <v>18</v>
      </c>
      <c r="G307" s="7" t="s">
        <v>163</v>
      </c>
      <c r="H307" s="7" t="s">
        <v>723</v>
      </c>
      <c r="I307" s="8" t="s">
        <v>724</v>
      </c>
    </row>
    <row r="308" spans="1:9" x14ac:dyDescent="0.35">
      <c r="A308" s="6">
        <v>2529121</v>
      </c>
      <c r="B308" s="7" t="str">
        <f>"3328031507800004"</f>
        <v>3328031507800004</v>
      </c>
      <c r="C308" s="7" t="s">
        <v>1043</v>
      </c>
      <c r="D308" s="7" t="s">
        <v>17</v>
      </c>
      <c r="E308" s="7" t="s">
        <v>11</v>
      </c>
      <c r="F308" s="7" t="s">
        <v>18</v>
      </c>
      <c r="G308" s="7" t="s">
        <v>19</v>
      </c>
      <c r="H308" s="7" t="s">
        <v>906</v>
      </c>
      <c r="I308" s="8" t="s">
        <v>978</v>
      </c>
    </row>
    <row r="309" spans="1:9" x14ac:dyDescent="0.35">
      <c r="A309" s="6">
        <v>2528960</v>
      </c>
      <c r="B309" s="7" t="str">
        <f>"3328031509030004"</f>
        <v>3328031509030004</v>
      </c>
      <c r="C309" s="7" t="s">
        <v>1044</v>
      </c>
      <c r="D309" s="7" t="s">
        <v>17</v>
      </c>
      <c r="E309" s="7" t="s">
        <v>11</v>
      </c>
      <c r="F309" s="7" t="s">
        <v>18</v>
      </c>
      <c r="G309" s="7" t="s">
        <v>19</v>
      </c>
      <c r="H309" s="7" t="s">
        <v>906</v>
      </c>
      <c r="I309" s="8" t="s">
        <v>929</v>
      </c>
    </row>
    <row r="310" spans="1:9" x14ac:dyDescent="0.35">
      <c r="A310" s="6">
        <v>2084837</v>
      </c>
      <c r="B310" s="7" t="str">
        <f>"3328031509030004"</f>
        <v>3328031509030004</v>
      </c>
      <c r="C310" s="7" t="s">
        <v>1045</v>
      </c>
      <c r="D310" s="7" t="s">
        <v>17</v>
      </c>
      <c r="E310" s="7" t="s">
        <v>57</v>
      </c>
      <c r="F310" s="7" t="s">
        <v>18</v>
      </c>
      <c r="G310" s="7" t="s">
        <v>962</v>
      </c>
      <c r="H310" s="7" t="s">
        <v>1046</v>
      </c>
      <c r="I310" s="8" t="s">
        <v>1046</v>
      </c>
    </row>
    <row r="311" spans="1:9" x14ac:dyDescent="0.35">
      <c r="A311" s="6">
        <v>2528935</v>
      </c>
      <c r="B311" s="7" t="str">
        <f>"3328031510030004"</f>
        <v>3328031510030004</v>
      </c>
      <c r="C311" s="7" t="s">
        <v>1047</v>
      </c>
      <c r="D311" s="7" t="s">
        <v>17</v>
      </c>
      <c r="E311" s="7" t="s">
        <v>11</v>
      </c>
      <c r="F311" s="7" t="s">
        <v>18</v>
      </c>
      <c r="G311" s="7" t="s">
        <v>19</v>
      </c>
      <c r="H311" s="7" t="s">
        <v>906</v>
      </c>
      <c r="I311" s="8" t="s">
        <v>929</v>
      </c>
    </row>
    <row r="312" spans="1:9" x14ac:dyDescent="0.35">
      <c r="A312" s="6">
        <v>2528946</v>
      </c>
      <c r="B312" s="7" t="str">
        <f>"3328031601020005"</f>
        <v>3328031601020005</v>
      </c>
      <c r="C312" s="7" t="s">
        <v>1049</v>
      </c>
      <c r="D312" s="7" t="s">
        <v>17</v>
      </c>
      <c r="E312" s="7" t="s">
        <v>11</v>
      </c>
      <c r="F312" s="7" t="s">
        <v>18</v>
      </c>
      <c r="G312" s="7" t="s">
        <v>19</v>
      </c>
      <c r="H312" s="7" t="s">
        <v>906</v>
      </c>
      <c r="I312" s="8" t="s">
        <v>929</v>
      </c>
    </row>
    <row r="313" spans="1:9" x14ac:dyDescent="0.35">
      <c r="A313" s="6">
        <v>2529665</v>
      </c>
      <c r="B313" s="7" t="str">
        <f>"3328031605740001"</f>
        <v>3328031605740001</v>
      </c>
      <c r="C313" s="7" t="s">
        <v>1052</v>
      </c>
      <c r="D313" s="7" t="s">
        <v>17</v>
      </c>
      <c r="E313" s="7" t="s">
        <v>11</v>
      </c>
      <c r="F313" s="7" t="s">
        <v>18</v>
      </c>
      <c r="G313" s="7" t="s">
        <v>19</v>
      </c>
      <c r="H313" s="7" t="s">
        <v>906</v>
      </c>
      <c r="I313" s="8" t="s">
        <v>920</v>
      </c>
    </row>
    <row r="314" spans="1:9" x14ac:dyDescent="0.35">
      <c r="A314" s="6">
        <v>2527041</v>
      </c>
      <c r="B314" s="7" t="str">
        <f>"3328031811650001"</f>
        <v>3328031811650001</v>
      </c>
      <c r="C314" s="7" t="s">
        <v>508</v>
      </c>
      <c r="D314" s="7" t="s">
        <v>17</v>
      </c>
      <c r="E314" s="7" t="s">
        <v>11</v>
      </c>
      <c r="F314" s="7" t="s">
        <v>18</v>
      </c>
      <c r="G314" s="7" t="s">
        <v>19</v>
      </c>
      <c r="H314" s="7" t="s">
        <v>906</v>
      </c>
      <c r="I314" s="8" t="s">
        <v>1011</v>
      </c>
    </row>
    <row r="315" spans="1:9" x14ac:dyDescent="0.35">
      <c r="A315" s="6">
        <v>421741</v>
      </c>
      <c r="B315" s="7" t="str">
        <f>"3328032004850005"</f>
        <v>3328032004850005</v>
      </c>
      <c r="C315" s="7" t="s">
        <v>1065</v>
      </c>
      <c r="D315" s="7" t="s">
        <v>17</v>
      </c>
      <c r="E315" s="7" t="s">
        <v>11</v>
      </c>
      <c r="F315" s="7" t="s">
        <v>18</v>
      </c>
      <c r="G315" s="7" t="s">
        <v>268</v>
      </c>
      <c r="H315" s="7" t="s">
        <v>371</v>
      </c>
      <c r="I315" s="8" t="s">
        <v>372</v>
      </c>
    </row>
    <row r="316" spans="1:9" x14ac:dyDescent="0.35">
      <c r="A316" s="6">
        <v>2573110</v>
      </c>
      <c r="B316" s="7" t="str">
        <f>"3328032005890006"</f>
        <v>3328032005890006</v>
      </c>
      <c r="C316" s="7" t="s">
        <v>967</v>
      </c>
      <c r="D316" s="7" t="s">
        <v>17</v>
      </c>
      <c r="E316" s="7" t="s">
        <v>11</v>
      </c>
      <c r="F316" s="7" t="s">
        <v>18</v>
      </c>
      <c r="G316" s="7" t="s">
        <v>19</v>
      </c>
      <c r="H316" s="7" t="s">
        <v>745</v>
      </c>
      <c r="I316" s="8" t="s">
        <v>746</v>
      </c>
    </row>
    <row r="317" spans="1:9" x14ac:dyDescent="0.35">
      <c r="A317" s="6">
        <v>2423491</v>
      </c>
      <c r="B317" s="7" t="str">
        <f>"3328032006950013"</f>
        <v>3328032006950013</v>
      </c>
      <c r="C317" s="7" t="s">
        <v>1068</v>
      </c>
      <c r="D317" s="7" t="s">
        <v>17</v>
      </c>
      <c r="E317" s="7" t="s">
        <v>11</v>
      </c>
      <c r="F317" s="7" t="s">
        <v>50</v>
      </c>
      <c r="G317" s="7" t="s">
        <v>58</v>
      </c>
      <c r="H317" s="7" t="s">
        <v>59</v>
      </c>
      <c r="I317" s="8" t="s">
        <v>1069</v>
      </c>
    </row>
    <row r="318" spans="1:9" x14ac:dyDescent="0.35">
      <c r="A318" s="6">
        <v>2528242</v>
      </c>
      <c r="B318" s="7" t="str">
        <f>"3328032206030006"</f>
        <v>3328032206030006</v>
      </c>
      <c r="C318" s="7" t="s">
        <v>1071</v>
      </c>
      <c r="D318" s="7" t="s">
        <v>17</v>
      </c>
      <c r="E318" s="7" t="s">
        <v>11</v>
      </c>
      <c r="F318" s="7" t="s">
        <v>18</v>
      </c>
      <c r="G318" s="7" t="s">
        <v>19</v>
      </c>
      <c r="H318" s="7" t="s">
        <v>906</v>
      </c>
      <c r="I318" s="8" t="s">
        <v>942</v>
      </c>
    </row>
    <row r="319" spans="1:9" x14ac:dyDescent="0.35">
      <c r="A319" s="6">
        <v>2528763</v>
      </c>
      <c r="B319" s="7" t="str">
        <f>"3328032209030003"</f>
        <v>3328032209030003</v>
      </c>
      <c r="C319" s="7" t="s">
        <v>1073</v>
      </c>
      <c r="D319" s="7" t="s">
        <v>17</v>
      </c>
      <c r="E319" s="7" t="s">
        <v>11</v>
      </c>
      <c r="F319" s="7" t="s">
        <v>18</v>
      </c>
      <c r="G319" s="7" t="s">
        <v>19</v>
      </c>
      <c r="H319" s="7" t="s">
        <v>906</v>
      </c>
      <c r="I319" s="8" t="s">
        <v>906</v>
      </c>
    </row>
    <row r="320" spans="1:9" x14ac:dyDescent="0.35">
      <c r="A320" s="6">
        <v>2084841</v>
      </c>
      <c r="B320" s="7" t="str">
        <f>"3328032209030003"</f>
        <v>3328032209030003</v>
      </c>
      <c r="C320" s="7" t="s">
        <v>1074</v>
      </c>
      <c r="D320" s="7" t="s">
        <v>17</v>
      </c>
      <c r="E320" s="7" t="s">
        <v>57</v>
      </c>
      <c r="F320" s="7" t="s">
        <v>18</v>
      </c>
      <c r="G320" s="7" t="s">
        <v>962</v>
      </c>
      <c r="H320" s="7" t="s">
        <v>1046</v>
      </c>
      <c r="I320" s="8" t="s">
        <v>1046</v>
      </c>
    </row>
    <row r="321" spans="1:9" x14ac:dyDescent="0.35">
      <c r="A321" s="6">
        <v>2527089</v>
      </c>
      <c r="B321" s="7" t="str">
        <f>"3328032403830004"</f>
        <v>3328032403830004</v>
      </c>
      <c r="C321" s="7" t="s">
        <v>1082</v>
      </c>
      <c r="D321" s="7" t="s">
        <v>17</v>
      </c>
      <c r="E321" s="7" t="s">
        <v>11</v>
      </c>
      <c r="F321" s="7" t="s">
        <v>18</v>
      </c>
      <c r="G321" s="7" t="s">
        <v>19</v>
      </c>
      <c r="H321" s="7" t="s">
        <v>906</v>
      </c>
      <c r="I321" s="8" t="s">
        <v>1011</v>
      </c>
    </row>
    <row r="322" spans="1:9" x14ac:dyDescent="0.35">
      <c r="A322" s="6">
        <v>2529379</v>
      </c>
      <c r="B322" s="7" t="str">
        <f>"3328032603980002"</f>
        <v>3328032603980002</v>
      </c>
      <c r="C322" s="7" t="s">
        <v>1092</v>
      </c>
      <c r="D322" s="7" t="s">
        <v>17</v>
      </c>
      <c r="E322" s="7" t="s">
        <v>11</v>
      </c>
      <c r="F322" s="7" t="s">
        <v>18</v>
      </c>
      <c r="G322" s="7" t="s">
        <v>19</v>
      </c>
      <c r="H322" s="7" t="s">
        <v>906</v>
      </c>
      <c r="I322" s="8" t="s">
        <v>927</v>
      </c>
    </row>
    <row r="323" spans="1:9" x14ac:dyDescent="0.35">
      <c r="A323" s="6">
        <v>2529850</v>
      </c>
      <c r="B323" s="7" t="str">
        <f>"3328032611000001"</f>
        <v>3328032611000001</v>
      </c>
      <c r="C323" s="7" t="s">
        <v>1097</v>
      </c>
      <c r="D323" s="7" t="s">
        <v>17</v>
      </c>
      <c r="E323" s="7" t="s">
        <v>11</v>
      </c>
      <c r="F323" s="7" t="s">
        <v>18</v>
      </c>
      <c r="G323" s="7" t="s">
        <v>19</v>
      </c>
      <c r="H323" s="7" t="s">
        <v>906</v>
      </c>
      <c r="I323" s="8" t="s">
        <v>907</v>
      </c>
    </row>
    <row r="324" spans="1:9" x14ac:dyDescent="0.35">
      <c r="A324" s="6">
        <v>2529042</v>
      </c>
      <c r="B324" s="7" t="str">
        <f>"3328032707030004"</f>
        <v>3328032707030004</v>
      </c>
      <c r="C324" s="7" t="s">
        <v>1098</v>
      </c>
      <c r="D324" s="7" t="s">
        <v>17</v>
      </c>
      <c r="E324" s="7" t="s">
        <v>11</v>
      </c>
      <c r="F324" s="7" t="s">
        <v>18</v>
      </c>
      <c r="G324" s="7" t="s">
        <v>19</v>
      </c>
      <c r="H324" s="7" t="s">
        <v>906</v>
      </c>
      <c r="I324" s="8" t="s">
        <v>992</v>
      </c>
    </row>
    <row r="325" spans="1:9" x14ac:dyDescent="0.35">
      <c r="A325" s="6">
        <v>2528439</v>
      </c>
      <c r="B325" s="7" t="str">
        <f>"3328033008020001"</f>
        <v>3328033008020001</v>
      </c>
      <c r="C325" s="7" t="s">
        <v>1103</v>
      </c>
      <c r="D325" s="7" t="s">
        <v>17</v>
      </c>
      <c r="E325" s="7" t="s">
        <v>11</v>
      </c>
      <c r="F325" s="7" t="s">
        <v>18</v>
      </c>
      <c r="G325" s="7" t="s">
        <v>19</v>
      </c>
      <c r="H325" s="7" t="s">
        <v>906</v>
      </c>
      <c r="I325" s="8" t="s">
        <v>942</v>
      </c>
    </row>
    <row r="326" spans="1:9" x14ac:dyDescent="0.35">
      <c r="A326" s="6">
        <v>2528861</v>
      </c>
      <c r="B326" s="7" t="str">
        <f>"3328033112620077"</f>
        <v>3328033112620077</v>
      </c>
      <c r="C326" s="7" t="s">
        <v>1105</v>
      </c>
      <c r="D326" s="7" t="s">
        <v>17</v>
      </c>
      <c r="E326" s="7" t="s">
        <v>11</v>
      </c>
      <c r="F326" s="7" t="s">
        <v>18</v>
      </c>
      <c r="G326" s="7" t="s">
        <v>19</v>
      </c>
      <c r="H326" s="7" t="s">
        <v>906</v>
      </c>
      <c r="I326" s="8" t="s">
        <v>906</v>
      </c>
    </row>
    <row r="327" spans="1:9" x14ac:dyDescent="0.35">
      <c r="A327" s="6">
        <v>2529736</v>
      </c>
      <c r="B327" s="7" t="str">
        <f>"3328034107020143"</f>
        <v>3328034107020143</v>
      </c>
      <c r="C327" s="7" t="s">
        <v>1110</v>
      </c>
      <c r="D327" s="7" t="s">
        <v>17</v>
      </c>
      <c r="E327" s="7" t="s">
        <v>11</v>
      </c>
      <c r="F327" s="7" t="s">
        <v>18</v>
      </c>
      <c r="G327" s="7" t="s">
        <v>19</v>
      </c>
      <c r="H327" s="7" t="s">
        <v>906</v>
      </c>
      <c r="I327" s="8" t="s">
        <v>913</v>
      </c>
    </row>
    <row r="328" spans="1:9" x14ac:dyDescent="0.35">
      <c r="A328" s="6">
        <v>2529288</v>
      </c>
      <c r="B328" s="7" t="str">
        <f>"3328034111880002"</f>
        <v>3328034111880002</v>
      </c>
      <c r="C328" s="7" t="s">
        <v>1111</v>
      </c>
      <c r="D328" s="7" t="s">
        <v>17</v>
      </c>
      <c r="E328" s="7" t="s">
        <v>11</v>
      </c>
      <c r="F328" s="7" t="s">
        <v>18</v>
      </c>
      <c r="G328" s="7" t="s">
        <v>19</v>
      </c>
      <c r="H328" s="7" t="s">
        <v>906</v>
      </c>
      <c r="I328" s="8" t="s">
        <v>927</v>
      </c>
    </row>
    <row r="329" spans="1:9" x14ac:dyDescent="0.35">
      <c r="A329" s="6">
        <v>2529124</v>
      </c>
      <c r="B329" s="7" t="str">
        <f>"3328034205950004"</f>
        <v>3328034205950004</v>
      </c>
      <c r="C329" s="7" t="s">
        <v>1118</v>
      </c>
      <c r="D329" s="7" t="s">
        <v>17</v>
      </c>
      <c r="E329" s="7" t="s">
        <v>11</v>
      </c>
      <c r="F329" s="7" t="s">
        <v>18</v>
      </c>
      <c r="G329" s="7" t="s">
        <v>19</v>
      </c>
      <c r="H329" s="7" t="s">
        <v>906</v>
      </c>
      <c r="I329" s="8" t="s">
        <v>978</v>
      </c>
    </row>
    <row r="330" spans="1:9" x14ac:dyDescent="0.35">
      <c r="A330" s="6">
        <v>2527090</v>
      </c>
      <c r="B330" s="7" t="str">
        <f>"3328034302860003"</f>
        <v>3328034302860003</v>
      </c>
      <c r="C330" s="7" t="s">
        <v>1119</v>
      </c>
      <c r="D330" s="7" t="s">
        <v>17</v>
      </c>
      <c r="E330" s="7" t="s">
        <v>11</v>
      </c>
      <c r="F330" s="7" t="s">
        <v>18</v>
      </c>
      <c r="G330" s="7" t="s">
        <v>19</v>
      </c>
      <c r="H330" s="7" t="s">
        <v>906</v>
      </c>
      <c r="I330" s="8" t="s">
        <v>1011</v>
      </c>
    </row>
    <row r="331" spans="1:9" x14ac:dyDescent="0.35">
      <c r="A331" s="6">
        <v>2528365</v>
      </c>
      <c r="B331" s="7" t="str">
        <f>"3328034303870007"</f>
        <v>3328034303870007</v>
      </c>
      <c r="C331" s="7" t="s">
        <v>1123</v>
      </c>
      <c r="D331" s="7" t="s">
        <v>17</v>
      </c>
      <c r="E331" s="7" t="s">
        <v>11</v>
      </c>
      <c r="F331" s="7" t="s">
        <v>18</v>
      </c>
      <c r="G331" s="7" t="s">
        <v>19</v>
      </c>
      <c r="H331" s="7" t="s">
        <v>906</v>
      </c>
      <c r="I331" s="8" t="s">
        <v>942</v>
      </c>
    </row>
    <row r="332" spans="1:9" x14ac:dyDescent="0.35">
      <c r="A332" s="6">
        <v>1545850</v>
      </c>
      <c r="B332" s="7" t="str">
        <f>"3328034404020001"</f>
        <v>3328034404020001</v>
      </c>
      <c r="C332" s="7" t="s">
        <v>1128</v>
      </c>
      <c r="D332" s="7" t="s">
        <v>17</v>
      </c>
      <c r="E332" s="7" t="s">
        <v>11</v>
      </c>
      <c r="F332" s="7" t="s">
        <v>18</v>
      </c>
      <c r="G332" s="7" t="s">
        <v>195</v>
      </c>
      <c r="H332" s="7" t="s">
        <v>586</v>
      </c>
      <c r="I332" s="8" t="s">
        <v>1129</v>
      </c>
    </row>
    <row r="333" spans="1:9" x14ac:dyDescent="0.35">
      <c r="A333" s="6">
        <v>2429686</v>
      </c>
      <c r="B333" s="7" t="str">
        <f>"3328034406580002"</f>
        <v>3328034406580002</v>
      </c>
      <c r="C333" s="7" t="s">
        <v>1130</v>
      </c>
      <c r="D333" s="7" t="s">
        <v>17</v>
      </c>
      <c r="E333" s="7" t="s">
        <v>11</v>
      </c>
      <c r="F333" s="7" t="s">
        <v>50</v>
      </c>
      <c r="G333" s="7" t="s">
        <v>58</v>
      </c>
      <c r="H333" s="7" t="s">
        <v>417</v>
      </c>
      <c r="I333" s="8" t="s">
        <v>1131</v>
      </c>
    </row>
    <row r="334" spans="1:9" x14ac:dyDescent="0.35">
      <c r="A334" s="6">
        <v>2529923</v>
      </c>
      <c r="B334" s="7" t="str">
        <f>"3328034607920001"</f>
        <v>3328034607920001</v>
      </c>
      <c r="C334" s="7" t="s">
        <v>1132</v>
      </c>
      <c r="D334" s="7" t="s">
        <v>17</v>
      </c>
      <c r="E334" s="7" t="s">
        <v>11</v>
      </c>
      <c r="F334" s="7" t="s">
        <v>18</v>
      </c>
      <c r="G334" s="7" t="s">
        <v>19</v>
      </c>
      <c r="H334" s="7" t="s">
        <v>906</v>
      </c>
      <c r="I334" s="8" t="s">
        <v>907</v>
      </c>
    </row>
    <row r="335" spans="1:9" x14ac:dyDescent="0.35">
      <c r="A335" s="6">
        <v>2528481</v>
      </c>
      <c r="B335" s="7" t="str">
        <f>"3328035003050002"</f>
        <v>3328035003050002</v>
      </c>
      <c r="C335" s="7" t="s">
        <v>1137</v>
      </c>
      <c r="D335" s="7" t="s">
        <v>17</v>
      </c>
      <c r="E335" s="7" t="s">
        <v>11</v>
      </c>
      <c r="F335" s="7" t="s">
        <v>18</v>
      </c>
      <c r="G335" s="7" t="s">
        <v>19</v>
      </c>
      <c r="H335" s="7" t="s">
        <v>906</v>
      </c>
      <c r="I335" s="8" t="s">
        <v>942</v>
      </c>
    </row>
    <row r="336" spans="1:9" x14ac:dyDescent="0.35">
      <c r="A336" s="6">
        <v>2530053</v>
      </c>
      <c r="B336" s="7" t="str">
        <f>"3328035107010007"</f>
        <v>3328035107010007</v>
      </c>
      <c r="C336" s="7" t="s">
        <v>1140</v>
      </c>
      <c r="D336" s="7" t="s">
        <v>17</v>
      </c>
      <c r="E336" s="7" t="s">
        <v>11</v>
      </c>
      <c r="F336" s="7" t="s">
        <v>18</v>
      </c>
      <c r="G336" s="7" t="s">
        <v>19</v>
      </c>
      <c r="H336" s="7" t="s">
        <v>906</v>
      </c>
      <c r="I336" s="8" t="s">
        <v>989</v>
      </c>
    </row>
    <row r="337" spans="1:9" x14ac:dyDescent="0.35">
      <c r="A337" s="6">
        <v>1630484</v>
      </c>
      <c r="B337" s="7" t="str">
        <f>"3328035107010007"</f>
        <v>3328035107010007</v>
      </c>
      <c r="C337" s="7" t="s">
        <v>1141</v>
      </c>
      <c r="D337" s="7" t="s">
        <v>17</v>
      </c>
      <c r="E337" s="7" t="s">
        <v>11</v>
      </c>
      <c r="F337" s="7" t="s">
        <v>18</v>
      </c>
      <c r="G337" s="7" t="s">
        <v>264</v>
      </c>
      <c r="H337" s="7" t="s">
        <v>248</v>
      </c>
      <c r="I337" s="8" t="s">
        <v>1142</v>
      </c>
    </row>
    <row r="338" spans="1:9" x14ac:dyDescent="0.35">
      <c r="A338" s="6">
        <v>2084634</v>
      </c>
      <c r="B338" s="7" t="str">
        <f>"3328035304060001"</f>
        <v>3328035304060001</v>
      </c>
      <c r="C338" s="7" t="s">
        <v>1145</v>
      </c>
      <c r="D338" s="7" t="s">
        <v>17</v>
      </c>
      <c r="E338" s="7" t="s">
        <v>57</v>
      </c>
      <c r="F338" s="7" t="s">
        <v>18</v>
      </c>
      <c r="G338" s="7" t="s">
        <v>962</v>
      </c>
      <c r="H338" s="7" t="s">
        <v>1046</v>
      </c>
      <c r="I338" s="8" t="s">
        <v>1146</v>
      </c>
    </row>
    <row r="339" spans="1:9" x14ac:dyDescent="0.35">
      <c r="A339" s="6">
        <v>2527157</v>
      </c>
      <c r="B339" s="7" t="str">
        <f>"3328036012030002"</f>
        <v>3328036012030002</v>
      </c>
      <c r="C339" s="7" t="s">
        <v>1155</v>
      </c>
      <c r="D339" s="7" t="s">
        <v>17</v>
      </c>
      <c r="E339" s="7" t="s">
        <v>11</v>
      </c>
      <c r="F339" s="7" t="s">
        <v>18</v>
      </c>
      <c r="G339" s="7" t="s">
        <v>19</v>
      </c>
      <c r="H339" s="7" t="s">
        <v>906</v>
      </c>
      <c r="I339" s="8" t="s">
        <v>1011</v>
      </c>
    </row>
    <row r="340" spans="1:9" x14ac:dyDescent="0.35">
      <c r="A340" s="6">
        <v>2528602</v>
      </c>
      <c r="B340" s="7" t="str">
        <f>"3328036103040006"</f>
        <v>3328036103040006</v>
      </c>
      <c r="C340" s="7" t="s">
        <v>1158</v>
      </c>
      <c r="D340" s="7" t="s">
        <v>17</v>
      </c>
      <c r="E340" s="7" t="s">
        <v>11</v>
      </c>
      <c r="F340" s="7" t="s">
        <v>18</v>
      </c>
      <c r="G340" s="7" t="s">
        <v>19</v>
      </c>
      <c r="H340" s="7" t="s">
        <v>906</v>
      </c>
      <c r="I340" s="8" t="s">
        <v>906</v>
      </c>
    </row>
    <row r="341" spans="1:9" x14ac:dyDescent="0.35">
      <c r="A341" s="6">
        <v>2529856</v>
      </c>
      <c r="B341" s="7" t="str">
        <f>"3328036501960003"</f>
        <v>3328036501960003</v>
      </c>
      <c r="C341" s="7" t="s">
        <v>1160</v>
      </c>
      <c r="D341" s="7" t="s">
        <v>17</v>
      </c>
      <c r="E341" s="7" t="s">
        <v>11</v>
      </c>
      <c r="F341" s="7" t="s">
        <v>18</v>
      </c>
      <c r="G341" s="7" t="s">
        <v>19</v>
      </c>
      <c r="H341" s="7" t="s">
        <v>906</v>
      </c>
      <c r="I341" s="8" t="s">
        <v>907</v>
      </c>
    </row>
    <row r="342" spans="1:9" x14ac:dyDescent="0.35">
      <c r="A342" s="6">
        <v>2529666</v>
      </c>
      <c r="B342" s="7" t="str">
        <f>"3328036601860004"</f>
        <v>3328036601860004</v>
      </c>
      <c r="C342" s="7" t="s">
        <v>1163</v>
      </c>
      <c r="D342" s="7" t="s">
        <v>17</v>
      </c>
      <c r="E342" s="7" t="s">
        <v>11</v>
      </c>
      <c r="F342" s="7" t="s">
        <v>18</v>
      </c>
      <c r="G342" s="7" t="s">
        <v>19</v>
      </c>
      <c r="H342" s="7" t="s">
        <v>906</v>
      </c>
      <c r="I342" s="8" t="s">
        <v>920</v>
      </c>
    </row>
    <row r="343" spans="1:9" x14ac:dyDescent="0.35">
      <c r="A343" s="6">
        <v>866448</v>
      </c>
      <c r="B343" s="7" t="str">
        <f>"3328036703780001"</f>
        <v>3328036703780001</v>
      </c>
      <c r="C343" s="7" t="s">
        <v>1164</v>
      </c>
      <c r="D343" s="7" t="s">
        <v>17</v>
      </c>
      <c r="E343" s="7" t="s">
        <v>11</v>
      </c>
      <c r="F343" s="7" t="s">
        <v>18</v>
      </c>
      <c r="G343" s="7" t="s">
        <v>951</v>
      </c>
      <c r="H343" s="7" t="s">
        <v>1165</v>
      </c>
      <c r="I343" s="8" t="s">
        <v>1166</v>
      </c>
    </row>
    <row r="344" spans="1:9" x14ac:dyDescent="0.35">
      <c r="A344" s="6">
        <v>2527034</v>
      </c>
      <c r="B344" s="7" t="str">
        <f>"3328036704820001"</f>
        <v>3328036704820001</v>
      </c>
      <c r="C344" s="7" t="s">
        <v>1167</v>
      </c>
      <c r="D344" s="7" t="s">
        <v>17</v>
      </c>
      <c r="E344" s="7" t="s">
        <v>11</v>
      </c>
      <c r="F344" s="7" t="s">
        <v>18</v>
      </c>
      <c r="G344" s="7" t="s">
        <v>19</v>
      </c>
      <c r="H344" s="7" t="s">
        <v>906</v>
      </c>
      <c r="I344" s="8" t="s">
        <v>1011</v>
      </c>
    </row>
    <row r="345" spans="1:9" x14ac:dyDescent="0.35">
      <c r="A345" s="6">
        <v>2528577</v>
      </c>
      <c r="B345" s="7" t="str">
        <f>"3328036905040005"</f>
        <v>3328036905040005</v>
      </c>
      <c r="C345" s="7" t="s">
        <v>1168</v>
      </c>
      <c r="D345" s="7" t="s">
        <v>17</v>
      </c>
      <c r="E345" s="7" t="s">
        <v>11</v>
      </c>
      <c r="F345" s="7" t="s">
        <v>18</v>
      </c>
      <c r="G345" s="7" t="s">
        <v>19</v>
      </c>
      <c r="H345" s="7" t="s">
        <v>906</v>
      </c>
      <c r="I345" s="8" t="s">
        <v>906</v>
      </c>
    </row>
    <row r="346" spans="1:9" x14ac:dyDescent="0.35">
      <c r="A346" s="6">
        <v>2529577</v>
      </c>
      <c r="B346" s="7" t="str">
        <f>"3328037006940002"</f>
        <v>3328037006940002</v>
      </c>
      <c r="C346" s="7" t="s">
        <v>1169</v>
      </c>
      <c r="D346" s="7" t="s">
        <v>17</v>
      </c>
      <c r="E346" s="7" t="s">
        <v>11</v>
      </c>
      <c r="F346" s="7" t="s">
        <v>18</v>
      </c>
      <c r="G346" s="7" t="s">
        <v>19</v>
      </c>
      <c r="H346" s="7" t="s">
        <v>906</v>
      </c>
      <c r="I346" s="8" t="s">
        <v>920</v>
      </c>
    </row>
    <row r="347" spans="1:9" x14ac:dyDescent="0.35">
      <c r="A347" s="6">
        <v>2529814</v>
      </c>
      <c r="B347" s="7" t="str">
        <f>"3328037010990003"</f>
        <v>3328037010990003</v>
      </c>
      <c r="C347" s="7" t="s">
        <v>1171</v>
      </c>
      <c r="D347" s="7" t="s">
        <v>17</v>
      </c>
      <c r="E347" s="7" t="s">
        <v>11</v>
      </c>
      <c r="F347" s="7" t="s">
        <v>18</v>
      </c>
      <c r="G347" s="7" t="s">
        <v>19</v>
      </c>
      <c r="H347" s="7" t="s">
        <v>906</v>
      </c>
      <c r="I347" s="8" t="s">
        <v>907</v>
      </c>
    </row>
    <row r="348" spans="1:9" x14ac:dyDescent="0.35">
      <c r="A348" s="6">
        <v>2528608</v>
      </c>
      <c r="B348" s="7" t="str">
        <f>"3328041405900004"</f>
        <v>3328041405900004</v>
      </c>
      <c r="C348" s="7" t="s">
        <v>1174</v>
      </c>
      <c r="D348" s="7" t="s">
        <v>17</v>
      </c>
      <c r="E348" s="7" t="s">
        <v>11</v>
      </c>
      <c r="F348" s="7" t="s">
        <v>18</v>
      </c>
      <c r="G348" s="7" t="s">
        <v>19</v>
      </c>
      <c r="H348" s="7" t="s">
        <v>906</v>
      </c>
      <c r="I348" s="8" t="s">
        <v>906</v>
      </c>
    </row>
    <row r="349" spans="1:9" x14ac:dyDescent="0.35">
      <c r="A349" s="6">
        <v>2573101</v>
      </c>
      <c r="B349" s="7" t="str">
        <f>"3328041405900004"</f>
        <v>3328041405900004</v>
      </c>
      <c r="C349" s="7" t="s">
        <v>1174</v>
      </c>
      <c r="D349" s="7" t="s">
        <v>17</v>
      </c>
      <c r="E349" s="7" t="s">
        <v>11</v>
      </c>
      <c r="F349" s="7" t="s">
        <v>18</v>
      </c>
      <c r="G349" s="7" t="s">
        <v>19</v>
      </c>
      <c r="H349" s="7" t="s">
        <v>745</v>
      </c>
      <c r="I349" s="8" t="s">
        <v>746</v>
      </c>
    </row>
    <row r="350" spans="1:9" x14ac:dyDescent="0.35">
      <c r="A350" s="6">
        <v>2573937</v>
      </c>
      <c r="B350" s="7" t="str">
        <f>"3328042702840001"</f>
        <v>3328042702840001</v>
      </c>
      <c r="C350" s="7" t="s">
        <v>1175</v>
      </c>
      <c r="D350" s="7" t="s">
        <v>17</v>
      </c>
      <c r="E350" s="7" t="s">
        <v>11</v>
      </c>
      <c r="F350" s="7" t="s">
        <v>18</v>
      </c>
      <c r="G350" s="7" t="s">
        <v>19</v>
      </c>
      <c r="H350" s="7" t="s">
        <v>745</v>
      </c>
      <c r="I350" s="8" t="s">
        <v>746</v>
      </c>
    </row>
    <row r="351" spans="1:9" x14ac:dyDescent="0.35">
      <c r="A351" s="6">
        <v>2527438</v>
      </c>
      <c r="B351" s="7" t="str">
        <f>"3328160105830001"</f>
        <v>3328160105830001</v>
      </c>
      <c r="C351" s="7" t="s">
        <v>1176</v>
      </c>
      <c r="D351" s="7" t="s">
        <v>17</v>
      </c>
      <c r="E351" s="7" t="s">
        <v>11</v>
      </c>
      <c r="F351" s="7" t="s">
        <v>18</v>
      </c>
      <c r="G351" s="7" t="s">
        <v>19</v>
      </c>
      <c r="H351" s="7" t="s">
        <v>906</v>
      </c>
      <c r="I351" s="8" t="s">
        <v>959</v>
      </c>
    </row>
    <row r="352" spans="1:9" x14ac:dyDescent="0.35">
      <c r="A352" s="6">
        <v>2527439</v>
      </c>
      <c r="B352" s="7" t="str">
        <f>"3328160812060002"</f>
        <v>3328160812060002</v>
      </c>
      <c r="C352" s="7" t="s">
        <v>1177</v>
      </c>
      <c r="D352" s="7" t="s">
        <v>17</v>
      </c>
      <c r="E352" s="7" t="s">
        <v>11</v>
      </c>
      <c r="F352" s="7" t="s">
        <v>18</v>
      </c>
      <c r="G352" s="7" t="s">
        <v>19</v>
      </c>
      <c r="H352" s="7" t="s">
        <v>906</v>
      </c>
      <c r="I352" s="8" t="s">
        <v>959</v>
      </c>
    </row>
    <row r="353" spans="1:9" x14ac:dyDescent="0.35">
      <c r="A353" s="6">
        <v>2527440</v>
      </c>
      <c r="B353" s="7" t="str">
        <f>"3328164406860002"</f>
        <v>3328164406860002</v>
      </c>
      <c r="C353" s="7" t="s">
        <v>1178</v>
      </c>
      <c r="D353" s="7" t="s">
        <v>17</v>
      </c>
      <c r="E353" s="7" t="s">
        <v>11</v>
      </c>
      <c r="F353" s="7" t="s">
        <v>18</v>
      </c>
      <c r="G353" s="7" t="s">
        <v>19</v>
      </c>
      <c r="H353" s="7" t="s">
        <v>906</v>
      </c>
      <c r="I353" s="8" t="s">
        <v>959</v>
      </c>
    </row>
    <row r="354" spans="1:9" x14ac:dyDescent="0.35">
      <c r="A354" s="6">
        <v>1696341</v>
      </c>
      <c r="B354" s="7" t="str">
        <f>"3329030508910006"</f>
        <v>3329030508910006</v>
      </c>
      <c r="C354" s="7" t="s">
        <v>1180</v>
      </c>
      <c r="D354" s="7" t="s">
        <v>17</v>
      </c>
      <c r="E354" s="7" t="s">
        <v>11</v>
      </c>
      <c r="F354" s="7" t="s">
        <v>18</v>
      </c>
      <c r="G354" s="7" t="s">
        <v>264</v>
      </c>
      <c r="H354" s="7" t="s">
        <v>461</v>
      </c>
      <c r="I354" s="8" t="s">
        <v>1181</v>
      </c>
    </row>
    <row r="355" spans="1:9" x14ac:dyDescent="0.35">
      <c r="A355" s="6">
        <v>2528959</v>
      </c>
      <c r="B355" s="7" t="str">
        <f>"3329045007980001"</f>
        <v>3329045007980001</v>
      </c>
      <c r="C355" s="7" t="s">
        <v>1182</v>
      </c>
      <c r="D355" s="7" t="s">
        <v>17</v>
      </c>
      <c r="E355" s="7" t="s">
        <v>11</v>
      </c>
      <c r="F355" s="7" t="s">
        <v>18</v>
      </c>
      <c r="G355" s="7" t="s">
        <v>19</v>
      </c>
      <c r="H355" s="7" t="s">
        <v>906</v>
      </c>
      <c r="I355" s="8" t="s">
        <v>929</v>
      </c>
    </row>
    <row r="356" spans="1:9" x14ac:dyDescent="0.35">
      <c r="A356" s="6">
        <v>1656962</v>
      </c>
      <c r="B356" s="7" t="str">
        <f>"3329050604740001"</f>
        <v>3329050604740001</v>
      </c>
      <c r="C356" s="7" t="s">
        <v>1184</v>
      </c>
      <c r="D356" s="7" t="s">
        <v>17</v>
      </c>
      <c r="E356" s="7" t="s">
        <v>11</v>
      </c>
      <c r="F356" s="7" t="s">
        <v>18</v>
      </c>
      <c r="G356" s="7" t="s">
        <v>264</v>
      </c>
      <c r="H356" s="7" t="s">
        <v>289</v>
      </c>
      <c r="I356" s="8" t="s">
        <v>613</v>
      </c>
    </row>
    <row r="357" spans="1:9" x14ac:dyDescent="0.35">
      <c r="A357" s="6">
        <v>1656952</v>
      </c>
      <c r="B357" s="7" t="str">
        <f>"3329056807750001"</f>
        <v>3329056807750001</v>
      </c>
      <c r="C357" s="7" t="s">
        <v>1186</v>
      </c>
      <c r="D357" s="7" t="s">
        <v>17</v>
      </c>
      <c r="E357" s="7" t="s">
        <v>11</v>
      </c>
      <c r="F357" s="7" t="s">
        <v>18</v>
      </c>
      <c r="G357" s="7" t="s">
        <v>264</v>
      </c>
      <c r="H357" s="7" t="s">
        <v>289</v>
      </c>
      <c r="I357" s="8" t="s">
        <v>613</v>
      </c>
    </row>
    <row r="358" spans="1:9" x14ac:dyDescent="0.35">
      <c r="A358" s="6">
        <v>2529118</v>
      </c>
      <c r="B358" s="7" t="str">
        <f>"3329066110950002"</f>
        <v>3329066110950002</v>
      </c>
      <c r="C358" s="7" t="s">
        <v>1187</v>
      </c>
      <c r="D358" s="7" t="s">
        <v>17</v>
      </c>
      <c r="E358" s="7" t="s">
        <v>11</v>
      </c>
      <c r="F358" s="7" t="s">
        <v>18</v>
      </c>
      <c r="G358" s="7" t="s">
        <v>19</v>
      </c>
      <c r="H358" s="7" t="s">
        <v>906</v>
      </c>
      <c r="I358" s="8" t="s">
        <v>978</v>
      </c>
    </row>
    <row r="359" spans="1:9" x14ac:dyDescent="0.35">
      <c r="A359" s="6">
        <v>2529931</v>
      </c>
      <c r="B359" s="7" t="str">
        <f>"3329104709830006"</f>
        <v>3329104709830006</v>
      </c>
      <c r="C359" s="7" t="s">
        <v>1189</v>
      </c>
      <c r="D359" s="7" t="s">
        <v>17</v>
      </c>
      <c r="E359" s="7" t="s">
        <v>11</v>
      </c>
      <c r="F359" s="7" t="s">
        <v>18</v>
      </c>
      <c r="G359" s="7" t="s">
        <v>19</v>
      </c>
      <c r="H359" s="7" t="s">
        <v>906</v>
      </c>
      <c r="I359" s="8" t="s">
        <v>907</v>
      </c>
    </row>
    <row r="360" spans="1:9" x14ac:dyDescent="0.35">
      <c r="A360" s="6">
        <v>2528994</v>
      </c>
      <c r="B360" s="7" t="str">
        <f>"3329120708950007"</f>
        <v>3329120708950007</v>
      </c>
      <c r="C360" s="7" t="s">
        <v>1190</v>
      </c>
      <c r="D360" s="7" t="s">
        <v>17</v>
      </c>
      <c r="E360" s="7" t="s">
        <v>11</v>
      </c>
      <c r="F360" s="7" t="s">
        <v>18</v>
      </c>
      <c r="G360" s="7" t="s">
        <v>19</v>
      </c>
      <c r="H360" s="7" t="s">
        <v>906</v>
      </c>
      <c r="I360" s="8" t="s">
        <v>992</v>
      </c>
    </row>
    <row r="361" spans="1:9" x14ac:dyDescent="0.35">
      <c r="A361" s="6">
        <v>2528256</v>
      </c>
      <c r="B361" s="7" t="str">
        <f>"3329140706740005"</f>
        <v>3329140706740005</v>
      </c>
      <c r="C361" s="7" t="s">
        <v>1193</v>
      </c>
      <c r="D361" s="7" t="s">
        <v>17</v>
      </c>
      <c r="E361" s="7" t="s">
        <v>11</v>
      </c>
      <c r="F361" s="7" t="s">
        <v>18</v>
      </c>
      <c r="G361" s="7" t="s">
        <v>19</v>
      </c>
      <c r="H361" s="7" t="s">
        <v>906</v>
      </c>
      <c r="I361" s="8" t="s">
        <v>942</v>
      </c>
    </row>
    <row r="362" spans="1:9" x14ac:dyDescent="0.35">
      <c r="A362" s="6">
        <v>2529396</v>
      </c>
      <c r="B362" s="7" t="str">
        <f>"3329154106960008"</f>
        <v>3329154106960008</v>
      </c>
      <c r="C362" s="7" t="s">
        <v>1194</v>
      </c>
      <c r="D362" s="7" t="s">
        <v>17</v>
      </c>
      <c r="E362" s="7" t="s">
        <v>11</v>
      </c>
      <c r="F362" s="7" t="s">
        <v>18</v>
      </c>
      <c r="G362" s="7" t="s">
        <v>19</v>
      </c>
      <c r="H362" s="7" t="s">
        <v>906</v>
      </c>
      <c r="I362" s="8" t="s">
        <v>966</v>
      </c>
    </row>
    <row r="363" spans="1:9" x14ac:dyDescent="0.35">
      <c r="A363" s="6">
        <v>2530145</v>
      </c>
      <c r="B363" s="7" t="str">
        <f>"3329165011940006"</f>
        <v>3329165011940006</v>
      </c>
      <c r="C363" s="7" t="s">
        <v>1196</v>
      </c>
      <c r="D363" s="7" t="s">
        <v>17</v>
      </c>
      <c r="E363" s="7" t="s">
        <v>11</v>
      </c>
      <c r="F363" s="7" t="s">
        <v>18</v>
      </c>
      <c r="G363" s="7" t="s">
        <v>19</v>
      </c>
      <c r="H363" s="7" t="s">
        <v>906</v>
      </c>
      <c r="I363" s="8" t="s">
        <v>989</v>
      </c>
    </row>
    <row r="364" spans="1:9" x14ac:dyDescent="0.35">
      <c r="A364" s="6">
        <v>2527324</v>
      </c>
      <c r="B364" s="7" t="str">
        <f>"3376020804950002"</f>
        <v>3376020804950002</v>
      </c>
      <c r="C364" s="7" t="s">
        <v>1197</v>
      </c>
      <c r="D364" s="7" t="s">
        <v>17</v>
      </c>
      <c r="E364" s="7" t="s">
        <v>11</v>
      </c>
      <c r="F364" s="7" t="s">
        <v>18</v>
      </c>
      <c r="G364" s="7" t="s">
        <v>19</v>
      </c>
      <c r="H364" s="7" t="s">
        <v>906</v>
      </c>
      <c r="I364" s="8" t="s">
        <v>939</v>
      </c>
    </row>
    <row r="365" spans="1:9" x14ac:dyDescent="0.35">
      <c r="A365" s="6">
        <v>2529609</v>
      </c>
      <c r="B365" s="7" t="str">
        <f>"3376041903670001"</f>
        <v>3376041903670001</v>
      </c>
      <c r="C365" s="7" t="s">
        <v>1200</v>
      </c>
      <c r="D365" s="7" t="s">
        <v>17</v>
      </c>
      <c r="E365" s="7" t="s">
        <v>11</v>
      </c>
      <c r="F365" s="7" t="s">
        <v>18</v>
      </c>
      <c r="G365" s="7" t="s">
        <v>19</v>
      </c>
      <c r="H365" s="7" t="s">
        <v>906</v>
      </c>
      <c r="I365" s="8" t="s">
        <v>920</v>
      </c>
    </row>
    <row r="366" spans="1:9" x14ac:dyDescent="0.35">
      <c r="A366" s="6">
        <v>2529415</v>
      </c>
      <c r="B366" s="7" t="str">
        <f>"3403100809760001"</f>
        <v>3403100809760001</v>
      </c>
      <c r="C366" s="7" t="s">
        <v>1201</v>
      </c>
      <c r="D366" s="7" t="s">
        <v>17</v>
      </c>
      <c r="E366" s="7" t="s">
        <v>11</v>
      </c>
      <c r="F366" s="7" t="s">
        <v>18</v>
      </c>
      <c r="G366" s="7" t="s">
        <v>19</v>
      </c>
      <c r="H366" s="7" t="s">
        <v>906</v>
      </c>
      <c r="I366" s="8" t="s">
        <v>966</v>
      </c>
    </row>
    <row r="367" spans="1:9" x14ac:dyDescent="0.35">
      <c r="A367" s="6">
        <v>865540</v>
      </c>
      <c r="B367" s="7" t="str">
        <f>"3404071111810012"</f>
        <v>3404071111810012</v>
      </c>
      <c r="C367" s="7" t="s">
        <v>1205</v>
      </c>
      <c r="D367" s="7" t="s">
        <v>17</v>
      </c>
      <c r="E367" s="7" t="s">
        <v>11</v>
      </c>
      <c r="F367" s="7" t="s">
        <v>379</v>
      </c>
      <c r="G367" s="7" t="s">
        <v>1206</v>
      </c>
      <c r="H367" s="7" t="s">
        <v>1207</v>
      </c>
      <c r="I367" s="8" t="s">
        <v>1208</v>
      </c>
    </row>
    <row r="368" spans="1:9" x14ac:dyDescent="0.35">
      <c r="A368" s="6">
        <v>2121117</v>
      </c>
      <c r="B368" s="7" t="str">
        <f>"3602071604970001"</f>
        <v>3602071604970001</v>
      </c>
      <c r="C368" s="7" t="s">
        <v>1210</v>
      </c>
      <c r="D368" s="7" t="s">
        <v>17</v>
      </c>
      <c r="E368" s="7" t="s">
        <v>11</v>
      </c>
      <c r="F368" s="7" t="s">
        <v>67</v>
      </c>
      <c r="G368" s="7" t="s">
        <v>638</v>
      </c>
      <c r="H368" s="7" t="s">
        <v>1211</v>
      </c>
      <c r="I368" s="8" t="s">
        <v>1212</v>
      </c>
    </row>
    <row r="369" spans="1:9" x14ac:dyDescent="0.35">
      <c r="A369" s="6">
        <v>2528582</v>
      </c>
      <c r="B369" s="7" t="str">
        <f>"3671032707930003"</f>
        <v>3671032707930003</v>
      </c>
      <c r="C369" s="7" t="s">
        <v>1216</v>
      </c>
      <c r="D369" s="7" t="s">
        <v>17</v>
      </c>
      <c r="E369" s="7" t="s">
        <v>11</v>
      </c>
      <c r="F369" s="7" t="s">
        <v>18</v>
      </c>
      <c r="G369" s="7" t="s">
        <v>19</v>
      </c>
      <c r="H369" s="7" t="s">
        <v>906</v>
      </c>
      <c r="I369" s="8" t="s">
        <v>906</v>
      </c>
    </row>
    <row r="370" spans="1:9" x14ac:dyDescent="0.35">
      <c r="A370" s="6">
        <v>494527</v>
      </c>
      <c r="B370" s="7" t="str">
        <f>"7314082707890001"</f>
        <v>7314082707890001</v>
      </c>
      <c r="C370" s="7" t="s">
        <v>1217</v>
      </c>
      <c r="D370" s="7" t="s">
        <v>17</v>
      </c>
      <c r="E370" s="7" t="s">
        <v>11</v>
      </c>
      <c r="F370" s="7" t="s">
        <v>954</v>
      </c>
      <c r="G370" s="7" t="s">
        <v>955</v>
      </c>
      <c r="H370" s="7" t="s">
        <v>1218</v>
      </c>
      <c r="I370" s="8" t="s">
        <v>1219</v>
      </c>
    </row>
    <row r="371" spans="1:9" x14ac:dyDescent="0.35">
      <c r="A371" s="6">
        <v>2529354</v>
      </c>
      <c r="B371" s="7" t="str">
        <f>"7314082707890001"</f>
        <v>7314082707890001</v>
      </c>
      <c r="C371" s="7" t="s">
        <v>1220</v>
      </c>
      <c r="D371" s="7" t="s">
        <v>17</v>
      </c>
      <c r="E371" s="7" t="s">
        <v>11</v>
      </c>
      <c r="F371" s="7" t="s">
        <v>18</v>
      </c>
      <c r="G371" s="7" t="s">
        <v>19</v>
      </c>
      <c r="H371" s="7" t="s">
        <v>906</v>
      </c>
      <c r="I371" s="8" t="s">
        <v>927</v>
      </c>
    </row>
    <row r="372" spans="1:9" x14ac:dyDescent="0.35">
      <c r="A372" s="6">
        <v>2527484</v>
      </c>
      <c r="B372" s="7" t="str">
        <f>"7372024607980005"</f>
        <v>7372024607980005</v>
      </c>
      <c r="C372" s="7" t="s">
        <v>1221</v>
      </c>
      <c r="D372" s="7" t="s">
        <v>17</v>
      </c>
      <c r="E372" s="7" t="s">
        <v>11</v>
      </c>
      <c r="F372" s="7" t="s">
        <v>18</v>
      </c>
      <c r="G372" s="7" t="s">
        <v>19</v>
      </c>
      <c r="H372" s="7" t="s">
        <v>906</v>
      </c>
      <c r="I372" s="8" t="s">
        <v>959</v>
      </c>
    </row>
    <row r="373" spans="1:9" x14ac:dyDescent="0.35">
      <c r="A373" s="6">
        <v>807398</v>
      </c>
      <c r="B373" s="7" t="str">
        <f>"1205016609940001"</f>
        <v>1205016609940001</v>
      </c>
      <c r="C373" s="7" t="s">
        <v>1225</v>
      </c>
      <c r="D373" s="7" t="s">
        <v>17</v>
      </c>
      <c r="E373" s="7" t="s">
        <v>11</v>
      </c>
      <c r="F373" s="7" t="s">
        <v>667</v>
      </c>
      <c r="G373" s="7" t="s">
        <v>1226</v>
      </c>
      <c r="H373" s="7" t="s">
        <v>1227</v>
      </c>
      <c r="I373" s="8" t="s">
        <v>1228</v>
      </c>
    </row>
    <row r="374" spans="1:9" x14ac:dyDescent="0.35">
      <c r="A374" s="6">
        <v>2531641</v>
      </c>
      <c r="B374" s="7" t="str">
        <f>"1371012009780009"</f>
        <v>1371012009780009</v>
      </c>
      <c r="C374" s="7" t="s">
        <v>1231</v>
      </c>
      <c r="D374" s="7" t="s">
        <v>17</v>
      </c>
      <c r="E374" s="7" t="s">
        <v>11</v>
      </c>
      <c r="F374" s="7" t="s">
        <v>18</v>
      </c>
      <c r="G374" s="7" t="s">
        <v>19</v>
      </c>
      <c r="H374" s="7" t="s">
        <v>745</v>
      </c>
      <c r="I374" s="8" t="s">
        <v>1235</v>
      </c>
    </row>
    <row r="375" spans="1:9" x14ac:dyDescent="0.35">
      <c r="A375" s="6">
        <v>2531640</v>
      </c>
      <c r="B375" s="7" t="str">
        <f>"1371014505860014"</f>
        <v>1371014505860014</v>
      </c>
      <c r="C375" s="7" t="s">
        <v>1236</v>
      </c>
      <c r="D375" s="7" t="s">
        <v>17</v>
      </c>
      <c r="E375" s="7" t="s">
        <v>11</v>
      </c>
      <c r="F375" s="7" t="s">
        <v>18</v>
      </c>
      <c r="G375" s="7" t="s">
        <v>19</v>
      </c>
      <c r="H375" s="7" t="s">
        <v>745</v>
      </c>
      <c r="I375" s="8" t="s">
        <v>1235</v>
      </c>
    </row>
    <row r="376" spans="1:9" x14ac:dyDescent="0.35">
      <c r="A376" s="6">
        <v>2531668</v>
      </c>
      <c r="B376" s="7" t="str">
        <f>"1371061008810001"</f>
        <v>1371061008810001</v>
      </c>
      <c r="C376" s="7" t="s">
        <v>1240</v>
      </c>
      <c r="D376" s="7" t="s">
        <v>17</v>
      </c>
      <c r="E376" s="7" t="s">
        <v>11</v>
      </c>
      <c r="F376" s="7" t="s">
        <v>18</v>
      </c>
      <c r="G376" s="7" t="s">
        <v>19</v>
      </c>
      <c r="H376" s="7" t="s">
        <v>745</v>
      </c>
      <c r="I376" s="8" t="s">
        <v>1235</v>
      </c>
    </row>
    <row r="377" spans="1:9" x14ac:dyDescent="0.35">
      <c r="A377" s="6">
        <v>2531676</v>
      </c>
      <c r="B377" s="7" t="str">
        <f>"1371062107720007"</f>
        <v>1371062107720007</v>
      </c>
      <c r="C377" s="7" t="s">
        <v>1241</v>
      </c>
      <c r="D377" s="7" t="s">
        <v>17</v>
      </c>
      <c r="E377" s="7" t="s">
        <v>11</v>
      </c>
      <c r="F377" s="7" t="s">
        <v>18</v>
      </c>
      <c r="G377" s="7" t="s">
        <v>19</v>
      </c>
      <c r="H377" s="7" t="s">
        <v>745</v>
      </c>
      <c r="I377" s="8" t="s">
        <v>1235</v>
      </c>
    </row>
    <row r="378" spans="1:9" x14ac:dyDescent="0.35">
      <c r="A378" s="6">
        <v>2531664</v>
      </c>
      <c r="B378" s="7" t="str">
        <f>"1371064807000007"</f>
        <v>1371064807000007</v>
      </c>
      <c r="C378" s="7" t="s">
        <v>1244</v>
      </c>
      <c r="D378" s="7" t="s">
        <v>17</v>
      </c>
      <c r="E378" s="7" t="s">
        <v>11</v>
      </c>
      <c r="F378" s="7" t="s">
        <v>18</v>
      </c>
      <c r="G378" s="7" t="s">
        <v>19</v>
      </c>
      <c r="H378" s="7" t="s">
        <v>745</v>
      </c>
      <c r="I378" s="8" t="s">
        <v>1235</v>
      </c>
    </row>
    <row r="379" spans="1:9" x14ac:dyDescent="0.35">
      <c r="A379" s="6">
        <v>2531669</v>
      </c>
      <c r="B379" s="7" t="str">
        <f>"1371065310870001"</f>
        <v>1371065310870001</v>
      </c>
      <c r="C379" s="7" t="s">
        <v>1246</v>
      </c>
      <c r="D379" s="7" t="s">
        <v>17</v>
      </c>
      <c r="E379" s="7" t="s">
        <v>11</v>
      </c>
      <c r="F379" s="7" t="s">
        <v>18</v>
      </c>
      <c r="G379" s="7" t="s">
        <v>19</v>
      </c>
      <c r="H379" s="7" t="s">
        <v>745</v>
      </c>
      <c r="I379" s="8" t="s">
        <v>1235</v>
      </c>
    </row>
    <row r="380" spans="1:9" x14ac:dyDescent="0.35">
      <c r="A380" s="6">
        <v>2531677</v>
      </c>
      <c r="B380" s="7" t="str">
        <f>"1371065907750001"</f>
        <v>1371065907750001</v>
      </c>
      <c r="C380" s="7" t="s">
        <v>1247</v>
      </c>
      <c r="D380" s="7" t="s">
        <v>17</v>
      </c>
      <c r="E380" s="7" t="s">
        <v>11</v>
      </c>
      <c r="F380" s="7" t="s">
        <v>18</v>
      </c>
      <c r="G380" s="7" t="s">
        <v>19</v>
      </c>
      <c r="H380" s="7" t="s">
        <v>745</v>
      </c>
      <c r="I380" s="8" t="s">
        <v>1235</v>
      </c>
    </row>
    <row r="381" spans="1:9" x14ac:dyDescent="0.35">
      <c r="A381" s="6">
        <v>2534135</v>
      </c>
      <c r="B381" s="7" t="str">
        <f>"3171031902050003"</f>
        <v>3171031902050003</v>
      </c>
      <c r="C381" s="7" t="s">
        <v>1250</v>
      </c>
      <c r="D381" s="7" t="s">
        <v>17</v>
      </c>
      <c r="E381" s="7" t="s">
        <v>11</v>
      </c>
      <c r="F381" s="7" t="s">
        <v>18</v>
      </c>
      <c r="G381" s="7" t="s">
        <v>19</v>
      </c>
      <c r="H381" s="7" t="s">
        <v>745</v>
      </c>
      <c r="I381" s="8" t="s">
        <v>1230</v>
      </c>
    </row>
    <row r="382" spans="1:9" x14ac:dyDescent="0.35">
      <c r="A382" s="6">
        <v>2534138</v>
      </c>
      <c r="B382" s="7" t="str">
        <f>"3171032905720005"</f>
        <v>3171032905720005</v>
      </c>
      <c r="C382" s="7" t="s">
        <v>1252</v>
      </c>
      <c r="D382" s="7" t="s">
        <v>17</v>
      </c>
      <c r="E382" s="7" t="s">
        <v>11</v>
      </c>
      <c r="F382" s="7" t="s">
        <v>18</v>
      </c>
      <c r="G382" s="7" t="s">
        <v>19</v>
      </c>
      <c r="H382" s="7" t="s">
        <v>745</v>
      </c>
      <c r="I382" s="8" t="s">
        <v>1230</v>
      </c>
    </row>
    <row r="383" spans="1:9" x14ac:dyDescent="0.35">
      <c r="A383" s="6">
        <v>2534139</v>
      </c>
      <c r="B383" s="7" t="str">
        <f>"3171036911830001"</f>
        <v>3171036911830001</v>
      </c>
      <c r="C383" s="7" t="s">
        <v>1254</v>
      </c>
      <c r="D383" s="7" t="s">
        <v>17</v>
      </c>
      <c r="E383" s="7" t="s">
        <v>11</v>
      </c>
      <c r="F383" s="7" t="s">
        <v>18</v>
      </c>
      <c r="G383" s="7" t="s">
        <v>19</v>
      </c>
      <c r="H383" s="7" t="s">
        <v>745</v>
      </c>
      <c r="I383" s="8" t="s">
        <v>1230</v>
      </c>
    </row>
    <row r="384" spans="1:9" x14ac:dyDescent="0.35">
      <c r="A384" s="6">
        <v>2530249</v>
      </c>
      <c r="B384" s="7" t="str">
        <f>"3171070712860001"</f>
        <v>3171070712860001</v>
      </c>
      <c r="C384" s="7" t="s">
        <v>1255</v>
      </c>
      <c r="D384" s="7" t="s">
        <v>17</v>
      </c>
      <c r="E384" s="7" t="s">
        <v>11</v>
      </c>
      <c r="F384" s="7" t="s">
        <v>18</v>
      </c>
      <c r="G384" s="7" t="s">
        <v>19</v>
      </c>
      <c r="H384" s="7" t="s">
        <v>745</v>
      </c>
      <c r="I384" s="8" t="s">
        <v>1257</v>
      </c>
    </row>
    <row r="385" spans="1:9" x14ac:dyDescent="0.35">
      <c r="A385" s="6">
        <v>2530194</v>
      </c>
      <c r="B385" s="7" t="str">
        <f>"3171071301830001"</f>
        <v>3171071301830001</v>
      </c>
      <c r="C385" s="7" t="s">
        <v>1260</v>
      </c>
      <c r="D385" s="7" t="s">
        <v>17</v>
      </c>
      <c r="E385" s="7" t="s">
        <v>11</v>
      </c>
      <c r="F385" s="7" t="s">
        <v>18</v>
      </c>
      <c r="G385" s="7" t="s">
        <v>19</v>
      </c>
      <c r="H385" s="7" t="s">
        <v>745</v>
      </c>
      <c r="I385" s="8" t="s">
        <v>1257</v>
      </c>
    </row>
    <row r="386" spans="1:9" x14ac:dyDescent="0.35">
      <c r="A386" s="6">
        <v>2531779</v>
      </c>
      <c r="B386" s="7" t="str">
        <f>"3172010607790001"</f>
        <v>3172010607790001</v>
      </c>
      <c r="C386" s="7" t="s">
        <v>1261</v>
      </c>
      <c r="D386" s="7" t="s">
        <v>17</v>
      </c>
      <c r="E386" s="7" t="s">
        <v>11</v>
      </c>
      <c r="F386" s="7" t="s">
        <v>18</v>
      </c>
      <c r="G386" s="7" t="s">
        <v>19</v>
      </c>
      <c r="H386" s="7" t="s">
        <v>745</v>
      </c>
      <c r="I386" s="8" t="s">
        <v>1262</v>
      </c>
    </row>
    <row r="387" spans="1:9" x14ac:dyDescent="0.35">
      <c r="A387" s="6">
        <v>2533663</v>
      </c>
      <c r="B387" s="7" t="str">
        <f>"3172012704910009"</f>
        <v>3172012704910009</v>
      </c>
      <c r="C387" s="7" t="s">
        <v>1263</v>
      </c>
      <c r="D387" s="7" t="s">
        <v>17</v>
      </c>
      <c r="E387" s="7" t="s">
        <v>11</v>
      </c>
      <c r="F387" s="7" t="s">
        <v>18</v>
      </c>
      <c r="G387" s="7" t="s">
        <v>19</v>
      </c>
      <c r="H387" s="7" t="s">
        <v>745</v>
      </c>
      <c r="I387" s="8" t="s">
        <v>1264</v>
      </c>
    </row>
    <row r="388" spans="1:9" x14ac:dyDescent="0.35">
      <c r="A388" s="6">
        <v>2532448</v>
      </c>
      <c r="B388" s="7" t="str">
        <f>"3172050207900004"</f>
        <v>3172050207900004</v>
      </c>
      <c r="C388" s="7" t="s">
        <v>1265</v>
      </c>
      <c r="D388" s="7" t="s">
        <v>17</v>
      </c>
      <c r="E388" s="7" t="s">
        <v>11</v>
      </c>
      <c r="F388" s="7" t="s">
        <v>18</v>
      </c>
      <c r="G388" s="7" t="s">
        <v>19</v>
      </c>
      <c r="H388" s="7" t="s">
        <v>745</v>
      </c>
      <c r="I388" s="8" t="s">
        <v>1266</v>
      </c>
    </row>
    <row r="389" spans="1:9" x14ac:dyDescent="0.35">
      <c r="A389" s="6">
        <v>2533796</v>
      </c>
      <c r="B389" s="7" t="str">
        <f>"3173011509810015"</f>
        <v>3173011509810015</v>
      </c>
      <c r="C389" s="7" t="s">
        <v>1267</v>
      </c>
      <c r="D389" s="7" t="s">
        <v>17</v>
      </c>
      <c r="E389" s="7" t="s">
        <v>11</v>
      </c>
      <c r="F389" s="7" t="s">
        <v>18</v>
      </c>
      <c r="G389" s="7" t="s">
        <v>19</v>
      </c>
      <c r="H389" s="7" t="s">
        <v>745</v>
      </c>
      <c r="I389" s="8" t="s">
        <v>1264</v>
      </c>
    </row>
    <row r="390" spans="1:9" x14ac:dyDescent="0.35">
      <c r="A390" s="6">
        <v>2532395</v>
      </c>
      <c r="B390" s="7" t="str">
        <f>"3173041008860008"</f>
        <v>3173041008860008</v>
      </c>
      <c r="C390" s="7" t="s">
        <v>1270</v>
      </c>
      <c r="D390" s="7" t="s">
        <v>17</v>
      </c>
      <c r="E390" s="7" t="s">
        <v>11</v>
      </c>
      <c r="F390" s="7" t="s">
        <v>18</v>
      </c>
      <c r="G390" s="7" t="s">
        <v>19</v>
      </c>
      <c r="H390" s="7" t="s">
        <v>745</v>
      </c>
      <c r="I390" s="8" t="s">
        <v>1274</v>
      </c>
    </row>
    <row r="391" spans="1:9" x14ac:dyDescent="0.35">
      <c r="A391" s="6">
        <v>2533664</v>
      </c>
      <c r="B391" s="7" t="str">
        <f>"3173055311000001"</f>
        <v>3173055311000001</v>
      </c>
      <c r="C391" s="7" t="s">
        <v>1275</v>
      </c>
      <c r="D391" s="7" t="s">
        <v>17</v>
      </c>
      <c r="E391" s="7" t="s">
        <v>11</v>
      </c>
      <c r="F391" s="7" t="s">
        <v>18</v>
      </c>
      <c r="G391" s="7" t="s">
        <v>19</v>
      </c>
      <c r="H391" s="7" t="s">
        <v>745</v>
      </c>
      <c r="I391" s="8" t="s">
        <v>1264</v>
      </c>
    </row>
    <row r="392" spans="1:9" x14ac:dyDescent="0.35">
      <c r="A392" s="6">
        <v>2534022</v>
      </c>
      <c r="B392" s="7" t="str">
        <f>"3173064706820025"</f>
        <v>3173064706820025</v>
      </c>
      <c r="C392" s="7" t="s">
        <v>1276</v>
      </c>
      <c r="D392" s="7" t="s">
        <v>17</v>
      </c>
      <c r="E392" s="7" t="s">
        <v>11</v>
      </c>
      <c r="F392" s="7" t="s">
        <v>18</v>
      </c>
      <c r="G392" s="7" t="s">
        <v>19</v>
      </c>
      <c r="H392" s="7" t="s">
        <v>745</v>
      </c>
      <c r="I392" s="8" t="s">
        <v>1277</v>
      </c>
    </row>
    <row r="393" spans="1:9" x14ac:dyDescent="0.35">
      <c r="A393" s="6">
        <v>2530921</v>
      </c>
      <c r="B393" s="7" t="str">
        <f>"3174021512011001"</f>
        <v>3174021512011001</v>
      </c>
      <c r="C393" s="7" t="s">
        <v>1278</v>
      </c>
      <c r="D393" s="7" t="s">
        <v>17</v>
      </c>
      <c r="E393" s="7" t="s">
        <v>11</v>
      </c>
      <c r="F393" s="7" t="s">
        <v>18</v>
      </c>
      <c r="G393" s="7" t="s">
        <v>19</v>
      </c>
      <c r="H393" s="7" t="s">
        <v>745</v>
      </c>
      <c r="I393" s="8" t="s">
        <v>352</v>
      </c>
    </row>
    <row r="394" spans="1:9" x14ac:dyDescent="0.35">
      <c r="A394" s="6">
        <v>2530924</v>
      </c>
      <c r="B394" s="7" t="str">
        <f>"3174024806680003"</f>
        <v>3174024806680003</v>
      </c>
      <c r="C394" s="7" t="s">
        <v>1279</v>
      </c>
      <c r="D394" s="7" t="s">
        <v>17</v>
      </c>
      <c r="E394" s="7" t="s">
        <v>11</v>
      </c>
      <c r="F394" s="7" t="s">
        <v>18</v>
      </c>
      <c r="G394" s="7" t="s">
        <v>19</v>
      </c>
      <c r="H394" s="7" t="s">
        <v>745</v>
      </c>
      <c r="I394" s="8" t="s">
        <v>352</v>
      </c>
    </row>
    <row r="395" spans="1:9" x14ac:dyDescent="0.35">
      <c r="A395" s="6">
        <v>2530901</v>
      </c>
      <c r="B395" s="7" t="str">
        <f>"3174073011410003"</f>
        <v>3174073011410003</v>
      </c>
      <c r="C395" s="7" t="s">
        <v>1280</v>
      </c>
      <c r="D395" s="7" t="s">
        <v>17</v>
      </c>
      <c r="E395" s="7" t="s">
        <v>11</v>
      </c>
      <c r="F395" s="7" t="s">
        <v>18</v>
      </c>
      <c r="G395" s="7" t="s">
        <v>19</v>
      </c>
      <c r="H395" s="7" t="s">
        <v>745</v>
      </c>
      <c r="I395" s="8" t="s">
        <v>352</v>
      </c>
    </row>
    <row r="396" spans="1:9" x14ac:dyDescent="0.35">
      <c r="A396" s="6">
        <v>2533665</v>
      </c>
      <c r="B396" s="7" t="str">
        <f>"3175011010760009"</f>
        <v>3175011010760009</v>
      </c>
      <c r="C396" s="7" t="s">
        <v>1282</v>
      </c>
      <c r="D396" s="7" t="s">
        <v>17</v>
      </c>
      <c r="E396" s="7" t="s">
        <v>11</v>
      </c>
      <c r="F396" s="7" t="s">
        <v>18</v>
      </c>
      <c r="G396" s="7" t="s">
        <v>19</v>
      </c>
      <c r="H396" s="7" t="s">
        <v>745</v>
      </c>
      <c r="I396" s="8" t="s">
        <v>1264</v>
      </c>
    </row>
    <row r="397" spans="1:9" x14ac:dyDescent="0.35">
      <c r="A397" s="6">
        <v>2534013</v>
      </c>
      <c r="B397" s="7" t="str">
        <f>"3175060510760021"</f>
        <v>3175060510760021</v>
      </c>
      <c r="C397" s="7" t="s">
        <v>1287</v>
      </c>
      <c r="D397" s="7" t="s">
        <v>17</v>
      </c>
      <c r="E397" s="7" t="s">
        <v>11</v>
      </c>
      <c r="F397" s="7" t="s">
        <v>18</v>
      </c>
      <c r="G397" s="7" t="s">
        <v>19</v>
      </c>
      <c r="H397" s="7" t="s">
        <v>745</v>
      </c>
      <c r="I397" s="8" t="s">
        <v>1277</v>
      </c>
    </row>
    <row r="398" spans="1:9" x14ac:dyDescent="0.35">
      <c r="A398" s="6">
        <v>2573426</v>
      </c>
      <c r="B398" s="7" t="str">
        <f>"3175071708760017"</f>
        <v>3175071708760017</v>
      </c>
      <c r="C398" s="7" t="s">
        <v>1292</v>
      </c>
      <c r="D398" s="7" t="s">
        <v>17</v>
      </c>
      <c r="E398" s="7" t="s">
        <v>11</v>
      </c>
      <c r="F398" s="7" t="s">
        <v>18</v>
      </c>
      <c r="G398" s="7" t="s">
        <v>19</v>
      </c>
      <c r="H398" s="7" t="s">
        <v>745</v>
      </c>
      <c r="I398" s="8" t="s">
        <v>746</v>
      </c>
    </row>
    <row r="399" spans="1:9" x14ac:dyDescent="0.35">
      <c r="A399" s="6">
        <v>2530923</v>
      </c>
      <c r="B399" s="7" t="str">
        <f>"3175105704850002"</f>
        <v>3175105704850002</v>
      </c>
      <c r="C399" s="7" t="s">
        <v>421</v>
      </c>
      <c r="D399" s="7" t="s">
        <v>17</v>
      </c>
      <c r="E399" s="7" t="s">
        <v>11</v>
      </c>
      <c r="F399" s="7" t="s">
        <v>18</v>
      </c>
      <c r="G399" s="7" t="s">
        <v>19</v>
      </c>
      <c r="H399" s="7" t="s">
        <v>745</v>
      </c>
      <c r="I399" s="8" t="s">
        <v>352</v>
      </c>
    </row>
    <row r="400" spans="1:9" x14ac:dyDescent="0.35">
      <c r="A400" s="6">
        <v>2530580</v>
      </c>
      <c r="B400" s="7" t="str">
        <f>"3205380404760001"</f>
        <v>3205380404760001</v>
      </c>
      <c r="C400" s="7" t="s">
        <v>1294</v>
      </c>
      <c r="D400" s="7" t="s">
        <v>17</v>
      </c>
      <c r="E400" s="7" t="s">
        <v>11</v>
      </c>
      <c r="F400" s="7" t="s">
        <v>18</v>
      </c>
      <c r="G400" s="7" t="s">
        <v>19</v>
      </c>
      <c r="H400" s="7" t="s">
        <v>745</v>
      </c>
      <c r="I400" s="8" t="s">
        <v>1298</v>
      </c>
    </row>
    <row r="401" spans="1:9" x14ac:dyDescent="0.35">
      <c r="A401" s="6">
        <v>2533353</v>
      </c>
      <c r="B401" s="7" t="str">
        <f>"3206230605670001"</f>
        <v>3206230605670001</v>
      </c>
      <c r="C401" s="7" t="s">
        <v>1299</v>
      </c>
      <c r="D401" s="7" t="s">
        <v>17</v>
      </c>
      <c r="E401" s="7" t="s">
        <v>11</v>
      </c>
      <c r="F401" s="7" t="s">
        <v>18</v>
      </c>
      <c r="G401" s="7" t="s">
        <v>19</v>
      </c>
      <c r="H401" s="7" t="s">
        <v>745</v>
      </c>
      <c r="I401" s="8" t="s">
        <v>1303</v>
      </c>
    </row>
    <row r="402" spans="1:9" x14ac:dyDescent="0.35">
      <c r="A402" s="6">
        <v>2531600</v>
      </c>
      <c r="B402" s="7" t="str">
        <f>"3209065704940005"</f>
        <v>3209065704940005</v>
      </c>
      <c r="C402" s="7" t="s">
        <v>1304</v>
      </c>
      <c r="D402" s="7" t="s">
        <v>17</v>
      </c>
      <c r="E402" s="7" t="s">
        <v>11</v>
      </c>
      <c r="F402" s="7" t="s">
        <v>18</v>
      </c>
      <c r="G402" s="7" t="s">
        <v>19</v>
      </c>
      <c r="H402" s="7" t="s">
        <v>745</v>
      </c>
      <c r="I402" s="8" t="s">
        <v>1306</v>
      </c>
    </row>
    <row r="403" spans="1:9" x14ac:dyDescent="0.35">
      <c r="A403" s="6">
        <v>2532581</v>
      </c>
      <c r="B403" s="7" t="str">
        <f>"3209195607000009"</f>
        <v>3209195607000009</v>
      </c>
      <c r="C403" s="7" t="s">
        <v>1307</v>
      </c>
      <c r="D403" s="7" t="s">
        <v>17</v>
      </c>
      <c r="E403" s="7" t="s">
        <v>11</v>
      </c>
      <c r="F403" s="7" t="s">
        <v>18</v>
      </c>
      <c r="G403" s="7" t="s">
        <v>19</v>
      </c>
      <c r="H403" s="7" t="s">
        <v>745</v>
      </c>
      <c r="I403" s="8" t="s">
        <v>1266</v>
      </c>
    </row>
    <row r="404" spans="1:9" x14ac:dyDescent="0.35">
      <c r="A404" s="6">
        <v>2533328</v>
      </c>
      <c r="B404" s="7" t="str">
        <f>"3214120602670001"</f>
        <v>3214120602670001</v>
      </c>
      <c r="C404" s="7" t="s">
        <v>1310</v>
      </c>
      <c r="D404" s="7" t="s">
        <v>17</v>
      </c>
      <c r="E404" s="7" t="s">
        <v>11</v>
      </c>
      <c r="F404" s="7" t="s">
        <v>18</v>
      </c>
      <c r="G404" s="7" t="s">
        <v>19</v>
      </c>
      <c r="H404" s="7" t="s">
        <v>745</v>
      </c>
      <c r="I404" s="8" t="s">
        <v>1303</v>
      </c>
    </row>
    <row r="405" spans="1:9" x14ac:dyDescent="0.35">
      <c r="A405" s="6">
        <v>1855195</v>
      </c>
      <c r="B405" s="7" t="str">
        <f>"3215024711010001"</f>
        <v>3215024711010001</v>
      </c>
      <c r="C405" s="7" t="s">
        <v>1315</v>
      </c>
      <c r="D405" s="7" t="s">
        <v>17</v>
      </c>
      <c r="E405" s="7" t="s">
        <v>11</v>
      </c>
      <c r="F405" s="7" t="s">
        <v>91</v>
      </c>
      <c r="G405" s="7" t="s">
        <v>320</v>
      </c>
      <c r="H405" s="7" t="s">
        <v>1316</v>
      </c>
      <c r="I405" s="8" t="s">
        <v>933</v>
      </c>
    </row>
    <row r="406" spans="1:9" x14ac:dyDescent="0.35">
      <c r="A406" s="6">
        <v>2532051</v>
      </c>
      <c r="B406" s="7" t="str">
        <f>"3215216705000001"</f>
        <v>3215216705000001</v>
      </c>
      <c r="C406" s="7" t="s">
        <v>1317</v>
      </c>
      <c r="D406" s="7" t="s">
        <v>17</v>
      </c>
      <c r="E406" s="7" t="s">
        <v>11</v>
      </c>
      <c r="F406" s="7" t="s">
        <v>18</v>
      </c>
      <c r="G406" s="7" t="s">
        <v>19</v>
      </c>
      <c r="H406" s="7" t="s">
        <v>745</v>
      </c>
      <c r="I406" s="8" t="s">
        <v>1318</v>
      </c>
    </row>
    <row r="407" spans="1:9" x14ac:dyDescent="0.35">
      <c r="A407" s="6">
        <v>2532283</v>
      </c>
      <c r="B407" s="7" t="str">
        <f>"3216196412890002"</f>
        <v>3216196412890002</v>
      </c>
      <c r="C407" s="7" t="s">
        <v>1321</v>
      </c>
      <c r="D407" s="7" t="s">
        <v>17</v>
      </c>
      <c r="E407" s="7" t="s">
        <v>11</v>
      </c>
      <c r="F407" s="7" t="s">
        <v>18</v>
      </c>
      <c r="G407" s="7" t="s">
        <v>19</v>
      </c>
      <c r="H407" s="7" t="s">
        <v>745</v>
      </c>
      <c r="I407" s="8" t="s">
        <v>1274</v>
      </c>
    </row>
    <row r="408" spans="1:9" x14ac:dyDescent="0.35">
      <c r="A408" s="6">
        <v>2532407</v>
      </c>
      <c r="B408" s="7" t="str">
        <f>"3273140604650001"</f>
        <v>3273140604650001</v>
      </c>
      <c r="C408" s="7" t="s">
        <v>1323</v>
      </c>
      <c r="D408" s="7" t="s">
        <v>17</v>
      </c>
      <c r="E408" s="7" t="s">
        <v>11</v>
      </c>
      <c r="F408" s="7" t="s">
        <v>18</v>
      </c>
      <c r="G408" s="7" t="s">
        <v>19</v>
      </c>
      <c r="H408" s="7" t="s">
        <v>745</v>
      </c>
      <c r="I408" s="8" t="s">
        <v>1274</v>
      </c>
    </row>
    <row r="409" spans="1:9" x14ac:dyDescent="0.35">
      <c r="A409" s="6">
        <v>2532055</v>
      </c>
      <c r="B409" s="7" t="str">
        <f>"3274042103800005"</f>
        <v>3274042103800005</v>
      </c>
      <c r="C409" s="7" t="s">
        <v>1328</v>
      </c>
      <c r="D409" s="7" t="s">
        <v>17</v>
      </c>
      <c r="E409" s="7" t="s">
        <v>11</v>
      </c>
      <c r="F409" s="7" t="s">
        <v>18</v>
      </c>
      <c r="G409" s="7" t="s">
        <v>19</v>
      </c>
      <c r="H409" s="7" t="s">
        <v>745</v>
      </c>
      <c r="I409" s="8" t="s">
        <v>1318</v>
      </c>
    </row>
    <row r="410" spans="1:9" x14ac:dyDescent="0.35">
      <c r="A410" s="6">
        <v>2534024</v>
      </c>
      <c r="B410" s="7" t="str">
        <f>"3275017101840008"</f>
        <v>3275017101840008</v>
      </c>
      <c r="C410" s="7" t="s">
        <v>1329</v>
      </c>
      <c r="D410" s="7" t="s">
        <v>17</v>
      </c>
      <c r="E410" s="7" t="s">
        <v>11</v>
      </c>
      <c r="F410" s="7" t="s">
        <v>18</v>
      </c>
      <c r="G410" s="7" t="s">
        <v>19</v>
      </c>
      <c r="H410" s="7" t="s">
        <v>745</v>
      </c>
      <c r="I410" s="8" t="s">
        <v>1277</v>
      </c>
    </row>
    <row r="411" spans="1:9" x14ac:dyDescent="0.35">
      <c r="A411" s="6">
        <v>2534010</v>
      </c>
      <c r="B411" s="7" t="str">
        <f>"3275022110740020"</f>
        <v>3275022110740020</v>
      </c>
      <c r="C411" s="7" t="s">
        <v>1330</v>
      </c>
      <c r="D411" s="7" t="s">
        <v>17</v>
      </c>
      <c r="E411" s="7" t="s">
        <v>11</v>
      </c>
      <c r="F411" s="7" t="s">
        <v>18</v>
      </c>
      <c r="G411" s="7" t="s">
        <v>19</v>
      </c>
      <c r="H411" s="7" t="s">
        <v>745</v>
      </c>
      <c r="I411" s="8" t="s">
        <v>1277</v>
      </c>
    </row>
    <row r="412" spans="1:9" x14ac:dyDescent="0.35">
      <c r="A412" s="6">
        <v>2530920</v>
      </c>
      <c r="B412" s="7" t="str">
        <f>"3275045711630019"</f>
        <v>3275045711630019</v>
      </c>
      <c r="C412" s="7" t="s">
        <v>1331</v>
      </c>
      <c r="D412" s="7" t="s">
        <v>17</v>
      </c>
      <c r="E412" s="7" t="s">
        <v>11</v>
      </c>
      <c r="F412" s="7" t="s">
        <v>18</v>
      </c>
      <c r="G412" s="7" t="s">
        <v>19</v>
      </c>
      <c r="H412" s="7" t="s">
        <v>745</v>
      </c>
      <c r="I412" s="8" t="s">
        <v>352</v>
      </c>
    </row>
    <row r="413" spans="1:9" x14ac:dyDescent="0.35">
      <c r="A413" s="6">
        <v>2532262</v>
      </c>
      <c r="B413" s="7" t="str">
        <f>"3275054103030012"</f>
        <v>3275054103030012</v>
      </c>
      <c r="C413" s="7" t="s">
        <v>1335</v>
      </c>
      <c r="D413" s="7" t="s">
        <v>17</v>
      </c>
      <c r="E413" s="7" t="s">
        <v>11</v>
      </c>
      <c r="F413" s="7" t="s">
        <v>18</v>
      </c>
      <c r="G413" s="7" t="s">
        <v>19</v>
      </c>
      <c r="H413" s="7" t="s">
        <v>745</v>
      </c>
      <c r="I413" s="8" t="s">
        <v>1274</v>
      </c>
    </row>
    <row r="414" spans="1:9" x14ac:dyDescent="0.35">
      <c r="A414" s="6">
        <v>2533610</v>
      </c>
      <c r="B414" s="7" t="str">
        <f>"3275086303860032"</f>
        <v>3275086303860032</v>
      </c>
      <c r="C414" s="7" t="s">
        <v>1336</v>
      </c>
      <c r="D414" s="7" t="s">
        <v>17</v>
      </c>
      <c r="E414" s="7" t="s">
        <v>11</v>
      </c>
      <c r="F414" s="7" t="s">
        <v>18</v>
      </c>
      <c r="G414" s="7" t="s">
        <v>19</v>
      </c>
      <c r="H414" s="7" t="s">
        <v>745</v>
      </c>
      <c r="I414" s="8" t="s">
        <v>1314</v>
      </c>
    </row>
    <row r="415" spans="1:9" x14ac:dyDescent="0.35">
      <c r="A415" s="6">
        <v>2531761</v>
      </c>
      <c r="B415" s="7" t="str">
        <f>"3279034712360001"</f>
        <v>3279034712360001</v>
      </c>
      <c r="C415" s="7" t="s">
        <v>1341</v>
      </c>
      <c r="D415" s="7" t="s">
        <v>17</v>
      </c>
      <c r="E415" s="7" t="s">
        <v>11</v>
      </c>
      <c r="F415" s="7" t="s">
        <v>18</v>
      </c>
      <c r="G415" s="7" t="s">
        <v>19</v>
      </c>
      <c r="H415" s="7" t="s">
        <v>745</v>
      </c>
      <c r="I415" s="8" t="s">
        <v>1262</v>
      </c>
    </row>
    <row r="416" spans="1:9" x14ac:dyDescent="0.35">
      <c r="A416" s="6">
        <v>3084953</v>
      </c>
      <c r="B416" s="7" t="str">
        <f>"3301051010990005"</f>
        <v>3301051010990005</v>
      </c>
      <c r="C416" s="7" t="s">
        <v>1344</v>
      </c>
      <c r="D416" s="7" t="s">
        <v>17</v>
      </c>
      <c r="E416" s="7" t="s">
        <v>11</v>
      </c>
      <c r="F416" s="7" t="s">
        <v>18</v>
      </c>
      <c r="G416" s="7" t="s">
        <v>163</v>
      </c>
      <c r="H416" s="7" t="s">
        <v>1345</v>
      </c>
      <c r="I416" s="8" t="s">
        <v>1346</v>
      </c>
    </row>
    <row r="417" spans="1:9" x14ac:dyDescent="0.35">
      <c r="A417" s="6">
        <v>1585915</v>
      </c>
      <c r="B417" s="7" t="str">
        <f>"3303082105030003"</f>
        <v>3303082105030003</v>
      </c>
      <c r="C417" s="7" t="s">
        <v>1347</v>
      </c>
      <c r="D417" s="7" t="s">
        <v>17</v>
      </c>
      <c r="E417" s="7" t="s">
        <v>11</v>
      </c>
      <c r="F417" s="7" t="s">
        <v>18</v>
      </c>
      <c r="G417" s="7" t="s">
        <v>1349</v>
      </c>
      <c r="H417" s="7" t="s">
        <v>1350</v>
      </c>
      <c r="I417" s="8" t="s">
        <v>1351</v>
      </c>
    </row>
    <row r="418" spans="1:9" x14ac:dyDescent="0.35">
      <c r="A418" s="6">
        <v>2573098</v>
      </c>
      <c r="B418" s="7" t="str">
        <f>"3304112809870001"</f>
        <v>3304112809870001</v>
      </c>
      <c r="C418" s="7" t="s">
        <v>1352</v>
      </c>
      <c r="D418" s="7" t="s">
        <v>17</v>
      </c>
      <c r="E418" s="7" t="s">
        <v>11</v>
      </c>
      <c r="F418" s="7" t="s">
        <v>18</v>
      </c>
      <c r="G418" s="7" t="s">
        <v>19</v>
      </c>
      <c r="H418" s="7" t="s">
        <v>745</v>
      </c>
      <c r="I418" s="8" t="s">
        <v>746</v>
      </c>
    </row>
    <row r="419" spans="1:9" x14ac:dyDescent="0.35">
      <c r="A419" s="6">
        <v>2531012</v>
      </c>
      <c r="B419" s="7" t="str">
        <f>"3324033005910003"</f>
        <v>3324033005910003</v>
      </c>
      <c r="C419" s="7" t="s">
        <v>1357</v>
      </c>
      <c r="D419" s="7" t="s">
        <v>17</v>
      </c>
      <c r="E419" s="7" t="s">
        <v>11</v>
      </c>
      <c r="F419" s="7" t="s">
        <v>18</v>
      </c>
      <c r="G419" s="7" t="s">
        <v>19</v>
      </c>
      <c r="H419" s="7" t="s">
        <v>745</v>
      </c>
      <c r="I419" s="8" t="s">
        <v>352</v>
      </c>
    </row>
    <row r="420" spans="1:9" x14ac:dyDescent="0.35">
      <c r="A420" s="6">
        <v>2531014</v>
      </c>
      <c r="B420" s="7" t="str">
        <f>"3324082605920001"</f>
        <v>3324082605920001</v>
      </c>
      <c r="C420" s="7" t="s">
        <v>1358</v>
      </c>
      <c r="D420" s="7" t="s">
        <v>17</v>
      </c>
      <c r="E420" s="7" t="s">
        <v>11</v>
      </c>
      <c r="F420" s="7" t="s">
        <v>18</v>
      </c>
      <c r="G420" s="7" t="s">
        <v>19</v>
      </c>
      <c r="H420" s="7" t="s">
        <v>745</v>
      </c>
      <c r="I420" s="8" t="s">
        <v>352</v>
      </c>
    </row>
    <row r="421" spans="1:9" x14ac:dyDescent="0.35">
      <c r="A421" s="6">
        <v>2533720</v>
      </c>
      <c r="B421" s="7" t="str">
        <f>"3328032905050002"</f>
        <v>3328032905050002</v>
      </c>
      <c r="C421" s="7" t="s">
        <v>1360</v>
      </c>
      <c r="D421" s="7" t="s">
        <v>17</v>
      </c>
      <c r="E421" s="7" t="s">
        <v>11</v>
      </c>
      <c r="F421" s="7" t="s">
        <v>18</v>
      </c>
      <c r="G421" s="7" t="s">
        <v>19</v>
      </c>
      <c r="H421" s="7" t="s">
        <v>745</v>
      </c>
      <c r="I421" s="8" t="s">
        <v>1264</v>
      </c>
    </row>
    <row r="422" spans="1:9" x14ac:dyDescent="0.35">
      <c r="A422" s="6">
        <v>2532362</v>
      </c>
      <c r="B422" s="7" t="str">
        <f>"3328040107550015"</f>
        <v>3328040107550015</v>
      </c>
      <c r="C422" s="7" t="s">
        <v>1364</v>
      </c>
      <c r="D422" s="7" t="s">
        <v>17</v>
      </c>
      <c r="E422" s="7" t="s">
        <v>11</v>
      </c>
      <c r="F422" s="7" t="s">
        <v>18</v>
      </c>
      <c r="G422" s="7" t="s">
        <v>19</v>
      </c>
      <c r="H422" s="7" t="s">
        <v>745</v>
      </c>
      <c r="I422" s="8" t="s">
        <v>1274</v>
      </c>
    </row>
    <row r="423" spans="1:9" x14ac:dyDescent="0.35">
      <c r="A423" s="6">
        <v>2530201</v>
      </c>
      <c r="B423" s="7" t="str">
        <f>"3328040107840123"</f>
        <v>3328040107840123</v>
      </c>
      <c r="C423" s="7" t="s">
        <v>1369</v>
      </c>
      <c r="D423" s="7" t="s">
        <v>17</v>
      </c>
      <c r="E423" s="7" t="s">
        <v>11</v>
      </c>
      <c r="F423" s="7" t="s">
        <v>18</v>
      </c>
      <c r="G423" s="7" t="s">
        <v>19</v>
      </c>
      <c r="H423" s="7" t="s">
        <v>745</v>
      </c>
      <c r="I423" s="8" t="s">
        <v>1257</v>
      </c>
    </row>
    <row r="424" spans="1:9" x14ac:dyDescent="0.35">
      <c r="A424" s="6">
        <v>2530324</v>
      </c>
      <c r="B424" s="7" t="str">
        <f>"3328040107840201"</f>
        <v>3328040107840201</v>
      </c>
      <c r="C424" s="7" t="s">
        <v>1370</v>
      </c>
      <c r="D424" s="7" t="s">
        <v>17</v>
      </c>
      <c r="E424" s="7" t="s">
        <v>11</v>
      </c>
      <c r="F424" s="7" t="s">
        <v>18</v>
      </c>
      <c r="G424" s="7" t="s">
        <v>19</v>
      </c>
      <c r="H424" s="7" t="s">
        <v>745</v>
      </c>
      <c r="I424" s="8" t="s">
        <v>1257</v>
      </c>
    </row>
    <row r="425" spans="1:9" x14ac:dyDescent="0.35">
      <c r="A425" s="6">
        <v>2573177</v>
      </c>
      <c r="B425" s="7" t="str">
        <f>"3328040110010007"</f>
        <v>3328040110010007</v>
      </c>
      <c r="C425" s="7" t="s">
        <v>1378</v>
      </c>
      <c r="D425" s="7" t="s">
        <v>17</v>
      </c>
      <c r="E425" s="7" t="s">
        <v>11</v>
      </c>
      <c r="F425" s="7" t="s">
        <v>18</v>
      </c>
      <c r="G425" s="7" t="s">
        <v>19</v>
      </c>
      <c r="H425" s="7" t="s">
        <v>745</v>
      </c>
      <c r="I425" s="8" t="s">
        <v>746</v>
      </c>
    </row>
    <row r="426" spans="1:9" x14ac:dyDescent="0.35">
      <c r="A426" s="6">
        <v>1462404</v>
      </c>
      <c r="B426" s="7" t="str">
        <f>"3328040110900008"</f>
        <v>3328040110900008</v>
      </c>
      <c r="C426" s="7" t="s">
        <v>1380</v>
      </c>
      <c r="D426" s="7" t="s">
        <v>17</v>
      </c>
      <c r="E426" s="7" t="s">
        <v>11</v>
      </c>
      <c r="F426" s="7" t="s">
        <v>303</v>
      </c>
      <c r="G426" s="7" t="s">
        <v>304</v>
      </c>
      <c r="H426" s="7" t="s">
        <v>1381</v>
      </c>
      <c r="I426" s="8" t="s">
        <v>1382</v>
      </c>
    </row>
    <row r="427" spans="1:9" x14ac:dyDescent="0.35">
      <c r="A427" s="6">
        <v>732298</v>
      </c>
      <c r="B427" s="7" t="str">
        <f>"3328040112860008"</f>
        <v>3328040112860008</v>
      </c>
      <c r="C427" s="7" t="s">
        <v>1386</v>
      </c>
      <c r="D427" s="7" t="s">
        <v>17</v>
      </c>
      <c r="E427" s="7" t="s">
        <v>11</v>
      </c>
      <c r="F427" s="7" t="s">
        <v>18</v>
      </c>
      <c r="G427" s="7" t="s">
        <v>392</v>
      </c>
      <c r="H427" s="7" t="s">
        <v>1387</v>
      </c>
      <c r="I427" s="8" t="s">
        <v>1388</v>
      </c>
    </row>
    <row r="428" spans="1:9" x14ac:dyDescent="0.35">
      <c r="A428" s="6">
        <v>2530269</v>
      </c>
      <c r="B428" s="7" t="str">
        <f>"3328040210820001"</f>
        <v>3328040210820001</v>
      </c>
      <c r="C428" s="7" t="s">
        <v>1389</v>
      </c>
      <c r="D428" s="7" t="s">
        <v>17</v>
      </c>
      <c r="E428" s="7" t="s">
        <v>11</v>
      </c>
      <c r="F428" s="7" t="s">
        <v>18</v>
      </c>
      <c r="G428" s="7" t="s">
        <v>19</v>
      </c>
      <c r="H428" s="7" t="s">
        <v>745</v>
      </c>
      <c r="I428" s="8" t="s">
        <v>1257</v>
      </c>
    </row>
    <row r="429" spans="1:9" x14ac:dyDescent="0.35">
      <c r="A429" s="6">
        <v>2531975</v>
      </c>
      <c r="B429" s="7" t="str">
        <f>"3328040305760006"</f>
        <v>3328040305760006</v>
      </c>
      <c r="C429" s="7" t="s">
        <v>1397</v>
      </c>
      <c r="D429" s="7" t="s">
        <v>17</v>
      </c>
      <c r="E429" s="7" t="s">
        <v>11</v>
      </c>
      <c r="F429" s="7" t="s">
        <v>18</v>
      </c>
      <c r="G429" s="7" t="s">
        <v>19</v>
      </c>
      <c r="H429" s="7" t="s">
        <v>745</v>
      </c>
      <c r="I429" s="8" t="s">
        <v>1401</v>
      </c>
    </row>
    <row r="430" spans="1:9" x14ac:dyDescent="0.35">
      <c r="A430" s="6">
        <v>2532917</v>
      </c>
      <c r="B430" s="7" t="str">
        <f>"3328040309030006"</f>
        <v>3328040309030006</v>
      </c>
      <c r="C430" s="7" t="s">
        <v>1405</v>
      </c>
      <c r="D430" s="7" t="s">
        <v>17</v>
      </c>
      <c r="E430" s="7" t="s">
        <v>11</v>
      </c>
      <c r="F430" s="7" t="s">
        <v>18</v>
      </c>
      <c r="G430" s="7" t="s">
        <v>19</v>
      </c>
      <c r="H430" s="7" t="s">
        <v>745</v>
      </c>
      <c r="I430" s="8" t="s">
        <v>1406</v>
      </c>
    </row>
    <row r="431" spans="1:9" x14ac:dyDescent="0.35">
      <c r="A431" s="6">
        <v>2532900</v>
      </c>
      <c r="B431" s="7" t="str">
        <f>"3328040502030002"</f>
        <v>3328040502030002</v>
      </c>
      <c r="C431" s="7" t="s">
        <v>1409</v>
      </c>
      <c r="D431" s="7" t="s">
        <v>17</v>
      </c>
      <c r="E431" s="7" t="s">
        <v>11</v>
      </c>
      <c r="F431" s="7" t="s">
        <v>18</v>
      </c>
      <c r="G431" s="7" t="s">
        <v>19</v>
      </c>
      <c r="H431" s="7" t="s">
        <v>745</v>
      </c>
      <c r="I431" s="8" t="s">
        <v>1406</v>
      </c>
    </row>
    <row r="432" spans="1:9" x14ac:dyDescent="0.35">
      <c r="A432" s="6">
        <v>2573693</v>
      </c>
      <c r="B432" s="7" t="str">
        <f>"3328040503000007"</f>
        <v>3328040503000007</v>
      </c>
      <c r="C432" s="7" t="s">
        <v>1411</v>
      </c>
      <c r="D432" s="7" t="s">
        <v>17</v>
      </c>
      <c r="E432" s="7" t="s">
        <v>11</v>
      </c>
      <c r="F432" s="7" t="s">
        <v>18</v>
      </c>
      <c r="G432" s="7" t="s">
        <v>19</v>
      </c>
      <c r="H432" s="7" t="s">
        <v>745</v>
      </c>
      <c r="I432" s="8" t="s">
        <v>746</v>
      </c>
    </row>
    <row r="433" spans="1:9" x14ac:dyDescent="0.35">
      <c r="A433" s="6">
        <v>2573433</v>
      </c>
      <c r="B433" s="7" t="str">
        <f>"3328040508600002"</f>
        <v>3328040508600002</v>
      </c>
      <c r="C433" s="7" t="s">
        <v>1415</v>
      </c>
      <c r="D433" s="7" t="s">
        <v>17</v>
      </c>
      <c r="E433" s="7" t="s">
        <v>11</v>
      </c>
      <c r="F433" s="7" t="s">
        <v>18</v>
      </c>
      <c r="G433" s="7" t="s">
        <v>19</v>
      </c>
      <c r="H433" s="7" t="s">
        <v>745</v>
      </c>
      <c r="I433" s="8" t="s">
        <v>746</v>
      </c>
    </row>
    <row r="434" spans="1:9" x14ac:dyDescent="0.35">
      <c r="A434" s="6">
        <v>2531846</v>
      </c>
      <c r="B434" s="7" t="str">
        <f>"3328040510870003"</f>
        <v>3328040510870003</v>
      </c>
      <c r="C434" s="7" t="s">
        <v>1420</v>
      </c>
      <c r="D434" s="7" t="s">
        <v>17</v>
      </c>
      <c r="E434" s="7" t="s">
        <v>11</v>
      </c>
      <c r="F434" s="7" t="s">
        <v>18</v>
      </c>
      <c r="G434" s="7" t="s">
        <v>19</v>
      </c>
      <c r="H434" s="7" t="s">
        <v>745</v>
      </c>
      <c r="I434" s="8" t="s">
        <v>1262</v>
      </c>
    </row>
    <row r="435" spans="1:9" x14ac:dyDescent="0.35">
      <c r="A435" s="6">
        <v>2573288</v>
      </c>
      <c r="B435" s="7" t="str">
        <f>"3328040512920004"</f>
        <v>3328040512920004</v>
      </c>
      <c r="C435" s="7" t="s">
        <v>1421</v>
      </c>
      <c r="D435" s="7" t="s">
        <v>17</v>
      </c>
      <c r="E435" s="7" t="s">
        <v>11</v>
      </c>
      <c r="F435" s="7" t="s">
        <v>18</v>
      </c>
      <c r="G435" s="7" t="s">
        <v>19</v>
      </c>
      <c r="H435" s="7" t="s">
        <v>745</v>
      </c>
      <c r="I435" s="8" t="s">
        <v>746</v>
      </c>
    </row>
    <row r="436" spans="1:9" x14ac:dyDescent="0.35">
      <c r="A436" s="6">
        <v>1094628</v>
      </c>
      <c r="B436" s="7" t="str">
        <f>"3328040604590001"</f>
        <v>3328040604590001</v>
      </c>
      <c r="C436" s="7" t="s">
        <v>1426</v>
      </c>
      <c r="D436" s="7" t="s">
        <v>17</v>
      </c>
      <c r="E436" s="7" t="s">
        <v>11</v>
      </c>
      <c r="F436" s="7" t="s">
        <v>18</v>
      </c>
      <c r="G436" s="7" t="s">
        <v>171</v>
      </c>
      <c r="H436" s="7" t="s">
        <v>1427</v>
      </c>
      <c r="I436" s="8" t="s">
        <v>1428</v>
      </c>
    </row>
    <row r="437" spans="1:9" x14ac:dyDescent="0.35">
      <c r="A437" s="6">
        <v>2533261</v>
      </c>
      <c r="B437" s="7" t="str">
        <f>"3328040607980005"</f>
        <v>3328040607980005</v>
      </c>
      <c r="C437" s="7" t="s">
        <v>1429</v>
      </c>
      <c r="D437" s="7" t="s">
        <v>17</v>
      </c>
      <c r="E437" s="7" t="s">
        <v>11</v>
      </c>
      <c r="F437" s="7" t="s">
        <v>18</v>
      </c>
      <c r="G437" s="7" t="s">
        <v>19</v>
      </c>
      <c r="H437" s="7" t="s">
        <v>745</v>
      </c>
      <c r="I437" s="8" t="s">
        <v>1406</v>
      </c>
    </row>
    <row r="438" spans="1:9" x14ac:dyDescent="0.35">
      <c r="A438" s="6">
        <v>1602253</v>
      </c>
      <c r="B438" s="7" t="str">
        <f>"3328040608850004"</f>
        <v>3328040608850004</v>
      </c>
      <c r="C438" s="7" t="s">
        <v>1430</v>
      </c>
      <c r="D438" s="7" t="s">
        <v>17</v>
      </c>
      <c r="E438" s="7" t="s">
        <v>11</v>
      </c>
      <c r="F438" s="7" t="s">
        <v>18</v>
      </c>
      <c r="G438" s="7" t="s">
        <v>1349</v>
      </c>
      <c r="H438" s="7" t="s">
        <v>1431</v>
      </c>
      <c r="I438" s="8" t="s">
        <v>1432</v>
      </c>
    </row>
    <row r="439" spans="1:9" x14ac:dyDescent="0.35">
      <c r="A439" s="6">
        <v>1568912</v>
      </c>
      <c r="B439" s="7" t="str">
        <f>"3328040608990003"</f>
        <v>3328040608990003</v>
      </c>
      <c r="C439" s="7" t="s">
        <v>1433</v>
      </c>
      <c r="D439" s="7" t="s">
        <v>17</v>
      </c>
      <c r="E439" s="7" t="s">
        <v>11</v>
      </c>
      <c r="F439" s="7" t="s">
        <v>18</v>
      </c>
      <c r="G439" s="7" t="s">
        <v>195</v>
      </c>
      <c r="H439" s="7" t="s">
        <v>1434</v>
      </c>
      <c r="I439" s="8" t="s">
        <v>1435</v>
      </c>
    </row>
    <row r="440" spans="1:9" x14ac:dyDescent="0.35">
      <c r="A440" s="6">
        <v>422190</v>
      </c>
      <c r="B440" s="7" t="str">
        <f>"3328040708950001"</f>
        <v>3328040708950001</v>
      </c>
      <c r="C440" s="7" t="s">
        <v>1444</v>
      </c>
      <c r="D440" s="7" t="s">
        <v>17</v>
      </c>
      <c r="E440" s="7" t="s">
        <v>11</v>
      </c>
      <c r="F440" s="7" t="s">
        <v>18</v>
      </c>
      <c r="G440" s="7" t="s">
        <v>268</v>
      </c>
      <c r="H440" s="7" t="s">
        <v>269</v>
      </c>
      <c r="I440" s="8" t="s">
        <v>996</v>
      </c>
    </row>
    <row r="441" spans="1:9" x14ac:dyDescent="0.35">
      <c r="A441" s="6">
        <v>1937787</v>
      </c>
      <c r="B441" s="7" t="str">
        <f>"3328040804860001"</f>
        <v>3328040804860001</v>
      </c>
      <c r="C441" s="7" t="s">
        <v>350</v>
      </c>
      <c r="D441" s="7" t="s">
        <v>17</v>
      </c>
      <c r="E441" s="7" t="s">
        <v>11</v>
      </c>
      <c r="F441" s="7" t="s">
        <v>50</v>
      </c>
      <c r="G441" s="7" t="s">
        <v>86</v>
      </c>
      <c r="H441" s="7" t="s">
        <v>530</v>
      </c>
      <c r="I441" s="8" t="s">
        <v>534</v>
      </c>
    </row>
    <row r="442" spans="1:9" x14ac:dyDescent="0.35">
      <c r="A442" s="6">
        <v>3124664</v>
      </c>
      <c r="B442" s="7" t="str">
        <f>"3328040806920001"</f>
        <v>3328040806920001</v>
      </c>
      <c r="C442" s="7" t="s">
        <v>1445</v>
      </c>
      <c r="D442" s="7" t="s">
        <v>17</v>
      </c>
      <c r="E442" s="7" t="s">
        <v>57</v>
      </c>
      <c r="F442" s="7" t="s">
        <v>18</v>
      </c>
      <c r="G442" s="7" t="s">
        <v>163</v>
      </c>
      <c r="H442" s="7" t="s">
        <v>723</v>
      </c>
      <c r="I442" s="8" t="s">
        <v>724</v>
      </c>
    </row>
    <row r="443" spans="1:9" x14ac:dyDescent="0.35">
      <c r="A443" s="6">
        <v>2533373</v>
      </c>
      <c r="B443" s="7" t="str">
        <f>"3328040909950009"</f>
        <v>3328040909950009</v>
      </c>
      <c r="C443" s="7" t="s">
        <v>1199</v>
      </c>
      <c r="D443" s="7" t="s">
        <v>17</v>
      </c>
      <c r="E443" s="7" t="s">
        <v>11</v>
      </c>
      <c r="F443" s="7" t="s">
        <v>18</v>
      </c>
      <c r="G443" s="7" t="s">
        <v>19</v>
      </c>
      <c r="H443" s="7" t="s">
        <v>745</v>
      </c>
      <c r="I443" s="8" t="s">
        <v>1303</v>
      </c>
    </row>
    <row r="444" spans="1:9" x14ac:dyDescent="0.35">
      <c r="A444" s="6">
        <v>2533611</v>
      </c>
      <c r="B444" s="7" t="str">
        <f>"3328041008900004"</f>
        <v>3328041008900004</v>
      </c>
      <c r="C444" s="7" t="s">
        <v>1452</v>
      </c>
      <c r="D444" s="7" t="s">
        <v>17</v>
      </c>
      <c r="E444" s="7" t="s">
        <v>11</v>
      </c>
      <c r="F444" s="7" t="s">
        <v>18</v>
      </c>
      <c r="G444" s="7" t="s">
        <v>19</v>
      </c>
      <c r="H444" s="7" t="s">
        <v>745</v>
      </c>
      <c r="I444" s="8" t="s">
        <v>1314</v>
      </c>
    </row>
    <row r="445" spans="1:9" x14ac:dyDescent="0.35">
      <c r="A445" s="6">
        <v>2531672</v>
      </c>
      <c r="B445" s="7" t="str">
        <f>"3328041105660001"</f>
        <v>3328041105660001</v>
      </c>
      <c r="C445" s="7" t="s">
        <v>1455</v>
      </c>
      <c r="D445" s="7" t="s">
        <v>17</v>
      </c>
      <c r="E445" s="7" t="s">
        <v>11</v>
      </c>
      <c r="F445" s="7" t="s">
        <v>18</v>
      </c>
      <c r="G445" s="7" t="s">
        <v>19</v>
      </c>
      <c r="H445" s="7" t="s">
        <v>745</v>
      </c>
      <c r="I445" s="8" t="s">
        <v>1235</v>
      </c>
    </row>
    <row r="446" spans="1:9" x14ac:dyDescent="0.35">
      <c r="A446" s="6">
        <v>1610724</v>
      </c>
      <c r="B446" s="7" t="str">
        <f>"3328041108920005"</f>
        <v>3328041108920005</v>
      </c>
      <c r="C446" s="7" t="s">
        <v>1457</v>
      </c>
      <c r="D446" s="7" t="s">
        <v>17</v>
      </c>
      <c r="E446" s="7" t="s">
        <v>11</v>
      </c>
      <c r="F446" s="7" t="s">
        <v>18</v>
      </c>
      <c r="G446" s="7" t="s">
        <v>264</v>
      </c>
      <c r="H446" s="7" t="s">
        <v>461</v>
      </c>
      <c r="I446" s="8" t="s">
        <v>1458</v>
      </c>
    </row>
    <row r="447" spans="1:9" x14ac:dyDescent="0.35">
      <c r="A447" s="6">
        <v>2533046</v>
      </c>
      <c r="B447" s="7" t="str">
        <f>"3328041108920005"</f>
        <v>3328041108920005</v>
      </c>
      <c r="C447" s="7" t="s">
        <v>1459</v>
      </c>
      <c r="D447" s="7" t="s">
        <v>17</v>
      </c>
      <c r="E447" s="7" t="s">
        <v>11</v>
      </c>
      <c r="F447" s="7" t="s">
        <v>18</v>
      </c>
      <c r="G447" s="7" t="s">
        <v>19</v>
      </c>
      <c r="H447" s="7" t="s">
        <v>745</v>
      </c>
      <c r="I447" s="8" t="s">
        <v>1406</v>
      </c>
    </row>
    <row r="448" spans="1:9" x14ac:dyDescent="0.35">
      <c r="A448" s="6">
        <v>2532100</v>
      </c>
      <c r="B448" s="7" t="str">
        <f>"3328041212870003"</f>
        <v>3328041212870003</v>
      </c>
      <c r="C448" s="7" t="s">
        <v>1464</v>
      </c>
      <c r="D448" s="7" t="s">
        <v>17</v>
      </c>
      <c r="E448" s="7" t="s">
        <v>11</v>
      </c>
      <c r="F448" s="7" t="s">
        <v>18</v>
      </c>
      <c r="G448" s="7" t="s">
        <v>19</v>
      </c>
      <c r="H448" s="7" t="s">
        <v>745</v>
      </c>
      <c r="I448" s="8" t="s">
        <v>1318</v>
      </c>
    </row>
    <row r="449" spans="1:9" x14ac:dyDescent="0.35">
      <c r="A449" s="6">
        <v>1953064</v>
      </c>
      <c r="B449" s="7" t="str">
        <f>"3328041502940004"</f>
        <v>3328041502940004</v>
      </c>
      <c r="C449" s="7" t="s">
        <v>1468</v>
      </c>
      <c r="D449" s="7" t="s">
        <v>17</v>
      </c>
      <c r="E449" s="7" t="s">
        <v>11</v>
      </c>
      <c r="F449" s="7" t="s">
        <v>50</v>
      </c>
      <c r="G449" s="7" t="s">
        <v>86</v>
      </c>
      <c r="H449" s="7" t="s">
        <v>313</v>
      </c>
      <c r="I449" s="8" t="s">
        <v>977</v>
      </c>
    </row>
    <row r="450" spans="1:9" x14ac:dyDescent="0.35">
      <c r="A450" s="6">
        <v>2534137</v>
      </c>
      <c r="B450" s="7" t="str">
        <f>"3328041507800007"</f>
        <v>3328041507800007</v>
      </c>
      <c r="C450" s="7" t="s">
        <v>1470</v>
      </c>
      <c r="D450" s="7" t="s">
        <v>17</v>
      </c>
      <c r="E450" s="7" t="s">
        <v>11</v>
      </c>
      <c r="F450" s="7" t="s">
        <v>18</v>
      </c>
      <c r="G450" s="7" t="s">
        <v>19</v>
      </c>
      <c r="H450" s="7" t="s">
        <v>745</v>
      </c>
      <c r="I450" s="8" t="s">
        <v>1230</v>
      </c>
    </row>
    <row r="451" spans="1:9" x14ac:dyDescent="0.35">
      <c r="A451" s="6">
        <v>2533854</v>
      </c>
      <c r="B451" s="7" t="str">
        <f>"3328041608060006"</f>
        <v>3328041608060006</v>
      </c>
      <c r="C451" s="7" t="s">
        <v>1472</v>
      </c>
      <c r="D451" s="7" t="s">
        <v>17</v>
      </c>
      <c r="E451" s="7" t="s">
        <v>11</v>
      </c>
      <c r="F451" s="7" t="s">
        <v>18</v>
      </c>
      <c r="G451" s="7" t="s">
        <v>19</v>
      </c>
      <c r="H451" s="7" t="s">
        <v>745</v>
      </c>
      <c r="I451" s="8" t="s">
        <v>1264</v>
      </c>
    </row>
    <row r="452" spans="1:9" x14ac:dyDescent="0.35">
      <c r="A452" s="6">
        <v>722407</v>
      </c>
      <c r="B452" s="7" t="str">
        <f>"3328041706970003"</f>
        <v>3328041706970003</v>
      </c>
      <c r="C452" s="7" t="s">
        <v>1474</v>
      </c>
      <c r="D452" s="7" t="s">
        <v>17</v>
      </c>
      <c r="E452" s="7" t="s">
        <v>11</v>
      </c>
      <c r="F452" s="7" t="s">
        <v>18</v>
      </c>
      <c r="G452" s="7" t="s">
        <v>392</v>
      </c>
      <c r="H452" s="7" t="s">
        <v>393</v>
      </c>
      <c r="I452" s="8" t="s">
        <v>1475</v>
      </c>
    </row>
    <row r="453" spans="1:9" x14ac:dyDescent="0.35">
      <c r="A453" s="6">
        <v>2532770</v>
      </c>
      <c r="B453" s="7" t="str">
        <f>"3328041811970008"</f>
        <v>3328041811970008</v>
      </c>
      <c r="C453" s="7" t="s">
        <v>1476</v>
      </c>
      <c r="D453" s="7" t="s">
        <v>17</v>
      </c>
      <c r="E453" s="7" t="s">
        <v>11</v>
      </c>
      <c r="F453" s="7" t="s">
        <v>18</v>
      </c>
      <c r="G453" s="7" t="s">
        <v>19</v>
      </c>
      <c r="H453" s="7" t="s">
        <v>745</v>
      </c>
      <c r="I453" s="8" t="s">
        <v>1406</v>
      </c>
    </row>
    <row r="454" spans="1:9" x14ac:dyDescent="0.35">
      <c r="A454" s="6">
        <v>2532771</v>
      </c>
      <c r="B454" s="7" t="str">
        <f>"3328041812930004"</f>
        <v>3328041812930004</v>
      </c>
      <c r="C454" s="7" t="s">
        <v>1478</v>
      </c>
      <c r="D454" s="7" t="s">
        <v>17</v>
      </c>
      <c r="E454" s="7" t="s">
        <v>11</v>
      </c>
      <c r="F454" s="7" t="s">
        <v>18</v>
      </c>
      <c r="G454" s="7" t="s">
        <v>19</v>
      </c>
      <c r="H454" s="7" t="s">
        <v>745</v>
      </c>
      <c r="I454" s="8" t="s">
        <v>1406</v>
      </c>
    </row>
    <row r="455" spans="1:9" x14ac:dyDescent="0.35">
      <c r="A455" s="6">
        <v>1634230</v>
      </c>
      <c r="B455" s="7" t="str">
        <f>"3328041902970002"</f>
        <v>3328041902970002</v>
      </c>
      <c r="C455" s="7" t="s">
        <v>1481</v>
      </c>
      <c r="D455" s="7" t="s">
        <v>17</v>
      </c>
      <c r="E455" s="7" t="s">
        <v>11</v>
      </c>
      <c r="F455" s="7" t="s">
        <v>18</v>
      </c>
      <c r="G455" s="7" t="s">
        <v>264</v>
      </c>
      <c r="H455" s="7" t="s">
        <v>477</v>
      </c>
      <c r="I455" s="8" t="s">
        <v>1483</v>
      </c>
    </row>
    <row r="456" spans="1:9" x14ac:dyDescent="0.35">
      <c r="A456" s="6">
        <v>3124663</v>
      </c>
      <c r="B456" s="7" t="str">
        <f>"3328041903860001"</f>
        <v>3328041903860001</v>
      </c>
      <c r="C456" s="7" t="s">
        <v>1485</v>
      </c>
      <c r="D456" s="7" t="s">
        <v>17</v>
      </c>
      <c r="E456" s="7" t="s">
        <v>57</v>
      </c>
      <c r="F456" s="7" t="s">
        <v>18</v>
      </c>
      <c r="G456" s="7" t="s">
        <v>163</v>
      </c>
      <c r="H456" s="7" t="s">
        <v>723</v>
      </c>
      <c r="I456" s="8" t="s">
        <v>724</v>
      </c>
    </row>
    <row r="457" spans="1:9" x14ac:dyDescent="0.35">
      <c r="A457" s="6">
        <v>104588</v>
      </c>
      <c r="B457" s="7" t="str">
        <f>"3328042008010008"</f>
        <v>3328042008010008</v>
      </c>
      <c r="C457" s="7" t="s">
        <v>1486</v>
      </c>
      <c r="D457" s="7" t="s">
        <v>17</v>
      </c>
      <c r="E457" s="7" t="s">
        <v>11</v>
      </c>
      <c r="F457" s="7" t="s">
        <v>12</v>
      </c>
      <c r="G457" s="7" t="s">
        <v>1487</v>
      </c>
      <c r="H457" s="7" t="s">
        <v>1488</v>
      </c>
      <c r="I457" s="8" t="s">
        <v>1489</v>
      </c>
    </row>
    <row r="458" spans="1:9" x14ac:dyDescent="0.35">
      <c r="A458" s="6">
        <v>2533999</v>
      </c>
      <c r="B458" s="7" t="str">
        <f>"3328042106790003"</f>
        <v>3328042106790003</v>
      </c>
      <c r="C458" s="7" t="s">
        <v>1491</v>
      </c>
      <c r="D458" s="7" t="s">
        <v>17</v>
      </c>
      <c r="E458" s="7" t="s">
        <v>11</v>
      </c>
      <c r="F458" s="7" t="s">
        <v>18</v>
      </c>
      <c r="G458" s="7" t="s">
        <v>19</v>
      </c>
      <c r="H458" s="7" t="s">
        <v>745</v>
      </c>
      <c r="I458" s="8" t="s">
        <v>1277</v>
      </c>
    </row>
    <row r="459" spans="1:9" x14ac:dyDescent="0.35">
      <c r="A459" s="6">
        <v>2533108</v>
      </c>
      <c r="B459" s="7" t="str">
        <f>"3328042106890012"</f>
        <v>3328042106890012</v>
      </c>
      <c r="C459" s="7" t="s">
        <v>1492</v>
      </c>
      <c r="D459" s="7" t="s">
        <v>17</v>
      </c>
      <c r="E459" s="7" t="s">
        <v>11</v>
      </c>
      <c r="F459" s="7" t="s">
        <v>18</v>
      </c>
      <c r="G459" s="7" t="s">
        <v>19</v>
      </c>
      <c r="H459" s="7" t="s">
        <v>745</v>
      </c>
      <c r="I459" s="8" t="s">
        <v>1406</v>
      </c>
    </row>
    <row r="460" spans="1:9" x14ac:dyDescent="0.35">
      <c r="A460" s="6">
        <v>636208</v>
      </c>
      <c r="B460" s="7" t="str">
        <f>"3328042110060002"</f>
        <v>3328042110060002</v>
      </c>
      <c r="C460" s="7" t="s">
        <v>1496</v>
      </c>
      <c r="D460" s="7" t="s">
        <v>17</v>
      </c>
      <c r="E460" s="7" t="s">
        <v>11</v>
      </c>
      <c r="F460" s="7" t="s">
        <v>18</v>
      </c>
      <c r="G460" s="7" t="s">
        <v>190</v>
      </c>
      <c r="H460" s="7" t="s">
        <v>1497</v>
      </c>
      <c r="I460" s="8" t="s">
        <v>1498</v>
      </c>
    </row>
    <row r="461" spans="1:9" x14ac:dyDescent="0.35">
      <c r="A461" s="6">
        <v>2532791</v>
      </c>
      <c r="B461" s="7" t="str">
        <f>"3328042111960004"</f>
        <v>3328042111960004</v>
      </c>
      <c r="C461" s="7" t="s">
        <v>1499</v>
      </c>
      <c r="D461" s="7" t="s">
        <v>17</v>
      </c>
      <c r="E461" s="7" t="s">
        <v>11</v>
      </c>
      <c r="F461" s="7" t="s">
        <v>18</v>
      </c>
      <c r="G461" s="7" t="s">
        <v>19</v>
      </c>
      <c r="H461" s="7" t="s">
        <v>745</v>
      </c>
      <c r="I461" s="8" t="s">
        <v>1406</v>
      </c>
    </row>
    <row r="462" spans="1:9" x14ac:dyDescent="0.35">
      <c r="A462" s="6">
        <v>2531002</v>
      </c>
      <c r="B462" s="7" t="str">
        <f>"3328042302990001"</f>
        <v>3328042302990001</v>
      </c>
      <c r="C462" s="7" t="s">
        <v>1502</v>
      </c>
      <c r="D462" s="7" t="s">
        <v>17</v>
      </c>
      <c r="E462" s="7" t="s">
        <v>11</v>
      </c>
      <c r="F462" s="7" t="s">
        <v>18</v>
      </c>
      <c r="G462" s="7" t="s">
        <v>19</v>
      </c>
      <c r="H462" s="7" t="s">
        <v>745</v>
      </c>
      <c r="I462" s="8" t="s">
        <v>352</v>
      </c>
    </row>
    <row r="463" spans="1:9" x14ac:dyDescent="0.35">
      <c r="A463" s="6">
        <v>2532265</v>
      </c>
      <c r="B463" s="7" t="str">
        <f>"3328042502830002"</f>
        <v>3328042502830002</v>
      </c>
      <c r="C463" s="7" t="s">
        <v>1505</v>
      </c>
      <c r="D463" s="7" t="s">
        <v>17</v>
      </c>
      <c r="E463" s="7" t="s">
        <v>11</v>
      </c>
      <c r="F463" s="7" t="s">
        <v>18</v>
      </c>
      <c r="G463" s="7" t="s">
        <v>19</v>
      </c>
      <c r="H463" s="7" t="s">
        <v>745</v>
      </c>
      <c r="I463" s="8" t="s">
        <v>1274</v>
      </c>
    </row>
    <row r="464" spans="1:9" x14ac:dyDescent="0.35">
      <c r="A464" s="6">
        <v>421173</v>
      </c>
      <c r="B464" s="7" t="str">
        <f>"3328042504030001"</f>
        <v>3328042504030001</v>
      </c>
      <c r="C464" s="7" t="s">
        <v>1507</v>
      </c>
      <c r="D464" s="7" t="s">
        <v>17</v>
      </c>
      <c r="E464" s="7" t="s">
        <v>11</v>
      </c>
      <c r="F464" s="7" t="s">
        <v>18</v>
      </c>
      <c r="G464" s="7" t="s">
        <v>268</v>
      </c>
      <c r="H464" s="7" t="s">
        <v>448</v>
      </c>
      <c r="I464" s="8" t="s">
        <v>1508</v>
      </c>
    </row>
    <row r="465" spans="1:9" x14ac:dyDescent="0.35">
      <c r="A465" s="6">
        <v>2530288</v>
      </c>
      <c r="B465" s="7" t="str">
        <f>"3328042704910002"</f>
        <v>3328042704910002</v>
      </c>
      <c r="C465" s="7" t="s">
        <v>1509</v>
      </c>
      <c r="D465" s="7" t="s">
        <v>17</v>
      </c>
      <c r="E465" s="7" t="s">
        <v>11</v>
      </c>
      <c r="F465" s="7" t="s">
        <v>18</v>
      </c>
      <c r="G465" s="7" t="s">
        <v>19</v>
      </c>
      <c r="H465" s="7" t="s">
        <v>745</v>
      </c>
      <c r="I465" s="8" t="s">
        <v>1257</v>
      </c>
    </row>
    <row r="466" spans="1:9" x14ac:dyDescent="0.35">
      <c r="A466" s="6">
        <v>2429259</v>
      </c>
      <c r="B466" s="7" t="str">
        <f>"3328042906970003"</f>
        <v>3328042906970003</v>
      </c>
      <c r="C466" s="7" t="s">
        <v>1518</v>
      </c>
      <c r="D466" s="7" t="s">
        <v>17</v>
      </c>
      <c r="E466" s="7" t="s">
        <v>11</v>
      </c>
      <c r="F466" s="7" t="s">
        <v>50</v>
      </c>
      <c r="G466" s="7" t="s">
        <v>58</v>
      </c>
      <c r="H466" s="7" t="s">
        <v>417</v>
      </c>
      <c r="I466" s="8" t="s">
        <v>1131</v>
      </c>
    </row>
    <row r="467" spans="1:9" x14ac:dyDescent="0.35">
      <c r="A467" s="6">
        <v>2534088</v>
      </c>
      <c r="B467" s="7" t="str">
        <f>"3328043009880007"</f>
        <v>3328043009880007</v>
      </c>
      <c r="C467" s="7" t="s">
        <v>1519</v>
      </c>
      <c r="D467" s="7" t="s">
        <v>17</v>
      </c>
      <c r="E467" s="7" t="s">
        <v>11</v>
      </c>
      <c r="F467" s="7" t="s">
        <v>18</v>
      </c>
      <c r="G467" s="7" t="s">
        <v>19</v>
      </c>
      <c r="H467" s="7" t="s">
        <v>745</v>
      </c>
      <c r="I467" s="8" t="s">
        <v>1277</v>
      </c>
    </row>
    <row r="468" spans="1:9" x14ac:dyDescent="0.35">
      <c r="A468" s="6">
        <v>862644</v>
      </c>
      <c r="B468" s="7" t="str">
        <f>"3328043112850010"</f>
        <v>3328043112850010</v>
      </c>
      <c r="C468" s="7" t="s">
        <v>1525</v>
      </c>
      <c r="D468" s="7" t="s">
        <v>17</v>
      </c>
      <c r="E468" s="7" t="s">
        <v>11</v>
      </c>
      <c r="F468" s="7" t="s">
        <v>379</v>
      </c>
      <c r="G468" s="7" t="s">
        <v>1206</v>
      </c>
      <c r="H468" s="7" t="s">
        <v>1526</v>
      </c>
      <c r="I468" s="8" t="s">
        <v>1527</v>
      </c>
    </row>
    <row r="469" spans="1:9" x14ac:dyDescent="0.35">
      <c r="A469" s="6">
        <v>1941139</v>
      </c>
      <c r="B469" s="7" t="str">
        <f>"3328044101950007"</f>
        <v>3328044101950007</v>
      </c>
      <c r="C469" s="7" t="s">
        <v>1528</v>
      </c>
      <c r="D469" s="7" t="s">
        <v>17</v>
      </c>
      <c r="E469" s="7" t="s">
        <v>11</v>
      </c>
      <c r="F469" s="7" t="s">
        <v>50</v>
      </c>
      <c r="G469" s="7" t="s">
        <v>86</v>
      </c>
      <c r="H469" s="7" t="s">
        <v>87</v>
      </c>
      <c r="I469" s="8" t="s">
        <v>88</v>
      </c>
    </row>
    <row r="470" spans="1:9" x14ac:dyDescent="0.35">
      <c r="A470" s="6">
        <v>2607209</v>
      </c>
      <c r="B470" s="7" t="str">
        <f>"3328044101960011"</f>
        <v>3328044101960011</v>
      </c>
      <c r="C470" s="7" t="s">
        <v>1530</v>
      </c>
      <c r="D470" s="7" t="s">
        <v>17</v>
      </c>
      <c r="E470" s="7" t="s">
        <v>11</v>
      </c>
      <c r="F470" s="7" t="s">
        <v>18</v>
      </c>
      <c r="G470" s="7" t="s">
        <v>1438</v>
      </c>
      <c r="H470" s="7" t="s">
        <v>1439</v>
      </c>
      <c r="I470" s="8" t="s">
        <v>1531</v>
      </c>
    </row>
    <row r="471" spans="1:9" x14ac:dyDescent="0.35">
      <c r="A471" s="6">
        <v>104589</v>
      </c>
      <c r="B471" s="7" t="str">
        <f>"3328044107950035"</f>
        <v>3328044107950035</v>
      </c>
      <c r="C471" s="7" t="s">
        <v>1532</v>
      </c>
      <c r="D471" s="7" t="s">
        <v>17</v>
      </c>
      <c r="E471" s="7" t="s">
        <v>11</v>
      </c>
      <c r="F471" s="7" t="s">
        <v>12</v>
      </c>
      <c r="G471" s="7" t="s">
        <v>1487</v>
      </c>
      <c r="H471" s="7" t="s">
        <v>1488</v>
      </c>
      <c r="I471" s="8" t="s">
        <v>1489</v>
      </c>
    </row>
    <row r="472" spans="1:9" x14ac:dyDescent="0.35">
      <c r="A472" s="6">
        <v>2532145</v>
      </c>
      <c r="B472" s="7" t="str">
        <f>"3328044107950101"</f>
        <v>3328044107950101</v>
      </c>
      <c r="C472" s="7" t="s">
        <v>1533</v>
      </c>
      <c r="D472" s="7" t="s">
        <v>17</v>
      </c>
      <c r="E472" s="7" t="s">
        <v>11</v>
      </c>
      <c r="F472" s="7" t="s">
        <v>18</v>
      </c>
      <c r="G472" s="7" t="s">
        <v>19</v>
      </c>
      <c r="H472" s="7" t="s">
        <v>745</v>
      </c>
      <c r="I472" s="8" t="s">
        <v>1318</v>
      </c>
    </row>
    <row r="473" spans="1:9" x14ac:dyDescent="0.35">
      <c r="A473" s="6">
        <v>2573491</v>
      </c>
      <c r="B473" s="7" t="str">
        <f>"3328044111850001"</f>
        <v>3328044111850001</v>
      </c>
      <c r="C473" s="7" t="s">
        <v>1534</v>
      </c>
      <c r="D473" s="7" t="s">
        <v>17</v>
      </c>
      <c r="E473" s="7" t="s">
        <v>11</v>
      </c>
      <c r="F473" s="7" t="s">
        <v>18</v>
      </c>
      <c r="G473" s="7" t="s">
        <v>19</v>
      </c>
      <c r="H473" s="7" t="s">
        <v>745</v>
      </c>
      <c r="I473" s="8" t="s">
        <v>746</v>
      </c>
    </row>
    <row r="474" spans="1:9" x14ac:dyDescent="0.35">
      <c r="A474" s="6">
        <v>355897</v>
      </c>
      <c r="B474" s="7" t="str">
        <f>"3328044202916888"</f>
        <v>3328044202916888</v>
      </c>
      <c r="C474" s="7" t="s">
        <v>1536</v>
      </c>
      <c r="D474" s="7" t="s">
        <v>17</v>
      </c>
      <c r="E474" s="7" t="s">
        <v>11</v>
      </c>
      <c r="F474" s="7" t="s">
        <v>91</v>
      </c>
      <c r="G474" s="7" t="s">
        <v>754</v>
      </c>
      <c r="H474" s="7" t="s">
        <v>1537</v>
      </c>
      <c r="I474" s="8" t="s">
        <v>1537</v>
      </c>
    </row>
    <row r="475" spans="1:9" x14ac:dyDescent="0.35">
      <c r="A475" s="6">
        <v>2532062</v>
      </c>
      <c r="B475" s="7" t="str">
        <f>"3328044203030003"</f>
        <v>3328044203030003</v>
      </c>
      <c r="C475" s="7" t="s">
        <v>1542</v>
      </c>
      <c r="D475" s="7" t="s">
        <v>17</v>
      </c>
      <c r="E475" s="7" t="s">
        <v>11</v>
      </c>
      <c r="F475" s="7" t="s">
        <v>18</v>
      </c>
      <c r="G475" s="7" t="s">
        <v>19</v>
      </c>
      <c r="H475" s="7" t="s">
        <v>745</v>
      </c>
      <c r="I475" s="8" t="s">
        <v>1318</v>
      </c>
    </row>
    <row r="476" spans="1:9" x14ac:dyDescent="0.35">
      <c r="A476" s="6">
        <v>2532817</v>
      </c>
      <c r="B476" s="7" t="str">
        <f>"3328044207870003"</f>
        <v>3328044207870003</v>
      </c>
      <c r="C476" s="7" t="s">
        <v>1543</v>
      </c>
      <c r="D476" s="7" t="s">
        <v>17</v>
      </c>
      <c r="E476" s="7" t="s">
        <v>11</v>
      </c>
      <c r="F476" s="7" t="s">
        <v>18</v>
      </c>
      <c r="G476" s="7" t="s">
        <v>19</v>
      </c>
      <c r="H476" s="7" t="s">
        <v>745</v>
      </c>
      <c r="I476" s="8" t="s">
        <v>1406</v>
      </c>
    </row>
    <row r="477" spans="1:9" x14ac:dyDescent="0.35">
      <c r="A477" s="6">
        <v>2530358</v>
      </c>
      <c r="B477" s="7" t="str">
        <f>"3328044403900002"</f>
        <v>3328044403900002</v>
      </c>
      <c r="C477" s="7" t="s">
        <v>1548</v>
      </c>
      <c r="D477" s="7" t="s">
        <v>17</v>
      </c>
      <c r="E477" s="7" t="s">
        <v>11</v>
      </c>
      <c r="F477" s="7" t="s">
        <v>18</v>
      </c>
      <c r="G477" s="7" t="s">
        <v>19</v>
      </c>
      <c r="H477" s="7" t="s">
        <v>745</v>
      </c>
      <c r="I477" s="8" t="s">
        <v>1257</v>
      </c>
    </row>
    <row r="478" spans="1:9" x14ac:dyDescent="0.35">
      <c r="A478" s="6">
        <v>2532363</v>
      </c>
      <c r="B478" s="7" t="str">
        <f>"3328044507570002"</f>
        <v>3328044507570002</v>
      </c>
      <c r="C478" s="7" t="s">
        <v>1549</v>
      </c>
      <c r="D478" s="7" t="s">
        <v>17</v>
      </c>
      <c r="E478" s="7" t="s">
        <v>11</v>
      </c>
      <c r="F478" s="7" t="s">
        <v>18</v>
      </c>
      <c r="G478" s="7" t="s">
        <v>19</v>
      </c>
      <c r="H478" s="7" t="s">
        <v>745</v>
      </c>
      <c r="I478" s="8" t="s">
        <v>1274</v>
      </c>
    </row>
    <row r="479" spans="1:9" x14ac:dyDescent="0.35">
      <c r="A479" s="6">
        <v>2432189</v>
      </c>
      <c r="B479" s="7" t="str">
        <f>"3328044509950002"</f>
        <v>3328044509950002</v>
      </c>
      <c r="C479" s="7" t="s">
        <v>1551</v>
      </c>
      <c r="D479" s="7" t="s">
        <v>17</v>
      </c>
      <c r="E479" s="7" t="s">
        <v>11</v>
      </c>
      <c r="F479" s="7" t="s">
        <v>50</v>
      </c>
      <c r="G479" s="7" t="s">
        <v>58</v>
      </c>
      <c r="H479" s="7" t="s">
        <v>1283</v>
      </c>
      <c r="I479" s="8" t="s">
        <v>1284</v>
      </c>
    </row>
    <row r="480" spans="1:9" x14ac:dyDescent="0.35">
      <c r="A480" s="6">
        <v>2533978</v>
      </c>
      <c r="B480" s="7" t="str">
        <f>"3328044602990005"</f>
        <v>3328044602990005</v>
      </c>
      <c r="C480" s="7" t="s">
        <v>1554</v>
      </c>
      <c r="D480" s="7" t="s">
        <v>17</v>
      </c>
      <c r="E480" s="7" t="s">
        <v>11</v>
      </c>
      <c r="F480" s="7" t="s">
        <v>18</v>
      </c>
      <c r="G480" s="7" t="s">
        <v>19</v>
      </c>
      <c r="H480" s="7" t="s">
        <v>745</v>
      </c>
      <c r="I480" s="8" t="s">
        <v>1277</v>
      </c>
    </row>
    <row r="481" spans="1:9" x14ac:dyDescent="0.35">
      <c r="A481" s="6">
        <v>851561</v>
      </c>
      <c r="B481" s="7" t="str">
        <f>"3328044603970004"</f>
        <v>3328044603970004</v>
      </c>
      <c r="C481" s="7" t="s">
        <v>1560</v>
      </c>
      <c r="D481" s="7" t="s">
        <v>17</v>
      </c>
      <c r="E481" s="7" t="s">
        <v>11</v>
      </c>
      <c r="F481" s="7" t="s">
        <v>50</v>
      </c>
      <c r="G481" s="7" t="s">
        <v>280</v>
      </c>
      <c r="H481" s="7" t="s">
        <v>776</v>
      </c>
      <c r="I481" s="8" t="s">
        <v>777</v>
      </c>
    </row>
    <row r="482" spans="1:9" x14ac:dyDescent="0.35">
      <c r="A482" s="6">
        <v>2530993</v>
      </c>
      <c r="B482" s="7" t="str">
        <f>"3328044708670002"</f>
        <v>3328044708670002</v>
      </c>
      <c r="C482" s="7" t="s">
        <v>1561</v>
      </c>
      <c r="D482" s="7" t="s">
        <v>17</v>
      </c>
      <c r="E482" s="7" t="s">
        <v>11</v>
      </c>
      <c r="F482" s="7" t="s">
        <v>18</v>
      </c>
      <c r="G482" s="7" t="s">
        <v>19</v>
      </c>
      <c r="H482" s="7" t="s">
        <v>745</v>
      </c>
      <c r="I482" s="8" t="s">
        <v>352</v>
      </c>
    </row>
    <row r="483" spans="1:9" x14ac:dyDescent="0.35">
      <c r="A483" s="6">
        <v>2533289</v>
      </c>
      <c r="B483" s="7" t="str">
        <f>"3328044905950002"</f>
        <v>3328044905950002</v>
      </c>
      <c r="C483" s="7" t="s">
        <v>1569</v>
      </c>
      <c r="D483" s="7" t="s">
        <v>17</v>
      </c>
      <c r="E483" s="7" t="s">
        <v>11</v>
      </c>
      <c r="F483" s="7" t="s">
        <v>18</v>
      </c>
      <c r="G483" s="7" t="s">
        <v>19</v>
      </c>
      <c r="H483" s="7" t="s">
        <v>745</v>
      </c>
      <c r="I483" s="8" t="s">
        <v>1406</v>
      </c>
    </row>
    <row r="484" spans="1:9" x14ac:dyDescent="0.35">
      <c r="A484" s="6">
        <v>2532364</v>
      </c>
      <c r="B484" s="7" t="str">
        <f>"3328045106010003"</f>
        <v>3328045106010003</v>
      </c>
      <c r="C484" s="7" t="s">
        <v>1570</v>
      </c>
      <c r="D484" s="7" t="s">
        <v>17</v>
      </c>
      <c r="E484" s="7" t="s">
        <v>11</v>
      </c>
      <c r="F484" s="7" t="s">
        <v>18</v>
      </c>
      <c r="G484" s="7" t="s">
        <v>19</v>
      </c>
      <c r="H484" s="7" t="s">
        <v>745</v>
      </c>
      <c r="I484" s="8" t="s">
        <v>1274</v>
      </c>
    </row>
    <row r="485" spans="1:9" x14ac:dyDescent="0.35">
      <c r="A485" s="6">
        <v>2531986</v>
      </c>
      <c r="B485" s="7" t="str">
        <f>"3328045106910003"</f>
        <v>3328045106910003</v>
      </c>
      <c r="C485" s="7" t="s">
        <v>1571</v>
      </c>
      <c r="D485" s="7" t="s">
        <v>17</v>
      </c>
      <c r="E485" s="7" t="s">
        <v>11</v>
      </c>
      <c r="F485" s="7" t="s">
        <v>18</v>
      </c>
      <c r="G485" s="7" t="s">
        <v>19</v>
      </c>
      <c r="H485" s="7" t="s">
        <v>745</v>
      </c>
      <c r="I485" s="8" t="s">
        <v>1318</v>
      </c>
    </row>
    <row r="486" spans="1:9" x14ac:dyDescent="0.35">
      <c r="A486" s="6">
        <v>1694242</v>
      </c>
      <c r="B486" s="7" t="str">
        <f>"3328045107850002"</f>
        <v>3328045107850002</v>
      </c>
      <c r="C486" s="7" t="s">
        <v>1575</v>
      </c>
      <c r="D486" s="7" t="s">
        <v>17</v>
      </c>
      <c r="E486" s="7" t="s">
        <v>11</v>
      </c>
      <c r="F486" s="7" t="s">
        <v>18</v>
      </c>
      <c r="G486" s="7" t="s">
        <v>264</v>
      </c>
      <c r="H486" s="7" t="s">
        <v>265</v>
      </c>
      <c r="I486" s="8" t="s">
        <v>1576</v>
      </c>
    </row>
    <row r="487" spans="1:9" x14ac:dyDescent="0.35">
      <c r="A487" s="6">
        <v>2429502</v>
      </c>
      <c r="B487" s="7" t="str">
        <f>"3328045404830003"</f>
        <v>3328045404830003</v>
      </c>
      <c r="C487" s="7" t="s">
        <v>1579</v>
      </c>
      <c r="D487" s="7" t="s">
        <v>17</v>
      </c>
      <c r="E487" s="7" t="s">
        <v>11</v>
      </c>
      <c r="F487" s="7" t="s">
        <v>50</v>
      </c>
      <c r="G487" s="7" t="s">
        <v>58</v>
      </c>
      <c r="H487" s="7" t="s">
        <v>417</v>
      </c>
      <c r="I487" s="8" t="s">
        <v>1131</v>
      </c>
    </row>
    <row r="488" spans="1:9" x14ac:dyDescent="0.35">
      <c r="A488" s="6">
        <v>2532991</v>
      </c>
      <c r="B488" s="7" t="str">
        <f>"3328045404960009"</f>
        <v>3328045404960009</v>
      </c>
      <c r="C488" s="7" t="s">
        <v>1580</v>
      </c>
      <c r="D488" s="7" t="s">
        <v>17</v>
      </c>
      <c r="E488" s="7" t="s">
        <v>11</v>
      </c>
      <c r="F488" s="7" t="s">
        <v>18</v>
      </c>
      <c r="G488" s="7" t="s">
        <v>19</v>
      </c>
      <c r="H488" s="7" t="s">
        <v>745</v>
      </c>
      <c r="I488" s="8" t="s">
        <v>1406</v>
      </c>
    </row>
    <row r="489" spans="1:9" x14ac:dyDescent="0.35">
      <c r="A489" s="6">
        <v>1462314</v>
      </c>
      <c r="B489" s="7" t="str">
        <f>"3328045501960005"</f>
        <v>3328045501960005</v>
      </c>
      <c r="C489" s="7" t="s">
        <v>1583</v>
      </c>
      <c r="D489" s="7" t="s">
        <v>17</v>
      </c>
      <c r="E489" s="7" t="s">
        <v>11</v>
      </c>
      <c r="F489" s="7" t="s">
        <v>303</v>
      </c>
      <c r="G489" s="7" t="s">
        <v>304</v>
      </c>
      <c r="H489" s="7" t="s">
        <v>1381</v>
      </c>
      <c r="I489" s="8" t="s">
        <v>1381</v>
      </c>
    </row>
    <row r="490" spans="1:9" x14ac:dyDescent="0.35">
      <c r="A490" s="6">
        <v>1135983</v>
      </c>
      <c r="B490" s="7" t="str">
        <f>"3328045506870004"</f>
        <v>3328045506870004</v>
      </c>
      <c r="C490" s="7" t="s">
        <v>1143</v>
      </c>
      <c r="D490" s="7" t="s">
        <v>17</v>
      </c>
      <c r="E490" s="7" t="s">
        <v>11</v>
      </c>
      <c r="F490" s="7" t="s">
        <v>303</v>
      </c>
      <c r="G490" s="7" t="s">
        <v>1584</v>
      </c>
      <c r="H490" s="7" t="s">
        <v>1585</v>
      </c>
      <c r="I490" s="8" t="s">
        <v>1586</v>
      </c>
    </row>
    <row r="491" spans="1:9" x14ac:dyDescent="0.35">
      <c r="A491" s="6">
        <v>860671</v>
      </c>
      <c r="B491" s="7" t="str">
        <f>"3328045607900001"</f>
        <v>3328045607900001</v>
      </c>
      <c r="C491" s="7" t="s">
        <v>1587</v>
      </c>
      <c r="D491" s="7" t="s">
        <v>17</v>
      </c>
      <c r="E491" s="7" t="s">
        <v>11</v>
      </c>
      <c r="F491" s="7" t="s">
        <v>379</v>
      </c>
      <c r="G491" s="7" t="s">
        <v>1206</v>
      </c>
      <c r="H491" s="7" t="s">
        <v>1588</v>
      </c>
      <c r="I491" s="8" t="s">
        <v>1589</v>
      </c>
    </row>
    <row r="492" spans="1:9" x14ac:dyDescent="0.35">
      <c r="A492" s="6">
        <v>2530917</v>
      </c>
      <c r="B492" s="7" t="str">
        <f>"3328045803030003"</f>
        <v>3328045803030003</v>
      </c>
      <c r="C492" s="7" t="s">
        <v>1591</v>
      </c>
      <c r="D492" s="7" t="s">
        <v>17</v>
      </c>
      <c r="E492" s="7" t="s">
        <v>11</v>
      </c>
      <c r="F492" s="7" t="s">
        <v>18</v>
      </c>
      <c r="G492" s="7" t="s">
        <v>19</v>
      </c>
      <c r="H492" s="7" t="s">
        <v>745</v>
      </c>
      <c r="I492" s="8" t="s">
        <v>352</v>
      </c>
    </row>
    <row r="493" spans="1:9" x14ac:dyDescent="0.35">
      <c r="A493" s="6">
        <v>2531015</v>
      </c>
      <c r="B493" s="7" t="str">
        <f>"3328045804910004"</f>
        <v>3328045804910004</v>
      </c>
      <c r="C493" s="7" t="s">
        <v>1592</v>
      </c>
      <c r="D493" s="7" t="s">
        <v>17</v>
      </c>
      <c r="E493" s="7" t="s">
        <v>11</v>
      </c>
      <c r="F493" s="7" t="s">
        <v>18</v>
      </c>
      <c r="G493" s="7" t="s">
        <v>19</v>
      </c>
      <c r="H493" s="7" t="s">
        <v>745</v>
      </c>
      <c r="I493" s="8" t="s">
        <v>352</v>
      </c>
    </row>
    <row r="494" spans="1:9" x14ac:dyDescent="0.35">
      <c r="A494" s="6">
        <v>2532902</v>
      </c>
      <c r="B494" s="7" t="str">
        <f>"3328045805900004"</f>
        <v>3328045805900004</v>
      </c>
      <c r="C494" s="7" t="s">
        <v>1593</v>
      </c>
      <c r="D494" s="7" t="s">
        <v>17</v>
      </c>
      <c r="E494" s="7" t="s">
        <v>11</v>
      </c>
      <c r="F494" s="7" t="s">
        <v>18</v>
      </c>
      <c r="G494" s="7" t="s">
        <v>19</v>
      </c>
      <c r="H494" s="7" t="s">
        <v>745</v>
      </c>
      <c r="I494" s="8" t="s">
        <v>1406</v>
      </c>
    </row>
    <row r="495" spans="1:9" x14ac:dyDescent="0.35">
      <c r="A495" s="6">
        <v>1694941</v>
      </c>
      <c r="B495" s="7" t="str">
        <f>"3328045805970006"</f>
        <v>3328045805970006</v>
      </c>
      <c r="C495" s="7" t="s">
        <v>1597</v>
      </c>
      <c r="D495" s="7" t="s">
        <v>17</v>
      </c>
      <c r="E495" s="7" t="s">
        <v>11</v>
      </c>
      <c r="F495" s="7" t="s">
        <v>18</v>
      </c>
      <c r="G495" s="7" t="s">
        <v>264</v>
      </c>
      <c r="H495" s="7" t="s">
        <v>265</v>
      </c>
      <c r="I495" s="8" t="s">
        <v>1598</v>
      </c>
    </row>
    <row r="496" spans="1:9" x14ac:dyDescent="0.35">
      <c r="A496" s="6">
        <v>2573855</v>
      </c>
      <c r="B496" s="7" t="str">
        <f>"3328046410030003"</f>
        <v>3328046410030003</v>
      </c>
      <c r="C496" s="7" t="s">
        <v>1604</v>
      </c>
      <c r="D496" s="7" t="s">
        <v>17</v>
      </c>
      <c r="E496" s="7" t="s">
        <v>11</v>
      </c>
      <c r="F496" s="7" t="s">
        <v>18</v>
      </c>
      <c r="G496" s="7" t="s">
        <v>19</v>
      </c>
      <c r="H496" s="7" t="s">
        <v>745</v>
      </c>
      <c r="I496" s="8" t="s">
        <v>746</v>
      </c>
    </row>
    <row r="497" spans="1:9" x14ac:dyDescent="0.35">
      <c r="A497" s="6">
        <v>2416153</v>
      </c>
      <c r="B497" s="7" t="str">
        <f>"3328046506790002"</f>
        <v>3328046506790002</v>
      </c>
      <c r="C497" s="7" t="s">
        <v>1605</v>
      </c>
      <c r="D497" s="7" t="s">
        <v>17</v>
      </c>
      <c r="E497" s="7" t="s">
        <v>11</v>
      </c>
      <c r="F497" s="7" t="s">
        <v>50</v>
      </c>
      <c r="G497" s="7" t="s">
        <v>58</v>
      </c>
      <c r="H497" s="7" t="s">
        <v>97</v>
      </c>
      <c r="I497" s="8" t="s">
        <v>935</v>
      </c>
    </row>
    <row r="498" spans="1:9" x14ac:dyDescent="0.35">
      <c r="A498" s="6">
        <v>2530279</v>
      </c>
      <c r="B498" s="7" t="str">
        <f>"3328046512880006"</f>
        <v>3328046512880006</v>
      </c>
      <c r="C498" s="7" t="s">
        <v>1606</v>
      </c>
      <c r="D498" s="7" t="s">
        <v>17</v>
      </c>
      <c r="E498" s="7" t="s">
        <v>11</v>
      </c>
      <c r="F498" s="7" t="s">
        <v>18</v>
      </c>
      <c r="G498" s="7" t="s">
        <v>19</v>
      </c>
      <c r="H498" s="7" t="s">
        <v>745</v>
      </c>
      <c r="I498" s="8" t="s">
        <v>1257</v>
      </c>
    </row>
    <row r="499" spans="1:9" x14ac:dyDescent="0.35">
      <c r="A499" s="6">
        <v>865012</v>
      </c>
      <c r="B499" s="7" t="str">
        <f>"3328046710880003"</f>
        <v>3328046710880003</v>
      </c>
      <c r="C499" s="7" t="s">
        <v>1607</v>
      </c>
      <c r="D499" s="7" t="s">
        <v>17</v>
      </c>
      <c r="E499" s="7" t="s">
        <v>11</v>
      </c>
      <c r="F499" s="7" t="s">
        <v>379</v>
      </c>
      <c r="G499" s="7" t="s">
        <v>1206</v>
      </c>
      <c r="H499" s="7" t="s">
        <v>1207</v>
      </c>
      <c r="I499" s="8" t="s">
        <v>1608</v>
      </c>
    </row>
    <row r="500" spans="1:9" x14ac:dyDescent="0.35">
      <c r="A500" s="6">
        <v>2530248</v>
      </c>
      <c r="B500" s="7" t="str">
        <f>"3328047005940006"</f>
        <v>3328047005940006</v>
      </c>
      <c r="C500" s="7" t="s">
        <v>1611</v>
      </c>
      <c r="D500" s="7" t="s">
        <v>17</v>
      </c>
      <c r="E500" s="7" t="s">
        <v>11</v>
      </c>
      <c r="F500" s="7" t="s">
        <v>18</v>
      </c>
      <c r="G500" s="7" t="s">
        <v>19</v>
      </c>
      <c r="H500" s="7" t="s">
        <v>745</v>
      </c>
      <c r="I500" s="8" t="s">
        <v>1257</v>
      </c>
    </row>
    <row r="501" spans="1:9" x14ac:dyDescent="0.35">
      <c r="A501" s="6">
        <v>2533668</v>
      </c>
      <c r="B501" s="7" t="str">
        <f>"3328047101960001"</f>
        <v>3328047101960001</v>
      </c>
      <c r="C501" s="7" t="s">
        <v>1613</v>
      </c>
      <c r="D501" s="7" t="s">
        <v>17</v>
      </c>
      <c r="E501" s="7" t="s">
        <v>11</v>
      </c>
      <c r="F501" s="7" t="s">
        <v>18</v>
      </c>
      <c r="G501" s="7" t="s">
        <v>19</v>
      </c>
      <c r="H501" s="7" t="s">
        <v>745</v>
      </c>
      <c r="I501" s="8" t="s">
        <v>1264</v>
      </c>
    </row>
    <row r="502" spans="1:9" x14ac:dyDescent="0.35">
      <c r="A502" s="6">
        <v>2573469</v>
      </c>
      <c r="B502" s="7" t="str">
        <f>"3328047112590022"</f>
        <v>3328047112590022</v>
      </c>
      <c r="C502" s="7" t="s">
        <v>1615</v>
      </c>
      <c r="D502" s="7" t="s">
        <v>17</v>
      </c>
      <c r="E502" s="7" t="s">
        <v>11</v>
      </c>
      <c r="F502" s="7" t="s">
        <v>18</v>
      </c>
      <c r="G502" s="7" t="s">
        <v>19</v>
      </c>
      <c r="H502" s="7" t="s">
        <v>745</v>
      </c>
      <c r="I502" s="8" t="s">
        <v>746</v>
      </c>
    </row>
    <row r="503" spans="1:9" x14ac:dyDescent="0.35">
      <c r="A503" s="6">
        <v>2534003</v>
      </c>
      <c r="B503" s="7" t="str">
        <f>"3328047112830010"</f>
        <v>3328047112830010</v>
      </c>
      <c r="C503" s="7" t="s">
        <v>1617</v>
      </c>
      <c r="D503" s="7" t="s">
        <v>17</v>
      </c>
      <c r="E503" s="7" t="s">
        <v>11</v>
      </c>
      <c r="F503" s="7" t="s">
        <v>18</v>
      </c>
      <c r="G503" s="7" t="s">
        <v>19</v>
      </c>
      <c r="H503" s="7" t="s">
        <v>745</v>
      </c>
      <c r="I503" s="8" t="s">
        <v>1277</v>
      </c>
    </row>
    <row r="504" spans="1:9" x14ac:dyDescent="0.35">
      <c r="A504" s="6">
        <v>2531751</v>
      </c>
      <c r="B504" s="7" t="str">
        <f>"3328062003840009"</f>
        <v>3328062003840009</v>
      </c>
      <c r="C504" s="7" t="s">
        <v>1621</v>
      </c>
      <c r="D504" s="7" t="s">
        <v>17</v>
      </c>
      <c r="E504" s="7" t="s">
        <v>11</v>
      </c>
      <c r="F504" s="7" t="s">
        <v>18</v>
      </c>
      <c r="G504" s="7" t="s">
        <v>19</v>
      </c>
      <c r="H504" s="7" t="s">
        <v>745</v>
      </c>
      <c r="I504" s="8" t="s">
        <v>1262</v>
      </c>
    </row>
    <row r="505" spans="1:9" x14ac:dyDescent="0.35">
      <c r="A505" s="6">
        <v>2533408</v>
      </c>
      <c r="B505" s="7" t="str">
        <f>"3329041109910002"</f>
        <v>3329041109910002</v>
      </c>
      <c r="C505" s="7" t="s">
        <v>1622</v>
      </c>
      <c r="D505" s="7" t="s">
        <v>17</v>
      </c>
      <c r="E505" s="7" t="s">
        <v>11</v>
      </c>
      <c r="F505" s="7" t="s">
        <v>18</v>
      </c>
      <c r="G505" s="7" t="s">
        <v>19</v>
      </c>
      <c r="H505" s="7" t="s">
        <v>745</v>
      </c>
      <c r="I505" s="8" t="s">
        <v>1314</v>
      </c>
    </row>
    <row r="506" spans="1:9" x14ac:dyDescent="0.35">
      <c r="A506" s="6">
        <v>2532323</v>
      </c>
      <c r="B506" s="7" t="str">
        <f>"3329051211010001"</f>
        <v>3329051211010001</v>
      </c>
      <c r="C506" s="7" t="s">
        <v>1625</v>
      </c>
      <c r="D506" s="7" t="s">
        <v>17</v>
      </c>
      <c r="E506" s="7" t="s">
        <v>11</v>
      </c>
      <c r="F506" s="7" t="s">
        <v>18</v>
      </c>
      <c r="G506" s="7" t="s">
        <v>19</v>
      </c>
      <c r="H506" s="7" t="s">
        <v>745</v>
      </c>
      <c r="I506" s="8" t="s">
        <v>1274</v>
      </c>
    </row>
    <row r="507" spans="1:9" x14ac:dyDescent="0.35">
      <c r="A507" s="6">
        <v>2532766</v>
      </c>
      <c r="B507" s="7" t="str">
        <f>"3329070403970003"</f>
        <v>3329070403970003</v>
      </c>
      <c r="C507" s="7" t="s">
        <v>1627</v>
      </c>
      <c r="D507" s="7" t="s">
        <v>17</v>
      </c>
      <c r="E507" s="7" t="s">
        <v>11</v>
      </c>
      <c r="F507" s="7" t="s">
        <v>18</v>
      </c>
      <c r="G507" s="7" t="s">
        <v>19</v>
      </c>
      <c r="H507" s="7" t="s">
        <v>745</v>
      </c>
      <c r="I507" s="8" t="s">
        <v>1406</v>
      </c>
    </row>
    <row r="508" spans="1:9" x14ac:dyDescent="0.35">
      <c r="A508" s="6">
        <v>2538218</v>
      </c>
      <c r="B508" s="7" t="str">
        <f>"3329080310850007"</f>
        <v>3329080310850007</v>
      </c>
      <c r="C508" s="7" t="s">
        <v>1629</v>
      </c>
      <c r="D508" s="7" t="s">
        <v>17</v>
      </c>
      <c r="E508" s="7" t="s">
        <v>11</v>
      </c>
      <c r="F508" s="7" t="s">
        <v>18</v>
      </c>
      <c r="G508" s="7" t="s">
        <v>19</v>
      </c>
      <c r="H508" s="7" t="s">
        <v>745</v>
      </c>
      <c r="I508" s="8" t="s">
        <v>1482</v>
      </c>
    </row>
    <row r="509" spans="1:9" x14ac:dyDescent="0.35">
      <c r="A509" s="6">
        <v>2530695</v>
      </c>
      <c r="B509" s="7" t="str">
        <f>"3329080707860016"</f>
        <v>3329080707860016</v>
      </c>
      <c r="C509" s="7" t="s">
        <v>1633</v>
      </c>
      <c r="D509" s="7" t="s">
        <v>17</v>
      </c>
      <c r="E509" s="7" t="s">
        <v>11</v>
      </c>
      <c r="F509" s="7" t="s">
        <v>18</v>
      </c>
      <c r="G509" s="7" t="s">
        <v>19</v>
      </c>
      <c r="H509" s="7" t="s">
        <v>745</v>
      </c>
      <c r="I509" s="8" t="s">
        <v>1348</v>
      </c>
    </row>
    <row r="510" spans="1:9" x14ac:dyDescent="0.35">
      <c r="A510" s="6">
        <v>2532321</v>
      </c>
      <c r="B510" s="7" t="str">
        <f>"3329081309920004"</f>
        <v>3329081309920004</v>
      </c>
      <c r="C510" s="7" t="s">
        <v>1270</v>
      </c>
      <c r="D510" s="7" t="s">
        <v>17</v>
      </c>
      <c r="E510" s="7" t="s">
        <v>11</v>
      </c>
      <c r="F510" s="7" t="s">
        <v>18</v>
      </c>
      <c r="G510" s="7" t="s">
        <v>19</v>
      </c>
      <c r="H510" s="7" t="s">
        <v>745</v>
      </c>
      <c r="I510" s="8" t="s">
        <v>1274</v>
      </c>
    </row>
    <row r="511" spans="1:9" x14ac:dyDescent="0.35">
      <c r="A511" s="6">
        <v>2538219</v>
      </c>
      <c r="B511" s="7" t="str">
        <f>"3329085208920011"</f>
        <v>3329085208920011</v>
      </c>
      <c r="C511" s="7" t="s">
        <v>1635</v>
      </c>
      <c r="D511" s="7" t="s">
        <v>17</v>
      </c>
      <c r="E511" s="7" t="s">
        <v>11</v>
      </c>
      <c r="F511" s="7" t="s">
        <v>18</v>
      </c>
      <c r="G511" s="7" t="s">
        <v>19</v>
      </c>
      <c r="H511" s="7" t="s">
        <v>745</v>
      </c>
      <c r="I511" s="8" t="s">
        <v>1482</v>
      </c>
    </row>
    <row r="512" spans="1:9" x14ac:dyDescent="0.35">
      <c r="A512" s="6">
        <v>2532878</v>
      </c>
      <c r="B512" s="7" t="str">
        <f>"3329094210970010"</f>
        <v>3329094210970010</v>
      </c>
      <c r="C512" s="7" t="s">
        <v>1636</v>
      </c>
      <c r="D512" s="7" t="s">
        <v>17</v>
      </c>
      <c r="E512" s="7" t="s">
        <v>11</v>
      </c>
      <c r="F512" s="7" t="s">
        <v>18</v>
      </c>
      <c r="G512" s="7" t="s">
        <v>19</v>
      </c>
      <c r="H512" s="7" t="s">
        <v>745</v>
      </c>
      <c r="I512" s="8" t="s">
        <v>1406</v>
      </c>
    </row>
    <row r="513" spans="1:9" x14ac:dyDescent="0.35">
      <c r="A513" s="6">
        <v>2532412</v>
      </c>
      <c r="B513" s="7" t="str">
        <f>"3329140304880018"</f>
        <v>3329140304880018</v>
      </c>
      <c r="C513" s="7" t="s">
        <v>1640</v>
      </c>
      <c r="D513" s="7" t="s">
        <v>17</v>
      </c>
      <c r="E513" s="7" t="s">
        <v>11</v>
      </c>
      <c r="F513" s="7" t="s">
        <v>18</v>
      </c>
      <c r="G513" s="7" t="s">
        <v>19</v>
      </c>
      <c r="H513" s="7" t="s">
        <v>745</v>
      </c>
      <c r="I513" s="8" t="s">
        <v>1274</v>
      </c>
    </row>
    <row r="514" spans="1:9" x14ac:dyDescent="0.35">
      <c r="A514" s="6">
        <v>2533477</v>
      </c>
      <c r="B514" s="7" t="str">
        <f>"3329140810880007"</f>
        <v>3329140810880007</v>
      </c>
      <c r="C514" s="7" t="s">
        <v>1641</v>
      </c>
      <c r="D514" s="7" t="s">
        <v>17</v>
      </c>
      <c r="E514" s="7" t="s">
        <v>11</v>
      </c>
      <c r="F514" s="7" t="s">
        <v>18</v>
      </c>
      <c r="G514" s="7" t="s">
        <v>19</v>
      </c>
      <c r="H514" s="7" t="s">
        <v>745</v>
      </c>
      <c r="I514" s="8" t="s">
        <v>1314</v>
      </c>
    </row>
    <row r="515" spans="1:9" x14ac:dyDescent="0.35">
      <c r="A515" s="6">
        <v>2532252</v>
      </c>
      <c r="B515" s="7" t="str">
        <f>"3329142502760004"</f>
        <v>3329142502760004</v>
      </c>
      <c r="C515" s="7" t="s">
        <v>1647</v>
      </c>
      <c r="D515" s="7" t="s">
        <v>17</v>
      </c>
      <c r="E515" s="7" t="s">
        <v>11</v>
      </c>
      <c r="F515" s="7" t="s">
        <v>18</v>
      </c>
      <c r="G515" s="7" t="s">
        <v>19</v>
      </c>
      <c r="H515" s="7" t="s">
        <v>745</v>
      </c>
      <c r="I515" s="8" t="s">
        <v>1318</v>
      </c>
    </row>
    <row r="516" spans="1:9" x14ac:dyDescent="0.35">
      <c r="A516" s="6">
        <v>2532413</v>
      </c>
      <c r="B516" s="7" t="str">
        <f>"3329145109900014"</f>
        <v>3329145109900014</v>
      </c>
      <c r="C516" s="7" t="s">
        <v>1649</v>
      </c>
      <c r="D516" s="7" t="s">
        <v>17</v>
      </c>
      <c r="E516" s="7" t="s">
        <v>11</v>
      </c>
      <c r="F516" s="7" t="s">
        <v>18</v>
      </c>
      <c r="G516" s="7" t="s">
        <v>19</v>
      </c>
      <c r="H516" s="7" t="s">
        <v>745</v>
      </c>
      <c r="I516" s="8" t="s">
        <v>1274</v>
      </c>
    </row>
    <row r="517" spans="1:9" x14ac:dyDescent="0.35">
      <c r="A517" s="6">
        <v>2532718</v>
      </c>
      <c r="B517" s="7" t="str">
        <f>"3329154105950005"</f>
        <v>3329154105950005</v>
      </c>
      <c r="C517" s="7" t="s">
        <v>1650</v>
      </c>
      <c r="D517" s="7" t="s">
        <v>17</v>
      </c>
      <c r="E517" s="7" t="s">
        <v>11</v>
      </c>
      <c r="F517" s="7" t="s">
        <v>18</v>
      </c>
      <c r="G517" s="7" t="s">
        <v>19</v>
      </c>
      <c r="H517" s="7" t="s">
        <v>745</v>
      </c>
      <c r="I517" s="8" t="s">
        <v>1406</v>
      </c>
    </row>
    <row r="518" spans="1:9" x14ac:dyDescent="0.35">
      <c r="A518" s="6">
        <v>1651457</v>
      </c>
      <c r="B518" s="7" t="str">
        <f>"3329160711860005"</f>
        <v>3329160711860005</v>
      </c>
      <c r="C518" s="7" t="s">
        <v>1652</v>
      </c>
      <c r="D518" s="7" t="s">
        <v>17</v>
      </c>
      <c r="E518" s="7" t="s">
        <v>11</v>
      </c>
      <c r="F518" s="7" t="s">
        <v>18</v>
      </c>
      <c r="G518" s="7" t="s">
        <v>264</v>
      </c>
      <c r="H518" s="7" t="s">
        <v>344</v>
      </c>
      <c r="I518" s="8" t="s">
        <v>1653</v>
      </c>
    </row>
    <row r="519" spans="1:9" x14ac:dyDescent="0.35">
      <c r="A519" s="6">
        <v>1588511</v>
      </c>
      <c r="B519" s="7" t="str">
        <f>"3329174502910007"</f>
        <v>3329174502910007</v>
      </c>
      <c r="C519" s="7" t="s">
        <v>1655</v>
      </c>
      <c r="D519" s="7" t="s">
        <v>17</v>
      </c>
      <c r="E519" s="7" t="s">
        <v>11</v>
      </c>
      <c r="F519" s="7" t="s">
        <v>18</v>
      </c>
      <c r="G519" s="7" t="s">
        <v>264</v>
      </c>
      <c r="H519" s="7" t="s">
        <v>881</v>
      </c>
      <c r="I519" s="8" t="s">
        <v>1656</v>
      </c>
    </row>
    <row r="520" spans="1:9" x14ac:dyDescent="0.35">
      <c r="A520" s="6">
        <v>2530551</v>
      </c>
      <c r="B520" s="7" t="str">
        <f>"3329174507810001"</f>
        <v>3329174507810001</v>
      </c>
      <c r="C520" s="7" t="s">
        <v>1657</v>
      </c>
      <c r="D520" s="7" t="s">
        <v>17</v>
      </c>
      <c r="E520" s="7" t="s">
        <v>11</v>
      </c>
      <c r="F520" s="7" t="s">
        <v>18</v>
      </c>
      <c r="G520" s="7" t="s">
        <v>19</v>
      </c>
      <c r="H520" s="7" t="s">
        <v>745</v>
      </c>
      <c r="I520" s="8" t="s">
        <v>1298</v>
      </c>
    </row>
    <row r="521" spans="1:9" x14ac:dyDescent="0.35">
      <c r="A521" s="6">
        <v>2533657</v>
      </c>
      <c r="B521" s="7" t="str">
        <f>"3376010307950001"</f>
        <v>3376010307950001</v>
      </c>
      <c r="C521" s="7" t="s">
        <v>1660</v>
      </c>
      <c r="D521" s="7" t="s">
        <v>17</v>
      </c>
      <c r="E521" s="7" t="s">
        <v>11</v>
      </c>
      <c r="F521" s="7" t="s">
        <v>18</v>
      </c>
      <c r="G521" s="7" t="s">
        <v>19</v>
      </c>
      <c r="H521" s="7" t="s">
        <v>745</v>
      </c>
      <c r="I521" s="8" t="s">
        <v>1264</v>
      </c>
    </row>
    <row r="522" spans="1:9" x14ac:dyDescent="0.35">
      <c r="A522" s="6">
        <v>2533614</v>
      </c>
      <c r="B522" s="7" t="str">
        <f>"3376031202820002"</f>
        <v>3376031202820002</v>
      </c>
      <c r="C522" s="7" t="s">
        <v>1663</v>
      </c>
      <c r="D522" s="7" t="s">
        <v>17</v>
      </c>
      <c r="E522" s="7" t="s">
        <v>11</v>
      </c>
      <c r="F522" s="7" t="s">
        <v>18</v>
      </c>
      <c r="G522" s="7" t="s">
        <v>19</v>
      </c>
      <c r="H522" s="7" t="s">
        <v>745</v>
      </c>
      <c r="I522" s="8" t="s">
        <v>1314</v>
      </c>
    </row>
    <row r="523" spans="1:9" x14ac:dyDescent="0.35">
      <c r="A523" s="6">
        <v>2532327</v>
      </c>
      <c r="B523" s="7" t="str">
        <f>"3376033112910002"</f>
        <v>3376033112910002</v>
      </c>
      <c r="C523" s="7" t="s">
        <v>1664</v>
      </c>
      <c r="D523" s="7" t="s">
        <v>17</v>
      </c>
      <c r="E523" s="7" t="s">
        <v>11</v>
      </c>
      <c r="F523" s="7" t="s">
        <v>18</v>
      </c>
      <c r="G523" s="7" t="s">
        <v>19</v>
      </c>
      <c r="H523" s="7" t="s">
        <v>745</v>
      </c>
      <c r="I523" s="8" t="s">
        <v>1274</v>
      </c>
    </row>
    <row r="524" spans="1:9" x14ac:dyDescent="0.35">
      <c r="A524" s="6">
        <v>2532983</v>
      </c>
      <c r="B524" s="7" t="str">
        <f>"3402170211940003"</f>
        <v>3402170211940003</v>
      </c>
      <c r="C524" s="7" t="s">
        <v>1665</v>
      </c>
      <c r="D524" s="7" t="s">
        <v>17</v>
      </c>
      <c r="E524" s="7" t="s">
        <v>11</v>
      </c>
      <c r="F524" s="7" t="s">
        <v>18</v>
      </c>
      <c r="G524" s="7" t="s">
        <v>19</v>
      </c>
      <c r="H524" s="7" t="s">
        <v>745</v>
      </c>
      <c r="I524" s="8" t="s">
        <v>1406</v>
      </c>
    </row>
    <row r="525" spans="1:9" x14ac:dyDescent="0.35">
      <c r="A525" s="6">
        <v>2531903</v>
      </c>
      <c r="B525" s="7" t="str">
        <f>"3505012206970001"</f>
        <v>3505012206970001</v>
      </c>
      <c r="C525" s="7" t="s">
        <v>1668</v>
      </c>
      <c r="D525" s="7" t="s">
        <v>17</v>
      </c>
      <c r="E525" s="7" t="s">
        <v>11</v>
      </c>
      <c r="F525" s="7" t="s">
        <v>18</v>
      </c>
      <c r="G525" s="7" t="s">
        <v>19</v>
      </c>
      <c r="H525" s="7" t="s">
        <v>745</v>
      </c>
      <c r="I525" s="8" t="s">
        <v>1401</v>
      </c>
    </row>
    <row r="526" spans="1:9" x14ac:dyDescent="0.35">
      <c r="A526" s="6">
        <v>2530775</v>
      </c>
      <c r="B526" s="7" t="str">
        <f>"3506205312040003"</f>
        <v>3506205312040003</v>
      </c>
      <c r="C526" s="7" t="s">
        <v>1674</v>
      </c>
      <c r="D526" s="7" t="s">
        <v>17</v>
      </c>
      <c r="E526" s="7" t="s">
        <v>11</v>
      </c>
      <c r="F526" s="7" t="s">
        <v>18</v>
      </c>
      <c r="G526" s="7" t="s">
        <v>19</v>
      </c>
      <c r="H526" s="7" t="s">
        <v>745</v>
      </c>
      <c r="I526" s="8" t="s">
        <v>1348</v>
      </c>
    </row>
    <row r="527" spans="1:9" x14ac:dyDescent="0.35">
      <c r="A527" s="6">
        <v>2530919</v>
      </c>
      <c r="B527" s="7" t="str">
        <f>"3526162505730001"</f>
        <v>3526162505730001</v>
      </c>
      <c r="C527" s="7" t="s">
        <v>1675</v>
      </c>
      <c r="D527" s="7" t="s">
        <v>17</v>
      </c>
      <c r="E527" s="7" t="s">
        <v>11</v>
      </c>
      <c r="F527" s="7" t="s">
        <v>18</v>
      </c>
      <c r="G527" s="7" t="s">
        <v>19</v>
      </c>
      <c r="H527" s="7" t="s">
        <v>745</v>
      </c>
      <c r="I527" s="8" t="s">
        <v>352</v>
      </c>
    </row>
    <row r="528" spans="1:9" x14ac:dyDescent="0.35">
      <c r="A528" s="6">
        <v>2530909</v>
      </c>
      <c r="B528" s="7" t="str">
        <f>"3526164505830003"</f>
        <v>3526164505830003</v>
      </c>
      <c r="C528" s="7" t="s">
        <v>1679</v>
      </c>
      <c r="D528" s="7" t="s">
        <v>17</v>
      </c>
      <c r="E528" s="7" t="s">
        <v>11</v>
      </c>
      <c r="F528" s="7" t="s">
        <v>18</v>
      </c>
      <c r="G528" s="7" t="s">
        <v>19</v>
      </c>
      <c r="H528" s="7" t="s">
        <v>745</v>
      </c>
      <c r="I528" s="8" t="s">
        <v>352</v>
      </c>
    </row>
    <row r="529" spans="1:9" x14ac:dyDescent="0.35">
      <c r="A529" s="6">
        <v>2532350</v>
      </c>
      <c r="B529" s="7" t="str">
        <f>"3601120610900001"</f>
        <v>3601120610900001</v>
      </c>
      <c r="C529" s="7" t="s">
        <v>1683</v>
      </c>
      <c r="D529" s="7" t="s">
        <v>17</v>
      </c>
      <c r="E529" s="7" t="s">
        <v>11</v>
      </c>
      <c r="F529" s="7" t="s">
        <v>18</v>
      </c>
      <c r="G529" s="7" t="s">
        <v>19</v>
      </c>
      <c r="H529" s="7" t="s">
        <v>745</v>
      </c>
      <c r="I529" s="8" t="s">
        <v>1274</v>
      </c>
    </row>
    <row r="530" spans="1:9" x14ac:dyDescent="0.35">
      <c r="A530" s="6">
        <v>2531712</v>
      </c>
      <c r="B530" s="7" t="str">
        <f>"3603174704000011"</f>
        <v>3603174704000011</v>
      </c>
      <c r="C530" s="7" t="s">
        <v>1684</v>
      </c>
      <c r="D530" s="7" t="s">
        <v>17</v>
      </c>
      <c r="E530" s="7" t="s">
        <v>11</v>
      </c>
      <c r="F530" s="7" t="s">
        <v>18</v>
      </c>
      <c r="G530" s="7" t="s">
        <v>19</v>
      </c>
      <c r="H530" s="7" t="s">
        <v>745</v>
      </c>
      <c r="I530" s="8" t="s">
        <v>1262</v>
      </c>
    </row>
    <row r="531" spans="1:9" x14ac:dyDescent="0.35">
      <c r="A531" s="6">
        <v>2531871</v>
      </c>
      <c r="B531" s="7" t="str">
        <f>"3603175212790009"</f>
        <v>3603175212790009</v>
      </c>
      <c r="C531" s="7" t="s">
        <v>1686</v>
      </c>
      <c r="D531" s="7" t="s">
        <v>17</v>
      </c>
      <c r="E531" s="7" t="s">
        <v>11</v>
      </c>
      <c r="F531" s="7" t="s">
        <v>18</v>
      </c>
      <c r="G531" s="7" t="s">
        <v>19</v>
      </c>
      <c r="H531" s="7" t="s">
        <v>745</v>
      </c>
      <c r="I531" s="8" t="s">
        <v>1262</v>
      </c>
    </row>
    <row r="532" spans="1:9" x14ac:dyDescent="0.35">
      <c r="A532" s="6">
        <v>2532289</v>
      </c>
      <c r="B532" s="7" t="str">
        <f>"3604272306960002"</f>
        <v>3604272306960002</v>
      </c>
      <c r="C532" s="7" t="s">
        <v>1689</v>
      </c>
      <c r="D532" s="7" t="s">
        <v>17</v>
      </c>
      <c r="E532" s="7" t="s">
        <v>11</v>
      </c>
      <c r="F532" s="7" t="s">
        <v>18</v>
      </c>
      <c r="G532" s="7" t="s">
        <v>19</v>
      </c>
      <c r="H532" s="7" t="s">
        <v>745</v>
      </c>
      <c r="I532" s="8" t="s">
        <v>1274</v>
      </c>
    </row>
    <row r="533" spans="1:9" x14ac:dyDescent="0.35">
      <c r="A533" s="6">
        <v>1700463</v>
      </c>
      <c r="B533" s="7" t="str">
        <f>"3671061407840003"</f>
        <v>3671061407840003</v>
      </c>
      <c r="C533" s="7" t="s">
        <v>1691</v>
      </c>
      <c r="D533" s="7" t="s">
        <v>17</v>
      </c>
      <c r="E533" s="7" t="s">
        <v>11</v>
      </c>
      <c r="F533" s="7" t="s">
        <v>18</v>
      </c>
      <c r="G533" s="7" t="s">
        <v>264</v>
      </c>
      <c r="H533" s="7" t="s">
        <v>461</v>
      </c>
      <c r="I533" s="8" t="s">
        <v>1692</v>
      </c>
    </row>
    <row r="534" spans="1:9" x14ac:dyDescent="0.35">
      <c r="A534" s="6">
        <v>2534089</v>
      </c>
      <c r="B534" s="7" t="str">
        <f>"3671096406880003"</f>
        <v>3671096406880003</v>
      </c>
      <c r="C534" s="7" t="s">
        <v>1693</v>
      </c>
      <c r="D534" s="7" t="s">
        <v>17</v>
      </c>
      <c r="E534" s="7" t="s">
        <v>11</v>
      </c>
      <c r="F534" s="7" t="s">
        <v>18</v>
      </c>
      <c r="G534" s="7" t="s">
        <v>19</v>
      </c>
      <c r="H534" s="7" t="s">
        <v>745</v>
      </c>
      <c r="I534" s="8" t="s">
        <v>1277</v>
      </c>
    </row>
    <row r="535" spans="1:9" x14ac:dyDescent="0.35">
      <c r="A535" s="6">
        <v>2534102</v>
      </c>
      <c r="B535" s="7" t="str">
        <f>"3674016711670001"</f>
        <v>3674016711670001</v>
      </c>
      <c r="C535" s="7" t="s">
        <v>1696</v>
      </c>
      <c r="D535" s="7" t="s">
        <v>17</v>
      </c>
      <c r="E535" s="7" t="s">
        <v>11</v>
      </c>
      <c r="F535" s="7" t="s">
        <v>18</v>
      </c>
      <c r="G535" s="7" t="s">
        <v>19</v>
      </c>
      <c r="H535" s="7" t="s">
        <v>745</v>
      </c>
      <c r="I535" s="8" t="s">
        <v>1230</v>
      </c>
    </row>
    <row r="536" spans="1:9" x14ac:dyDescent="0.35">
      <c r="A536" s="6">
        <v>2533311</v>
      </c>
      <c r="B536" s="7" t="str">
        <f>"6303025008550003"</f>
        <v>6303025008550003</v>
      </c>
      <c r="C536" s="7" t="s">
        <v>1697</v>
      </c>
      <c r="D536" s="7" t="s">
        <v>17</v>
      </c>
      <c r="E536" s="7" t="s">
        <v>11</v>
      </c>
      <c r="F536" s="7" t="s">
        <v>18</v>
      </c>
      <c r="G536" s="7" t="s">
        <v>19</v>
      </c>
      <c r="H536" s="7" t="s">
        <v>745</v>
      </c>
      <c r="I536" s="8" t="s">
        <v>1303</v>
      </c>
    </row>
    <row r="537" spans="1:9" x14ac:dyDescent="0.35">
      <c r="A537" s="6">
        <v>2533308</v>
      </c>
      <c r="B537" s="7" t="str">
        <f>"6308050407810005"</f>
        <v>6308050407810005</v>
      </c>
      <c r="C537" s="7" t="s">
        <v>1704</v>
      </c>
      <c r="D537" s="7" t="s">
        <v>17</v>
      </c>
      <c r="E537" s="7" t="s">
        <v>11</v>
      </c>
      <c r="F537" s="7" t="s">
        <v>18</v>
      </c>
      <c r="G537" s="7" t="s">
        <v>19</v>
      </c>
      <c r="H537" s="7" t="s">
        <v>745</v>
      </c>
      <c r="I537" s="8" t="s">
        <v>1303</v>
      </c>
    </row>
    <row r="538" spans="1:9" x14ac:dyDescent="0.35">
      <c r="A538" s="6">
        <v>2532226</v>
      </c>
      <c r="B538" s="7" t="str">
        <f>"6308051005870006"</f>
        <v>6308051005870006</v>
      </c>
      <c r="C538" s="7" t="s">
        <v>1705</v>
      </c>
      <c r="D538" s="7" t="s">
        <v>17</v>
      </c>
      <c r="E538" s="7" t="s">
        <v>11</v>
      </c>
      <c r="F538" s="7" t="s">
        <v>18</v>
      </c>
      <c r="G538" s="7" t="s">
        <v>19</v>
      </c>
      <c r="H538" s="7" t="s">
        <v>745</v>
      </c>
      <c r="I538" s="8" t="s">
        <v>1318</v>
      </c>
    </row>
    <row r="539" spans="1:9" x14ac:dyDescent="0.35">
      <c r="A539" s="6">
        <v>2573922</v>
      </c>
      <c r="B539" s="7" t="str">
        <f>"6371022305870002"</f>
        <v>6371022305870002</v>
      </c>
      <c r="C539" s="7" t="s">
        <v>1710</v>
      </c>
      <c r="D539" s="7" t="s">
        <v>17</v>
      </c>
      <c r="E539" s="7" t="s">
        <v>11</v>
      </c>
      <c r="F539" s="7" t="s">
        <v>18</v>
      </c>
      <c r="G539" s="7" t="s">
        <v>19</v>
      </c>
      <c r="H539" s="7" t="s">
        <v>745</v>
      </c>
      <c r="I539" s="8" t="s">
        <v>746</v>
      </c>
    </row>
    <row r="540" spans="1:9" x14ac:dyDescent="0.35">
      <c r="A540" s="6">
        <v>1625824</v>
      </c>
      <c r="B540" s="7" t="str">
        <f>"9109011708880016"</f>
        <v>9109011708880016</v>
      </c>
      <c r="C540" s="7" t="s">
        <v>1711</v>
      </c>
      <c r="D540" s="7" t="s">
        <v>17</v>
      </c>
      <c r="E540" s="7" t="s">
        <v>11</v>
      </c>
      <c r="F540" s="7" t="s">
        <v>18</v>
      </c>
      <c r="G540" s="7" t="s">
        <v>264</v>
      </c>
      <c r="H540" s="7" t="s">
        <v>248</v>
      </c>
      <c r="I540" s="8" t="s">
        <v>1712</v>
      </c>
    </row>
    <row r="541" spans="1:9" x14ac:dyDescent="0.35">
      <c r="A541" s="6">
        <v>2531742</v>
      </c>
      <c r="B541" s="7" t="str">
        <f>"9171011008860012"</f>
        <v>9171011008860012</v>
      </c>
      <c r="C541" s="7" t="s">
        <v>1715</v>
      </c>
      <c r="D541" s="7" t="s">
        <v>17</v>
      </c>
      <c r="E541" s="7" t="s">
        <v>11</v>
      </c>
      <c r="F541" s="7" t="s">
        <v>18</v>
      </c>
      <c r="G541" s="7" t="s">
        <v>19</v>
      </c>
      <c r="H541" s="7" t="s">
        <v>745</v>
      </c>
      <c r="I541" s="8" t="s">
        <v>1262</v>
      </c>
    </row>
    <row r="542" spans="1:9" x14ac:dyDescent="0.35">
      <c r="A542" s="6">
        <v>2531743</v>
      </c>
      <c r="B542" s="7" t="str">
        <f>"9171011008860013"</f>
        <v>9171011008860013</v>
      </c>
      <c r="C542" s="7" t="s">
        <v>1717</v>
      </c>
      <c r="D542" s="7" t="s">
        <v>17</v>
      </c>
      <c r="E542" s="7" t="s">
        <v>11</v>
      </c>
      <c r="F542" s="7" t="s">
        <v>18</v>
      </c>
      <c r="G542" s="7" t="s">
        <v>19</v>
      </c>
      <c r="H542" s="7" t="s">
        <v>745</v>
      </c>
      <c r="I542" s="8" t="s">
        <v>1262</v>
      </c>
    </row>
    <row r="543" spans="1:9" x14ac:dyDescent="0.35">
      <c r="A543" s="6">
        <v>2534579</v>
      </c>
      <c r="B543" s="7" t="str">
        <f>"3172014510650002"</f>
        <v>3172014510650002</v>
      </c>
      <c r="C543" s="7" t="s">
        <v>1722</v>
      </c>
      <c r="D543" s="7" t="s">
        <v>17</v>
      </c>
      <c r="E543" s="7" t="s">
        <v>11</v>
      </c>
      <c r="F543" s="7" t="s">
        <v>18</v>
      </c>
      <c r="G543" s="7" t="s">
        <v>19</v>
      </c>
      <c r="H543" s="7" t="s">
        <v>1720</v>
      </c>
      <c r="I543" s="8" t="s">
        <v>1723</v>
      </c>
    </row>
    <row r="544" spans="1:9" x14ac:dyDescent="0.35">
      <c r="A544" s="6">
        <v>2534602</v>
      </c>
      <c r="B544" s="7" t="str">
        <f>"3172015102900007"</f>
        <v>3172015102900007</v>
      </c>
      <c r="C544" s="7" t="s">
        <v>1724</v>
      </c>
      <c r="D544" s="7" t="s">
        <v>17</v>
      </c>
      <c r="E544" s="7" t="s">
        <v>11</v>
      </c>
      <c r="F544" s="7" t="s">
        <v>18</v>
      </c>
      <c r="G544" s="7" t="s">
        <v>19</v>
      </c>
      <c r="H544" s="7" t="s">
        <v>1720</v>
      </c>
      <c r="I544" s="8" t="s">
        <v>1723</v>
      </c>
    </row>
    <row r="545" spans="1:9" x14ac:dyDescent="0.35">
      <c r="A545" s="6">
        <v>2534524</v>
      </c>
      <c r="B545" s="7" t="str">
        <f>"3172046307920009"</f>
        <v>3172046307920009</v>
      </c>
      <c r="C545" s="7" t="s">
        <v>1726</v>
      </c>
      <c r="D545" s="7" t="s">
        <v>17</v>
      </c>
      <c r="E545" s="7" t="s">
        <v>11</v>
      </c>
      <c r="F545" s="7" t="s">
        <v>18</v>
      </c>
      <c r="G545" s="7" t="s">
        <v>19</v>
      </c>
      <c r="H545" s="7" t="s">
        <v>1720</v>
      </c>
      <c r="I545" s="8" t="s">
        <v>1727</v>
      </c>
    </row>
    <row r="546" spans="1:9" x14ac:dyDescent="0.35">
      <c r="A546" s="6">
        <v>2534428</v>
      </c>
      <c r="B546" s="7" t="str">
        <f>"3172051404871001"</f>
        <v>3172051404871001</v>
      </c>
      <c r="C546" s="7" t="s">
        <v>1730</v>
      </c>
      <c r="D546" s="7" t="s">
        <v>17</v>
      </c>
      <c r="E546" s="7" t="s">
        <v>11</v>
      </c>
      <c r="F546" s="7" t="s">
        <v>18</v>
      </c>
      <c r="G546" s="7" t="s">
        <v>19</v>
      </c>
      <c r="H546" s="7" t="s">
        <v>1720</v>
      </c>
      <c r="I546" s="8" t="s">
        <v>1731</v>
      </c>
    </row>
    <row r="547" spans="1:9" x14ac:dyDescent="0.35">
      <c r="A547" s="6">
        <v>2535130</v>
      </c>
      <c r="B547" s="7" t="str">
        <f>"3173036412640001"</f>
        <v>3173036412640001</v>
      </c>
      <c r="C547" s="7" t="s">
        <v>1734</v>
      </c>
      <c r="D547" s="7" t="s">
        <v>17</v>
      </c>
      <c r="E547" s="7" t="s">
        <v>11</v>
      </c>
      <c r="F547" s="7" t="s">
        <v>18</v>
      </c>
      <c r="G547" s="7" t="s">
        <v>19</v>
      </c>
      <c r="H547" s="7" t="s">
        <v>1720</v>
      </c>
      <c r="I547" s="8" t="s">
        <v>1720</v>
      </c>
    </row>
    <row r="548" spans="1:9" x14ac:dyDescent="0.35">
      <c r="A548" s="6">
        <v>2535580</v>
      </c>
      <c r="B548" s="7" t="str">
        <f>"3173045206981002"</f>
        <v>3173045206981002</v>
      </c>
      <c r="C548" s="7" t="s">
        <v>1735</v>
      </c>
      <c r="D548" s="7" t="s">
        <v>17</v>
      </c>
      <c r="E548" s="7" t="s">
        <v>11</v>
      </c>
      <c r="F548" s="7" t="s">
        <v>18</v>
      </c>
      <c r="G548" s="7" t="s">
        <v>19</v>
      </c>
      <c r="H548" s="7" t="s">
        <v>1720</v>
      </c>
      <c r="I548" s="8" t="s">
        <v>1737</v>
      </c>
    </row>
    <row r="549" spans="1:9" x14ac:dyDescent="0.35">
      <c r="A549" s="6">
        <v>2535108</v>
      </c>
      <c r="B549" s="7" t="str">
        <f>"3173070810970007"</f>
        <v>3173070810970007</v>
      </c>
      <c r="C549" s="7" t="s">
        <v>1738</v>
      </c>
      <c r="D549" s="7" t="s">
        <v>17</v>
      </c>
      <c r="E549" s="7" t="s">
        <v>11</v>
      </c>
      <c r="F549" s="7" t="s">
        <v>18</v>
      </c>
      <c r="G549" s="7" t="s">
        <v>19</v>
      </c>
      <c r="H549" s="7" t="s">
        <v>1720</v>
      </c>
      <c r="I549" s="8" t="s">
        <v>1720</v>
      </c>
    </row>
    <row r="550" spans="1:9" x14ac:dyDescent="0.35">
      <c r="A550" s="6">
        <v>2534664</v>
      </c>
      <c r="B550" s="7" t="str">
        <f>"3174070502820003"</f>
        <v>3174070502820003</v>
      </c>
      <c r="C550" s="7" t="s">
        <v>1499</v>
      </c>
      <c r="D550" s="7" t="s">
        <v>17</v>
      </c>
      <c r="E550" s="7" t="s">
        <v>11</v>
      </c>
      <c r="F550" s="7" t="s">
        <v>18</v>
      </c>
      <c r="G550" s="7" t="s">
        <v>19</v>
      </c>
      <c r="H550" s="7" t="s">
        <v>1720</v>
      </c>
      <c r="I550" s="8" t="s">
        <v>1740</v>
      </c>
    </row>
    <row r="551" spans="1:9" x14ac:dyDescent="0.35">
      <c r="A551" s="6">
        <v>2535181</v>
      </c>
      <c r="B551" s="7" t="str">
        <f>"3175082312520003"</f>
        <v>3175082312520003</v>
      </c>
      <c r="C551" s="7" t="s">
        <v>1744</v>
      </c>
      <c r="D551" s="7" t="s">
        <v>17</v>
      </c>
      <c r="E551" s="7" t="s">
        <v>11</v>
      </c>
      <c r="F551" s="7" t="s">
        <v>18</v>
      </c>
      <c r="G551" s="7" t="s">
        <v>19</v>
      </c>
      <c r="H551" s="7" t="s">
        <v>1720</v>
      </c>
      <c r="I551" s="8" t="s">
        <v>1720</v>
      </c>
    </row>
    <row r="552" spans="1:9" x14ac:dyDescent="0.35">
      <c r="A552" s="6">
        <v>2535180</v>
      </c>
      <c r="B552" s="7" t="str">
        <f>"3175084507500002"</f>
        <v>3175084507500002</v>
      </c>
      <c r="C552" s="7" t="s">
        <v>1745</v>
      </c>
      <c r="D552" s="7" t="s">
        <v>17</v>
      </c>
      <c r="E552" s="7" t="s">
        <v>11</v>
      </c>
      <c r="F552" s="7" t="s">
        <v>18</v>
      </c>
      <c r="G552" s="7" t="s">
        <v>19</v>
      </c>
      <c r="H552" s="7" t="s">
        <v>1720</v>
      </c>
      <c r="I552" s="8" t="s">
        <v>1720</v>
      </c>
    </row>
    <row r="553" spans="1:9" x14ac:dyDescent="0.35">
      <c r="A553" s="6">
        <v>2534650</v>
      </c>
      <c r="B553" s="7" t="str">
        <f>"3175090701020005"</f>
        <v>3175090701020005</v>
      </c>
      <c r="C553" s="7" t="s">
        <v>1746</v>
      </c>
      <c r="D553" s="7" t="s">
        <v>17</v>
      </c>
      <c r="E553" s="7" t="s">
        <v>11</v>
      </c>
      <c r="F553" s="7" t="s">
        <v>18</v>
      </c>
      <c r="G553" s="7" t="s">
        <v>19</v>
      </c>
      <c r="H553" s="7" t="s">
        <v>1720</v>
      </c>
      <c r="I553" s="8" t="s">
        <v>1723</v>
      </c>
    </row>
    <row r="554" spans="1:9" x14ac:dyDescent="0.35">
      <c r="A554" s="6">
        <v>2534647</v>
      </c>
      <c r="B554" s="7" t="str">
        <f>"3175091511620009"</f>
        <v>3175091511620009</v>
      </c>
      <c r="C554" s="7" t="s">
        <v>1749</v>
      </c>
      <c r="D554" s="7" t="s">
        <v>17</v>
      </c>
      <c r="E554" s="7" t="s">
        <v>11</v>
      </c>
      <c r="F554" s="7" t="s">
        <v>18</v>
      </c>
      <c r="G554" s="7" t="s">
        <v>19</v>
      </c>
      <c r="H554" s="7" t="s">
        <v>1720</v>
      </c>
      <c r="I554" s="8" t="s">
        <v>1723</v>
      </c>
    </row>
    <row r="555" spans="1:9" x14ac:dyDescent="0.35">
      <c r="A555" s="6">
        <v>2534654</v>
      </c>
      <c r="B555" s="7" t="str">
        <f>"3175096507730003"</f>
        <v>3175096507730003</v>
      </c>
      <c r="C555" s="7" t="s">
        <v>1750</v>
      </c>
      <c r="D555" s="7" t="s">
        <v>17</v>
      </c>
      <c r="E555" s="7" t="s">
        <v>11</v>
      </c>
      <c r="F555" s="7" t="s">
        <v>18</v>
      </c>
      <c r="G555" s="7" t="s">
        <v>19</v>
      </c>
      <c r="H555" s="7" t="s">
        <v>1720</v>
      </c>
      <c r="I555" s="8" t="s">
        <v>1723</v>
      </c>
    </row>
    <row r="556" spans="1:9" x14ac:dyDescent="0.35">
      <c r="A556" s="6">
        <v>2534453</v>
      </c>
      <c r="B556" s="7" t="str">
        <f>"3202022407850001"</f>
        <v>3202022407850001</v>
      </c>
      <c r="C556" s="7" t="s">
        <v>1751</v>
      </c>
      <c r="D556" s="7" t="s">
        <v>17</v>
      </c>
      <c r="E556" s="7" t="s">
        <v>11</v>
      </c>
      <c r="F556" s="7" t="s">
        <v>18</v>
      </c>
      <c r="G556" s="7" t="s">
        <v>19</v>
      </c>
      <c r="H556" s="7" t="s">
        <v>1720</v>
      </c>
      <c r="I556" s="8" t="s">
        <v>1727</v>
      </c>
    </row>
    <row r="557" spans="1:9" x14ac:dyDescent="0.35">
      <c r="A557" s="6">
        <v>2534653</v>
      </c>
      <c r="B557" s="7" t="str">
        <f>"3208100107700409"</f>
        <v>3208100107700409</v>
      </c>
      <c r="C557" s="7" t="s">
        <v>1754</v>
      </c>
      <c r="D557" s="7" t="s">
        <v>17</v>
      </c>
      <c r="E557" s="7" t="s">
        <v>11</v>
      </c>
      <c r="F557" s="7" t="s">
        <v>18</v>
      </c>
      <c r="G557" s="7" t="s">
        <v>19</v>
      </c>
      <c r="H557" s="7" t="s">
        <v>1720</v>
      </c>
      <c r="I557" s="8" t="s">
        <v>1723</v>
      </c>
    </row>
    <row r="558" spans="1:9" x14ac:dyDescent="0.35">
      <c r="A558" s="6">
        <v>2534466</v>
      </c>
      <c r="B558" s="7" t="str">
        <f>"3208270606920004"</f>
        <v>3208270606920004</v>
      </c>
      <c r="C558" s="7" t="s">
        <v>1755</v>
      </c>
      <c r="D558" s="7" t="s">
        <v>17</v>
      </c>
      <c r="E558" s="7" t="s">
        <v>11</v>
      </c>
      <c r="F558" s="7" t="s">
        <v>18</v>
      </c>
      <c r="G558" s="7" t="s">
        <v>19</v>
      </c>
      <c r="H558" s="7" t="s">
        <v>1720</v>
      </c>
      <c r="I558" s="8" t="s">
        <v>1727</v>
      </c>
    </row>
    <row r="559" spans="1:9" x14ac:dyDescent="0.35">
      <c r="A559" s="6">
        <v>2535446</v>
      </c>
      <c r="B559" s="7" t="str">
        <f>"3208282903950004"</f>
        <v>3208282903950004</v>
      </c>
      <c r="C559" s="7" t="s">
        <v>1761</v>
      </c>
      <c r="D559" s="7" t="s">
        <v>17</v>
      </c>
      <c r="E559" s="7" t="s">
        <v>11</v>
      </c>
      <c r="F559" s="7" t="s">
        <v>18</v>
      </c>
      <c r="G559" s="7" t="s">
        <v>19</v>
      </c>
      <c r="H559" s="7" t="s">
        <v>1720</v>
      </c>
      <c r="I559" s="8" t="s">
        <v>1737</v>
      </c>
    </row>
    <row r="560" spans="1:9" x14ac:dyDescent="0.35">
      <c r="A560" s="6">
        <v>1830643</v>
      </c>
      <c r="B560" s="7" t="str">
        <f>"3211251511910009"</f>
        <v>3211251511910009</v>
      </c>
      <c r="C560" s="7" t="s">
        <v>1762</v>
      </c>
      <c r="D560" s="7" t="s">
        <v>17</v>
      </c>
      <c r="E560" s="7" t="s">
        <v>11</v>
      </c>
      <c r="F560" s="7" t="s">
        <v>91</v>
      </c>
      <c r="G560" s="7" t="s">
        <v>1763</v>
      </c>
      <c r="H560" s="7" t="s">
        <v>1764</v>
      </c>
      <c r="I560" s="8" t="s">
        <v>1764</v>
      </c>
    </row>
    <row r="561" spans="1:9" x14ac:dyDescent="0.35">
      <c r="A561" s="6">
        <v>2535503</v>
      </c>
      <c r="B561" s="7" t="str">
        <f>"3215257006890002"</f>
        <v>3215257006890002</v>
      </c>
      <c r="C561" s="7" t="s">
        <v>1767</v>
      </c>
      <c r="D561" s="7" t="s">
        <v>17</v>
      </c>
      <c r="E561" s="7" t="s">
        <v>11</v>
      </c>
      <c r="F561" s="7" t="s">
        <v>18</v>
      </c>
      <c r="G561" s="7" t="s">
        <v>19</v>
      </c>
      <c r="H561" s="7" t="s">
        <v>1720</v>
      </c>
      <c r="I561" s="8" t="s">
        <v>1737</v>
      </c>
    </row>
    <row r="562" spans="1:9" x14ac:dyDescent="0.35">
      <c r="A562" s="6">
        <v>2535652</v>
      </c>
      <c r="B562" s="7" t="str">
        <f>"3216100308820010"</f>
        <v>3216100308820010</v>
      </c>
      <c r="C562" s="7" t="s">
        <v>1768</v>
      </c>
      <c r="D562" s="7" t="s">
        <v>17</v>
      </c>
      <c r="E562" s="7" t="s">
        <v>11</v>
      </c>
      <c r="F562" s="7" t="s">
        <v>18</v>
      </c>
      <c r="G562" s="7" t="s">
        <v>19</v>
      </c>
      <c r="H562" s="7" t="s">
        <v>1720</v>
      </c>
      <c r="I562" s="8" t="s">
        <v>1771</v>
      </c>
    </row>
    <row r="563" spans="1:9" x14ac:dyDescent="0.35">
      <c r="A563" s="6">
        <v>2534282</v>
      </c>
      <c r="B563" s="7" t="str">
        <f>"3275010910760012"</f>
        <v>3275010910760012</v>
      </c>
      <c r="C563" s="7" t="s">
        <v>1772</v>
      </c>
      <c r="D563" s="7" t="s">
        <v>17</v>
      </c>
      <c r="E563" s="7" t="s">
        <v>11</v>
      </c>
      <c r="F563" s="7" t="s">
        <v>18</v>
      </c>
      <c r="G563" s="7" t="s">
        <v>19</v>
      </c>
      <c r="H563" s="7" t="s">
        <v>1720</v>
      </c>
      <c r="I563" s="8" t="s">
        <v>1774</v>
      </c>
    </row>
    <row r="564" spans="1:9" x14ac:dyDescent="0.35">
      <c r="A564" s="6">
        <v>2534283</v>
      </c>
      <c r="B564" s="7" t="str">
        <f>"3275016703790023"</f>
        <v>3275016703790023</v>
      </c>
      <c r="C564" s="7" t="s">
        <v>1775</v>
      </c>
      <c r="D564" s="7" t="s">
        <v>17</v>
      </c>
      <c r="E564" s="7" t="s">
        <v>11</v>
      </c>
      <c r="F564" s="7" t="s">
        <v>18</v>
      </c>
      <c r="G564" s="7" t="s">
        <v>19</v>
      </c>
      <c r="H564" s="7" t="s">
        <v>1720</v>
      </c>
      <c r="I564" s="8" t="s">
        <v>1774</v>
      </c>
    </row>
    <row r="565" spans="1:9" x14ac:dyDescent="0.35">
      <c r="A565" s="6">
        <v>2535765</v>
      </c>
      <c r="B565" s="7" t="str">
        <f>"3275050108780018"</f>
        <v>3275050108780018</v>
      </c>
      <c r="C565" s="7" t="s">
        <v>1776</v>
      </c>
      <c r="D565" s="7" t="s">
        <v>17</v>
      </c>
      <c r="E565" s="7" t="s">
        <v>11</v>
      </c>
      <c r="F565" s="7" t="s">
        <v>18</v>
      </c>
      <c r="G565" s="7" t="s">
        <v>19</v>
      </c>
      <c r="H565" s="7" t="s">
        <v>1720</v>
      </c>
      <c r="I565" s="8" t="s">
        <v>1777</v>
      </c>
    </row>
    <row r="566" spans="1:9" x14ac:dyDescent="0.35">
      <c r="A566" s="6">
        <v>2535766</v>
      </c>
      <c r="B566" s="7" t="str">
        <f>"3275054403780039"</f>
        <v>3275054403780039</v>
      </c>
      <c r="C566" s="7" t="s">
        <v>1778</v>
      </c>
      <c r="D566" s="7" t="s">
        <v>17</v>
      </c>
      <c r="E566" s="7" t="s">
        <v>11</v>
      </c>
      <c r="F566" s="7" t="s">
        <v>18</v>
      </c>
      <c r="G566" s="7" t="s">
        <v>19</v>
      </c>
      <c r="H566" s="7" t="s">
        <v>1720</v>
      </c>
      <c r="I566" s="8" t="s">
        <v>1777</v>
      </c>
    </row>
    <row r="567" spans="1:9" x14ac:dyDescent="0.35">
      <c r="A567" s="6">
        <v>2535753</v>
      </c>
      <c r="B567" s="7" t="str">
        <f>"3275055708060009"</f>
        <v>3275055708060009</v>
      </c>
      <c r="C567" s="7" t="s">
        <v>1780</v>
      </c>
      <c r="D567" s="7" t="s">
        <v>17</v>
      </c>
      <c r="E567" s="7" t="s">
        <v>11</v>
      </c>
      <c r="F567" s="7" t="s">
        <v>18</v>
      </c>
      <c r="G567" s="7" t="s">
        <v>19</v>
      </c>
      <c r="H567" s="7" t="s">
        <v>1720</v>
      </c>
      <c r="I567" s="8" t="s">
        <v>1777</v>
      </c>
    </row>
    <row r="568" spans="1:9" x14ac:dyDescent="0.35">
      <c r="A568" s="6">
        <v>2535158</v>
      </c>
      <c r="B568" s="7" t="str">
        <f>"3276076809790001"</f>
        <v>3276076809790001</v>
      </c>
      <c r="C568" s="7" t="s">
        <v>1781</v>
      </c>
      <c r="D568" s="7" t="s">
        <v>17</v>
      </c>
      <c r="E568" s="7" t="s">
        <v>11</v>
      </c>
      <c r="F568" s="7" t="s">
        <v>18</v>
      </c>
      <c r="G568" s="7" t="s">
        <v>19</v>
      </c>
      <c r="H568" s="7" t="s">
        <v>1720</v>
      </c>
      <c r="I568" s="8" t="s">
        <v>1720</v>
      </c>
    </row>
    <row r="569" spans="1:9" x14ac:dyDescent="0.35">
      <c r="A569" s="6">
        <v>1113666</v>
      </c>
      <c r="B569" s="7" t="str">
        <f>"3302086110900002"</f>
        <v>3302086110900002</v>
      </c>
      <c r="C569" s="7" t="s">
        <v>1782</v>
      </c>
      <c r="D569" s="7" t="s">
        <v>17</v>
      </c>
      <c r="E569" s="7" t="s">
        <v>11</v>
      </c>
      <c r="F569" s="7" t="s">
        <v>18</v>
      </c>
      <c r="G569" s="7" t="s">
        <v>171</v>
      </c>
      <c r="H569" s="7" t="s">
        <v>363</v>
      </c>
      <c r="I569" s="8" t="s">
        <v>1783</v>
      </c>
    </row>
    <row r="570" spans="1:9" x14ac:dyDescent="0.35">
      <c r="A570" s="6">
        <v>2535224</v>
      </c>
      <c r="B570" s="7" t="str">
        <f>"3315082309850004"</f>
        <v>3315082309850004</v>
      </c>
      <c r="C570" s="7" t="s">
        <v>1784</v>
      </c>
      <c r="D570" s="7" t="s">
        <v>17</v>
      </c>
      <c r="E570" s="7" t="s">
        <v>11</v>
      </c>
      <c r="F570" s="7" t="s">
        <v>18</v>
      </c>
      <c r="G570" s="7" t="s">
        <v>19</v>
      </c>
      <c r="H570" s="7" t="s">
        <v>1720</v>
      </c>
      <c r="I570" s="8" t="s">
        <v>1381</v>
      </c>
    </row>
    <row r="571" spans="1:9" x14ac:dyDescent="0.35">
      <c r="A571" s="6">
        <v>2534276</v>
      </c>
      <c r="B571" s="7" t="str">
        <f>"3318020804740005"</f>
        <v>3318020804740005</v>
      </c>
      <c r="C571" s="7" t="s">
        <v>1786</v>
      </c>
      <c r="D571" s="7" t="s">
        <v>17</v>
      </c>
      <c r="E571" s="7" t="s">
        <v>11</v>
      </c>
      <c r="F571" s="7" t="s">
        <v>18</v>
      </c>
      <c r="G571" s="7" t="s">
        <v>19</v>
      </c>
      <c r="H571" s="7" t="s">
        <v>1720</v>
      </c>
      <c r="I571" s="8" t="s">
        <v>1774</v>
      </c>
    </row>
    <row r="572" spans="1:9" x14ac:dyDescent="0.35">
      <c r="A572" s="6">
        <v>2534391</v>
      </c>
      <c r="B572" s="7" t="str">
        <f>"3326111407930005"</f>
        <v>3326111407930005</v>
      </c>
      <c r="C572" s="7" t="s">
        <v>1792</v>
      </c>
      <c r="D572" s="7" t="s">
        <v>17</v>
      </c>
      <c r="E572" s="7" t="s">
        <v>11</v>
      </c>
      <c r="F572" s="7" t="s">
        <v>18</v>
      </c>
      <c r="G572" s="7" t="s">
        <v>19</v>
      </c>
      <c r="H572" s="7" t="s">
        <v>1720</v>
      </c>
      <c r="I572" s="8" t="s">
        <v>1731</v>
      </c>
    </row>
    <row r="573" spans="1:9" x14ac:dyDescent="0.35">
      <c r="A573" s="6">
        <v>2534761</v>
      </c>
      <c r="B573" s="7" t="str">
        <f>"3328011112820005"</f>
        <v>3328011112820005</v>
      </c>
      <c r="C573" s="7" t="s">
        <v>1795</v>
      </c>
      <c r="D573" s="7" t="s">
        <v>17</v>
      </c>
      <c r="E573" s="7" t="s">
        <v>11</v>
      </c>
      <c r="F573" s="7" t="s">
        <v>18</v>
      </c>
      <c r="G573" s="7" t="s">
        <v>19</v>
      </c>
      <c r="H573" s="7" t="s">
        <v>1720</v>
      </c>
      <c r="I573" s="8" t="s">
        <v>1740</v>
      </c>
    </row>
    <row r="574" spans="1:9" x14ac:dyDescent="0.35">
      <c r="A574" s="6">
        <v>1688535</v>
      </c>
      <c r="B574" s="7" t="str">
        <f>"3328050107920008"</f>
        <v>3328050107920008</v>
      </c>
      <c r="C574" s="7" t="s">
        <v>1798</v>
      </c>
      <c r="D574" s="7" t="s">
        <v>17</v>
      </c>
      <c r="E574" s="7" t="s">
        <v>11</v>
      </c>
      <c r="F574" s="7" t="s">
        <v>18</v>
      </c>
      <c r="G574" s="7" t="s">
        <v>264</v>
      </c>
      <c r="H574" s="7" t="s">
        <v>273</v>
      </c>
      <c r="I574" s="8" t="s">
        <v>700</v>
      </c>
    </row>
    <row r="575" spans="1:9" x14ac:dyDescent="0.35">
      <c r="A575" s="6">
        <v>846297</v>
      </c>
      <c r="B575" s="7" t="str">
        <f>"3328050107950006"</f>
        <v>3328050107950006</v>
      </c>
      <c r="C575" s="7" t="s">
        <v>1799</v>
      </c>
      <c r="D575" s="7" t="s">
        <v>17</v>
      </c>
      <c r="E575" s="7" t="s">
        <v>11</v>
      </c>
      <c r="F575" s="7" t="s">
        <v>18</v>
      </c>
      <c r="G575" s="7" t="s">
        <v>951</v>
      </c>
      <c r="H575" s="7" t="s">
        <v>1800</v>
      </c>
      <c r="I575" s="8" t="s">
        <v>1801</v>
      </c>
    </row>
    <row r="576" spans="1:9" x14ac:dyDescent="0.35">
      <c r="A576" s="6">
        <v>2534395</v>
      </c>
      <c r="B576" s="7" t="str">
        <f>"3328050108940002"</f>
        <v>3328050108940002</v>
      </c>
      <c r="C576" s="7" t="s">
        <v>1802</v>
      </c>
      <c r="D576" s="7" t="s">
        <v>17</v>
      </c>
      <c r="E576" s="7" t="s">
        <v>11</v>
      </c>
      <c r="F576" s="7" t="s">
        <v>18</v>
      </c>
      <c r="G576" s="7" t="s">
        <v>19</v>
      </c>
      <c r="H576" s="7" t="s">
        <v>1720</v>
      </c>
      <c r="I576" s="8" t="s">
        <v>1731</v>
      </c>
    </row>
    <row r="577" spans="1:9" x14ac:dyDescent="0.35">
      <c r="A577" s="6">
        <v>1688233</v>
      </c>
      <c r="B577" s="7" t="str">
        <f>"3328050108940002"</f>
        <v>3328050108940002</v>
      </c>
      <c r="C577" s="7" t="s">
        <v>1803</v>
      </c>
      <c r="D577" s="7" t="s">
        <v>17</v>
      </c>
      <c r="E577" s="7" t="s">
        <v>11</v>
      </c>
      <c r="F577" s="7" t="s">
        <v>18</v>
      </c>
      <c r="G577" s="7" t="s">
        <v>264</v>
      </c>
      <c r="H577" s="7" t="s">
        <v>273</v>
      </c>
      <c r="I577" s="8" t="s">
        <v>1804</v>
      </c>
    </row>
    <row r="578" spans="1:9" x14ac:dyDescent="0.35">
      <c r="A578" s="6">
        <v>2535329</v>
      </c>
      <c r="B578" s="7" t="str">
        <f>"3328050204740002"</f>
        <v>3328050204740002</v>
      </c>
      <c r="C578" s="7" t="s">
        <v>1805</v>
      </c>
      <c r="D578" s="7" t="s">
        <v>17</v>
      </c>
      <c r="E578" s="7" t="s">
        <v>11</v>
      </c>
      <c r="F578" s="7" t="s">
        <v>18</v>
      </c>
      <c r="G578" s="7" t="s">
        <v>19</v>
      </c>
      <c r="H578" s="7" t="s">
        <v>1720</v>
      </c>
      <c r="I578" s="8" t="s">
        <v>1381</v>
      </c>
    </row>
    <row r="579" spans="1:9" x14ac:dyDescent="0.35">
      <c r="A579" s="6">
        <v>2175364</v>
      </c>
      <c r="B579" s="7" t="str">
        <f>"3328050205030002"</f>
        <v>3328050205030002</v>
      </c>
      <c r="C579" s="7" t="s">
        <v>1807</v>
      </c>
      <c r="D579" s="7" t="s">
        <v>17</v>
      </c>
      <c r="E579" s="7" t="s">
        <v>11</v>
      </c>
      <c r="F579" s="7" t="s">
        <v>303</v>
      </c>
      <c r="G579" s="7" t="s">
        <v>1808</v>
      </c>
      <c r="H579" s="7" t="s">
        <v>1809</v>
      </c>
      <c r="I579" s="8" t="s">
        <v>1810</v>
      </c>
    </row>
    <row r="580" spans="1:9" x14ac:dyDescent="0.35">
      <c r="A580" s="6">
        <v>2535044</v>
      </c>
      <c r="B580" s="7" t="str">
        <f>"3328050210040004"</f>
        <v>3328050210040004</v>
      </c>
      <c r="C580" s="7" t="s">
        <v>1812</v>
      </c>
      <c r="D580" s="7" t="s">
        <v>17</v>
      </c>
      <c r="E580" s="7" t="s">
        <v>11</v>
      </c>
      <c r="F580" s="7" t="s">
        <v>18</v>
      </c>
      <c r="G580" s="7" t="s">
        <v>19</v>
      </c>
      <c r="H580" s="7" t="s">
        <v>1720</v>
      </c>
      <c r="I580" s="8" t="s">
        <v>1720</v>
      </c>
    </row>
    <row r="581" spans="1:9" x14ac:dyDescent="0.35">
      <c r="A581" s="6">
        <v>2574191</v>
      </c>
      <c r="B581" s="7" t="str">
        <f>"3328050304920002"</f>
        <v>3328050304920002</v>
      </c>
      <c r="C581" s="7" t="s">
        <v>1813</v>
      </c>
      <c r="D581" s="7" t="s">
        <v>17</v>
      </c>
      <c r="E581" s="7" t="s">
        <v>11</v>
      </c>
      <c r="F581" s="7" t="s">
        <v>67</v>
      </c>
      <c r="G581" s="7" t="s">
        <v>375</v>
      </c>
      <c r="H581" s="7" t="s">
        <v>1814</v>
      </c>
      <c r="I581" s="8" t="s">
        <v>1815</v>
      </c>
    </row>
    <row r="582" spans="1:9" x14ac:dyDescent="0.35">
      <c r="A582" s="6">
        <v>1696377</v>
      </c>
      <c r="B582" s="7" t="str">
        <f>"3328050409700001"</f>
        <v>3328050409700001</v>
      </c>
      <c r="C582" s="7" t="s">
        <v>1817</v>
      </c>
      <c r="D582" s="7" t="s">
        <v>17</v>
      </c>
      <c r="E582" s="7" t="s">
        <v>11</v>
      </c>
      <c r="F582" s="7" t="s">
        <v>18</v>
      </c>
      <c r="G582" s="7" t="s">
        <v>264</v>
      </c>
      <c r="H582" s="7" t="s">
        <v>461</v>
      </c>
      <c r="I582" s="8" t="s">
        <v>1181</v>
      </c>
    </row>
    <row r="583" spans="1:9" x14ac:dyDescent="0.35">
      <c r="A583" s="6">
        <v>2535546</v>
      </c>
      <c r="B583" s="7" t="str">
        <f>"3328050409870003"</f>
        <v>3328050409870003</v>
      </c>
      <c r="C583" s="7" t="s">
        <v>1818</v>
      </c>
      <c r="D583" s="7" t="s">
        <v>17</v>
      </c>
      <c r="E583" s="7" t="s">
        <v>11</v>
      </c>
      <c r="F583" s="7" t="s">
        <v>18</v>
      </c>
      <c r="G583" s="7" t="s">
        <v>19</v>
      </c>
      <c r="H583" s="7" t="s">
        <v>1720</v>
      </c>
      <c r="I583" s="8" t="s">
        <v>1737</v>
      </c>
    </row>
    <row r="584" spans="1:9" x14ac:dyDescent="0.35">
      <c r="A584" s="6">
        <v>677344</v>
      </c>
      <c r="B584" s="7" t="str">
        <f>"3328050503930001"</f>
        <v>3328050503930001</v>
      </c>
      <c r="C584" s="7" t="s">
        <v>1820</v>
      </c>
      <c r="D584" s="7" t="s">
        <v>17</v>
      </c>
      <c r="E584" s="7" t="s">
        <v>11</v>
      </c>
      <c r="F584" s="7" t="s">
        <v>18</v>
      </c>
      <c r="G584" s="7" t="s">
        <v>190</v>
      </c>
      <c r="H584" s="7" t="s">
        <v>191</v>
      </c>
      <c r="I584" s="8" t="s">
        <v>968</v>
      </c>
    </row>
    <row r="585" spans="1:9" x14ac:dyDescent="0.35">
      <c r="A585" s="6">
        <v>3122830</v>
      </c>
      <c r="B585" s="7" t="str">
        <f>"3328050504720004"</f>
        <v>3328050504720004</v>
      </c>
      <c r="C585" s="7" t="s">
        <v>1821</v>
      </c>
      <c r="D585" s="7" t="s">
        <v>17</v>
      </c>
      <c r="E585" s="7" t="s">
        <v>57</v>
      </c>
      <c r="F585" s="7" t="s">
        <v>18</v>
      </c>
      <c r="G585" s="7" t="s">
        <v>163</v>
      </c>
      <c r="H585" s="7" t="s">
        <v>723</v>
      </c>
      <c r="I585" s="8" t="s">
        <v>724</v>
      </c>
    </row>
    <row r="586" spans="1:9" x14ac:dyDescent="0.35">
      <c r="A586" s="6">
        <v>2534904</v>
      </c>
      <c r="B586" s="7" t="str">
        <f>"3328050608990006"</f>
        <v>3328050608990006</v>
      </c>
      <c r="C586" s="7" t="s">
        <v>1823</v>
      </c>
      <c r="D586" s="7" t="s">
        <v>17</v>
      </c>
      <c r="E586" s="7" t="s">
        <v>11</v>
      </c>
      <c r="F586" s="7" t="s">
        <v>18</v>
      </c>
      <c r="G586" s="7" t="s">
        <v>19</v>
      </c>
      <c r="H586" s="7" t="s">
        <v>1720</v>
      </c>
      <c r="I586" s="8" t="s">
        <v>1740</v>
      </c>
    </row>
    <row r="587" spans="1:9" x14ac:dyDescent="0.35">
      <c r="A587" s="6">
        <v>2535736</v>
      </c>
      <c r="B587" s="7" t="str">
        <f>"3328050801730002"</f>
        <v>3328050801730002</v>
      </c>
      <c r="C587" s="7" t="s">
        <v>1827</v>
      </c>
      <c r="D587" s="7" t="s">
        <v>17</v>
      </c>
      <c r="E587" s="7" t="s">
        <v>11</v>
      </c>
      <c r="F587" s="7" t="s">
        <v>18</v>
      </c>
      <c r="G587" s="7" t="s">
        <v>19</v>
      </c>
      <c r="H587" s="7" t="s">
        <v>1720</v>
      </c>
      <c r="I587" s="8" t="s">
        <v>1771</v>
      </c>
    </row>
    <row r="588" spans="1:9" x14ac:dyDescent="0.35">
      <c r="A588" s="6">
        <v>1627411</v>
      </c>
      <c r="B588" s="7" t="str">
        <f>"3328050812950001"</f>
        <v>3328050812950001</v>
      </c>
      <c r="C588" s="7" t="s">
        <v>1831</v>
      </c>
      <c r="D588" s="7" t="s">
        <v>17</v>
      </c>
      <c r="E588" s="7" t="s">
        <v>11</v>
      </c>
      <c r="F588" s="7" t="s">
        <v>18</v>
      </c>
      <c r="G588" s="7" t="s">
        <v>264</v>
      </c>
      <c r="H588" s="7" t="s">
        <v>248</v>
      </c>
      <c r="I588" s="8" t="s">
        <v>868</v>
      </c>
    </row>
    <row r="589" spans="1:9" x14ac:dyDescent="0.35">
      <c r="A589" s="6">
        <v>2534445</v>
      </c>
      <c r="B589" s="7" t="str">
        <f>"3328050903000004"</f>
        <v>3328050903000004</v>
      </c>
      <c r="C589" s="7" t="s">
        <v>1832</v>
      </c>
      <c r="D589" s="7" t="s">
        <v>17</v>
      </c>
      <c r="E589" s="7" t="s">
        <v>11</v>
      </c>
      <c r="F589" s="7" t="s">
        <v>18</v>
      </c>
      <c r="G589" s="7" t="s">
        <v>19</v>
      </c>
      <c r="H589" s="7" t="s">
        <v>1720</v>
      </c>
      <c r="I589" s="8" t="s">
        <v>1727</v>
      </c>
    </row>
    <row r="590" spans="1:9" x14ac:dyDescent="0.35">
      <c r="A590" s="6">
        <v>2534505</v>
      </c>
      <c r="B590" s="7" t="str">
        <f>"3328050904040003"</f>
        <v>3328050904040003</v>
      </c>
      <c r="C590" s="7" t="s">
        <v>1836</v>
      </c>
      <c r="D590" s="7" t="s">
        <v>17</v>
      </c>
      <c r="E590" s="7" t="s">
        <v>11</v>
      </c>
      <c r="F590" s="7" t="s">
        <v>18</v>
      </c>
      <c r="G590" s="7" t="s">
        <v>19</v>
      </c>
      <c r="H590" s="7" t="s">
        <v>1720</v>
      </c>
      <c r="I590" s="8" t="s">
        <v>1727</v>
      </c>
    </row>
    <row r="591" spans="1:9" x14ac:dyDescent="0.35">
      <c r="A591" s="6">
        <v>1798631</v>
      </c>
      <c r="B591" s="7" t="str">
        <f>"3328050907890002"</f>
        <v>3328050907890002</v>
      </c>
      <c r="C591" s="7" t="s">
        <v>1839</v>
      </c>
      <c r="D591" s="7" t="s">
        <v>17</v>
      </c>
      <c r="E591" s="7" t="s">
        <v>11</v>
      </c>
      <c r="F591" s="7" t="s">
        <v>50</v>
      </c>
      <c r="G591" s="7" t="s">
        <v>72</v>
      </c>
      <c r="H591" s="7" t="s">
        <v>1840</v>
      </c>
      <c r="I591" s="8" t="s">
        <v>1841</v>
      </c>
    </row>
    <row r="592" spans="1:9" x14ac:dyDescent="0.35">
      <c r="A592" s="6">
        <v>3122314</v>
      </c>
      <c r="B592" s="7" t="str">
        <f>"3328051007780001"</f>
        <v>3328051007780001</v>
      </c>
      <c r="C592" s="7" t="s">
        <v>1843</v>
      </c>
      <c r="D592" s="7" t="s">
        <v>17</v>
      </c>
      <c r="E592" s="7" t="s">
        <v>11</v>
      </c>
      <c r="F592" s="7" t="s">
        <v>18</v>
      </c>
      <c r="G592" s="7" t="s">
        <v>163</v>
      </c>
      <c r="H592" s="7" t="s">
        <v>428</v>
      </c>
      <c r="I592" s="8" t="s">
        <v>429</v>
      </c>
    </row>
    <row r="593" spans="1:9" x14ac:dyDescent="0.35">
      <c r="A593" s="6">
        <v>2535837</v>
      </c>
      <c r="B593" s="7" t="str">
        <f>"3328051010820001"</f>
        <v>3328051010820001</v>
      </c>
      <c r="C593" s="7" t="s">
        <v>1846</v>
      </c>
      <c r="D593" s="7" t="s">
        <v>17</v>
      </c>
      <c r="E593" s="7" t="s">
        <v>11</v>
      </c>
      <c r="F593" s="7" t="s">
        <v>18</v>
      </c>
      <c r="G593" s="7" t="s">
        <v>19</v>
      </c>
      <c r="H593" s="7" t="s">
        <v>1720</v>
      </c>
      <c r="I593" s="8" t="s">
        <v>1777</v>
      </c>
    </row>
    <row r="594" spans="1:9" x14ac:dyDescent="0.35">
      <c r="A594" s="6">
        <v>2535315</v>
      </c>
      <c r="B594" s="7" t="str">
        <f>"3328051103730005"</f>
        <v>3328051103730005</v>
      </c>
      <c r="C594" s="7" t="s">
        <v>1847</v>
      </c>
      <c r="D594" s="7" t="s">
        <v>17</v>
      </c>
      <c r="E594" s="7" t="s">
        <v>11</v>
      </c>
      <c r="F594" s="7" t="s">
        <v>18</v>
      </c>
      <c r="G594" s="7" t="s">
        <v>19</v>
      </c>
      <c r="H594" s="7" t="s">
        <v>1720</v>
      </c>
      <c r="I594" s="8" t="s">
        <v>1381</v>
      </c>
    </row>
    <row r="595" spans="1:9" x14ac:dyDescent="0.35">
      <c r="A595" s="6">
        <v>1642107</v>
      </c>
      <c r="B595" s="7" t="str">
        <f>"3328051103900001"</f>
        <v>3328051103900001</v>
      </c>
      <c r="C595" s="7" t="s">
        <v>1849</v>
      </c>
      <c r="D595" s="7" t="s">
        <v>17</v>
      </c>
      <c r="E595" s="7" t="s">
        <v>11</v>
      </c>
      <c r="F595" s="7" t="s">
        <v>18</v>
      </c>
      <c r="G595" s="7" t="s">
        <v>264</v>
      </c>
      <c r="H595" s="7" t="s">
        <v>773</v>
      </c>
      <c r="I595" s="8" t="s">
        <v>1850</v>
      </c>
    </row>
    <row r="596" spans="1:9" x14ac:dyDescent="0.35">
      <c r="A596" s="6">
        <v>2535750</v>
      </c>
      <c r="B596" s="7" t="str">
        <f>"3328051111860001"</f>
        <v>3328051111860001</v>
      </c>
      <c r="C596" s="7" t="s">
        <v>1851</v>
      </c>
      <c r="D596" s="7" t="s">
        <v>17</v>
      </c>
      <c r="E596" s="7" t="s">
        <v>11</v>
      </c>
      <c r="F596" s="7" t="s">
        <v>18</v>
      </c>
      <c r="G596" s="7" t="s">
        <v>19</v>
      </c>
      <c r="H596" s="7" t="s">
        <v>1720</v>
      </c>
      <c r="I596" s="8" t="s">
        <v>1777</v>
      </c>
    </row>
    <row r="597" spans="1:9" x14ac:dyDescent="0.35">
      <c r="A597" s="6">
        <v>2535612</v>
      </c>
      <c r="B597" s="7" t="str">
        <f>"3328051201800003"</f>
        <v>3328051201800003</v>
      </c>
      <c r="C597" s="7" t="s">
        <v>1854</v>
      </c>
      <c r="D597" s="7" t="s">
        <v>17</v>
      </c>
      <c r="E597" s="7" t="s">
        <v>11</v>
      </c>
      <c r="F597" s="7" t="s">
        <v>18</v>
      </c>
      <c r="G597" s="7" t="s">
        <v>19</v>
      </c>
      <c r="H597" s="7" t="s">
        <v>1720</v>
      </c>
      <c r="I597" s="8" t="s">
        <v>1857</v>
      </c>
    </row>
    <row r="598" spans="1:9" x14ac:dyDescent="0.35">
      <c r="A598" s="6">
        <v>2639369</v>
      </c>
      <c r="B598" s="7" t="str">
        <f>"3328051208900001"</f>
        <v>3328051208900001</v>
      </c>
      <c r="C598" s="7" t="s">
        <v>1859</v>
      </c>
      <c r="D598" s="7" t="s">
        <v>17</v>
      </c>
      <c r="E598" s="7" t="s">
        <v>11</v>
      </c>
      <c r="F598" s="7" t="s">
        <v>18</v>
      </c>
      <c r="G598" s="7" t="s">
        <v>199</v>
      </c>
      <c r="H598" s="7" t="s">
        <v>1860</v>
      </c>
      <c r="I598" s="8" t="s">
        <v>1861</v>
      </c>
    </row>
    <row r="599" spans="1:9" x14ac:dyDescent="0.35">
      <c r="A599" s="6">
        <v>2535658</v>
      </c>
      <c r="B599" s="7" t="str">
        <f>"3328051210910002"</f>
        <v>3328051210910002</v>
      </c>
      <c r="C599" s="7" t="s">
        <v>1865</v>
      </c>
      <c r="D599" s="7" t="s">
        <v>17</v>
      </c>
      <c r="E599" s="7" t="s">
        <v>11</v>
      </c>
      <c r="F599" s="7" t="s">
        <v>18</v>
      </c>
      <c r="G599" s="7" t="s">
        <v>19</v>
      </c>
      <c r="H599" s="7" t="s">
        <v>1720</v>
      </c>
      <c r="I599" s="8" t="s">
        <v>1771</v>
      </c>
    </row>
    <row r="600" spans="1:9" x14ac:dyDescent="0.35">
      <c r="A600" s="6">
        <v>2535425</v>
      </c>
      <c r="B600" s="7" t="str">
        <f>"3328051211920004"</f>
        <v>3328051211920004</v>
      </c>
      <c r="C600" s="7" t="s">
        <v>1870</v>
      </c>
      <c r="D600" s="7" t="s">
        <v>17</v>
      </c>
      <c r="E600" s="7" t="s">
        <v>11</v>
      </c>
      <c r="F600" s="7" t="s">
        <v>18</v>
      </c>
      <c r="G600" s="7" t="s">
        <v>19</v>
      </c>
      <c r="H600" s="7" t="s">
        <v>1720</v>
      </c>
      <c r="I600" s="8" t="s">
        <v>1737</v>
      </c>
    </row>
    <row r="601" spans="1:9" x14ac:dyDescent="0.35">
      <c r="A601" s="6">
        <v>1653442</v>
      </c>
      <c r="B601" s="7" t="str">
        <f>"3328051212890006"</f>
        <v>3328051212890006</v>
      </c>
      <c r="C601" s="7" t="s">
        <v>1871</v>
      </c>
      <c r="D601" s="7" t="s">
        <v>17</v>
      </c>
      <c r="E601" s="7" t="s">
        <v>11</v>
      </c>
      <c r="F601" s="7" t="s">
        <v>18</v>
      </c>
      <c r="G601" s="7" t="s">
        <v>264</v>
      </c>
      <c r="H601" s="7" t="s">
        <v>461</v>
      </c>
      <c r="I601" s="8" t="s">
        <v>461</v>
      </c>
    </row>
    <row r="602" spans="1:9" x14ac:dyDescent="0.35">
      <c r="A602" s="6">
        <v>2535042</v>
      </c>
      <c r="B602" s="7" t="str">
        <f>"3328051301030003"</f>
        <v>3328051301030003</v>
      </c>
      <c r="C602" s="7" t="s">
        <v>1872</v>
      </c>
      <c r="D602" s="7" t="s">
        <v>17</v>
      </c>
      <c r="E602" s="7" t="s">
        <v>11</v>
      </c>
      <c r="F602" s="7" t="s">
        <v>18</v>
      </c>
      <c r="G602" s="7" t="s">
        <v>19</v>
      </c>
      <c r="H602" s="7" t="s">
        <v>1720</v>
      </c>
      <c r="I602" s="8" t="s">
        <v>1720</v>
      </c>
    </row>
    <row r="603" spans="1:9" x14ac:dyDescent="0.35">
      <c r="A603" s="6">
        <v>2534887</v>
      </c>
      <c r="B603" s="7" t="str">
        <f>"3328051503910007"</f>
        <v>3328051503910007</v>
      </c>
      <c r="C603" s="7" t="s">
        <v>1877</v>
      </c>
      <c r="D603" s="7" t="s">
        <v>17</v>
      </c>
      <c r="E603" s="7" t="s">
        <v>11</v>
      </c>
      <c r="F603" s="7" t="s">
        <v>18</v>
      </c>
      <c r="G603" s="7" t="s">
        <v>19</v>
      </c>
      <c r="H603" s="7" t="s">
        <v>1720</v>
      </c>
      <c r="I603" s="8" t="s">
        <v>1740</v>
      </c>
    </row>
    <row r="604" spans="1:9" x14ac:dyDescent="0.35">
      <c r="A604" s="6">
        <v>1172309</v>
      </c>
      <c r="B604" s="7" t="str">
        <f>"3328051507820007"</f>
        <v>3328051507820007</v>
      </c>
      <c r="C604" s="7" t="s">
        <v>1879</v>
      </c>
      <c r="D604" s="7" t="s">
        <v>17</v>
      </c>
      <c r="E604" s="7" t="s">
        <v>11</v>
      </c>
      <c r="F604" s="7" t="s">
        <v>18</v>
      </c>
      <c r="G604" s="7" t="s">
        <v>1787</v>
      </c>
      <c r="H604" s="7" t="s">
        <v>1880</v>
      </c>
      <c r="I604" s="8" t="s">
        <v>1881</v>
      </c>
    </row>
    <row r="605" spans="1:9" x14ac:dyDescent="0.35">
      <c r="A605" s="6">
        <v>1661986</v>
      </c>
      <c r="B605" s="7" t="str">
        <f>"3328051512970003"</f>
        <v>3328051512970003</v>
      </c>
      <c r="C605" s="7" t="s">
        <v>1883</v>
      </c>
      <c r="D605" s="7" t="s">
        <v>17</v>
      </c>
      <c r="E605" s="7" t="s">
        <v>11</v>
      </c>
      <c r="F605" s="7" t="s">
        <v>18</v>
      </c>
      <c r="G605" s="7" t="s">
        <v>264</v>
      </c>
      <c r="H605" s="7" t="s">
        <v>264</v>
      </c>
      <c r="I605" s="8" t="s">
        <v>264</v>
      </c>
    </row>
    <row r="606" spans="1:9" x14ac:dyDescent="0.35">
      <c r="A606" s="6">
        <v>1619556</v>
      </c>
      <c r="B606" s="7" t="str">
        <f>"3328051512970004"</f>
        <v>3328051512970004</v>
      </c>
      <c r="C606" s="7" t="s">
        <v>1884</v>
      </c>
      <c r="D606" s="7" t="s">
        <v>17</v>
      </c>
      <c r="E606" s="7" t="s">
        <v>11</v>
      </c>
      <c r="F606" s="7" t="s">
        <v>18</v>
      </c>
      <c r="G606" s="7" t="s">
        <v>167</v>
      </c>
      <c r="H606" s="7" t="s">
        <v>1885</v>
      </c>
      <c r="I606" s="8" t="s">
        <v>1886</v>
      </c>
    </row>
    <row r="607" spans="1:9" x14ac:dyDescent="0.35">
      <c r="A607" s="6">
        <v>2534736</v>
      </c>
      <c r="B607" s="7" t="str">
        <f>"3328051702880004"</f>
        <v>3328051702880004</v>
      </c>
      <c r="C607" s="7" t="s">
        <v>1889</v>
      </c>
      <c r="D607" s="7" t="s">
        <v>17</v>
      </c>
      <c r="E607" s="7" t="s">
        <v>11</v>
      </c>
      <c r="F607" s="7" t="s">
        <v>18</v>
      </c>
      <c r="G607" s="7" t="s">
        <v>19</v>
      </c>
      <c r="H607" s="7" t="s">
        <v>1720</v>
      </c>
      <c r="I607" s="8" t="s">
        <v>1740</v>
      </c>
    </row>
    <row r="608" spans="1:9" x14ac:dyDescent="0.35">
      <c r="A608" s="6">
        <v>1678737</v>
      </c>
      <c r="B608" s="7" t="str">
        <f>"3328051707870002"</f>
        <v>3328051707870002</v>
      </c>
      <c r="C608" s="7" t="s">
        <v>1891</v>
      </c>
      <c r="D608" s="7" t="s">
        <v>17</v>
      </c>
      <c r="E608" s="7" t="s">
        <v>11</v>
      </c>
      <c r="F608" s="7" t="s">
        <v>18</v>
      </c>
      <c r="G608" s="7" t="s">
        <v>264</v>
      </c>
      <c r="H608" s="7" t="s">
        <v>265</v>
      </c>
      <c r="I608" s="8" t="s">
        <v>906</v>
      </c>
    </row>
    <row r="609" spans="1:9" x14ac:dyDescent="0.35">
      <c r="A609" s="6">
        <v>2535257</v>
      </c>
      <c r="B609" s="7" t="str">
        <f>"3328051904760003"</f>
        <v>3328051904760003</v>
      </c>
      <c r="C609" s="7" t="s">
        <v>1893</v>
      </c>
      <c r="D609" s="7" t="s">
        <v>17</v>
      </c>
      <c r="E609" s="7" t="s">
        <v>11</v>
      </c>
      <c r="F609" s="7" t="s">
        <v>18</v>
      </c>
      <c r="G609" s="7" t="s">
        <v>19</v>
      </c>
      <c r="H609" s="7" t="s">
        <v>1720</v>
      </c>
      <c r="I609" s="8" t="s">
        <v>1381</v>
      </c>
    </row>
    <row r="610" spans="1:9" x14ac:dyDescent="0.35">
      <c r="A610" s="6">
        <v>2534400</v>
      </c>
      <c r="B610" s="7" t="str">
        <f>"3328051904840004"</f>
        <v>3328051904840004</v>
      </c>
      <c r="C610" s="7" t="s">
        <v>1895</v>
      </c>
      <c r="D610" s="7" t="s">
        <v>17</v>
      </c>
      <c r="E610" s="7" t="s">
        <v>11</v>
      </c>
      <c r="F610" s="7" t="s">
        <v>18</v>
      </c>
      <c r="G610" s="7" t="s">
        <v>19</v>
      </c>
      <c r="H610" s="7" t="s">
        <v>1720</v>
      </c>
      <c r="I610" s="8" t="s">
        <v>1731</v>
      </c>
    </row>
    <row r="611" spans="1:9" x14ac:dyDescent="0.35">
      <c r="A611" s="6">
        <v>2535246</v>
      </c>
      <c r="B611" s="7" t="str">
        <f>"3328051905630001"</f>
        <v>3328051905630001</v>
      </c>
      <c r="C611" s="7" t="s">
        <v>1897</v>
      </c>
      <c r="D611" s="7" t="s">
        <v>17</v>
      </c>
      <c r="E611" s="7" t="s">
        <v>11</v>
      </c>
      <c r="F611" s="7" t="s">
        <v>18</v>
      </c>
      <c r="G611" s="7" t="s">
        <v>19</v>
      </c>
      <c r="H611" s="7" t="s">
        <v>1720</v>
      </c>
      <c r="I611" s="8" t="s">
        <v>1381</v>
      </c>
    </row>
    <row r="612" spans="1:9" x14ac:dyDescent="0.35">
      <c r="A612" s="6">
        <v>2080078</v>
      </c>
      <c r="B612" s="7" t="str">
        <f>"3328052005880004"</f>
        <v>3328052005880004</v>
      </c>
      <c r="C612" s="7" t="s">
        <v>1898</v>
      </c>
      <c r="D612" s="7" t="s">
        <v>17</v>
      </c>
      <c r="E612" s="7" t="s">
        <v>11</v>
      </c>
      <c r="F612" s="7" t="s">
        <v>18</v>
      </c>
      <c r="G612" s="7" t="s">
        <v>962</v>
      </c>
      <c r="H612" s="7" t="s">
        <v>1899</v>
      </c>
      <c r="I612" s="8" t="s">
        <v>1900</v>
      </c>
    </row>
    <row r="613" spans="1:9" x14ac:dyDescent="0.35">
      <c r="A613" s="6">
        <v>1682713</v>
      </c>
      <c r="B613" s="7" t="str">
        <f>"3328052009060001"</f>
        <v>3328052009060001</v>
      </c>
      <c r="C613" s="7" t="s">
        <v>1903</v>
      </c>
      <c r="D613" s="7" t="s">
        <v>17</v>
      </c>
      <c r="E613" s="7" t="s">
        <v>11</v>
      </c>
      <c r="F613" s="7" t="s">
        <v>18</v>
      </c>
      <c r="G613" s="7" t="s">
        <v>264</v>
      </c>
      <c r="H613" s="7" t="s">
        <v>265</v>
      </c>
      <c r="I613" s="8" t="s">
        <v>1878</v>
      </c>
    </row>
    <row r="614" spans="1:9" x14ac:dyDescent="0.35">
      <c r="A614" s="6">
        <v>1689090</v>
      </c>
      <c r="B614" s="7" t="str">
        <f>"3328052201940006"</f>
        <v>3328052201940006</v>
      </c>
      <c r="C614" s="7" t="s">
        <v>1905</v>
      </c>
      <c r="D614" s="7" t="s">
        <v>17</v>
      </c>
      <c r="E614" s="7" t="s">
        <v>11</v>
      </c>
      <c r="F614" s="7" t="s">
        <v>18</v>
      </c>
      <c r="G614" s="7" t="s">
        <v>264</v>
      </c>
      <c r="H614" s="7" t="s">
        <v>273</v>
      </c>
      <c r="I614" s="8" t="s">
        <v>1156</v>
      </c>
    </row>
    <row r="615" spans="1:9" x14ac:dyDescent="0.35">
      <c r="A615" s="6">
        <v>2535368</v>
      </c>
      <c r="B615" s="7" t="str">
        <f>"3328052203050001"</f>
        <v>3328052203050001</v>
      </c>
      <c r="C615" s="7" t="s">
        <v>1906</v>
      </c>
      <c r="D615" s="7" t="s">
        <v>17</v>
      </c>
      <c r="E615" s="7" t="s">
        <v>11</v>
      </c>
      <c r="F615" s="7" t="s">
        <v>18</v>
      </c>
      <c r="G615" s="7" t="s">
        <v>19</v>
      </c>
      <c r="H615" s="7" t="s">
        <v>1720</v>
      </c>
      <c r="I615" s="8" t="s">
        <v>1737</v>
      </c>
    </row>
    <row r="616" spans="1:9" x14ac:dyDescent="0.35">
      <c r="A616" s="6">
        <v>1695065</v>
      </c>
      <c r="B616" s="7" t="str">
        <f>"3328052203050001"</f>
        <v>3328052203050001</v>
      </c>
      <c r="C616" s="7" t="s">
        <v>1907</v>
      </c>
      <c r="D616" s="7" t="s">
        <v>17</v>
      </c>
      <c r="E616" s="7" t="s">
        <v>11</v>
      </c>
      <c r="F616" s="7" t="s">
        <v>18</v>
      </c>
      <c r="G616" s="7" t="s">
        <v>264</v>
      </c>
      <c r="H616" s="7" t="s">
        <v>265</v>
      </c>
      <c r="I616" s="8" t="s">
        <v>1908</v>
      </c>
    </row>
    <row r="617" spans="1:9" x14ac:dyDescent="0.35">
      <c r="A617" s="6">
        <v>2535696</v>
      </c>
      <c r="B617" s="7" t="str">
        <f>"3328052207820001"</f>
        <v>3328052207820001</v>
      </c>
      <c r="C617" s="7" t="s">
        <v>1909</v>
      </c>
      <c r="D617" s="7" t="s">
        <v>17</v>
      </c>
      <c r="E617" s="7" t="s">
        <v>11</v>
      </c>
      <c r="F617" s="7" t="s">
        <v>18</v>
      </c>
      <c r="G617" s="7" t="s">
        <v>19</v>
      </c>
      <c r="H617" s="7" t="s">
        <v>1720</v>
      </c>
      <c r="I617" s="8" t="s">
        <v>1771</v>
      </c>
    </row>
    <row r="618" spans="1:9" x14ac:dyDescent="0.35">
      <c r="A618" s="6">
        <v>1683576</v>
      </c>
      <c r="B618" s="7" t="str">
        <f>"3328052308970002"</f>
        <v>3328052308970002</v>
      </c>
      <c r="C618" s="7" t="s">
        <v>1911</v>
      </c>
      <c r="D618" s="7" t="s">
        <v>17</v>
      </c>
      <c r="E618" s="7" t="s">
        <v>11</v>
      </c>
      <c r="F618" s="7" t="s">
        <v>18</v>
      </c>
      <c r="G618" s="7" t="s">
        <v>264</v>
      </c>
      <c r="H618" s="7" t="s">
        <v>265</v>
      </c>
      <c r="I618" s="8" t="s">
        <v>982</v>
      </c>
    </row>
    <row r="619" spans="1:9" x14ac:dyDescent="0.35">
      <c r="A619" s="6">
        <v>2534747</v>
      </c>
      <c r="B619" s="7" t="str">
        <f>"3328052407870001"</f>
        <v>3328052407870001</v>
      </c>
      <c r="C619" s="7" t="s">
        <v>1914</v>
      </c>
      <c r="D619" s="7" t="s">
        <v>17</v>
      </c>
      <c r="E619" s="7" t="s">
        <v>11</v>
      </c>
      <c r="F619" s="7" t="s">
        <v>18</v>
      </c>
      <c r="G619" s="7" t="s">
        <v>19</v>
      </c>
      <c r="H619" s="7" t="s">
        <v>1720</v>
      </c>
      <c r="I619" s="8" t="s">
        <v>1740</v>
      </c>
    </row>
    <row r="620" spans="1:9" x14ac:dyDescent="0.35">
      <c r="A620" s="6">
        <v>1681473</v>
      </c>
      <c r="B620" s="7" t="str">
        <f>"3328052504850001"</f>
        <v>3328052504850001</v>
      </c>
      <c r="C620" s="7" t="s">
        <v>1917</v>
      </c>
      <c r="D620" s="7" t="s">
        <v>17</v>
      </c>
      <c r="E620" s="7" t="s">
        <v>11</v>
      </c>
      <c r="F620" s="7" t="s">
        <v>18</v>
      </c>
      <c r="G620" s="7" t="s">
        <v>264</v>
      </c>
      <c r="H620" s="7" t="s">
        <v>265</v>
      </c>
      <c r="I620" s="8" t="s">
        <v>863</v>
      </c>
    </row>
    <row r="621" spans="1:9" x14ac:dyDescent="0.35">
      <c r="A621" s="6">
        <v>2534504</v>
      </c>
      <c r="B621" s="7" t="str">
        <f>"3328052506760003"</f>
        <v>3328052506760003</v>
      </c>
      <c r="C621" s="7" t="s">
        <v>1918</v>
      </c>
      <c r="D621" s="7" t="s">
        <v>17</v>
      </c>
      <c r="E621" s="7" t="s">
        <v>11</v>
      </c>
      <c r="F621" s="7" t="s">
        <v>18</v>
      </c>
      <c r="G621" s="7" t="s">
        <v>19</v>
      </c>
      <c r="H621" s="7" t="s">
        <v>1720</v>
      </c>
      <c r="I621" s="8" t="s">
        <v>1727</v>
      </c>
    </row>
    <row r="622" spans="1:9" x14ac:dyDescent="0.35">
      <c r="A622" s="6">
        <v>1269592</v>
      </c>
      <c r="B622" s="7" t="str">
        <f>"3328052612040002"</f>
        <v>3328052612040002</v>
      </c>
      <c r="C622" s="7" t="s">
        <v>1919</v>
      </c>
      <c r="D622" s="7" t="s">
        <v>17</v>
      </c>
      <c r="E622" s="7" t="s">
        <v>11</v>
      </c>
      <c r="F622" s="7" t="s">
        <v>18</v>
      </c>
      <c r="G622" s="7" t="s">
        <v>1920</v>
      </c>
      <c r="H622" s="7" t="s">
        <v>1921</v>
      </c>
      <c r="I622" s="8" t="s">
        <v>1922</v>
      </c>
    </row>
    <row r="623" spans="1:9" x14ac:dyDescent="0.35">
      <c r="A623" s="6">
        <v>1628460</v>
      </c>
      <c r="B623" s="7" t="str">
        <f>"3328052706980003"</f>
        <v>3328052706980003</v>
      </c>
      <c r="C623" s="7" t="s">
        <v>1923</v>
      </c>
      <c r="D623" s="7" t="s">
        <v>17</v>
      </c>
      <c r="E623" s="7" t="s">
        <v>11</v>
      </c>
      <c r="F623" s="7" t="s">
        <v>18</v>
      </c>
      <c r="G623" s="7" t="s">
        <v>264</v>
      </c>
      <c r="H623" s="7" t="s">
        <v>248</v>
      </c>
      <c r="I623" s="8" t="s">
        <v>472</v>
      </c>
    </row>
    <row r="624" spans="1:9" x14ac:dyDescent="0.35">
      <c r="A624" s="6">
        <v>2535270</v>
      </c>
      <c r="B624" s="7" t="str">
        <f>"3328052911980001"</f>
        <v>3328052911980001</v>
      </c>
      <c r="C624" s="7" t="s">
        <v>1924</v>
      </c>
      <c r="D624" s="7" t="s">
        <v>17</v>
      </c>
      <c r="E624" s="7" t="s">
        <v>11</v>
      </c>
      <c r="F624" s="7" t="s">
        <v>18</v>
      </c>
      <c r="G624" s="7" t="s">
        <v>19</v>
      </c>
      <c r="H624" s="7" t="s">
        <v>1720</v>
      </c>
      <c r="I624" s="8" t="s">
        <v>1381</v>
      </c>
    </row>
    <row r="625" spans="1:9" x14ac:dyDescent="0.35">
      <c r="A625" s="6">
        <v>3122765</v>
      </c>
      <c r="B625" s="7" t="str">
        <f>"3328052911980001"</f>
        <v>3328052911980001</v>
      </c>
      <c r="C625" s="7" t="s">
        <v>1925</v>
      </c>
      <c r="D625" s="7" t="s">
        <v>17</v>
      </c>
      <c r="E625" s="7" t="s">
        <v>11</v>
      </c>
      <c r="F625" s="7" t="s">
        <v>18</v>
      </c>
      <c r="G625" s="7" t="s">
        <v>163</v>
      </c>
      <c r="H625" s="7" t="s">
        <v>1926</v>
      </c>
      <c r="I625" s="8" t="s">
        <v>1927</v>
      </c>
    </row>
    <row r="626" spans="1:9" x14ac:dyDescent="0.35">
      <c r="A626" s="6">
        <v>2534233</v>
      </c>
      <c r="B626" s="7" t="str">
        <f>"3328054102720002"</f>
        <v>3328054102720002</v>
      </c>
      <c r="C626" s="7" t="s">
        <v>1930</v>
      </c>
      <c r="D626" s="7" t="s">
        <v>17</v>
      </c>
      <c r="E626" s="7" t="s">
        <v>11</v>
      </c>
      <c r="F626" s="7" t="s">
        <v>18</v>
      </c>
      <c r="G626" s="7" t="s">
        <v>19</v>
      </c>
      <c r="H626" s="7" t="s">
        <v>1720</v>
      </c>
      <c r="I626" s="8" t="s">
        <v>789</v>
      </c>
    </row>
    <row r="627" spans="1:9" x14ac:dyDescent="0.35">
      <c r="A627" s="6">
        <v>2597564</v>
      </c>
      <c r="B627" s="7" t="str">
        <f>"3328054103010001"</f>
        <v>3328054103010001</v>
      </c>
      <c r="C627" s="7" t="s">
        <v>1931</v>
      </c>
      <c r="D627" s="7" t="s">
        <v>17</v>
      </c>
      <c r="E627" s="7" t="s">
        <v>11</v>
      </c>
      <c r="F627" s="7" t="s">
        <v>18</v>
      </c>
      <c r="G627" s="7" t="s">
        <v>1438</v>
      </c>
      <c r="H627" s="7" t="s">
        <v>1932</v>
      </c>
      <c r="I627" s="8" t="s">
        <v>1933</v>
      </c>
    </row>
    <row r="628" spans="1:9" x14ac:dyDescent="0.35">
      <c r="A628" s="6">
        <v>1688586</v>
      </c>
      <c r="B628" s="7" t="str">
        <f>"3328054103010002"</f>
        <v>3328054103010002</v>
      </c>
      <c r="C628" s="7" t="s">
        <v>1934</v>
      </c>
      <c r="D628" s="7" t="s">
        <v>17</v>
      </c>
      <c r="E628" s="7" t="s">
        <v>11</v>
      </c>
      <c r="F628" s="7" t="s">
        <v>18</v>
      </c>
      <c r="G628" s="7" t="s">
        <v>264</v>
      </c>
      <c r="H628" s="7" t="s">
        <v>273</v>
      </c>
      <c r="I628" s="8" t="s">
        <v>700</v>
      </c>
    </row>
    <row r="629" spans="1:9" x14ac:dyDescent="0.35">
      <c r="A629" s="6">
        <v>2423196</v>
      </c>
      <c r="B629" s="7" t="str">
        <f>"3328054107050022"</f>
        <v>3328054107050022</v>
      </c>
      <c r="C629" s="7" t="s">
        <v>1935</v>
      </c>
      <c r="D629" s="7" t="s">
        <v>17</v>
      </c>
      <c r="E629" s="7" t="s">
        <v>11</v>
      </c>
      <c r="F629" s="7" t="s">
        <v>50</v>
      </c>
      <c r="G629" s="7" t="s">
        <v>58</v>
      </c>
      <c r="H629" s="7" t="s">
        <v>417</v>
      </c>
      <c r="I629" s="8" t="s">
        <v>1936</v>
      </c>
    </row>
    <row r="630" spans="1:9" x14ac:dyDescent="0.35">
      <c r="A630" s="6">
        <v>2534444</v>
      </c>
      <c r="B630" s="7" t="str">
        <f>"3328054107720109"</f>
        <v>3328054107720109</v>
      </c>
      <c r="C630" s="7" t="s">
        <v>1937</v>
      </c>
      <c r="D630" s="7" t="s">
        <v>17</v>
      </c>
      <c r="E630" s="7" t="s">
        <v>11</v>
      </c>
      <c r="F630" s="7" t="s">
        <v>18</v>
      </c>
      <c r="G630" s="7" t="s">
        <v>19</v>
      </c>
      <c r="H630" s="7" t="s">
        <v>1720</v>
      </c>
      <c r="I630" s="8" t="s">
        <v>1727</v>
      </c>
    </row>
    <row r="631" spans="1:9" x14ac:dyDescent="0.35">
      <c r="A631" s="6">
        <v>1686971</v>
      </c>
      <c r="B631" s="7" t="str">
        <f>"3328054107770108"</f>
        <v>3328054107770108</v>
      </c>
      <c r="C631" s="7" t="s">
        <v>1939</v>
      </c>
      <c r="D631" s="7" t="s">
        <v>17</v>
      </c>
      <c r="E631" s="7" t="s">
        <v>11</v>
      </c>
      <c r="F631" s="7" t="s">
        <v>18</v>
      </c>
      <c r="G631" s="7" t="s">
        <v>264</v>
      </c>
      <c r="H631" s="7" t="s">
        <v>265</v>
      </c>
      <c r="I631" s="8" t="s">
        <v>1940</v>
      </c>
    </row>
    <row r="632" spans="1:9" x14ac:dyDescent="0.35">
      <c r="A632" s="6">
        <v>1607066</v>
      </c>
      <c r="B632" s="7" t="str">
        <f>"3328054205010001"</f>
        <v>3328054205010001</v>
      </c>
      <c r="C632" s="7" t="s">
        <v>1941</v>
      </c>
      <c r="D632" s="7" t="s">
        <v>17</v>
      </c>
      <c r="E632" s="7" t="s">
        <v>11</v>
      </c>
      <c r="F632" s="7" t="s">
        <v>18</v>
      </c>
      <c r="G632" s="7" t="s">
        <v>264</v>
      </c>
      <c r="H632" s="7" t="s">
        <v>330</v>
      </c>
      <c r="I632" s="8" t="s">
        <v>1942</v>
      </c>
    </row>
    <row r="633" spans="1:9" x14ac:dyDescent="0.35">
      <c r="A633" s="6">
        <v>2535226</v>
      </c>
      <c r="B633" s="7" t="str">
        <f>"3328054210970002"</f>
        <v>3328054210970002</v>
      </c>
      <c r="C633" s="7" t="s">
        <v>1943</v>
      </c>
      <c r="D633" s="7" t="s">
        <v>17</v>
      </c>
      <c r="E633" s="7" t="s">
        <v>11</v>
      </c>
      <c r="F633" s="7" t="s">
        <v>18</v>
      </c>
      <c r="G633" s="7" t="s">
        <v>19</v>
      </c>
      <c r="H633" s="7" t="s">
        <v>1720</v>
      </c>
      <c r="I633" s="8" t="s">
        <v>1381</v>
      </c>
    </row>
    <row r="634" spans="1:9" x14ac:dyDescent="0.35">
      <c r="A634" s="6">
        <v>2534809</v>
      </c>
      <c r="B634" s="7" t="str">
        <f>"3328054311960001"</f>
        <v>3328054311960001</v>
      </c>
      <c r="C634" s="7" t="s">
        <v>1945</v>
      </c>
      <c r="D634" s="7" t="s">
        <v>17</v>
      </c>
      <c r="E634" s="7" t="s">
        <v>11</v>
      </c>
      <c r="F634" s="7" t="s">
        <v>18</v>
      </c>
      <c r="G634" s="7" t="s">
        <v>19</v>
      </c>
      <c r="H634" s="7" t="s">
        <v>1720</v>
      </c>
      <c r="I634" s="8" t="s">
        <v>1740</v>
      </c>
    </row>
    <row r="635" spans="1:9" x14ac:dyDescent="0.35">
      <c r="A635" s="6">
        <v>2534386</v>
      </c>
      <c r="B635" s="7" t="str">
        <f>"3328054403940005"</f>
        <v>3328054403940005</v>
      </c>
      <c r="C635" s="7" t="s">
        <v>1948</v>
      </c>
      <c r="D635" s="7" t="s">
        <v>17</v>
      </c>
      <c r="E635" s="7" t="s">
        <v>11</v>
      </c>
      <c r="F635" s="7" t="s">
        <v>18</v>
      </c>
      <c r="G635" s="7" t="s">
        <v>19</v>
      </c>
      <c r="H635" s="7" t="s">
        <v>1720</v>
      </c>
      <c r="I635" s="8" t="s">
        <v>1731</v>
      </c>
    </row>
    <row r="636" spans="1:9" x14ac:dyDescent="0.35">
      <c r="A636" s="6">
        <v>1269591</v>
      </c>
      <c r="B636" s="7" t="str">
        <f>"3328054405800001"</f>
        <v>3328054405800001</v>
      </c>
      <c r="C636" s="7" t="s">
        <v>1949</v>
      </c>
      <c r="D636" s="7" t="s">
        <v>17</v>
      </c>
      <c r="E636" s="7" t="s">
        <v>11</v>
      </c>
      <c r="F636" s="7" t="s">
        <v>18</v>
      </c>
      <c r="G636" s="7" t="s">
        <v>1920</v>
      </c>
      <c r="H636" s="7" t="s">
        <v>1921</v>
      </c>
      <c r="I636" s="8" t="s">
        <v>1922</v>
      </c>
    </row>
    <row r="637" spans="1:9" x14ac:dyDescent="0.35">
      <c r="A637" s="6">
        <v>2534648</v>
      </c>
      <c r="B637" s="7" t="str">
        <f>"3328054411680001"</f>
        <v>3328054411680001</v>
      </c>
      <c r="C637" s="7" t="s">
        <v>1950</v>
      </c>
      <c r="D637" s="7" t="s">
        <v>17</v>
      </c>
      <c r="E637" s="7" t="s">
        <v>11</v>
      </c>
      <c r="F637" s="7" t="s">
        <v>18</v>
      </c>
      <c r="G637" s="7" t="s">
        <v>19</v>
      </c>
      <c r="H637" s="7" t="s">
        <v>1720</v>
      </c>
      <c r="I637" s="8" t="s">
        <v>1723</v>
      </c>
    </row>
    <row r="638" spans="1:9" x14ac:dyDescent="0.35">
      <c r="A638" s="6">
        <v>1943012</v>
      </c>
      <c r="B638" s="7" t="str">
        <f>"3328054506920005"</f>
        <v>3328054506920005</v>
      </c>
      <c r="C638" s="7" t="s">
        <v>1951</v>
      </c>
      <c r="D638" s="7" t="s">
        <v>17</v>
      </c>
      <c r="E638" s="7" t="s">
        <v>11</v>
      </c>
      <c r="F638" s="7" t="s">
        <v>50</v>
      </c>
      <c r="G638" s="7" t="s">
        <v>86</v>
      </c>
      <c r="H638" s="7" t="s">
        <v>205</v>
      </c>
      <c r="I638" s="8" t="s">
        <v>1952</v>
      </c>
    </row>
    <row r="639" spans="1:9" x14ac:dyDescent="0.35">
      <c r="A639" s="6">
        <v>1607868</v>
      </c>
      <c r="B639" s="7" t="str">
        <f>"3328054506950001"</f>
        <v>3328054506950001</v>
      </c>
      <c r="C639" s="7" t="s">
        <v>1953</v>
      </c>
      <c r="D639" s="7" t="s">
        <v>17</v>
      </c>
      <c r="E639" s="7" t="s">
        <v>11</v>
      </c>
      <c r="F639" s="7" t="s">
        <v>18</v>
      </c>
      <c r="G639" s="7" t="s">
        <v>167</v>
      </c>
      <c r="H639" s="7" t="s">
        <v>1954</v>
      </c>
      <c r="I639" s="8" t="s">
        <v>1955</v>
      </c>
    </row>
    <row r="640" spans="1:9" x14ac:dyDescent="0.35">
      <c r="A640" s="6">
        <v>1681507</v>
      </c>
      <c r="B640" s="7" t="str">
        <f>"3328054510870001"</f>
        <v>3328054510870001</v>
      </c>
      <c r="C640" s="7" t="s">
        <v>383</v>
      </c>
      <c r="D640" s="7" t="s">
        <v>17</v>
      </c>
      <c r="E640" s="7" t="s">
        <v>11</v>
      </c>
      <c r="F640" s="7" t="s">
        <v>18</v>
      </c>
      <c r="G640" s="7" t="s">
        <v>264</v>
      </c>
      <c r="H640" s="7" t="s">
        <v>265</v>
      </c>
      <c r="I640" s="8" t="s">
        <v>863</v>
      </c>
    </row>
    <row r="641" spans="1:9" x14ac:dyDescent="0.35">
      <c r="A641" s="6">
        <v>1793786</v>
      </c>
      <c r="B641" s="7" t="str">
        <f>"3328054603900002"</f>
        <v>3328054603900002</v>
      </c>
      <c r="C641" s="7" t="s">
        <v>1956</v>
      </c>
      <c r="D641" s="7" t="s">
        <v>17</v>
      </c>
      <c r="E641" s="7" t="s">
        <v>11</v>
      </c>
      <c r="F641" s="7" t="s">
        <v>50</v>
      </c>
      <c r="G641" s="7" t="s">
        <v>72</v>
      </c>
      <c r="H641" s="7" t="s">
        <v>73</v>
      </c>
      <c r="I641" s="8" t="s">
        <v>1957</v>
      </c>
    </row>
    <row r="642" spans="1:9" x14ac:dyDescent="0.35">
      <c r="A642" s="6">
        <v>2534158</v>
      </c>
      <c r="B642" s="7" t="str">
        <f>"3328054607920001"</f>
        <v>3328054607920001</v>
      </c>
      <c r="C642" s="7" t="s">
        <v>1958</v>
      </c>
      <c r="D642" s="7" t="s">
        <v>17</v>
      </c>
      <c r="E642" s="7" t="s">
        <v>11</v>
      </c>
      <c r="F642" s="7" t="s">
        <v>18</v>
      </c>
      <c r="G642" s="7" t="s">
        <v>19</v>
      </c>
      <c r="H642" s="7" t="s">
        <v>1720</v>
      </c>
      <c r="I642" s="8" t="s">
        <v>789</v>
      </c>
    </row>
    <row r="643" spans="1:9" x14ac:dyDescent="0.35">
      <c r="A643" s="6">
        <v>2534897</v>
      </c>
      <c r="B643" s="7" t="str">
        <f>"3328054608900009"</f>
        <v>3328054608900009</v>
      </c>
      <c r="C643" s="7" t="s">
        <v>1963</v>
      </c>
      <c r="D643" s="7" t="s">
        <v>17</v>
      </c>
      <c r="E643" s="7" t="s">
        <v>11</v>
      </c>
      <c r="F643" s="7" t="s">
        <v>18</v>
      </c>
      <c r="G643" s="7" t="s">
        <v>19</v>
      </c>
      <c r="H643" s="7" t="s">
        <v>1720</v>
      </c>
      <c r="I643" s="8" t="s">
        <v>1740</v>
      </c>
    </row>
    <row r="644" spans="1:9" x14ac:dyDescent="0.35">
      <c r="A644" s="6">
        <v>1677812</v>
      </c>
      <c r="B644" s="7" t="str">
        <f>"3328054802930001"</f>
        <v>3328054802930001</v>
      </c>
      <c r="C644" s="7" t="s">
        <v>1966</v>
      </c>
      <c r="D644" s="7" t="s">
        <v>17</v>
      </c>
      <c r="E644" s="7" t="s">
        <v>11</v>
      </c>
      <c r="F644" s="7" t="s">
        <v>18</v>
      </c>
      <c r="G644" s="7" t="s">
        <v>264</v>
      </c>
      <c r="H644" s="7" t="s">
        <v>265</v>
      </c>
      <c r="I644" s="8" t="s">
        <v>1910</v>
      </c>
    </row>
    <row r="645" spans="1:9" x14ac:dyDescent="0.35">
      <c r="A645" s="6">
        <v>1650106</v>
      </c>
      <c r="B645" s="7" t="str">
        <f>"3328054804930003"</f>
        <v>3328054804930003</v>
      </c>
      <c r="C645" s="7" t="s">
        <v>1967</v>
      </c>
      <c r="D645" s="7" t="s">
        <v>17</v>
      </c>
      <c r="E645" s="7" t="s">
        <v>11</v>
      </c>
      <c r="F645" s="7" t="s">
        <v>18</v>
      </c>
      <c r="G645" s="7" t="s">
        <v>264</v>
      </c>
      <c r="H645" s="7" t="s">
        <v>344</v>
      </c>
      <c r="I645" s="8" t="s">
        <v>1968</v>
      </c>
    </row>
    <row r="646" spans="1:9" x14ac:dyDescent="0.35">
      <c r="A646" s="6">
        <v>2420155</v>
      </c>
      <c r="B646" s="7" t="str">
        <f>"3328054808890001"</f>
        <v>3328054808890001</v>
      </c>
      <c r="C646" s="7" t="s">
        <v>1970</v>
      </c>
      <c r="D646" s="7" t="s">
        <v>17</v>
      </c>
      <c r="E646" s="7" t="s">
        <v>11</v>
      </c>
      <c r="F646" s="7" t="s">
        <v>50</v>
      </c>
      <c r="G646" s="7" t="s">
        <v>58</v>
      </c>
      <c r="H646" s="7" t="s">
        <v>97</v>
      </c>
      <c r="I646" s="8" t="s">
        <v>97</v>
      </c>
    </row>
    <row r="647" spans="1:9" x14ac:dyDescent="0.35">
      <c r="A647" s="6">
        <v>2535455</v>
      </c>
      <c r="B647" s="7" t="str">
        <f>"3328054906670001"</f>
        <v>3328054906670001</v>
      </c>
      <c r="C647" s="7" t="s">
        <v>1971</v>
      </c>
      <c r="D647" s="7" t="s">
        <v>17</v>
      </c>
      <c r="E647" s="7" t="s">
        <v>11</v>
      </c>
      <c r="F647" s="7" t="s">
        <v>18</v>
      </c>
      <c r="G647" s="7" t="s">
        <v>19</v>
      </c>
      <c r="H647" s="7" t="s">
        <v>1720</v>
      </c>
      <c r="I647" s="8" t="s">
        <v>1737</v>
      </c>
    </row>
    <row r="648" spans="1:9" x14ac:dyDescent="0.35">
      <c r="A648" s="6">
        <v>1553894</v>
      </c>
      <c r="B648" s="7" t="str">
        <f>"3328055001900005"</f>
        <v>3328055001900005</v>
      </c>
      <c r="C648" s="7" t="s">
        <v>1973</v>
      </c>
      <c r="D648" s="7" t="s">
        <v>17</v>
      </c>
      <c r="E648" s="7" t="s">
        <v>11</v>
      </c>
      <c r="F648" s="7" t="s">
        <v>18</v>
      </c>
      <c r="G648" s="7" t="s">
        <v>195</v>
      </c>
      <c r="H648" s="7" t="s">
        <v>307</v>
      </c>
      <c r="I648" s="8" t="s">
        <v>1974</v>
      </c>
    </row>
    <row r="649" spans="1:9" x14ac:dyDescent="0.35">
      <c r="A649" s="6">
        <v>3088764</v>
      </c>
      <c r="B649" s="7" t="str">
        <f>"3328055206980004"</f>
        <v>3328055206980004</v>
      </c>
      <c r="C649" s="7" t="s">
        <v>1975</v>
      </c>
      <c r="D649" s="7" t="s">
        <v>17</v>
      </c>
      <c r="E649" s="7" t="s">
        <v>11</v>
      </c>
      <c r="F649" s="7" t="s">
        <v>18</v>
      </c>
      <c r="G649" s="7" t="s">
        <v>163</v>
      </c>
      <c r="H649" s="7" t="s">
        <v>509</v>
      </c>
      <c r="I649" s="8" t="s">
        <v>1976</v>
      </c>
    </row>
    <row r="650" spans="1:9" x14ac:dyDescent="0.35">
      <c r="A650" s="6">
        <v>2535699</v>
      </c>
      <c r="B650" s="7" t="str">
        <f>"3328055212820001"</f>
        <v>3328055212820001</v>
      </c>
      <c r="C650" s="7" t="s">
        <v>1979</v>
      </c>
      <c r="D650" s="7" t="s">
        <v>17</v>
      </c>
      <c r="E650" s="7" t="s">
        <v>11</v>
      </c>
      <c r="F650" s="7" t="s">
        <v>18</v>
      </c>
      <c r="G650" s="7" t="s">
        <v>19</v>
      </c>
      <c r="H650" s="7" t="s">
        <v>1720</v>
      </c>
      <c r="I650" s="8" t="s">
        <v>1771</v>
      </c>
    </row>
    <row r="651" spans="1:9" x14ac:dyDescent="0.35">
      <c r="A651" s="6">
        <v>2534177</v>
      </c>
      <c r="B651" s="7" t="str">
        <f>"3328055402950002"</f>
        <v>3328055402950002</v>
      </c>
      <c r="C651" s="7" t="s">
        <v>1980</v>
      </c>
      <c r="D651" s="7" t="s">
        <v>17</v>
      </c>
      <c r="E651" s="7" t="s">
        <v>11</v>
      </c>
      <c r="F651" s="7" t="s">
        <v>18</v>
      </c>
      <c r="G651" s="7" t="s">
        <v>19</v>
      </c>
      <c r="H651" s="7" t="s">
        <v>1720</v>
      </c>
      <c r="I651" s="8" t="s">
        <v>789</v>
      </c>
    </row>
    <row r="652" spans="1:9" x14ac:dyDescent="0.35">
      <c r="A652" s="6">
        <v>1688686</v>
      </c>
      <c r="B652" s="7" t="str">
        <f>"3328055404990003"</f>
        <v>3328055404990003</v>
      </c>
      <c r="C652" s="7" t="s">
        <v>1984</v>
      </c>
      <c r="D652" s="7" t="s">
        <v>17</v>
      </c>
      <c r="E652" s="7" t="s">
        <v>11</v>
      </c>
      <c r="F652" s="7" t="s">
        <v>18</v>
      </c>
      <c r="G652" s="7" t="s">
        <v>264</v>
      </c>
      <c r="H652" s="7" t="s">
        <v>273</v>
      </c>
      <c r="I652" s="8" t="s">
        <v>700</v>
      </c>
    </row>
    <row r="653" spans="1:9" x14ac:dyDescent="0.35">
      <c r="A653" s="6">
        <v>2209907</v>
      </c>
      <c r="B653" s="7" t="str">
        <f>"3328055510010001"</f>
        <v>3328055510010001</v>
      </c>
      <c r="C653" s="7" t="s">
        <v>1986</v>
      </c>
      <c r="D653" s="7" t="s">
        <v>17</v>
      </c>
      <c r="E653" s="7" t="s">
        <v>11</v>
      </c>
      <c r="F653" s="7" t="s">
        <v>303</v>
      </c>
      <c r="G653" s="7" t="s">
        <v>1987</v>
      </c>
      <c r="H653" s="7" t="s">
        <v>1988</v>
      </c>
      <c r="I653" s="8" t="s">
        <v>1989</v>
      </c>
    </row>
    <row r="654" spans="1:9" x14ac:dyDescent="0.35">
      <c r="A654" s="6">
        <v>1665125</v>
      </c>
      <c r="B654" s="7" t="str">
        <f>"3328055606940001"</f>
        <v>3328055606940001</v>
      </c>
      <c r="C654" s="7" t="s">
        <v>1991</v>
      </c>
      <c r="D654" s="7" t="s">
        <v>17</v>
      </c>
      <c r="E654" s="7" t="s">
        <v>11</v>
      </c>
      <c r="F654" s="7" t="s">
        <v>18</v>
      </c>
      <c r="G654" s="7" t="s">
        <v>264</v>
      </c>
      <c r="H654" s="7" t="s">
        <v>877</v>
      </c>
      <c r="I654" s="8" t="s">
        <v>1992</v>
      </c>
    </row>
    <row r="655" spans="1:9" x14ac:dyDescent="0.35">
      <c r="A655" s="6">
        <v>3151120</v>
      </c>
      <c r="B655" s="7" t="str">
        <f>"3328055803970001"</f>
        <v>3328055803970001</v>
      </c>
      <c r="C655" s="7" t="s">
        <v>1993</v>
      </c>
      <c r="D655" s="7" t="s">
        <v>17</v>
      </c>
      <c r="E655" s="7" t="s">
        <v>11</v>
      </c>
      <c r="F655" s="7" t="s">
        <v>303</v>
      </c>
      <c r="G655" s="7" t="s">
        <v>1994</v>
      </c>
      <c r="H655" s="7" t="s">
        <v>1995</v>
      </c>
      <c r="I655" s="8" t="s">
        <v>1090</v>
      </c>
    </row>
    <row r="656" spans="1:9" x14ac:dyDescent="0.35">
      <c r="A656" s="6">
        <v>1663923</v>
      </c>
      <c r="B656" s="7" t="str">
        <f>"3328055806030004"</f>
        <v>3328055806030004</v>
      </c>
      <c r="C656" s="7" t="s">
        <v>1996</v>
      </c>
      <c r="D656" s="7" t="s">
        <v>17</v>
      </c>
      <c r="E656" s="7" t="s">
        <v>11</v>
      </c>
      <c r="F656" s="7" t="s">
        <v>18</v>
      </c>
      <c r="G656" s="7" t="s">
        <v>264</v>
      </c>
      <c r="H656" s="7" t="s">
        <v>877</v>
      </c>
      <c r="I656" s="8" t="s">
        <v>1191</v>
      </c>
    </row>
    <row r="657" spans="1:9" x14ac:dyDescent="0.35">
      <c r="A657" s="6">
        <v>931579</v>
      </c>
      <c r="B657" s="7" t="str">
        <f>"3328055806950001"</f>
        <v>3328055806950001</v>
      </c>
      <c r="C657" s="7" t="s">
        <v>1997</v>
      </c>
      <c r="D657" s="7" t="s">
        <v>17</v>
      </c>
      <c r="E657" s="7" t="s">
        <v>11</v>
      </c>
      <c r="F657" s="7" t="s">
        <v>91</v>
      </c>
      <c r="G657" s="7" t="s">
        <v>109</v>
      </c>
      <c r="H657" s="7" t="s">
        <v>1998</v>
      </c>
      <c r="I657" s="8" t="s">
        <v>1999</v>
      </c>
    </row>
    <row r="658" spans="1:9" x14ac:dyDescent="0.35">
      <c r="A658" s="6">
        <v>2535025</v>
      </c>
      <c r="B658" s="7" t="str">
        <f>"3328055908800002"</f>
        <v>3328055908800002</v>
      </c>
      <c r="C658" s="7" t="s">
        <v>2002</v>
      </c>
      <c r="D658" s="7" t="s">
        <v>17</v>
      </c>
      <c r="E658" s="7" t="s">
        <v>11</v>
      </c>
      <c r="F658" s="7" t="s">
        <v>18</v>
      </c>
      <c r="G658" s="7" t="s">
        <v>19</v>
      </c>
      <c r="H658" s="7" t="s">
        <v>1720</v>
      </c>
      <c r="I658" s="8" t="s">
        <v>1720</v>
      </c>
    </row>
    <row r="659" spans="1:9" x14ac:dyDescent="0.35">
      <c r="A659" s="6">
        <v>2535220</v>
      </c>
      <c r="B659" s="7" t="str">
        <f>"3328055909900003"</f>
        <v>3328055909900003</v>
      </c>
      <c r="C659" s="7" t="s">
        <v>2003</v>
      </c>
      <c r="D659" s="7" t="s">
        <v>17</v>
      </c>
      <c r="E659" s="7" t="s">
        <v>11</v>
      </c>
      <c r="F659" s="7" t="s">
        <v>18</v>
      </c>
      <c r="G659" s="7" t="s">
        <v>19</v>
      </c>
      <c r="H659" s="7" t="s">
        <v>1720</v>
      </c>
      <c r="I659" s="8" t="s">
        <v>1381</v>
      </c>
    </row>
    <row r="660" spans="1:9" x14ac:dyDescent="0.35">
      <c r="A660" s="6">
        <v>2534863</v>
      </c>
      <c r="B660" s="7" t="str">
        <f>"3328056004940005"</f>
        <v>3328056004940005</v>
      </c>
      <c r="C660" s="7" t="s">
        <v>2005</v>
      </c>
      <c r="D660" s="7" t="s">
        <v>17</v>
      </c>
      <c r="E660" s="7" t="s">
        <v>11</v>
      </c>
      <c r="F660" s="7" t="s">
        <v>18</v>
      </c>
      <c r="G660" s="7" t="s">
        <v>19</v>
      </c>
      <c r="H660" s="7" t="s">
        <v>1720</v>
      </c>
      <c r="I660" s="8" t="s">
        <v>1740</v>
      </c>
    </row>
    <row r="661" spans="1:9" x14ac:dyDescent="0.35">
      <c r="A661" s="6">
        <v>2534231</v>
      </c>
      <c r="B661" s="7" t="str">
        <f>"3328056006850005"</f>
        <v>3328056006850005</v>
      </c>
      <c r="C661" s="7" t="s">
        <v>2008</v>
      </c>
      <c r="D661" s="7" t="s">
        <v>17</v>
      </c>
      <c r="E661" s="7" t="s">
        <v>11</v>
      </c>
      <c r="F661" s="7" t="s">
        <v>18</v>
      </c>
      <c r="G661" s="7" t="s">
        <v>19</v>
      </c>
      <c r="H661" s="7" t="s">
        <v>1720</v>
      </c>
      <c r="I661" s="8" t="s">
        <v>789</v>
      </c>
    </row>
    <row r="662" spans="1:9" x14ac:dyDescent="0.35">
      <c r="A662" s="6">
        <v>2534454</v>
      </c>
      <c r="B662" s="7" t="str">
        <f>"3328056006880003"</f>
        <v>3328056006880003</v>
      </c>
      <c r="C662" s="7" t="s">
        <v>2009</v>
      </c>
      <c r="D662" s="7" t="s">
        <v>17</v>
      </c>
      <c r="E662" s="7" t="s">
        <v>11</v>
      </c>
      <c r="F662" s="7" t="s">
        <v>18</v>
      </c>
      <c r="G662" s="7" t="s">
        <v>19</v>
      </c>
      <c r="H662" s="7" t="s">
        <v>1720</v>
      </c>
      <c r="I662" s="8" t="s">
        <v>1727</v>
      </c>
    </row>
    <row r="663" spans="1:9" x14ac:dyDescent="0.35">
      <c r="A663" s="6">
        <v>850135</v>
      </c>
      <c r="B663" s="7" t="str">
        <f>"3328056006920001"</f>
        <v>3328056006920001</v>
      </c>
      <c r="C663" s="7" t="s">
        <v>2010</v>
      </c>
      <c r="D663" s="7" t="s">
        <v>17</v>
      </c>
      <c r="E663" s="7" t="s">
        <v>11</v>
      </c>
      <c r="F663" s="7" t="s">
        <v>50</v>
      </c>
      <c r="G663" s="7" t="s">
        <v>280</v>
      </c>
      <c r="H663" s="7" t="s">
        <v>281</v>
      </c>
      <c r="I663" s="8" t="s">
        <v>282</v>
      </c>
    </row>
    <row r="664" spans="1:9" x14ac:dyDescent="0.35">
      <c r="A664" s="6">
        <v>1258899</v>
      </c>
      <c r="B664" s="7" t="str">
        <f>"3328056104960003"</f>
        <v>3328056104960003</v>
      </c>
      <c r="C664" s="7" t="s">
        <v>2011</v>
      </c>
      <c r="D664" s="7" t="s">
        <v>17</v>
      </c>
      <c r="E664" s="7" t="s">
        <v>11</v>
      </c>
      <c r="F664" s="7" t="s">
        <v>18</v>
      </c>
      <c r="G664" s="7" t="s">
        <v>1920</v>
      </c>
      <c r="H664" s="7" t="s">
        <v>2012</v>
      </c>
      <c r="I664" s="8" t="s">
        <v>2013</v>
      </c>
    </row>
    <row r="665" spans="1:9" x14ac:dyDescent="0.35">
      <c r="A665" s="6">
        <v>362897</v>
      </c>
      <c r="B665" s="7" t="str">
        <f>"3328056309990005"</f>
        <v>3328056309990005</v>
      </c>
      <c r="C665" s="7" t="s">
        <v>2014</v>
      </c>
      <c r="D665" s="7" t="s">
        <v>17</v>
      </c>
      <c r="E665" s="7" t="s">
        <v>57</v>
      </c>
      <c r="F665" s="7" t="s">
        <v>379</v>
      </c>
      <c r="G665" s="7" t="s">
        <v>380</v>
      </c>
      <c r="H665" s="7" t="s">
        <v>2015</v>
      </c>
      <c r="I665" s="8" t="s">
        <v>2016</v>
      </c>
    </row>
    <row r="666" spans="1:9" x14ac:dyDescent="0.35">
      <c r="A666" s="6">
        <v>2534408</v>
      </c>
      <c r="B666" s="7" t="str">
        <f>"3328056401840004"</f>
        <v>3328056401840004</v>
      </c>
      <c r="C666" s="7" t="s">
        <v>2018</v>
      </c>
      <c r="D666" s="7" t="s">
        <v>17</v>
      </c>
      <c r="E666" s="7" t="s">
        <v>11</v>
      </c>
      <c r="F666" s="7" t="s">
        <v>18</v>
      </c>
      <c r="G666" s="7" t="s">
        <v>19</v>
      </c>
      <c r="H666" s="7" t="s">
        <v>1720</v>
      </c>
      <c r="I666" s="8" t="s">
        <v>1731</v>
      </c>
    </row>
    <row r="667" spans="1:9" x14ac:dyDescent="0.35">
      <c r="A667" s="6">
        <v>2535317</v>
      </c>
      <c r="B667" s="7" t="str">
        <f>"3328056406030001"</f>
        <v>3328056406030001</v>
      </c>
      <c r="C667" s="7" t="s">
        <v>2020</v>
      </c>
      <c r="D667" s="7" t="s">
        <v>17</v>
      </c>
      <c r="E667" s="7" t="s">
        <v>11</v>
      </c>
      <c r="F667" s="7" t="s">
        <v>18</v>
      </c>
      <c r="G667" s="7" t="s">
        <v>19</v>
      </c>
      <c r="H667" s="7" t="s">
        <v>1720</v>
      </c>
      <c r="I667" s="8" t="s">
        <v>1381</v>
      </c>
    </row>
    <row r="668" spans="1:9" x14ac:dyDescent="0.35">
      <c r="A668" s="6">
        <v>2534362</v>
      </c>
      <c r="B668" s="7" t="str">
        <f>"3328056505940005"</f>
        <v>3328056505940005</v>
      </c>
      <c r="C668" s="7" t="s">
        <v>2022</v>
      </c>
      <c r="D668" s="7" t="s">
        <v>17</v>
      </c>
      <c r="E668" s="7" t="s">
        <v>11</v>
      </c>
      <c r="F668" s="7" t="s">
        <v>18</v>
      </c>
      <c r="G668" s="7" t="s">
        <v>19</v>
      </c>
      <c r="H668" s="7" t="s">
        <v>1720</v>
      </c>
      <c r="I668" s="8" t="s">
        <v>1731</v>
      </c>
    </row>
    <row r="669" spans="1:9" x14ac:dyDescent="0.35">
      <c r="A669" s="6">
        <v>2175363</v>
      </c>
      <c r="B669" s="7" t="str">
        <f>"3328056509760001"</f>
        <v>3328056509760001</v>
      </c>
      <c r="C669" s="7" t="s">
        <v>2023</v>
      </c>
      <c r="D669" s="7" t="s">
        <v>17</v>
      </c>
      <c r="E669" s="7" t="s">
        <v>11</v>
      </c>
      <c r="F669" s="7" t="s">
        <v>303</v>
      </c>
      <c r="G669" s="7" t="s">
        <v>1808</v>
      </c>
      <c r="H669" s="7" t="s">
        <v>1809</v>
      </c>
      <c r="I669" s="8" t="s">
        <v>1810</v>
      </c>
    </row>
    <row r="670" spans="1:9" x14ac:dyDescent="0.35">
      <c r="A670" s="6">
        <v>877842</v>
      </c>
      <c r="B670" s="7" t="str">
        <f>"3328056512940002"</f>
        <v>3328056512940002</v>
      </c>
      <c r="C670" s="7" t="s">
        <v>2024</v>
      </c>
      <c r="D670" s="7" t="s">
        <v>17</v>
      </c>
      <c r="E670" s="7" t="s">
        <v>11</v>
      </c>
      <c r="F670" s="7" t="s">
        <v>18</v>
      </c>
      <c r="G670" s="7" t="s">
        <v>1522</v>
      </c>
      <c r="H670" s="7" t="s">
        <v>1619</v>
      </c>
      <c r="I670" s="8" t="s">
        <v>2025</v>
      </c>
    </row>
    <row r="671" spans="1:9" x14ac:dyDescent="0.35">
      <c r="A671" s="6">
        <v>2535617</v>
      </c>
      <c r="B671" s="7" t="str">
        <f>"3328056703730003"</f>
        <v>3328056703730003</v>
      </c>
      <c r="C671" s="7" t="s">
        <v>2026</v>
      </c>
      <c r="D671" s="7" t="s">
        <v>17</v>
      </c>
      <c r="E671" s="7" t="s">
        <v>11</v>
      </c>
      <c r="F671" s="7" t="s">
        <v>18</v>
      </c>
      <c r="G671" s="7" t="s">
        <v>19</v>
      </c>
      <c r="H671" s="7" t="s">
        <v>1720</v>
      </c>
      <c r="I671" s="8" t="s">
        <v>1857</v>
      </c>
    </row>
    <row r="672" spans="1:9" x14ac:dyDescent="0.35">
      <c r="A672" s="6">
        <v>2420056</v>
      </c>
      <c r="B672" s="7" t="str">
        <f>"3328056706760002"</f>
        <v>3328056706760002</v>
      </c>
      <c r="C672" s="7" t="s">
        <v>2027</v>
      </c>
      <c r="D672" s="7" t="s">
        <v>17</v>
      </c>
      <c r="E672" s="7" t="s">
        <v>11</v>
      </c>
      <c r="F672" s="7" t="s">
        <v>50</v>
      </c>
      <c r="G672" s="7" t="s">
        <v>58</v>
      </c>
      <c r="H672" s="7" t="s">
        <v>97</v>
      </c>
      <c r="I672" s="8" t="s">
        <v>328</v>
      </c>
    </row>
    <row r="673" spans="1:9" x14ac:dyDescent="0.35">
      <c r="A673" s="6">
        <v>2534737</v>
      </c>
      <c r="B673" s="7" t="str">
        <f>"3328056804900003"</f>
        <v>3328056804900003</v>
      </c>
      <c r="C673" s="7" t="s">
        <v>2028</v>
      </c>
      <c r="D673" s="7" t="s">
        <v>17</v>
      </c>
      <c r="E673" s="7" t="s">
        <v>11</v>
      </c>
      <c r="F673" s="7" t="s">
        <v>18</v>
      </c>
      <c r="G673" s="7" t="s">
        <v>19</v>
      </c>
      <c r="H673" s="7" t="s">
        <v>1720</v>
      </c>
      <c r="I673" s="8" t="s">
        <v>1740</v>
      </c>
    </row>
    <row r="674" spans="1:9" x14ac:dyDescent="0.35">
      <c r="A674" s="6">
        <v>2534763</v>
      </c>
      <c r="B674" s="7" t="str">
        <f>"3328056912970002"</f>
        <v>3328056912970002</v>
      </c>
      <c r="C674" s="7" t="s">
        <v>2030</v>
      </c>
      <c r="D674" s="7" t="s">
        <v>17</v>
      </c>
      <c r="E674" s="7" t="s">
        <v>11</v>
      </c>
      <c r="F674" s="7" t="s">
        <v>18</v>
      </c>
      <c r="G674" s="7" t="s">
        <v>19</v>
      </c>
      <c r="H674" s="7" t="s">
        <v>1720</v>
      </c>
      <c r="I674" s="8" t="s">
        <v>1740</v>
      </c>
    </row>
    <row r="675" spans="1:9" x14ac:dyDescent="0.35">
      <c r="A675" s="6">
        <v>1643985</v>
      </c>
      <c r="B675" s="7" t="str">
        <f>"3328057008000001"</f>
        <v>3328057008000001</v>
      </c>
      <c r="C675" s="7" t="s">
        <v>2031</v>
      </c>
      <c r="D675" s="7" t="s">
        <v>17</v>
      </c>
      <c r="E675" s="7" t="s">
        <v>11</v>
      </c>
      <c r="F675" s="7" t="s">
        <v>18</v>
      </c>
      <c r="G675" s="7" t="s">
        <v>264</v>
      </c>
      <c r="H675" s="7" t="s">
        <v>265</v>
      </c>
      <c r="I675" s="8" t="s">
        <v>2007</v>
      </c>
    </row>
    <row r="676" spans="1:9" x14ac:dyDescent="0.35">
      <c r="A676" s="6">
        <v>1805460</v>
      </c>
      <c r="B676" s="7" t="str">
        <f>"3328057112630019"</f>
        <v>3328057112630019</v>
      </c>
      <c r="C676" s="7" t="s">
        <v>2033</v>
      </c>
      <c r="D676" s="7" t="s">
        <v>17</v>
      </c>
      <c r="E676" s="7" t="s">
        <v>11</v>
      </c>
      <c r="F676" s="7" t="s">
        <v>50</v>
      </c>
      <c r="G676" s="7" t="s">
        <v>72</v>
      </c>
      <c r="H676" s="7" t="s">
        <v>628</v>
      </c>
      <c r="I676" s="8" t="s">
        <v>1281</v>
      </c>
    </row>
    <row r="677" spans="1:9" x14ac:dyDescent="0.35">
      <c r="A677" s="6">
        <v>2534157</v>
      </c>
      <c r="B677" s="7" t="str">
        <f>"3328110501850010"</f>
        <v>3328110501850010</v>
      </c>
      <c r="C677" s="7" t="s">
        <v>2034</v>
      </c>
      <c r="D677" s="7" t="s">
        <v>17</v>
      </c>
      <c r="E677" s="7" t="s">
        <v>11</v>
      </c>
      <c r="F677" s="7" t="s">
        <v>18</v>
      </c>
      <c r="G677" s="7" t="s">
        <v>19</v>
      </c>
      <c r="H677" s="7" t="s">
        <v>1720</v>
      </c>
      <c r="I677" s="8" t="s">
        <v>789</v>
      </c>
    </row>
    <row r="678" spans="1:9" x14ac:dyDescent="0.35">
      <c r="A678" s="6">
        <v>1653441</v>
      </c>
      <c r="B678" s="7" t="str">
        <f>"3329035006930009"</f>
        <v>3329035006930009</v>
      </c>
      <c r="C678" s="7" t="s">
        <v>1997</v>
      </c>
      <c r="D678" s="7" t="s">
        <v>17</v>
      </c>
      <c r="E678" s="7" t="s">
        <v>11</v>
      </c>
      <c r="F678" s="7" t="s">
        <v>18</v>
      </c>
      <c r="G678" s="7" t="s">
        <v>264</v>
      </c>
      <c r="H678" s="7" t="s">
        <v>461</v>
      </c>
      <c r="I678" s="8" t="s">
        <v>461</v>
      </c>
    </row>
    <row r="679" spans="1:9" x14ac:dyDescent="0.35">
      <c r="A679" s="6">
        <v>2535568</v>
      </c>
      <c r="B679" s="7" t="str">
        <f>"3329040409930004"</f>
        <v>3329040409930004</v>
      </c>
      <c r="C679" s="7" t="s">
        <v>2037</v>
      </c>
      <c r="D679" s="7" t="s">
        <v>17</v>
      </c>
      <c r="E679" s="7" t="s">
        <v>11</v>
      </c>
      <c r="F679" s="7" t="s">
        <v>18</v>
      </c>
      <c r="G679" s="7" t="s">
        <v>19</v>
      </c>
      <c r="H679" s="7" t="s">
        <v>1720</v>
      </c>
      <c r="I679" s="8" t="s">
        <v>1737</v>
      </c>
    </row>
    <row r="680" spans="1:9" x14ac:dyDescent="0.35">
      <c r="A680" s="6">
        <v>1674237</v>
      </c>
      <c r="B680" s="7" t="str">
        <f>"3329040605970003"</f>
        <v>3329040605970003</v>
      </c>
      <c r="C680" s="7" t="s">
        <v>2038</v>
      </c>
      <c r="D680" s="7" t="s">
        <v>17</v>
      </c>
      <c r="E680" s="7" t="s">
        <v>11</v>
      </c>
      <c r="F680" s="7" t="s">
        <v>18</v>
      </c>
      <c r="G680" s="7" t="s">
        <v>264</v>
      </c>
      <c r="H680" s="7" t="s">
        <v>396</v>
      </c>
      <c r="I680" s="8" t="s">
        <v>2039</v>
      </c>
    </row>
    <row r="681" spans="1:9" x14ac:dyDescent="0.35">
      <c r="A681" s="6">
        <v>1674323</v>
      </c>
      <c r="B681" s="7" t="str">
        <f>"3329044908920001"</f>
        <v>3329044908920001</v>
      </c>
      <c r="C681" s="7" t="s">
        <v>2040</v>
      </c>
      <c r="D681" s="7" t="s">
        <v>17</v>
      </c>
      <c r="E681" s="7" t="s">
        <v>11</v>
      </c>
      <c r="F681" s="7" t="s">
        <v>18</v>
      </c>
      <c r="G681" s="7" t="s">
        <v>264</v>
      </c>
      <c r="H681" s="7" t="s">
        <v>396</v>
      </c>
      <c r="I681" s="8" t="s">
        <v>2039</v>
      </c>
    </row>
    <row r="682" spans="1:9" x14ac:dyDescent="0.35">
      <c r="A682" s="6">
        <v>1690410</v>
      </c>
      <c r="B682" s="7" t="str">
        <f>"3329070106880004"</f>
        <v>3329070106880004</v>
      </c>
      <c r="C682" s="7" t="s">
        <v>2042</v>
      </c>
      <c r="D682" s="7" t="s">
        <v>17</v>
      </c>
      <c r="E682" s="7" t="s">
        <v>11</v>
      </c>
      <c r="F682" s="7" t="s">
        <v>18</v>
      </c>
      <c r="G682" s="7" t="s">
        <v>264</v>
      </c>
      <c r="H682" s="7" t="s">
        <v>265</v>
      </c>
      <c r="I682" s="8" t="s">
        <v>266</v>
      </c>
    </row>
    <row r="683" spans="1:9" x14ac:dyDescent="0.35">
      <c r="A683" s="6">
        <v>2534377</v>
      </c>
      <c r="B683" s="7" t="str">
        <f>"3329070111850002"</f>
        <v>3329070111850002</v>
      </c>
      <c r="C683" s="7" t="s">
        <v>2043</v>
      </c>
      <c r="D683" s="7" t="s">
        <v>17</v>
      </c>
      <c r="E683" s="7" t="s">
        <v>11</v>
      </c>
      <c r="F683" s="7" t="s">
        <v>18</v>
      </c>
      <c r="G683" s="7" t="s">
        <v>19</v>
      </c>
      <c r="H683" s="7" t="s">
        <v>1720</v>
      </c>
      <c r="I683" s="8" t="s">
        <v>1731</v>
      </c>
    </row>
    <row r="684" spans="1:9" x14ac:dyDescent="0.35">
      <c r="A684" s="6">
        <v>2535767</v>
      </c>
      <c r="B684" s="7" t="str">
        <f>"3329070308880002"</f>
        <v>3329070308880002</v>
      </c>
      <c r="C684" s="7" t="s">
        <v>2044</v>
      </c>
      <c r="D684" s="7" t="s">
        <v>17</v>
      </c>
      <c r="E684" s="7" t="s">
        <v>11</v>
      </c>
      <c r="F684" s="7" t="s">
        <v>18</v>
      </c>
      <c r="G684" s="7" t="s">
        <v>19</v>
      </c>
      <c r="H684" s="7" t="s">
        <v>1720</v>
      </c>
      <c r="I684" s="8" t="s">
        <v>1777</v>
      </c>
    </row>
    <row r="685" spans="1:9" x14ac:dyDescent="0.35">
      <c r="A685" s="6">
        <v>1692372</v>
      </c>
      <c r="B685" s="7" t="str">
        <f>"3329070308880002"</f>
        <v>3329070308880002</v>
      </c>
      <c r="C685" s="7" t="s">
        <v>2044</v>
      </c>
      <c r="D685" s="7" t="s">
        <v>17</v>
      </c>
      <c r="E685" s="7" t="s">
        <v>11</v>
      </c>
      <c r="F685" s="7" t="s">
        <v>18</v>
      </c>
      <c r="G685" s="7" t="s">
        <v>264</v>
      </c>
      <c r="H685" s="7" t="s">
        <v>265</v>
      </c>
      <c r="I685" s="8" t="s">
        <v>1869</v>
      </c>
    </row>
    <row r="686" spans="1:9" x14ac:dyDescent="0.35">
      <c r="A686" s="6">
        <v>2534344</v>
      </c>
      <c r="B686" s="7" t="str">
        <f>"3329070808870004"</f>
        <v>3329070808870004</v>
      </c>
      <c r="C686" s="7" t="s">
        <v>2045</v>
      </c>
      <c r="D686" s="7" t="s">
        <v>17</v>
      </c>
      <c r="E686" s="7" t="s">
        <v>11</v>
      </c>
      <c r="F686" s="7" t="s">
        <v>18</v>
      </c>
      <c r="G686" s="7" t="s">
        <v>19</v>
      </c>
      <c r="H686" s="7" t="s">
        <v>1720</v>
      </c>
      <c r="I686" s="8" t="s">
        <v>1774</v>
      </c>
    </row>
    <row r="687" spans="1:9" x14ac:dyDescent="0.35">
      <c r="A687" s="6">
        <v>2534409</v>
      </c>
      <c r="B687" s="7" t="str">
        <f>"3329071109840006"</f>
        <v>3329071109840006</v>
      </c>
      <c r="C687" s="7" t="s">
        <v>2047</v>
      </c>
      <c r="D687" s="7" t="s">
        <v>17</v>
      </c>
      <c r="E687" s="7" t="s">
        <v>11</v>
      </c>
      <c r="F687" s="7" t="s">
        <v>18</v>
      </c>
      <c r="G687" s="7" t="s">
        <v>19</v>
      </c>
      <c r="H687" s="7" t="s">
        <v>1720</v>
      </c>
      <c r="I687" s="8" t="s">
        <v>1731</v>
      </c>
    </row>
    <row r="688" spans="1:9" x14ac:dyDescent="0.35">
      <c r="A688" s="6">
        <v>2535791</v>
      </c>
      <c r="B688" s="7" t="str">
        <f>"3329071701920002"</f>
        <v>3329071701920002</v>
      </c>
      <c r="C688" s="7" t="s">
        <v>2048</v>
      </c>
      <c r="D688" s="7" t="s">
        <v>17</v>
      </c>
      <c r="E688" s="7" t="s">
        <v>11</v>
      </c>
      <c r="F688" s="7" t="s">
        <v>18</v>
      </c>
      <c r="G688" s="7" t="s">
        <v>19</v>
      </c>
      <c r="H688" s="7" t="s">
        <v>1720</v>
      </c>
      <c r="I688" s="8" t="s">
        <v>1777</v>
      </c>
    </row>
    <row r="689" spans="1:9" x14ac:dyDescent="0.35">
      <c r="A689" s="6">
        <v>2534230</v>
      </c>
      <c r="B689" s="7" t="str">
        <f>"3329072001680001"</f>
        <v>3329072001680001</v>
      </c>
      <c r="C689" s="7" t="s">
        <v>2050</v>
      </c>
      <c r="D689" s="7" t="s">
        <v>17</v>
      </c>
      <c r="E689" s="7" t="s">
        <v>11</v>
      </c>
      <c r="F689" s="7" t="s">
        <v>18</v>
      </c>
      <c r="G689" s="7" t="s">
        <v>19</v>
      </c>
      <c r="H689" s="7" t="s">
        <v>1720</v>
      </c>
      <c r="I689" s="8" t="s">
        <v>789</v>
      </c>
    </row>
    <row r="690" spans="1:9" x14ac:dyDescent="0.35">
      <c r="A690" s="6">
        <v>2535730</v>
      </c>
      <c r="B690" s="7" t="str">
        <f>"3329072102990002"</f>
        <v>3329072102990002</v>
      </c>
      <c r="C690" s="7" t="s">
        <v>2051</v>
      </c>
      <c r="D690" s="7" t="s">
        <v>17</v>
      </c>
      <c r="E690" s="7" t="s">
        <v>11</v>
      </c>
      <c r="F690" s="7" t="s">
        <v>18</v>
      </c>
      <c r="G690" s="7" t="s">
        <v>19</v>
      </c>
      <c r="H690" s="7" t="s">
        <v>1720</v>
      </c>
      <c r="I690" s="8" t="s">
        <v>1771</v>
      </c>
    </row>
    <row r="691" spans="1:9" x14ac:dyDescent="0.35">
      <c r="A691" s="6">
        <v>1687274</v>
      </c>
      <c r="B691" s="7" t="str">
        <f>"3329072403900002"</f>
        <v>3329072403900002</v>
      </c>
      <c r="C691" s="7" t="s">
        <v>2052</v>
      </c>
      <c r="D691" s="7" t="s">
        <v>17</v>
      </c>
      <c r="E691" s="7" t="s">
        <v>11</v>
      </c>
      <c r="F691" s="7" t="s">
        <v>18</v>
      </c>
      <c r="G691" s="7" t="s">
        <v>264</v>
      </c>
      <c r="H691" s="7" t="s">
        <v>265</v>
      </c>
      <c r="I691" s="8" t="s">
        <v>2053</v>
      </c>
    </row>
    <row r="692" spans="1:9" x14ac:dyDescent="0.35">
      <c r="A692" s="6">
        <v>1694846</v>
      </c>
      <c r="B692" s="7" t="str">
        <f>"3329072506860003"</f>
        <v>3329072506860003</v>
      </c>
      <c r="C692" s="7" t="s">
        <v>2055</v>
      </c>
      <c r="D692" s="7" t="s">
        <v>17</v>
      </c>
      <c r="E692" s="7" t="s">
        <v>11</v>
      </c>
      <c r="F692" s="7" t="s">
        <v>18</v>
      </c>
      <c r="G692" s="7" t="s">
        <v>264</v>
      </c>
      <c r="H692" s="7" t="s">
        <v>265</v>
      </c>
      <c r="I692" s="8" t="s">
        <v>1598</v>
      </c>
    </row>
    <row r="693" spans="1:9" x14ac:dyDescent="0.35">
      <c r="A693" s="6">
        <v>2535493</v>
      </c>
      <c r="B693" s="7" t="str">
        <f>"3329074210860001"</f>
        <v>3329074210860001</v>
      </c>
      <c r="C693" s="7" t="s">
        <v>2056</v>
      </c>
      <c r="D693" s="7" t="s">
        <v>17</v>
      </c>
      <c r="E693" s="7" t="s">
        <v>11</v>
      </c>
      <c r="F693" s="7" t="s">
        <v>18</v>
      </c>
      <c r="G693" s="7" t="s">
        <v>19</v>
      </c>
      <c r="H693" s="7" t="s">
        <v>1720</v>
      </c>
      <c r="I693" s="8" t="s">
        <v>1737</v>
      </c>
    </row>
    <row r="694" spans="1:9" x14ac:dyDescent="0.35">
      <c r="A694" s="6">
        <v>2535771</v>
      </c>
      <c r="B694" s="7" t="str">
        <f>"3329074610650001"</f>
        <v>3329074610650001</v>
      </c>
      <c r="C694" s="7" t="s">
        <v>2057</v>
      </c>
      <c r="D694" s="7" t="s">
        <v>17</v>
      </c>
      <c r="E694" s="7" t="s">
        <v>11</v>
      </c>
      <c r="F694" s="7" t="s">
        <v>18</v>
      </c>
      <c r="G694" s="7" t="s">
        <v>19</v>
      </c>
      <c r="H694" s="7" t="s">
        <v>1720</v>
      </c>
      <c r="I694" s="8" t="s">
        <v>1777</v>
      </c>
    </row>
    <row r="695" spans="1:9" x14ac:dyDescent="0.35">
      <c r="A695" s="6">
        <v>1692374</v>
      </c>
      <c r="B695" s="7" t="str">
        <f>"3329074610650001"</f>
        <v>3329074610650001</v>
      </c>
      <c r="C695" s="7" t="s">
        <v>2057</v>
      </c>
      <c r="D695" s="7" t="s">
        <v>17</v>
      </c>
      <c r="E695" s="7" t="s">
        <v>11</v>
      </c>
      <c r="F695" s="7" t="s">
        <v>18</v>
      </c>
      <c r="G695" s="7" t="s">
        <v>264</v>
      </c>
      <c r="H695" s="7" t="s">
        <v>265</v>
      </c>
      <c r="I695" s="8" t="s">
        <v>1869</v>
      </c>
    </row>
    <row r="696" spans="1:9" x14ac:dyDescent="0.35">
      <c r="A696" s="6">
        <v>2534888</v>
      </c>
      <c r="B696" s="7" t="str">
        <f>"3329076403940001"</f>
        <v>3329076403940001</v>
      </c>
      <c r="C696" s="7" t="s">
        <v>2058</v>
      </c>
      <c r="D696" s="7" t="s">
        <v>17</v>
      </c>
      <c r="E696" s="7" t="s">
        <v>11</v>
      </c>
      <c r="F696" s="7" t="s">
        <v>18</v>
      </c>
      <c r="G696" s="7" t="s">
        <v>19</v>
      </c>
      <c r="H696" s="7" t="s">
        <v>1720</v>
      </c>
      <c r="I696" s="8" t="s">
        <v>1740</v>
      </c>
    </row>
    <row r="697" spans="1:9" x14ac:dyDescent="0.35">
      <c r="A697" s="6">
        <v>2535598</v>
      </c>
      <c r="B697" s="7" t="str">
        <f>"3329076408960002"</f>
        <v>3329076408960002</v>
      </c>
      <c r="C697" s="7" t="s">
        <v>2059</v>
      </c>
      <c r="D697" s="7" t="s">
        <v>17</v>
      </c>
      <c r="E697" s="7" t="s">
        <v>11</v>
      </c>
      <c r="F697" s="7" t="s">
        <v>18</v>
      </c>
      <c r="G697" s="7" t="s">
        <v>19</v>
      </c>
      <c r="H697" s="7" t="s">
        <v>1720</v>
      </c>
      <c r="I697" s="8" t="s">
        <v>1857</v>
      </c>
    </row>
    <row r="698" spans="1:9" x14ac:dyDescent="0.35">
      <c r="A698" s="6">
        <v>1682591</v>
      </c>
      <c r="B698" s="7" t="str">
        <f>"3329076507950001"</f>
        <v>3329076507950001</v>
      </c>
      <c r="C698" s="7" t="s">
        <v>2061</v>
      </c>
      <c r="D698" s="7" t="s">
        <v>17</v>
      </c>
      <c r="E698" s="7" t="s">
        <v>11</v>
      </c>
      <c r="F698" s="7" t="s">
        <v>18</v>
      </c>
      <c r="G698" s="7" t="s">
        <v>264</v>
      </c>
      <c r="H698" s="7" t="s">
        <v>265</v>
      </c>
      <c r="I698" s="8" t="s">
        <v>1878</v>
      </c>
    </row>
    <row r="699" spans="1:9" x14ac:dyDescent="0.35">
      <c r="A699" s="6">
        <v>2535828</v>
      </c>
      <c r="B699" s="7" t="str">
        <f>"3329076703860008"</f>
        <v>3329076703860008</v>
      </c>
      <c r="C699" s="7" t="s">
        <v>2063</v>
      </c>
      <c r="D699" s="7" t="s">
        <v>17</v>
      </c>
      <c r="E699" s="7" t="s">
        <v>11</v>
      </c>
      <c r="F699" s="7" t="s">
        <v>18</v>
      </c>
      <c r="G699" s="7" t="s">
        <v>19</v>
      </c>
      <c r="H699" s="7" t="s">
        <v>1720</v>
      </c>
      <c r="I699" s="8" t="s">
        <v>1777</v>
      </c>
    </row>
    <row r="700" spans="1:9" x14ac:dyDescent="0.35">
      <c r="A700" s="6">
        <v>2534748</v>
      </c>
      <c r="B700" s="7" t="str">
        <f>"3329076803960005"</f>
        <v>3329076803960005</v>
      </c>
      <c r="C700" s="7" t="s">
        <v>2064</v>
      </c>
      <c r="D700" s="7" t="s">
        <v>17</v>
      </c>
      <c r="E700" s="7" t="s">
        <v>11</v>
      </c>
      <c r="F700" s="7" t="s">
        <v>18</v>
      </c>
      <c r="G700" s="7" t="s">
        <v>19</v>
      </c>
      <c r="H700" s="7" t="s">
        <v>1720</v>
      </c>
      <c r="I700" s="8" t="s">
        <v>1740</v>
      </c>
    </row>
    <row r="701" spans="1:9" x14ac:dyDescent="0.35">
      <c r="A701" s="6">
        <v>2535834</v>
      </c>
      <c r="B701" s="7" t="str">
        <f>"3329082812860003"</f>
        <v>3329082812860003</v>
      </c>
      <c r="C701" s="7" t="s">
        <v>2065</v>
      </c>
      <c r="D701" s="7" t="s">
        <v>17</v>
      </c>
      <c r="E701" s="7" t="s">
        <v>11</v>
      </c>
      <c r="F701" s="7" t="s">
        <v>18</v>
      </c>
      <c r="G701" s="7" t="s">
        <v>19</v>
      </c>
      <c r="H701" s="7" t="s">
        <v>1720</v>
      </c>
      <c r="I701" s="8" t="s">
        <v>1777</v>
      </c>
    </row>
    <row r="702" spans="1:9" x14ac:dyDescent="0.35">
      <c r="A702" s="6">
        <v>2535616</v>
      </c>
      <c r="B702" s="7" t="str">
        <f>"3329084107610117"</f>
        <v>3329084107610117</v>
      </c>
      <c r="C702" s="7" t="s">
        <v>2067</v>
      </c>
      <c r="D702" s="7" t="s">
        <v>17</v>
      </c>
      <c r="E702" s="7" t="s">
        <v>11</v>
      </c>
      <c r="F702" s="7" t="s">
        <v>18</v>
      </c>
      <c r="G702" s="7" t="s">
        <v>19</v>
      </c>
      <c r="H702" s="7" t="s">
        <v>1720</v>
      </c>
      <c r="I702" s="8" t="s">
        <v>1857</v>
      </c>
    </row>
    <row r="703" spans="1:9" x14ac:dyDescent="0.35">
      <c r="A703" s="6">
        <v>1610235</v>
      </c>
      <c r="B703" s="7" t="str">
        <f>"3329090608920007"</f>
        <v>3329090608920007</v>
      </c>
      <c r="C703" s="7" t="s">
        <v>2069</v>
      </c>
      <c r="D703" s="7" t="s">
        <v>17</v>
      </c>
      <c r="E703" s="7" t="s">
        <v>11</v>
      </c>
      <c r="F703" s="7" t="s">
        <v>18</v>
      </c>
      <c r="G703" s="7" t="s">
        <v>264</v>
      </c>
      <c r="H703" s="7" t="s">
        <v>264</v>
      </c>
      <c r="I703" s="8" t="s">
        <v>2004</v>
      </c>
    </row>
    <row r="704" spans="1:9" x14ac:dyDescent="0.35">
      <c r="A704" s="6">
        <v>2535796</v>
      </c>
      <c r="B704" s="7" t="str">
        <f>"3329092302900003"</f>
        <v>3329092302900003</v>
      </c>
      <c r="C704" s="7" t="s">
        <v>2072</v>
      </c>
      <c r="D704" s="7" t="s">
        <v>17</v>
      </c>
      <c r="E704" s="7" t="s">
        <v>11</v>
      </c>
      <c r="F704" s="7" t="s">
        <v>18</v>
      </c>
      <c r="G704" s="7" t="s">
        <v>19</v>
      </c>
      <c r="H704" s="7" t="s">
        <v>1720</v>
      </c>
      <c r="I704" s="8" t="s">
        <v>1777</v>
      </c>
    </row>
    <row r="705" spans="1:9" x14ac:dyDescent="0.35">
      <c r="A705" s="6">
        <v>2534893</v>
      </c>
      <c r="B705" s="7" t="str">
        <f>"3329095405850003"</f>
        <v>3329095405850003</v>
      </c>
      <c r="C705" s="7" t="s">
        <v>2073</v>
      </c>
      <c r="D705" s="7" t="s">
        <v>17</v>
      </c>
      <c r="E705" s="7" t="s">
        <v>11</v>
      </c>
      <c r="F705" s="7" t="s">
        <v>18</v>
      </c>
      <c r="G705" s="7" t="s">
        <v>19</v>
      </c>
      <c r="H705" s="7" t="s">
        <v>1720</v>
      </c>
      <c r="I705" s="8" t="s">
        <v>1740</v>
      </c>
    </row>
    <row r="706" spans="1:9" x14ac:dyDescent="0.35">
      <c r="A706" s="6">
        <v>2535509</v>
      </c>
      <c r="B706" s="7" t="str">
        <f>"3329100303960003"</f>
        <v>3329100303960003</v>
      </c>
      <c r="C706" s="7" t="s">
        <v>2076</v>
      </c>
      <c r="D706" s="7" t="s">
        <v>17</v>
      </c>
      <c r="E706" s="7" t="s">
        <v>11</v>
      </c>
      <c r="F706" s="7" t="s">
        <v>18</v>
      </c>
      <c r="G706" s="7" t="s">
        <v>19</v>
      </c>
      <c r="H706" s="7" t="s">
        <v>1720</v>
      </c>
      <c r="I706" s="8" t="s">
        <v>1737</v>
      </c>
    </row>
    <row r="707" spans="1:9" x14ac:dyDescent="0.35">
      <c r="A707" s="6">
        <v>1691690</v>
      </c>
      <c r="B707" s="7" t="str">
        <f>"3329100710930002"</f>
        <v>3329100710930002</v>
      </c>
      <c r="C707" s="7" t="s">
        <v>2078</v>
      </c>
      <c r="D707" s="7" t="s">
        <v>17</v>
      </c>
      <c r="E707" s="7" t="s">
        <v>11</v>
      </c>
      <c r="F707" s="7" t="s">
        <v>18</v>
      </c>
      <c r="G707" s="7" t="s">
        <v>264</v>
      </c>
      <c r="H707" s="7" t="s">
        <v>273</v>
      </c>
      <c r="I707" s="8" t="s">
        <v>273</v>
      </c>
    </row>
    <row r="708" spans="1:9" x14ac:dyDescent="0.35">
      <c r="A708" s="6">
        <v>2535735</v>
      </c>
      <c r="B708" s="7" t="str">
        <f>"3329101301980005"</f>
        <v>3329101301980005</v>
      </c>
      <c r="C708" s="7" t="s">
        <v>2079</v>
      </c>
      <c r="D708" s="7" t="s">
        <v>17</v>
      </c>
      <c r="E708" s="7" t="s">
        <v>11</v>
      </c>
      <c r="F708" s="7" t="s">
        <v>18</v>
      </c>
      <c r="G708" s="7" t="s">
        <v>19</v>
      </c>
      <c r="H708" s="7" t="s">
        <v>1720</v>
      </c>
      <c r="I708" s="8" t="s">
        <v>1771</v>
      </c>
    </row>
    <row r="709" spans="1:9" x14ac:dyDescent="0.35">
      <c r="A709" s="6">
        <v>2535370</v>
      </c>
      <c r="B709" s="7" t="str">
        <f>"3329102607000001"</f>
        <v>3329102607000001</v>
      </c>
      <c r="C709" s="7" t="s">
        <v>2081</v>
      </c>
      <c r="D709" s="7" t="s">
        <v>17</v>
      </c>
      <c r="E709" s="7" t="s">
        <v>11</v>
      </c>
      <c r="F709" s="7" t="s">
        <v>18</v>
      </c>
      <c r="G709" s="7" t="s">
        <v>19</v>
      </c>
      <c r="H709" s="7" t="s">
        <v>1720</v>
      </c>
      <c r="I709" s="8" t="s">
        <v>1737</v>
      </c>
    </row>
    <row r="710" spans="1:9" x14ac:dyDescent="0.35">
      <c r="A710" s="6">
        <v>2535389</v>
      </c>
      <c r="B710" s="7" t="str">
        <f>"3329102705860004"</f>
        <v>3329102705860004</v>
      </c>
      <c r="C710" s="7" t="s">
        <v>2084</v>
      </c>
      <c r="D710" s="7" t="s">
        <v>17</v>
      </c>
      <c r="E710" s="7" t="s">
        <v>11</v>
      </c>
      <c r="F710" s="7" t="s">
        <v>18</v>
      </c>
      <c r="G710" s="7" t="s">
        <v>19</v>
      </c>
      <c r="H710" s="7" t="s">
        <v>1720</v>
      </c>
      <c r="I710" s="8" t="s">
        <v>1737</v>
      </c>
    </row>
    <row r="711" spans="1:9" x14ac:dyDescent="0.35">
      <c r="A711" s="6">
        <v>2534508</v>
      </c>
      <c r="B711" s="7" t="str">
        <f>"3329102706000005"</f>
        <v>3329102706000005</v>
      </c>
      <c r="C711" s="7" t="s">
        <v>2085</v>
      </c>
      <c r="D711" s="7" t="s">
        <v>17</v>
      </c>
      <c r="E711" s="7" t="s">
        <v>11</v>
      </c>
      <c r="F711" s="7" t="s">
        <v>18</v>
      </c>
      <c r="G711" s="7" t="s">
        <v>19</v>
      </c>
      <c r="H711" s="7" t="s">
        <v>1720</v>
      </c>
      <c r="I711" s="8" t="s">
        <v>1727</v>
      </c>
    </row>
    <row r="712" spans="1:9" x14ac:dyDescent="0.35">
      <c r="A712" s="6">
        <v>2534740</v>
      </c>
      <c r="B712" s="7" t="str">
        <f>"3329135210740002"</f>
        <v>3329135210740002</v>
      </c>
      <c r="C712" s="7" t="s">
        <v>2086</v>
      </c>
      <c r="D712" s="7" t="s">
        <v>17</v>
      </c>
      <c r="E712" s="7" t="s">
        <v>11</v>
      </c>
      <c r="F712" s="7" t="s">
        <v>18</v>
      </c>
      <c r="G712" s="7" t="s">
        <v>19</v>
      </c>
      <c r="H712" s="7" t="s">
        <v>1720</v>
      </c>
      <c r="I712" s="8" t="s">
        <v>1740</v>
      </c>
    </row>
    <row r="713" spans="1:9" x14ac:dyDescent="0.35">
      <c r="A713" s="6">
        <v>1615837</v>
      </c>
      <c r="B713" s="7" t="str">
        <f>"3329135806040007"</f>
        <v>3329135806040007</v>
      </c>
      <c r="C713" s="7" t="s">
        <v>2089</v>
      </c>
      <c r="D713" s="7" t="s">
        <v>17</v>
      </c>
      <c r="E713" s="7" t="s">
        <v>11</v>
      </c>
      <c r="F713" s="7" t="s">
        <v>18</v>
      </c>
      <c r="G713" s="7" t="s">
        <v>264</v>
      </c>
      <c r="H713" s="7" t="s">
        <v>773</v>
      </c>
      <c r="I713" s="8" t="s">
        <v>2087</v>
      </c>
    </row>
    <row r="714" spans="1:9" x14ac:dyDescent="0.35">
      <c r="A714" s="6">
        <v>1635885</v>
      </c>
      <c r="B714" s="7" t="str">
        <f>"3329142004820022"</f>
        <v>3329142004820022</v>
      </c>
      <c r="C714" s="7" t="s">
        <v>2090</v>
      </c>
      <c r="D714" s="7" t="s">
        <v>17</v>
      </c>
      <c r="E714" s="7" t="s">
        <v>11</v>
      </c>
      <c r="F714" s="7" t="s">
        <v>18</v>
      </c>
      <c r="G714" s="7" t="s">
        <v>264</v>
      </c>
      <c r="H714" s="7" t="s">
        <v>477</v>
      </c>
      <c r="I714" s="8" t="s">
        <v>2091</v>
      </c>
    </row>
    <row r="715" spans="1:9" x14ac:dyDescent="0.35">
      <c r="A715" s="6">
        <v>2534789</v>
      </c>
      <c r="B715" s="7" t="str">
        <f>"3329151201970005"</f>
        <v>3329151201970005</v>
      </c>
      <c r="C715" s="7" t="s">
        <v>2092</v>
      </c>
      <c r="D715" s="7" t="s">
        <v>17</v>
      </c>
      <c r="E715" s="7" t="s">
        <v>11</v>
      </c>
      <c r="F715" s="7" t="s">
        <v>18</v>
      </c>
      <c r="G715" s="7" t="s">
        <v>19</v>
      </c>
      <c r="H715" s="7" t="s">
        <v>1720</v>
      </c>
      <c r="I715" s="8" t="s">
        <v>1740</v>
      </c>
    </row>
    <row r="716" spans="1:9" x14ac:dyDescent="0.35">
      <c r="A716" s="6">
        <v>1650105</v>
      </c>
      <c r="B716" s="7" t="str">
        <f>"3329160105920013"</f>
        <v>3329160105920013</v>
      </c>
      <c r="C716" s="7" t="s">
        <v>2096</v>
      </c>
      <c r="D716" s="7" t="s">
        <v>17</v>
      </c>
      <c r="E716" s="7" t="s">
        <v>11</v>
      </c>
      <c r="F716" s="7" t="s">
        <v>18</v>
      </c>
      <c r="G716" s="7" t="s">
        <v>264</v>
      </c>
      <c r="H716" s="7" t="s">
        <v>344</v>
      </c>
      <c r="I716" s="8" t="s">
        <v>1968</v>
      </c>
    </row>
    <row r="717" spans="1:9" x14ac:dyDescent="0.35">
      <c r="A717" s="6">
        <v>2535218</v>
      </c>
      <c r="B717" s="7" t="str">
        <f>"3329162104970006"</f>
        <v>3329162104970006</v>
      </c>
      <c r="C717" s="7" t="s">
        <v>2097</v>
      </c>
      <c r="D717" s="7" t="s">
        <v>17</v>
      </c>
      <c r="E717" s="7" t="s">
        <v>11</v>
      </c>
      <c r="F717" s="7" t="s">
        <v>18</v>
      </c>
      <c r="G717" s="7" t="s">
        <v>19</v>
      </c>
      <c r="H717" s="7" t="s">
        <v>1720</v>
      </c>
      <c r="I717" s="8" t="s">
        <v>1381</v>
      </c>
    </row>
    <row r="718" spans="1:9" x14ac:dyDescent="0.35">
      <c r="A718" s="6">
        <v>2535693</v>
      </c>
      <c r="B718" s="7" t="str">
        <f>"3329176404930002"</f>
        <v>3329176404930002</v>
      </c>
      <c r="C718" s="7" t="s">
        <v>2098</v>
      </c>
      <c r="D718" s="7" t="s">
        <v>17</v>
      </c>
      <c r="E718" s="7" t="s">
        <v>11</v>
      </c>
      <c r="F718" s="7" t="s">
        <v>18</v>
      </c>
      <c r="G718" s="7" t="s">
        <v>19</v>
      </c>
      <c r="H718" s="7" t="s">
        <v>1720</v>
      </c>
      <c r="I718" s="8" t="s">
        <v>1771</v>
      </c>
    </row>
    <row r="719" spans="1:9" x14ac:dyDescent="0.35">
      <c r="A719" s="6">
        <v>2534646</v>
      </c>
      <c r="B719" s="7" t="str">
        <f>"3376022805830001"</f>
        <v>3376022805830001</v>
      </c>
      <c r="C719" s="7" t="s">
        <v>2099</v>
      </c>
      <c r="D719" s="7" t="s">
        <v>17</v>
      </c>
      <c r="E719" s="7" t="s">
        <v>11</v>
      </c>
      <c r="F719" s="7" t="s">
        <v>18</v>
      </c>
      <c r="G719" s="7" t="s">
        <v>19</v>
      </c>
      <c r="H719" s="7" t="s">
        <v>1720</v>
      </c>
      <c r="I719" s="8" t="s">
        <v>1723</v>
      </c>
    </row>
    <row r="720" spans="1:9" x14ac:dyDescent="0.35">
      <c r="A720" s="6">
        <v>2534894</v>
      </c>
      <c r="B720" s="7" t="str">
        <f>"3376042109930002"</f>
        <v>3376042109930002</v>
      </c>
      <c r="C720" s="7" t="s">
        <v>2100</v>
      </c>
      <c r="D720" s="7" t="s">
        <v>17</v>
      </c>
      <c r="E720" s="7" t="s">
        <v>11</v>
      </c>
      <c r="F720" s="7" t="s">
        <v>18</v>
      </c>
      <c r="G720" s="7" t="s">
        <v>19</v>
      </c>
      <c r="H720" s="7" t="s">
        <v>1720</v>
      </c>
      <c r="I720" s="8" t="s">
        <v>1740</v>
      </c>
    </row>
    <row r="721" spans="1:9" x14ac:dyDescent="0.35">
      <c r="A721" s="6">
        <v>2535657</v>
      </c>
      <c r="B721" s="7" t="str">
        <f>"3376047003840002"</f>
        <v>3376047003840002</v>
      </c>
      <c r="C721" s="7" t="s">
        <v>2102</v>
      </c>
      <c r="D721" s="7" t="s">
        <v>17</v>
      </c>
      <c r="E721" s="7" t="s">
        <v>11</v>
      </c>
      <c r="F721" s="7" t="s">
        <v>18</v>
      </c>
      <c r="G721" s="7" t="s">
        <v>19</v>
      </c>
      <c r="H721" s="7" t="s">
        <v>1720</v>
      </c>
      <c r="I721" s="8" t="s">
        <v>1771</v>
      </c>
    </row>
    <row r="722" spans="1:9" x14ac:dyDescent="0.35">
      <c r="A722" s="6">
        <v>2132012</v>
      </c>
      <c r="B722" s="7" t="str">
        <f>"3522024110900009"</f>
        <v>3522024110900009</v>
      </c>
      <c r="C722" s="7" t="s">
        <v>2103</v>
      </c>
      <c r="D722" s="7" t="s">
        <v>17</v>
      </c>
      <c r="E722" s="7" t="s">
        <v>11</v>
      </c>
      <c r="F722" s="7" t="s">
        <v>303</v>
      </c>
      <c r="G722" s="7" t="s">
        <v>1808</v>
      </c>
      <c r="H722" s="7" t="s">
        <v>2104</v>
      </c>
      <c r="I722" s="8" t="s">
        <v>773</v>
      </c>
    </row>
    <row r="723" spans="1:9" x14ac:dyDescent="0.35">
      <c r="A723" s="6">
        <v>2150231</v>
      </c>
      <c r="B723" s="7" t="str">
        <f>"3522205204000002"</f>
        <v>3522205204000002</v>
      </c>
      <c r="C723" s="7" t="s">
        <v>2106</v>
      </c>
      <c r="D723" s="7" t="s">
        <v>17</v>
      </c>
      <c r="E723" s="7" t="s">
        <v>11</v>
      </c>
      <c r="F723" s="7" t="s">
        <v>303</v>
      </c>
      <c r="G723" s="7" t="s">
        <v>1808</v>
      </c>
      <c r="H723" s="7" t="s">
        <v>2107</v>
      </c>
      <c r="I723" s="8" t="s">
        <v>2108</v>
      </c>
    </row>
    <row r="724" spans="1:9" x14ac:dyDescent="0.35">
      <c r="A724" s="6">
        <v>2534795</v>
      </c>
      <c r="B724" s="7" t="str">
        <f>"3602234704970001"</f>
        <v>3602234704970001</v>
      </c>
      <c r="C724" s="7" t="s">
        <v>2112</v>
      </c>
      <c r="D724" s="7" t="s">
        <v>17</v>
      </c>
      <c r="E724" s="7" t="s">
        <v>11</v>
      </c>
      <c r="F724" s="7" t="s">
        <v>18</v>
      </c>
      <c r="G724" s="7" t="s">
        <v>19</v>
      </c>
      <c r="H724" s="7" t="s">
        <v>1720</v>
      </c>
      <c r="I724" s="8" t="s">
        <v>1740</v>
      </c>
    </row>
    <row r="725" spans="1:9" x14ac:dyDescent="0.35">
      <c r="A725" s="6">
        <v>2534802</v>
      </c>
      <c r="B725" s="7" t="str">
        <f>"3671131011780010"</f>
        <v>3671131011780010</v>
      </c>
      <c r="C725" s="7" t="s">
        <v>2115</v>
      </c>
      <c r="D725" s="7" t="s">
        <v>17</v>
      </c>
      <c r="E725" s="7" t="s">
        <v>11</v>
      </c>
      <c r="F725" s="7" t="s">
        <v>18</v>
      </c>
      <c r="G725" s="7" t="s">
        <v>19</v>
      </c>
      <c r="H725" s="7" t="s">
        <v>1720</v>
      </c>
      <c r="I725" s="8" t="s">
        <v>1740</v>
      </c>
    </row>
    <row r="726" spans="1:9" x14ac:dyDescent="0.35">
      <c r="A726" s="6">
        <v>2534685</v>
      </c>
      <c r="B726" s="7" t="str">
        <f>"3674040101830007"</f>
        <v>3674040101830007</v>
      </c>
      <c r="C726" s="7" t="s">
        <v>2118</v>
      </c>
      <c r="D726" s="7" t="s">
        <v>17</v>
      </c>
      <c r="E726" s="7" t="s">
        <v>11</v>
      </c>
      <c r="F726" s="7" t="s">
        <v>18</v>
      </c>
      <c r="G726" s="7" t="s">
        <v>19</v>
      </c>
      <c r="H726" s="7" t="s">
        <v>1720</v>
      </c>
      <c r="I726" s="8" t="s">
        <v>1740</v>
      </c>
    </row>
    <row r="727" spans="1:9" x14ac:dyDescent="0.35">
      <c r="A727" s="6">
        <v>2534686</v>
      </c>
      <c r="B727" s="7" t="str">
        <f>"3674045702840004"</f>
        <v>3674045702840004</v>
      </c>
      <c r="C727" s="7" t="s">
        <v>2119</v>
      </c>
      <c r="D727" s="7" t="s">
        <v>17</v>
      </c>
      <c r="E727" s="7" t="s">
        <v>11</v>
      </c>
      <c r="F727" s="7" t="s">
        <v>18</v>
      </c>
      <c r="G727" s="7" t="s">
        <v>19</v>
      </c>
      <c r="H727" s="7" t="s">
        <v>1720</v>
      </c>
      <c r="I727" s="8" t="s">
        <v>1740</v>
      </c>
    </row>
    <row r="728" spans="1:9" x14ac:dyDescent="0.35">
      <c r="A728" s="6">
        <v>207182</v>
      </c>
      <c r="B728" s="7" t="str">
        <f>"5311182304860001"</f>
        <v>5311182304860001</v>
      </c>
      <c r="C728" s="7" t="s">
        <v>2121</v>
      </c>
      <c r="D728" s="7" t="s">
        <v>17</v>
      </c>
      <c r="E728" s="7" t="s">
        <v>11</v>
      </c>
      <c r="F728" s="7" t="s">
        <v>2122</v>
      </c>
      <c r="G728" s="7" t="s">
        <v>2123</v>
      </c>
      <c r="H728" s="7" t="s">
        <v>2124</v>
      </c>
      <c r="I728" s="8" t="s">
        <v>2125</v>
      </c>
    </row>
    <row r="729" spans="1:9" x14ac:dyDescent="0.35">
      <c r="A729" s="6">
        <v>2534905</v>
      </c>
      <c r="B729" s="7" t="str">
        <f>"6203015802980003"</f>
        <v>6203015802980003</v>
      </c>
      <c r="C729" s="7" t="s">
        <v>2126</v>
      </c>
      <c r="D729" s="7" t="s">
        <v>17</v>
      </c>
      <c r="E729" s="7" t="s">
        <v>11</v>
      </c>
      <c r="F729" s="7" t="s">
        <v>18</v>
      </c>
      <c r="G729" s="7" t="s">
        <v>19</v>
      </c>
      <c r="H729" s="7" t="s">
        <v>1720</v>
      </c>
      <c r="I729" s="8" t="s">
        <v>1740</v>
      </c>
    </row>
    <row r="730" spans="1:9" x14ac:dyDescent="0.35">
      <c r="A730" s="6">
        <v>286891</v>
      </c>
      <c r="B730" s="7" t="str">
        <f>"1211111706040001"</f>
        <v>1211111706040001</v>
      </c>
      <c r="C730" s="7" t="s">
        <v>2136</v>
      </c>
      <c r="D730" s="7" t="s">
        <v>17</v>
      </c>
      <c r="E730" s="7" t="s">
        <v>11</v>
      </c>
      <c r="F730" s="7" t="s">
        <v>667</v>
      </c>
      <c r="G730" s="7" t="s">
        <v>2137</v>
      </c>
      <c r="H730" s="7" t="s">
        <v>2138</v>
      </c>
      <c r="I730" s="8" t="s">
        <v>2139</v>
      </c>
    </row>
    <row r="731" spans="1:9" x14ac:dyDescent="0.35">
      <c r="A731" s="6">
        <v>1475011</v>
      </c>
      <c r="B731" s="7" t="str">
        <f>"1401112910000001"</f>
        <v>1401112910000001</v>
      </c>
      <c r="C731" s="7" t="s">
        <v>2152</v>
      </c>
      <c r="D731" s="7" t="s">
        <v>17</v>
      </c>
      <c r="E731" s="7" t="s">
        <v>11</v>
      </c>
      <c r="F731" s="7" t="s">
        <v>667</v>
      </c>
      <c r="G731" s="7" t="s">
        <v>2153</v>
      </c>
      <c r="H731" s="7" t="s">
        <v>2154</v>
      </c>
      <c r="I731" s="8" t="s">
        <v>2155</v>
      </c>
    </row>
    <row r="732" spans="1:9" x14ac:dyDescent="0.35">
      <c r="A732" s="6">
        <v>2539122</v>
      </c>
      <c r="B732" s="7" t="str">
        <f>"1671026005910002"</f>
        <v>1671026005910002</v>
      </c>
      <c r="C732" s="7" t="s">
        <v>2160</v>
      </c>
      <c r="D732" s="7" t="s">
        <v>17</v>
      </c>
      <c r="E732" s="7" t="s">
        <v>11</v>
      </c>
      <c r="F732" s="7" t="s">
        <v>18</v>
      </c>
      <c r="G732" s="7" t="s">
        <v>19</v>
      </c>
      <c r="H732" s="7" t="s">
        <v>1394</v>
      </c>
      <c r="I732" s="8" t="s">
        <v>2161</v>
      </c>
    </row>
    <row r="733" spans="1:9" x14ac:dyDescent="0.35">
      <c r="A733" s="6">
        <v>2540024</v>
      </c>
      <c r="B733" s="7" t="str">
        <f>"1671074209010010"</f>
        <v>1671074209010010</v>
      </c>
      <c r="C733" s="7" t="s">
        <v>2162</v>
      </c>
      <c r="D733" s="7" t="s">
        <v>17</v>
      </c>
      <c r="E733" s="7" t="s">
        <v>11</v>
      </c>
      <c r="F733" s="7" t="s">
        <v>18</v>
      </c>
      <c r="G733" s="7" t="s">
        <v>19</v>
      </c>
      <c r="H733" s="7" t="s">
        <v>1394</v>
      </c>
      <c r="I733" s="8" t="s">
        <v>2165</v>
      </c>
    </row>
    <row r="734" spans="1:9" x14ac:dyDescent="0.35">
      <c r="A734" s="6">
        <v>2539741</v>
      </c>
      <c r="B734" s="7" t="str">
        <f>"1802225606020003"</f>
        <v>1802225606020003</v>
      </c>
      <c r="C734" s="7" t="s">
        <v>2170</v>
      </c>
      <c r="D734" s="7" t="s">
        <v>17</v>
      </c>
      <c r="E734" s="7" t="s">
        <v>11</v>
      </c>
      <c r="F734" s="7" t="s">
        <v>18</v>
      </c>
      <c r="G734" s="7" t="s">
        <v>19</v>
      </c>
      <c r="H734" s="7" t="s">
        <v>1394</v>
      </c>
      <c r="I734" s="8" t="s">
        <v>2172</v>
      </c>
    </row>
    <row r="735" spans="1:9" x14ac:dyDescent="0.35">
      <c r="A735" s="6">
        <v>2539906</v>
      </c>
      <c r="B735" s="7" t="str">
        <f>"3171070807690007"</f>
        <v>3171070807690007</v>
      </c>
      <c r="C735" s="7" t="s">
        <v>2186</v>
      </c>
      <c r="D735" s="7" t="s">
        <v>17</v>
      </c>
      <c r="E735" s="7" t="s">
        <v>11</v>
      </c>
      <c r="F735" s="7" t="s">
        <v>18</v>
      </c>
      <c r="G735" s="7" t="s">
        <v>19</v>
      </c>
      <c r="H735" s="7" t="s">
        <v>1394</v>
      </c>
      <c r="I735" s="8" t="s">
        <v>2187</v>
      </c>
    </row>
    <row r="736" spans="1:9" x14ac:dyDescent="0.35">
      <c r="A736" s="6">
        <v>2538461</v>
      </c>
      <c r="B736" s="7" t="str">
        <f>"3171074307500006"</f>
        <v>3171074307500006</v>
      </c>
      <c r="C736" s="7" t="s">
        <v>2188</v>
      </c>
      <c r="D736" s="7" t="s">
        <v>17</v>
      </c>
      <c r="E736" s="7" t="s">
        <v>11</v>
      </c>
      <c r="F736" s="7" t="s">
        <v>18</v>
      </c>
      <c r="G736" s="7" t="s">
        <v>19</v>
      </c>
      <c r="H736" s="7" t="s">
        <v>1394</v>
      </c>
      <c r="I736" s="8" t="s">
        <v>2189</v>
      </c>
    </row>
    <row r="737" spans="1:9" x14ac:dyDescent="0.35">
      <c r="A737" s="6">
        <v>2538960</v>
      </c>
      <c r="B737" s="7" t="str">
        <f>"3172012309770005"</f>
        <v>3172012309770005</v>
      </c>
      <c r="C737" s="7" t="s">
        <v>2191</v>
      </c>
      <c r="D737" s="7" t="s">
        <v>17</v>
      </c>
      <c r="E737" s="7" t="s">
        <v>11</v>
      </c>
      <c r="F737" s="7" t="s">
        <v>18</v>
      </c>
      <c r="G737" s="7" t="s">
        <v>19</v>
      </c>
      <c r="H737" s="7" t="s">
        <v>1394</v>
      </c>
      <c r="I737" s="8" t="s">
        <v>2161</v>
      </c>
    </row>
    <row r="738" spans="1:9" x14ac:dyDescent="0.35">
      <c r="A738" s="6">
        <v>2540442</v>
      </c>
      <c r="B738" s="7" t="str">
        <f>"3172021010590014"</f>
        <v>3172021010590014</v>
      </c>
      <c r="C738" s="7" t="s">
        <v>2192</v>
      </c>
      <c r="D738" s="7" t="s">
        <v>17</v>
      </c>
      <c r="E738" s="7" t="s">
        <v>11</v>
      </c>
      <c r="F738" s="7" t="s">
        <v>18</v>
      </c>
      <c r="G738" s="7" t="s">
        <v>19</v>
      </c>
      <c r="H738" s="7" t="s">
        <v>1394</v>
      </c>
      <c r="I738" s="8" t="s">
        <v>2194</v>
      </c>
    </row>
    <row r="739" spans="1:9" x14ac:dyDescent="0.35">
      <c r="A739" s="6">
        <v>2540481</v>
      </c>
      <c r="B739" s="7" t="str">
        <f>"3172034909770003"</f>
        <v>3172034909770003</v>
      </c>
      <c r="C739" s="7" t="s">
        <v>2195</v>
      </c>
      <c r="D739" s="7" t="s">
        <v>17</v>
      </c>
      <c r="E739" s="7" t="s">
        <v>11</v>
      </c>
      <c r="F739" s="7" t="s">
        <v>18</v>
      </c>
      <c r="G739" s="7" t="s">
        <v>19</v>
      </c>
      <c r="H739" s="7" t="s">
        <v>1394</v>
      </c>
      <c r="I739" s="8" t="s">
        <v>2194</v>
      </c>
    </row>
    <row r="740" spans="1:9" x14ac:dyDescent="0.35">
      <c r="A740" s="6">
        <v>2540029</v>
      </c>
      <c r="B740" s="7" t="str">
        <f>"3173026701850002"</f>
        <v>3173026701850002</v>
      </c>
      <c r="C740" s="7" t="s">
        <v>2208</v>
      </c>
      <c r="D740" s="7" t="s">
        <v>17</v>
      </c>
      <c r="E740" s="7" t="s">
        <v>11</v>
      </c>
      <c r="F740" s="7" t="s">
        <v>18</v>
      </c>
      <c r="G740" s="7" t="s">
        <v>19</v>
      </c>
      <c r="H740" s="7" t="s">
        <v>1394</v>
      </c>
      <c r="I740" s="8" t="s">
        <v>2165</v>
      </c>
    </row>
    <row r="741" spans="1:9" x14ac:dyDescent="0.35">
      <c r="A741" s="6">
        <v>2539644</v>
      </c>
      <c r="B741" s="7" t="str">
        <f>"3173031906550002"</f>
        <v>3173031906550002</v>
      </c>
      <c r="C741" s="7" t="s">
        <v>2211</v>
      </c>
      <c r="D741" s="7" t="s">
        <v>17</v>
      </c>
      <c r="E741" s="7" t="s">
        <v>11</v>
      </c>
      <c r="F741" s="7" t="s">
        <v>18</v>
      </c>
      <c r="G741" s="7" t="s">
        <v>19</v>
      </c>
      <c r="H741" s="7" t="s">
        <v>1394</v>
      </c>
      <c r="I741" s="8" t="s">
        <v>2212</v>
      </c>
    </row>
    <row r="742" spans="1:9" x14ac:dyDescent="0.35">
      <c r="A742" s="6">
        <v>2539535</v>
      </c>
      <c r="B742" s="7" t="str">
        <f>"3173045205880009"</f>
        <v>3173045205880009</v>
      </c>
      <c r="C742" s="7" t="s">
        <v>2217</v>
      </c>
      <c r="D742" s="7" t="s">
        <v>17</v>
      </c>
      <c r="E742" s="7" t="s">
        <v>11</v>
      </c>
      <c r="F742" s="7" t="s">
        <v>18</v>
      </c>
      <c r="G742" s="7" t="s">
        <v>19</v>
      </c>
      <c r="H742" s="7" t="s">
        <v>1394</v>
      </c>
      <c r="I742" s="8" t="s">
        <v>2212</v>
      </c>
    </row>
    <row r="743" spans="1:9" x14ac:dyDescent="0.35">
      <c r="A743" s="6">
        <v>2539758</v>
      </c>
      <c r="B743" s="7" t="str">
        <f>"3174030105670003"</f>
        <v>3174030105670003</v>
      </c>
      <c r="C743" s="7" t="s">
        <v>2224</v>
      </c>
      <c r="D743" s="7" t="s">
        <v>17</v>
      </c>
      <c r="E743" s="7" t="s">
        <v>11</v>
      </c>
      <c r="F743" s="7" t="s">
        <v>18</v>
      </c>
      <c r="G743" s="7" t="s">
        <v>19</v>
      </c>
      <c r="H743" s="7" t="s">
        <v>1394</v>
      </c>
      <c r="I743" s="8" t="s">
        <v>2172</v>
      </c>
    </row>
    <row r="744" spans="1:9" x14ac:dyDescent="0.35">
      <c r="A744" s="6">
        <v>2539886</v>
      </c>
      <c r="B744" s="7" t="str">
        <f>"3174031102860007"</f>
        <v>3174031102860007</v>
      </c>
      <c r="C744" s="7" t="s">
        <v>2225</v>
      </c>
      <c r="D744" s="7" t="s">
        <v>17</v>
      </c>
      <c r="E744" s="7" t="s">
        <v>11</v>
      </c>
      <c r="F744" s="7" t="s">
        <v>18</v>
      </c>
      <c r="G744" s="7" t="s">
        <v>19</v>
      </c>
      <c r="H744" s="7" t="s">
        <v>1394</v>
      </c>
      <c r="I744" s="8" t="s">
        <v>2187</v>
      </c>
    </row>
    <row r="745" spans="1:9" x14ac:dyDescent="0.35">
      <c r="A745" s="6">
        <v>2539697</v>
      </c>
      <c r="B745" s="7" t="str">
        <f>"3174031608011002"</f>
        <v>3174031608011002</v>
      </c>
      <c r="C745" s="7" t="s">
        <v>2226</v>
      </c>
      <c r="D745" s="7" t="s">
        <v>17</v>
      </c>
      <c r="E745" s="7" t="s">
        <v>11</v>
      </c>
      <c r="F745" s="7" t="s">
        <v>18</v>
      </c>
      <c r="G745" s="7" t="s">
        <v>19</v>
      </c>
      <c r="H745" s="7" t="s">
        <v>1394</v>
      </c>
      <c r="I745" s="8" t="s">
        <v>2212</v>
      </c>
    </row>
    <row r="746" spans="1:9" x14ac:dyDescent="0.35">
      <c r="A746" s="6">
        <v>2540185</v>
      </c>
      <c r="B746" s="7" t="str">
        <f>"3174031908720007"</f>
        <v>3174031908720007</v>
      </c>
      <c r="C746" s="7" t="s">
        <v>2227</v>
      </c>
      <c r="D746" s="7" t="s">
        <v>17</v>
      </c>
      <c r="E746" s="7" t="s">
        <v>11</v>
      </c>
      <c r="F746" s="7" t="s">
        <v>18</v>
      </c>
      <c r="G746" s="7" t="s">
        <v>19</v>
      </c>
      <c r="H746" s="7" t="s">
        <v>1394</v>
      </c>
      <c r="I746" s="8" t="s">
        <v>674</v>
      </c>
    </row>
    <row r="747" spans="1:9" x14ac:dyDescent="0.35">
      <c r="A747" s="6">
        <v>2539752</v>
      </c>
      <c r="B747" s="7" t="str">
        <f>"3174032202920004"</f>
        <v>3174032202920004</v>
      </c>
      <c r="C747" s="7" t="s">
        <v>2232</v>
      </c>
      <c r="D747" s="7" t="s">
        <v>17</v>
      </c>
      <c r="E747" s="7" t="s">
        <v>11</v>
      </c>
      <c r="F747" s="7" t="s">
        <v>18</v>
      </c>
      <c r="G747" s="7" t="s">
        <v>19</v>
      </c>
      <c r="H747" s="7" t="s">
        <v>1394</v>
      </c>
      <c r="I747" s="8" t="s">
        <v>2172</v>
      </c>
    </row>
    <row r="748" spans="1:9" x14ac:dyDescent="0.35">
      <c r="A748" s="6">
        <v>1802899</v>
      </c>
      <c r="B748" s="7" t="str">
        <f>"3174032706991002"</f>
        <v>3174032706991002</v>
      </c>
      <c r="C748" s="7" t="s">
        <v>2233</v>
      </c>
      <c r="D748" s="7" t="s">
        <v>17</v>
      </c>
      <c r="E748" s="7" t="s">
        <v>11</v>
      </c>
      <c r="F748" s="7" t="s">
        <v>50</v>
      </c>
      <c r="G748" s="7" t="s">
        <v>72</v>
      </c>
      <c r="H748" s="7" t="s">
        <v>1172</v>
      </c>
      <c r="I748" s="8" t="s">
        <v>1173</v>
      </c>
    </row>
    <row r="749" spans="1:9" x14ac:dyDescent="0.35">
      <c r="A749" s="6">
        <v>2540354</v>
      </c>
      <c r="B749" s="7" t="str">
        <f>"3174032909860008"</f>
        <v>3174032909860008</v>
      </c>
      <c r="C749" s="7" t="s">
        <v>2234</v>
      </c>
      <c r="D749" s="7" t="s">
        <v>17</v>
      </c>
      <c r="E749" s="7" t="s">
        <v>11</v>
      </c>
      <c r="F749" s="7" t="s">
        <v>18</v>
      </c>
      <c r="G749" s="7" t="s">
        <v>19</v>
      </c>
      <c r="H749" s="7" t="s">
        <v>1394</v>
      </c>
      <c r="I749" s="8" t="s">
        <v>2235</v>
      </c>
    </row>
    <row r="750" spans="1:9" x14ac:dyDescent="0.35">
      <c r="A750" s="6">
        <v>2539695</v>
      </c>
      <c r="B750" s="7" t="str">
        <f>"3174033012710005"</f>
        <v>3174033012710005</v>
      </c>
      <c r="C750" s="7" t="s">
        <v>2236</v>
      </c>
      <c r="D750" s="7" t="s">
        <v>17</v>
      </c>
      <c r="E750" s="7" t="s">
        <v>11</v>
      </c>
      <c r="F750" s="7" t="s">
        <v>18</v>
      </c>
      <c r="G750" s="7" t="s">
        <v>19</v>
      </c>
      <c r="H750" s="7" t="s">
        <v>1394</v>
      </c>
      <c r="I750" s="8" t="s">
        <v>2212</v>
      </c>
    </row>
    <row r="751" spans="1:9" x14ac:dyDescent="0.35">
      <c r="A751" s="6">
        <v>2538812</v>
      </c>
      <c r="B751" s="7" t="str">
        <f>"3174035206550004"</f>
        <v>3174035206550004</v>
      </c>
      <c r="C751" s="7" t="s">
        <v>2237</v>
      </c>
      <c r="D751" s="7" t="s">
        <v>17</v>
      </c>
      <c r="E751" s="7" t="s">
        <v>11</v>
      </c>
      <c r="F751" s="7" t="s">
        <v>18</v>
      </c>
      <c r="G751" s="7" t="s">
        <v>19</v>
      </c>
      <c r="H751" s="7" t="s">
        <v>1394</v>
      </c>
      <c r="I751" s="8" t="s">
        <v>2238</v>
      </c>
    </row>
    <row r="752" spans="1:9" x14ac:dyDescent="0.35">
      <c r="A752" s="6">
        <v>2539696</v>
      </c>
      <c r="B752" s="7" t="str">
        <f>"3174035404031006"</f>
        <v>3174035404031006</v>
      </c>
      <c r="C752" s="7" t="s">
        <v>2239</v>
      </c>
      <c r="D752" s="7" t="s">
        <v>17</v>
      </c>
      <c r="E752" s="7" t="s">
        <v>11</v>
      </c>
      <c r="F752" s="7" t="s">
        <v>18</v>
      </c>
      <c r="G752" s="7" t="s">
        <v>19</v>
      </c>
      <c r="H752" s="7" t="s">
        <v>1394</v>
      </c>
      <c r="I752" s="8" t="s">
        <v>2212</v>
      </c>
    </row>
    <row r="753" spans="1:9" x14ac:dyDescent="0.35">
      <c r="A753" s="6">
        <v>2539753</v>
      </c>
      <c r="B753" s="7" t="str">
        <f>"3174036104990003"</f>
        <v>3174036104990003</v>
      </c>
      <c r="C753" s="7" t="s">
        <v>2240</v>
      </c>
      <c r="D753" s="7" t="s">
        <v>17</v>
      </c>
      <c r="E753" s="7" t="s">
        <v>11</v>
      </c>
      <c r="F753" s="7" t="s">
        <v>18</v>
      </c>
      <c r="G753" s="7" t="s">
        <v>19</v>
      </c>
      <c r="H753" s="7" t="s">
        <v>1394</v>
      </c>
      <c r="I753" s="8" t="s">
        <v>2172</v>
      </c>
    </row>
    <row r="754" spans="1:9" x14ac:dyDescent="0.35">
      <c r="A754" s="6">
        <v>2540157</v>
      </c>
      <c r="B754" s="7" t="str">
        <f>"3174046707751001"</f>
        <v>3174046707751001</v>
      </c>
      <c r="C754" s="7" t="s">
        <v>2241</v>
      </c>
      <c r="D754" s="7" t="s">
        <v>17</v>
      </c>
      <c r="E754" s="7" t="s">
        <v>11</v>
      </c>
      <c r="F754" s="7" t="s">
        <v>18</v>
      </c>
      <c r="G754" s="7" t="s">
        <v>19</v>
      </c>
      <c r="H754" s="7" t="s">
        <v>1394</v>
      </c>
      <c r="I754" s="8" t="s">
        <v>674</v>
      </c>
    </row>
    <row r="755" spans="1:9" x14ac:dyDescent="0.35">
      <c r="A755" s="6">
        <v>2540619</v>
      </c>
      <c r="B755" s="7" t="str">
        <f>"3174050505740011"</f>
        <v>3174050505740011</v>
      </c>
      <c r="C755" s="7" t="s">
        <v>2243</v>
      </c>
      <c r="D755" s="7" t="s">
        <v>17</v>
      </c>
      <c r="E755" s="7" t="s">
        <v>11</v>
      </c>
      <c r="F755" s="7" t="s">
        <v>18</v>
      </c>
      <c r="G755" s="7" t="s">
        <v>19</v>
      </c>
      <c r="H755" s="7" t="s">
        <v>1394</v>
      </c>
      <c r="I755" s="8" t="s">
        <v>1395</v>
      </c>
    </row>
    <row r="756" spans="1:9" x14ac:dyDescent="0.35">
      <c r="A756" s="6">
        <v>2539245</v>
      </c>
      <c r="B756" s="7" t="str">
        <f>"3174050903910001"</f>
        <v>3174050903910001</v>
      </c>
      <c r="C756" s="7" t="s">
        <v>1292</v>
      </c>
      <c r="D756" s="7" t="s">
        <v>17</v>
      </c>
      <c r="E756" s="7" t="s">
        <v>11</v>
      </c>
      <c r="F756" s="7" t="s">
        <v>18</v>
      </c>
      <c r="G756" s="7" t="s">
        <v>19</v>
      </c>
      <c r="H756" s="7" t="s">
        <v>1394</v>
      </c>
      <c r="I756" s="8" t="s">
        <v>2161</v>
      </c>
    </row>
    <row r="757" spans="1:9" x14ac:dyDescent="0.35">
      <c r="A757" s="6">
        <v>2540607</v>
      </c>
      <c r="B757" s="7" t="str">
        <f>"3174055507500005"</f>
        <v>3174055507500005</v>
      </c>
      <c r="C757" s="7" t="s">
        <v>2245</v>
      </c>
      <c r="D757" s="7" t="s">
        <v>17</v>
      </c>
      <c r="E757" s="7" t="s">
        <v>11</v>
      </c>
      <c r="F757" s="7" t="s">
        <v>18</v>
      </c>
      <c r="G757" s="7" t="s">
        <v>19</v>
      </c>
      <c r="H757" s="7" t="s">
        <v>1394</v>
      </c>
      <c r="I757" s="8" t="s">
        <v>1395</v>
      </c>
    </row>
    <row r="758" spans="1:9" x14ac:dyDescent="0.35">
      <c r="A758" s="6">
        <v>2540506</v>
      </c>
      <c r="B758" s="7" t="str">
        <f>"3174071102700001"</f>
        <v>3174071102700001</v>
      </c>
      <c r="C758" s="7" t="s">
        <v>2250</v>
      </c>
      <c r="D758" s="7" t="s">
        <v>17</v>
      </c>
      <c r="E758" s="7" t="s">
        <v>11</v>
      </c>
      <c r="F758" s="7" t="s">
        <v>18</v>
      </c>
      <c r="G758" s="7" t="s">
        <v>19</v>
      </c>
      <c r="H758" s="7" t="s">
        <v>1394</v>
      </c>
      <c r="I758" s="8" t="s">
        <v>1395</v>
      </c>
    </row>
    <row r="759" spans="1:9" x14ac:dyDescent="0.35">
      <c r="A759" s="6">
        <v>2540644</v>
      </c>
      <c r="B759" s="7" t="str">
        <f>"3174071501850007"</f>
        <v>3174071501850007</v>
      </c>
      <c r="C759" s="7" t="s">
        <v>2251</v>
      </c>
      <c r="D759" s="7" t="s">
        <v>17</v>
      </c>
      <c r="E759" s="7" t="s">
        <v>11</v>
      </c>
      <c r="F759" s="7" t="s">
        <v>18</v>
      </c>
      <c r="G759" s="7" t="s">
        <v>19</v>
      </c>
      <c r="H759" s="7" t="s">
        <v>1394</v>
      </c>
      <c r="I759" s="8" t="s">
        <v>1395</v>
      </c>
    </row>
    <row r="760" spans="1:9" x14ac:dyDescent="0.35">
      <c r="A760" s="6">
        <v>2539694</v>
      </c>
      <c r="B760" s="7" t="str">
        <f>"3174077112730019"</f>
        <v>3174077112730019</v>
      </c>
      <c r="C760" s="7" t="s">
        <v>2253</v>
      </c>
      <c r="D760" s="7" t="s">
        <v>17</v>
      </c>
      <c r="E760" s="7" t="s">
        <v>11</v>
      </c>
      <c r="F760" s="7" t="s">
        <v>18</v>
      </c>
      <c r="G760" s="7" t="s">
        <v>19</v>
      </c>
      <c r="H760" s="7" t="s">
        <v>1394</v>
      </c>
      <c r="I760" s="8" t="s">
        <v>2212</v>
      </c>
    </row>
    <row r="761" spans="1:9" x14ac:dyDescent="0.35">
      <c r="A761" s="6">
        <v>2539903</v>
      </c>
      <c r="B761" s="7" t="str">
        <f>"3174083009011002"</f>
        <v>3174083009011002</v>
      </c>
      <c r="C761" s="7" t="s">
        <v>2255</v>
      </c>
      <c r="D761" s="7" t="s">
        <v>17</v>
      </c>
      <c r="E761" s="7" t="s">
        <v>11</v>
      </c>
      <c r="F761" s="7" t="s">
        <v>18</v>
      </c>
      <c r="G761" s="7" t="s">
        <v>19</v>
      </c>
      <c r="H761" s="7" t="s">
        <v>1394</v>
      </c>
      <c r="I761" s="8" t="s">
        <v>2187</v>
      </c>
    </row>
    <row r="762" spans="1:9" x14ac:dyDescent="0.35">
      <c r="A762" s="6">
        <v>2540080</v>
      </c>
      <c r="B762" s="7" t="str">
        <f>"3175021306750008"</f>
        <v>3175021306750008</v>
      </c>
      <c r="C762" s="7" t="s">
        <v>2257</v>
      </c>
      <c r="D762" s="7" t="s">
        <v>17</v>
      </c>
      <c r="E762" s="7" t="s">
        <v>11</v>
      </c>
      <c r="F762" s="7" t="s">
        <v>18</v>
      </c>
      <c r="G762" s="7" t="s">
        <v>19</v>
      </c>
      <c r="H762" s="7" t="s">
        <v>1394</v>
      </c>
      <c r="I762" s="8" t="s">
        <v>2165</v>
      </c>
    </row>
    <row r="763" spans="1:9" x14ac:dyDescent="0.35">
      <c r="A763" s="6">
        <v>2540081</v>
      </c>
      <c r="B763" s="7" t="str">
        <f>"3175025812720011"</f>
        <v>3175025812720011</v>
      </c>
      <c r="C763" s="7" t="s">
        <v>2259</v>
      </c>
      <c r="D763" s="7" t="s">
        <v>17</v>
      </c>
      <c r="E763" s="7" t="s">
        <v>11</v>
      </c>
      <c r="F763" s="7" t="s">
        <v>18</v>
      </c>
      <c r="G763" s="7" t="s">
        <v>19</v>
      </c>
      <c r="H763" s="7" t="s">
        <v>1394</v>
      </c>
      <c r="I763" s="8" t="s">
        <v>2165</v>
      </c>
    </row>
    <row r="764" spans="1:9" x14ac:dyDescent="0.35">
      <c r="A764" s="6">
        <v>2539960</v>
      </c>
      <c r="B764" s="7" t="str">
        <f>"3175030601730004"</f>
        <v>3175030601730004</v>
      </c>
      <c r="C764" s="7" t="s">
        <v>2260</v>
      </c>
      <c r="D764" s="7" t="s">
        <v>17</v>
      </c>
      <c r="E764" s="7" t="s">
        <v>11</v>
      </c>
      <c r="F764" s="7" t="s">
        <v>18</v>
      </c>
      <c r="G764" s="7" t="s">
        <v>19</v>
      </c>
      <c r="H764" s="7" t="s">
        <v>1394</v>
      </c>
      <c r="I764" s="8" t="s">
        <v>2261</v>
      </c>
    </row>
    <row r="765" spans="1:9" x14ac:dyDescent="0.35">
      <c r="A765" s="6">
        <v>2539329</v>
      </c>
      <c r="B765" s="7" t="str">
        <f>"3175031111940002"</f>
        <v>3175031111940002</v>
      </c>
      <c r="C765" s="7" t="s">
        <v>2262</v>
      </c>
      <c r="D765" s="7" t="s">
        <v>17</v>
      </c>
      <c r="E765" s="7" t="s">
        <v>11</v>
      </c>
      <c r="F765" s="7" t="s">
        <v>18</v>
      </c>
      <c r="G765" s="7" t="s">
        <v>19</v>
      </c>
      <c r="H765" s="7" t="s">
        <v>1394</v>
      </c>
      <c r="I765" s="8" t="s">
        <v>2161</v>
      </c>
    </row>
    <row r="766" spans="1:9" x14ac:dyDescent="0.35">
      <c r="A766" s="6">
        <v>2540589</v>
      </c>
      <c r="B766" s="7" t="str">
        <f>"3175031607690005"</f>
        <v>3175031607690005</v>
      </c>
      <c r="C766" s="7" t="s">
        <v>2263</v>
      </c>
      <c r="D766" s="7" t="s">
        <v>17</v>
      </c>
      <c r="E766" s="7" t="s">
        <v>11</v>
      </c>
      <c r="F766" s="7" t="s">
        <v>18</v>
      </c>
      <c r="G766" s="7" t="s">
        <v>19</v>
      </c>
      <c r="H766" s="7" t="s">
        <v>1394</v>
      </c>
      <c r="I766" s="8" t="s">
        <v>1395</v>
      </c>
    </row>
    <row r="767" spans="1:9" x14ac:dyDescent="0.35">
      <c r="A767" s="6">
        <v>2540590</v>
      </c>
      <c r="B767" s="7" t="str">
        <f>"3175035807760008"</f>
        <v>3175035807760008</v>
      </c>
      <c r="C767" s="7" t="s">
        <v>2265</v>
      </c>
      <c r="D767" s="7" t="s">
        <v>17</v>
      </c>
      <c r="E767" s="7" t="s">
        <v>11</v>
      </c>
      <c r="F767" s="7" t="s">
        <v>18</v>
      </c>
      <c r="G767" s="7" t="s">
        <v>19</v>
      </c>
      <c r="H767" s="7" t="s">
        <v>1394</v>
      </c>
      <c r="I767" s="8" t="s">
        <v>1395</v>
      </c>
    </row>
    <row r="768" spans="1:9" x14ac:dyDescent="0.35">
      <c r="A768" s="6">
        <v>2539608</v>
      </c>
      <c r="B768" s="7" t="str">
        <f>"3175064411970013"</f>
        <v>3175064411970013</v>
      </c>
      <c r="C768" s="7" t="s">
        <v>2269</v>
      </c>
      <c r="D768" s="7" t="s">
        <v>17</v>
      </c>
      <c r="E768" s="7" t="s">
        <v>11</v>
      </c>
      <c r="F768" s="7" t="s">
        <v>18</v>
      </c>
      <c r="G768" s="7" t="s">
        <v>19</v>
      </c>
      <c r="H768" s="7" t="s">
        <v>1394</v>
      </c>
      <c r="I768" s="8" t="s">
        <v>2212</v>
      </c>
    </row>
    <row r="769" spans="1:9" x14ac:dyDescent="0.35">
      <c r="A769" s="6">
        <v>2540033</v>
      </c>
      <c r="B769" s="7" t="str">
        <f>"3175067012740017"</f>
        <v>3175067012740017</v>
      </c>
      <c r="C769" s="7" t="s">
        <v>2270</v>
      </c>
      <c r="D769" s="7" t="s">
        <v>17</v>
      </c>
      <c r="E769" s="7" t="s">
        <v>11</v>
      </c>
      <c r="F769" s="7" t="s">
        <v>18</v>
      </c>
      <c r="G769" s="7" t="s">
        <v>19</v>
      </c>
      <c r="H769" s="7" t="s">
        <v>1394</v>
      </c>
      <c r="I769" s="8" t="s">
        <v>2165</v>
      </c>
    </row>
    <row r="770" spans="1:9" x14ac:dyDescent="0.35">
      <c r="A770" s="6">
        <v>2539822</v>
      </c>
      <c r="B770" s="7" t="str">
        <f>"3175074301740002"</f>
        <v>3175074301740002</v>
      </c>
      <c r="C770" s="7" t="s">
        <v>2272</v>
      </c>
      <c r="D770" s="7" t="s">
        <v>17</v>
      </c>
      <c r="E770" s="7" t="s">
        <v>11</v>
      </c>
      <c r="F770" s="7" t="s">
        <v>18</v>
      </c>
      <c r="G770" s="7" t="s">
        <v>19</v>
      </c>
      <c r="H770" s="7" t="s">
        <v>1394</v>
      </c>
      <c r="I770" s="8" t="s">
        <v>2187</v>
      </c>
    </row>
    <row r="771" spans="1:9" x14ac:dyDescent="0.35">
      <c r="A771" s="6">
        <v>2539820</v>
      </c>
      <c r="B771" s="7" t="str">
        <f>"3175075409060012"</f>
        <v>3175075409060012</v>
      </c>
      <c r="C771" s="7" t="s">
        <v>2275</v>
      </c>
      <c r="D771" s="7" t="s">
        <v>17</v>
      </c>
      <c r="E771" s="7" t="s">
        <v>11</v>
      </c>
      <c r="F771" s="7" t="s">
        <v>18</v>
      </c>
      <c r="G771" s="7" t="s">
        <v>19</v>
      </c>
      <c r="H771" s="7" t="s">
        <v>1394</v>
      </c>
      <c r="I771" s="8" t="s">
        <v>2187</v>
      </c>
    </row>
    <row r="772" spans="1:9" x14ac:dyDescent="0.35">
      <c r="A772" s="6">
        <v>2540972</v>
      </c>
      <c r="B772" s="7" t="str">
        <f>"3201170605810004"</f>
        <v>3201170605810004</v>
      </c>
      <c r="C772" s="7" t="s">
        <v>2279</v>
      </c>
      <c r="D772" s="7" t="s">
        <v>17</v>
      </c>
      <c r="E772" s="7" t="s">
        <v>11</v>
      </c>
      <c r="F772" s="7" t="s">
        <v>18</v>
      </c>
      <c r="G772" s="7" t="s">
        <v>19</v>
      </c>
      <c r="H772" s="7" t="s">
        <v>1394</v>
      </c>
      <c r="I772" s="8" t="s">
        <v>2280</v>
      </c>
    </row>
    <row r="773" spans="1:9" x14ac:dyDescent="0.35">
      <c r="A773" s="6">
        <v>2540486</v>
      </c>
      <c r="B773" s="7" t="str">
        <f>"3201172404770007"</f>
        <v>3201172404770007</v>
      </c>
      <c r="C773" s="7" t="s">
        <v>2281</v>
      </c>
      <c r="D773" s="7" t="s">
        <v>17</v>
      </c>
      <c r="E773" s="7" t="s">
        <v>11</v>
      </c>
      <c r="F773" s="7" t="s">
        <v>18</v>
      </c>
      <c r="G773" s="7" t="s">
        <v>19</v>
      </c>
      <c r="H773" s="7" t="s">
        <v>1394</v>
      </c>
      <c r="I773" s="8" t="s">
        <v>2194</v>
      </c>
    </row>
    <row r="774" spans="1:9" x14ac:dyDescent="0.35">
      <c r="A774" s="6">
        <v>2540487</v>
      </c>
      <c r="B774" s="7" t="str">
        <f>"3201174606760017"</f>
        <v>3201174606760017</v>
      </c>
      <c r="C774" s="7" t="s">
        <v>2284</v>
      </c>
      <c r="D774" s="7" t="s">
        <v>17</v>
      </c>
      <c r="E774" s="7" t="s">
        <v>11</v>
      </c>
      <c r="F774" s="7" t="s">
        <v>18</v>
      </c>
      <c r="G774" s="7" t="s">
        <v>19</v>
      </c>
      <c r="H774" s="7" t="s">
        <v>1394</v>
      </c>
      <c r="I774" s="8" t="s">
        <v>2194</v>
      </c>
    </row>
    <row r="775" spans="1:9" x14ac:dyDescent="0.35">
      <c r="A775" s="6">
        <v>2540038</v>
      </c>
      <c r="B775" s="7" t="str">
        <f>"3201226604000006"</f>
        <v>3201226604000006</v>
      </c>
      <c r="C775" s="7" t="s">
        <v>2285</v>
      </c>
      <c r="D775" s="7" t="s">
        <v>17</v>
      </c>
      <c r="E775" s="7" t="s">
        <v>11</v>
      </c>
      <c r="F775" s="7" t="s">
        <v>18</v>
      </c>
      <c r="G775" s="7" t="s">
        <v>19</v>
      </c>
      <c r="H775" s="7" t="s">
        <v>1394</v>
      </c>
      <c r="I775" s="8" t="s">
        <v>2165</v>
      </c>
    </row>
    <row r="776" spans="1:9" x14ac:dyDescent="0.35">
      <c r="A776" s="6">
        <v>2539604</v>
      </c>
      <c r="B776" s="7" t="str">
        <f>"3202120412950003"</f>
        <v>3202120412950003</v>
      </c>
      <c r="C776" s="7" t="s">
        <v>2293</v>
      </c>
      <c r="D776" s="7" t="s">
        <v>17</v>
      </c>
      <c r="E776" s="7" t="s">
        <v>11</v>
      </c>
      <c r="F776" s="7" t="s">
        <v>18</v>
      </c>
      <c r="G776" s="7" t="s">
        <v>19</v>
      </c>
      <c r="H776" s="7" t="s">
        <v>1394</v>
      </c>
      <c r="I776" s="8" t="s">
        <v>2212</v>
      </c>
    </row>
    <row r="777" spans="1:9" x14ac:dyDescent="0.35">
      <c r="A777" s="6">
        <v>2539817</v>
      </c>
      <c r="B777" s="7" t="str">
        <f>"3202165911960007"</f>
        <v>3202165911960007</v>
      </c>
      <c r="C777" s="7" t="s">
        <v>2299</v>
      </c>
      <c r="D777" s="7" t="s">
        <v>17</v>
      </c>
      <c r="E777" s="7" t="s">
        <v>11</v>
      </c>
      <c r="F777" s="7" t="s">
        <v>18</v>
      </c>
      <c r="G777" s="7" t="s">
        <v>19</v>
      </c>
      <c r="H777" s="7" t="s">
        <v>1394</v>
      </c>
      <c r="I777" s="8" t="s">
        <v>2187</v>
      </c>
    </row>
    <row r="778" spans="1:9" x14ac:dyDescent="0.35">
      <c r="A778" s="6">
        <v>2540314</v>
      </c>
      <c r="B778" s="7" t="str">
        <f>"3203102212950003"</f>
        <v>3203102212950003</v>
      </c>
      <c r="C778" s="7" t="s">
        <v>2301</v>
      </c>
      <c r="D778" s="7" t="s">
        <v>17</v>
      </c>
      <c r="E778" s="7" t="s">
        <v>11</v>
      </c>
      <c r="F778" s="7" t="s">
        <v>18</v>
      </c>
      <c r="G778" s="7" t="s">
        <v>19</v>
      </c>
      <c r="H778" s="7" t="s">
        <v>1394</v>
      </c>
      <c r="I778" s="8" t="s">
        <v>2235</v>
      </c>
    </row>
    <row r="779" spans="1:9" x14ac:dyDescent="0.35">
      <c r="A779" s="6">
        <v>2539809</v>
      </c>
      <c r="B779" s="7" t="str">
        <f>"3206320507060002"</f>
        <v>3206320507060002</v>
      </c>
      <c r="C779" s="7" t="s">
        <v>2309</v>
      </c>
      <c r="D779" s="7" t="s">
        <v>17</v>
      </c>
      <c r="E779" s="7" t="s">
        <v>11</v>
      </c>
      <c r="F779" s="7" t="s">
        <v>18</v>
      </c>
      <c r="G779" s="7" t="s">
        <v>19</v>
      </c>
      <c r="H779" s="7" t="s">
        <v>1394</v>
      </c>
      <c r="I779" s="8" t="s">
        <v>2187</v>
      </c>
    </row>
    <row r="780" spans="1:9" x14ac:dyDescent="0.35">
      <c r="A780" s="6">
        <v>2539819</v>
      </c>
      <c r="B780" s="7" t="str">
        <f>"3206324107790131"</f>
        <v>3206324107790131</v>
      </c>
      <c r="C780" s="7" t="s">
        <v>2311</v>
      </c>
      <c r="D780" s="7" t="s">
        <v>17</v>
      </c>
      <c r="E780" s="7" t="s">
        <v>11</v>
      </c>
      <c r="F780" s="7" t="s">
        <v>18</v>
      </c>
      <c r="G780" s="7" t="s">
        <v>19</v>
      </c>
      <c r="H780" s="7" t="s">
        <v>1394</v>
      </c>
      <c r="I780" s="8" t="s">
        <v>2187</v>
      </c>
    </row>
    <row r="781" spans="1:9" x14ac:dyDescent="0.35">
      <c r="A781" s="6">
        <v>2539808</v>
      </c>
      <c r="B781" s="7" t="str">
        <f>"3206325605990002"</f>
        <v>3206325605990002</v>
      </c>
      <c r="C781" s="7" t="s">
        <v>2313</v>
      </c>
      <c r="D781" s="7" t="s">
        <v>17</v>
      </c>
      <c r="E781" s="7" t="s">
        <v>11</v>
      </c>
      <c r="F781" s="7" t="s">
        <v>18</v>
      </c>
      <c r="G781" s="7" t="s">
        <v>19</v>
      </c>
      <c r="H781" s="7" t="s">
        <v>1394</v>
      </c>
      <c r="I781" s="8" t="s">
        <v>2187</v>
      </c>
    </row>
    <row r="782" spans="1:9" x14ac:dyDescent="0.35">
      <c r="A782" s="6">
        <v>2540600</v>
      </c>
      <c r="B782" s="7" t="str">
        <f>"3209031407890008"</f>
        <v>3209031407890008</v>
      </c>
      <c r="C782" s="7" t="s">
        <v>2316</v>
      </c>
      <c r="D782" s="7" t="s">
        <v>17</v>
      </c>
      <c r="E782" s="7" t="s">
        <v>11</v>
      </c>
      <c r="F782" s="7" t="s">
        <v>18</v>
      </c>
      <c r="G782" s="7" t="s">
        <v>19</v>
      </c>
      <c r="H782" s="7" t="s">
        <v>1394</v>
      </c>
      <c r="I782" s="8" t="s">
        <v>1395</v>
      </c>
    </row>
    <row r="783" spans="1:9" x14ac:dyDescent="0.35">
      <c r="A783" s="6">
        <v>2539840</v>
      </c>
      <c r="B783" s="7" t="str">
        <f>"3209050106840019"</f>
        <v>3209050106840019</v>
      </c>
      <c r="C783" s="7" t="s">
        <v>2317</v>
      </c>
      <c r="D783" s="7" t="s">
        <v>17</v>
      </c>
      <c r="E783" s="7" t="s">
        <v>11</v>
      </c>
      <c r="F783" s="7" t="s">
        <v>18</v>
      </c>
      <c r="G783" s="7" t="s">
        <v>19</v>
      </c>
      <c r="H783" s="7" t="s">
        <v>1394</v>
      </c>
      <c r="I783" s="8" t="s">
        <v>2187</v>
      </c>
    </row>
    <row r="784" spans="1:9" x14ac:dyDescent="0.35">
      <c r="A784" s="6">
        <v>2540620</v>
      </c>
      <c r="B784" s="7" t="str">
        <f>"3212275708900010"</f>
        <v>3212275708900010</v>
      </c>
      <c r="C784" s="7" t="s">
        <v>2342</v>
      </c>
      <c r="D784" s="7" t="s">
        <v>17</v>
      </c>
      <c r="E784" s="7" t="s">
        <v>11</v>
      </c>
      <c r="F784" s="7" t="s">
        <v>18</v>
      </c>
      <c r="G784" s="7" t="s">
        <v>19</v>
      </c>
      <c r="H784" s="7" t="s">
        <v>1394</v>
      </c>
      <c r="I784" s="8" t="s">
        <v>1395</v>
      </c>
    </row>
    <row r="785" spans="1:9" x14ac:dyDescent="0.35">
      <c r="A785" s="6">
        <v>2540188</v>
      </c>
      <c r="B785" s="7" t="str">
        <f>"3216025407900007"</f>
        <v>3216025407900007</v>
      </c>
      <c r="C785" s="7" t="s">
        <v>2348</v>
      </c>
      <c r="D785" s="7" t="s">
        <v>17</v>
      </c>
      <c r="E785" s="7" t="s">
        <v>11</v>
      </c>
      <c r="F785" s="7" t="s">
        <v>18</v>
      </c>
      <c r="G785" s="7" t="s">
        <v>19</v>
      </c>
      <c r="H785" s="7" t="s">
        <v>1394</v>
      </c>
      <c r="I785" s="8" t="s">
        <v>674</v>
      </c>
    </row>
    <row r="786" spans="1:9" x14ac:dyDescent="0.35">
      <c r="A786" s="6">
        <v>2540955</v>
      </c>
      <c r="B786" s="7" t="str">
        <f>"3216091007750019"</f>
        <v>3216091007750019</v>
      </c>
      <c r="C786" s="7" t="s">
        <v>2349</v>
      </c>
      <c r="D786" s="7" t="s">
        <v>17</v>
      </c>
      <c r="E786" s="7" t="s">
        <v>11</v>
      </c>
      <c r="F786" s="7" t="s">
        <v>18</v>
      </c>
      <c r="G786" s="7" t="s">
        <v>19</v>
      </c>
      <c r="H786" s="7" t="s">
        <v>1394</v>
      </c>
      <c r="I786" s="8" t="s">
        <v>2280</v>
      </c>
    </row>
    <row r="787" spans="1:9" x14ac:dyDescent="0.35">
      <c r="A787" s="6">
        <v>2540956</v>
      </c>
      <c r="B787" s="7" t="str">
        <f>"3216094809780011"</f>
        <v>3216094809780011</v>
      </c>
      <c r="C787" s="7" t="s">
        <v>2351</v>
      </c>
      <c r="D787" s="7" t="s">
        <v>17</v>
      </c>
      <c r="E787" s="7" t="s">
        <v>11</v>
      </c>
      <c r="F787" s="7" t="s">
        <v>18</v>
      </c>
      <c r="G787" s="7" t="s">
        <v>19</v>
      </c>
      <c r="H787" s="7" t="s">
        <v>1394</v>
      </c>
      <c r="I787" s="8" t="s">
        <v>2280</v>
      </c>
    </row>
    <row r="788" spans="1:9" x14ac:dyDescent="0.35">
      <c r="A788" s="6">
        <v>2540083</v>
      </c>
      <c r="B788" s="7" t="str">
        <f>"3274012012910009"</f>
        <v>3274012012910009</v>
      </c>
      <c r="C788" s="7" t="s">
        <v>2354</v>
      </c>
      <c r="D788" s="7" t="s">
        <v>17</v>
      </c>
      <c r="E788" s="7" t="s">
        <v>11</v>
      </c>
      <c r="F788" s="7" t="s">
        <v>18</v>
      </c>
      <c r="G788" s="7" t="s">
        <v>19</v>
      </c>
      <c r="H788" s="7" t="s">
        <v>1394</v>
      </c>
      <c r="I788" s="8" t="s">
        <v>2165</v>
      </c>
    </row>
    <row r="789" spans="1:9" x14ac:dyDescent="0.35">
      <c r="A789" s="6">
        <v>2539291</v>
      </c>
      <c r="B789" s="7" t="str">
        <f>"3275041210810031"</f>
        <v>3275041210810031</v>
      </c>
      <c r="C789" s="7" t="s">
        <v>2357</v>
      </c>
      <c r="D789" s="7" t="s">
        <v>17</v>
      </c>
      <c r="E789" s="7" t="s">
        <v>11</v>
      </c>
      <c r="F789" s="7" t="s">
        <v>18</v>
      </c>
      <c r="G789" s="7" t="s">
        <v>19</v>
      </c>
      <c r="H789" s="7" t="s">
        <v>1394</v>
      </c>
      <c r="I789" s="8" t="s">
        <v>2161</v>
      </c>
    </row>
    <row r="790" spans="1:9" x14ac:dyDescent="0.35">
      <c r="A790" s="6">
        <v>2539298</v>
      </c>
      <c r="B790" s="7" t="str">
        <f>"3275045703880021"</f>
        <v>3275045703880021</v>
      </c>
      <c r="C790" s="7" t="s">
        <v>2359</v>
      </c>
      <c r="D790" s="7" t="s">
        <v>17</v>
      </c>
      <c r="E790" s="7" t="s">
        <v>11</v>
      </c>
      <c r="F790" s="7" t="s">
        <v>18</v>
      </c>
      <c r="G790" s="7" t="s">
        <v>19</v>
      </c>
      <c r="H790" s="7" t="s">
        <v>1394</v>
      </c>
      <c r="I790" s="8" t="s">
        <v>2161</v>
      </c>
    </row>
    <row r="791" spans="1:9" x14ac:dyDescent="0.35">
      <c r="A791" s="6">
        <v>2539602</v>
      </c>
      <c r="B791" s="7" t="str">
        <f>"3276052512920003"</f>
        <v>3276052512920003</v>
      </c>
      <c r="C791" s="7" t="s">
        <v>2370</v>
      </c>
      <c r="D791" s="7" t="s">
        <v>17</v>
      </c>
      <c r="E791" s="7" t="s">
        <v>11</v>
      </c>
      <c r="F791" s="7" t="s">
        <v>18</v>
      </c>
      <c r="G791" s="7" t="s">
        <v>19</v>
      </c>
      <c r="H791" s="7" t="s">
        <v>1394</v>
      </c>
      <c r="I791" s="8" t="s">
        <v>2212</v>
      </c>
    </row>
    <row r="792" spans="1:9" x14ac:dyDescent="0.35">
      <c r="A792" s="6">
        <v>2540030</v>
      </c>
      <c r="B792" s="7" t="str">
        <f>"3277026812630009"</f>
        <v>3277026812630009</v>
      </c>
      <c r="C792" s="7" t="s">
        <v>2376</v>
      </c>
      <c r="D792" s="7" t="s">
        <v>17</v>
      </c>
      <c r="E792" s="7" t="s">
        <v>11</v>
      </c>
      <c r="F792" s="7" t="s">
        <v>18</v>
      </c>
      <c r="G792" s="7" t="s">
        <v>19</v>
      </c>
      <c r="H792" s="7" t="s">
        <v>1394</v>
      </c>
      <c r="I792" s="8" t="s">
        <v>2165</v>
      </c>
    </row>
    <row r="793" spans="1:9" x14ac:dyDescent="0.35">
      <c r="A793" s="6">
        <v>3053325</v>
      </c>
      <c r="B793" s="7" t="str">
        <f>"3301022006990003"</f>
        <v>3301022006990003</v>
      </c>
      <c r="C793" s="7" t="s">
        <v>2383</v>
      </c>
      <c r="D793" s="7" t="s">
        <v>17</v>
      </c>
      <c r="E793" s="7" t="s">
        <v>11</v>
      </c>
      <c r="F793" s="7" t="s">
        <v>18</v>
      </c>
      <c r="G793" s="7" t="s">
        <v>163</v>
      </c>
      <c r="H793" s="7" t="s">
        <v>164</v>
      </c>
      <c r="I793" s="8" t="s">
        <v>2384</v>
      </c>
    </row>
    <row r="794" spans="1:9" x14ac:dyDescent="0.35">
      <c r="A794" s="6">
        <v>1115946</v>
      </c>
      <c r="B794" s="7" t="str">
        <f>"3305122706960007"</f>
        <v>3305122706960007</v>
      </c>
      <c r="C794" s="7" t="s">
        <v>2404</v>
      </c>
      <c r="D794" s="7" t="s">
        <v>17</v>
      </c>
      <c r="E794" s="7" t="s">
        <v>11</v>
      </c>
      <c r="F794" s="7" t="s">
        <v>18</v>
      </c>
      <c r="G794" s="7" t="s">
        <v>171</v>
      </c>
      <c r="H794" s="7" t="s">
        <v>171</v>
      </c>
      <c r="I794" s="8" t="s">
        <v>2405</v>
      </c>
    </row>
    <row r="795" spans="1:9" x14ac:dyDescent="0.35">
      <c r="A795" s="6">
        <v>1431590</v>
      </c>
      <c r="B795" s="7" t="str">
        <f>"3316125112620001"</f>
        <v>3316125112620001</v>
      </c>
      <c r="C795" s="7" t="s">
        <v>2415</v>
      </c>
      <c r="D795" s="7" t="s">
        <v>17</v>
      </c>
      <c r="E795" s="7" t="s">
        <v>11</v>
      </c>
      <c r="F795" s="7" t="s">
        <v>18</v>
      </c>
      <c r="G795" s="7" t="s">
        <v>2416</v>
      </c>
      <c r="H795" s="7" t="s">
        <v>2417</v>
      </c>
      <c r="I795" s="8" t="s">
        <v>2418</v>
      </c>
    </row>
    <row r="796" spans="1:9" x14ac:dyDescent="0.35">
      <c r="A796" s="6">
        <v>1088930</v>
      </c>
      <c r="B796" s="7" t="str">
        <f>"3318046411970003"</f>
        <v>3318046411970003</v>
      </c>
      <c r="C796" s="7" t="s">
        <v>2423</v>
      </c>
      <c r="D796" s="7" t="s">
        <v>17</v>
      </c>
      <c r="E796" s="7" t="s">
        <v>11</v>
      </c>
      <c r="F796" s="7" t="s">
        <v>18</v>
      </c>
      <c r="G796" s="7" t="s">
        <v>1787</v>
      </c>
      <c r="H796" s="7" t="s">
        <v>2424</v>
      </c>
      <c r="I796" s="8" t="s">
        <v>2425</v>
      </c>
    </row>
    <row r="797" spans="1:9" x14ac:dyDescent="0.35">
      <c r="A797" s="6">
        <v>1111666</v>
      </c>
      <c r="B797" s="7" t="str">
        <f>"3318090102970003"</f>
        <v>3318090102970003</v>
      </c>
      <c r="C797" s="7" t="s">
        <v>2426</v>
      </c>
      <c r="D797" s="7" t="s">
        <v>17</v>
      </c>
      <c r="E797" s="7" t="s">
        <v>11</v>
      </c>
      <c r="F797" s="7" t="s">
        <v>18</v>
      </c>
      <c r="G797" s="7" t="s">
        <v>1787</v>
      </c>
      <c r="H797" s="7" t="s">
        <v>2427</v>
      </c>
      <c r="I797" s="8" t="s">
        <v>2428</v>
      </c>
    </row>
    <row r="798" spans="1:9" x14ac:dyDescent="0.35">
      <c r="A798" s="6">
        <v>2540390</v>
      </c>
      <c r="B798" s="7" t="str">
        <f>"3326020202060002"</f>
        <v>3326020202060002</v>
      </c>
      <c r="C798" s="7" t="s">
        <v>2465</v>
      </c>
      <c r="D798" s="7" t="s">
        <v>17</v>
      </c>
      <c r="E798" s="7" t="s">
        <v>11</v>
      </c>
      <c r="F798" s="7" t="s">
        <v>18</v>
      </c>
      <c r="G798" s="7" t="s">
        <v>19</v>
      </c>
      <c r="H798" s="7" t="s">
        <v>1394</v>
      </c>
      <c r="I798" s="8" t="s">
        <v>2235</v>
      </c>
    </row>
    <row r="799" spans="1:9" x14ac:dyDescent="0.35">
      <c r="A799" s="6">
        <v>1567988</v>
      </c>
      <c r="B799" s="7" t="str">
        <f>"3326132210910003"</f>
        <v>3326132210910003</v>
      </c>
      <c r="C799" s="7" t="s">
        <v>2480</v>
      </c>
      <c r="D799" s="7" t="s">
        <v>17</v>
      </c>
      <c r="E799" s="7" t="s">
        <v>11</v>
      </c>
      <c r="F799" s="7" t="s">
        <v>18</v>
      </c>
      <c r="G799" s="7" t="s">
        <v>195</v>
      </c>
      <c r="H799" s="7" t="s">
        <v>1434</v>
      </c>
      <c r="I799" s="8" t="s">
        <v>842</v>
      </c>
    </row>
    <row r="800" spans="1:9" x14ac:dyDescent="0.35">
      <c r="A800" s="6">
        <v>2538974</v>
      </c>
      <c r="B800" s="7" t="str">
        <f>"3327034107470130"</f>
        <v>3327034107470130</v>
      </c>
      <c r="C800" s="7" t="s">
        <v>2498</v>
      </c>
      <c r="D800" s="7" t="s">
        <v>17</v>
      </c>
      <c r="E800" s="7" t="s">
        <v>11</v>
      </c>
      <c r="F800" s="7" t="s">
        <v>18</v>
      </c>
      <c r="G800" s="7" t="s">
        <v>19</v>
      </c>
      <c r="H800" s="7" t="s">
        <v>1394</v>
      </c>
      <c r="I800" s="8" t="s">
        <v>2161</v>
      </c>
    </row>
    <row r="801" spans="1:9" x14ac:dyDescent="0.35">
      <c r="A801" s="6">
        <v>2539780</v>
      </c>
      <c r="B801" s="7" t="str">
        <f>"3327125207950002"</f>
        <v>3327125207950002</v>
      </c>
      <c r="C801" s="7" t="s">
        <v>2502</v>
      </c>
      <c r="D801" s="7" t="s">
        <v>17</v>
      </c>
      <c r="E801" s="7" t="s">
        <v>11</v>
      </c>
      <c r="F801" s="7" t="s">
        <v>18</v>
      </c>
      <c r="G801" s="7" t="s">
        <v>19</v>
      </c>
      <c r="H801" s="7" t="s">
        <v>1394</v>
      </c>
      <c r="I801" s="8" t="s">
        <v>2172</v>
      </c>
    </row>
    <row r="802" spans="1:9" x14ac:dyDescent="0.35">
      <c r="A802" s="6">
        <v>2539916</v>
      </c>
      <c r="B802" s="7" t="str">
        <f>"3328055311890002"</f>
        <v>3328055311890002</v>
      </c>
      <c r="C802" s="7" t="s">
        <v>2509</v>
      </c>
      <c r="D802" s="7" t="s">
        <v>17</v>
      </c>
      <c r="E802" s="7" t="s">
        <v>11</v>
      </c>
      <c r="F802" s="7" t="s">
        <v>18</v>
      </c>
      <c r="G802" s="7" t="s">
        <v>19</v>
      </c>
      <c r="H802" s="7" t="s">
        <v>1394</v>
      </c>
      <c r="I802" s="8" t="s">
        <v>2187</v>
      </c>
    </row>
    <row r="803" spans="1:9" x14ac:dyDescent="0.35">
      <c r="A803" s="6">
        <v>2540436</v>
      </c>
      <c r="B803" s="7" t="str">
        <f>"3328060206870004"</f>
        <v>3328060206870004</v>
      </c>
      <c r="C803" s="7" t="s">
        <v>2511</v>
      </c>
      <c r="D803" s="7" t="s">
        <v>17</v>
      </c>
      <c r="E803" s="7" t="s">
        <v>11</v>
      </c>
      <c r="F803" s="7" t="s">
        <v>18</v>
      </c>
      <c r="G803" s="7" t="s">
        <v>19</v>
      </c>
      <c r="H803" s="7" t="s">
        <v>1394</v>
      </c>
      <c r="I803" s="8" t="s">
        <v>2194</v>
      </c>
    </row>
    <row r="804" spans="1:9" x14ac:dyDescent="0.35">
      <c r="A804" s="6">
        <v>2540265</v>
      </c>
      <c r="B804" s="7" t="str">
        <f>"3328060301910001"</f>
        <v>3328060301910001</v>
      </c>
      <c r="C804" s="7" t="s">
        <v>2512</v>
      </c>
      <c r="D804" s="7" t="s">
        <v>17</v>
      </c>
      <c r="E804" s="7" t="s">
        <v>11</v>
      </c>
      <c r="F804" s="7" t="s">
        <v>18</v>
      </c>
      <c r="G804" s="7" t="s">
        <v>19</v>
      </c>
      <c r="H804" s="7" t="s">
        <v>1394</v>
      </c>
      <c r="I804" s="8" t="s">
        <v>2235</v>
      </c>
    </row>
    <row r="805" spans="1:9" x14ac:dyDescent="0.35">
      <c r="A805" s="6">
        <v>1940735</v>
      </c>
      <c r="B805" s="7" t="str">
        <f>"3328060303950012"</f>
        <v>3328060303950012</v>
      </c>
      <c r="C805" s="7" t="s">
        <v>2515</v>
      </c>
      <c r="D805" s="7" t="s">
        <v>17</v>
      </c>
      <c r="E805" s="7" t="s">
        <v>11</v>
      </c>
      <c r="F805" s="7" t="s">
        <v>50</v>
      </c>
      <c r="G805" s="7" t="s">
        <v>86</v>
      </c>
      <c r="H805" s="7" t="s">
        <v>87</v>
      </c>
      <c r="I805" s="8" t="s">
        <v>2516</v>
      </c>
    </row>
    <row r="806" spans="1:9" x14ac:dyDescent="0.35">
      <c r="A806" s="6">
        <v>2581869</v>
      </c>
      <c r="B806" s="7" t="str">
        <f>"3328060303970007"</f>
        <v>3328060303970007</v>
      </c>
      <c r="C806" s="7" t="s">
        <v>2517</v>
      </c>
      <c r="D806" s="7" t="s">
        <v>17</v>
      </c>
      <c r="E806" s="7" t="s">
        <v>11</v>
      </c>
      <c r="F806" s="7" t="s">
        <v>67</v>
      </c>
      <c r="G806" s="7" t="s">
        <v>375</v>
      </c>
      <c r="H806" s="7" t="s">
        <v>2518</v>
      </c>
      <c r="I806" s="8" t="s">
        <v>2519</v>
      </c>
    </row>
    <row r="807" spans="1:9" x14ac:dyDescent="0.35">
      <c r="A807" s="6">
        <v>1882327</v>
      </c>
      <c r="B807" s="7" t="str">
        <f>"3328060603860001"</f>
        <v>3328060603860001</v>
      </c>
      <c r="C807" s="7" t="s">
        <v>2522</v>
      </c>
      <c r="D807" s="7" t="s">
        <v>17</v>
      </c>
      <c r="E807" s="7" t="s">
        <v>11</v>
      </c>
      <c r="F807" s="7" t="s">
        <v>91</v>
      </c>
      <c r="G807" s="7" t="s">
        <v>320</v>
      </c>
      <c r="H807" s="7" t="s">
        <v>2523</v>
      </c>
      <c r="I807" s="8" t="s">
        <v>2524</v>
      </c>
    </row>
    <row r="808" spans="1:9" x14ac:dyDescent="0.35">
      <c r="A808" s="6">
        <v>2541151</v>
      </c>
      <c r="B808" s="7" t="str">
        <f>"3328060606000007"</f>
        <v>3328060606000007</v>
      </c>
      <c r="C808" s="7" t="s">
        <v>2525</v>
      </c>
      <c r="D808" s="7" t="s">
        <v>17</v>
      </c>
      <c r="E808" s="7" t="s">
        <v>11</v>
      </c>
      <c r="F808" s="7" t="s">
        <v>18</v>
      </c>
      <c r="G808" s="7" t="s">
        <v>19</v>
      </c>
      <c r="H808" s="7" t="s">
        <v>1394</v>
      </c>
      <c r="I808" s="8" t="s">
        <v>2161</v>
      </c>
    </row>
    <row r="809" spans="1:9" x14ac:dyDescent="0.35">
      <c r="A809" s="6">
        <v>1376111</v>
      </c>
      <c r="B809" s="7" t="str">
        <f>"3328060606000007"</f>
        <v>3328060606000007</v>
      </c>
      <c r="C809" s="7" t="s">
        <v>2525</v>
      </c>
      <c r="D809" s="7" t="s">
        <v>17</v>
      </c>
      <c r="E809" s="7" t="s">
        <v>11</v>
      </c>
      <c r="F809" s="7" t="s">
        <v>50</v>
      </c>
      <c r="G809" s="7" t="s">
        <v>51</v>
      </c>
      <c r="H809" s="7" t="s">
        <v>284</v>
      </c>
      <c r="I809" s="8" t="s">
        <v>400</v>
      </c>
    </row>
    <row r="810" spans="1:9" x14ac:dyDescent="0.35">
      <c r="A810" s="6">
        <v>2539847</v>
      </c>
      <c r="B810" s="7" t="str">
        <f>"3328060706760005"</f>
        <v>3328060706760005</v>
      </c>
      <c r="C810" s="7" t="s">
        <v>2526</v>
      </c>
      <c r="D810" s="7" t="s">
        <v>17</v>
      </c>
      <c r="E810" s="7" t="s">
        <v>11</v>
      </c>
      <c r="F810" s="7" t="s">
        <v>18</v>
      </c>
      <c r="G810" s="7" t="s">
        <v>19</v>
      </c>
      <c r="H810" s="7" t="s">
        <v>1394</v>
      </c>
      <c r="I810" s="8" t="s">
        <v>2187</v>
      </c>
    </row>
    <row r="811" spans="1:9" x14ac:dyDescent="0.35">
      <c r="A811" s="6">
        <v>2539225</v>
      </c>
      <c r="B811" s="7" t="str">
        <f>"3328060912710005"</f>
        <v>3328060912710005</v>
      </c>
      <c r="C811" s="7" t="s">
        <v>2529</v>
      </c>
      <c r="D811" s="7" t="s">
        <v>17</v>
      </c>
      <c r="E811" s="7" t="s">
        <v>11</v>
      </c>
      <c r="F811" s="7" t="s">
        <v>18</v>
      </c>
      <c r="G811" s="7" t="s">
        <v>19</v>
      </c>
      <c r="H811" s="7" t="s">
        <v>1394</v>
      </c>
      <c r="I811" s="8" t="s">
        <v>2161</v>
      </c>
    </row>
    <row r="812" spans="1:9" x14ac:dyDescent="0.35">
      <c r="A812" s="6">
        <v>1695366</v>
      </c>
      <c r="B812" s="7" t="str">
        <f>"3328061002880005"</f>
        <v>3328061002880005</v>
      </c>
      <c r="C812" s="7" t="s">
        <v>2530</v>
      </c>
      <c r="D812" s="7" t="s">
        <v>17</v>
      </c>
      <c r="E812" s="7" t="s">
        <v>11</v>
      </c>
      <c r="F812" s="7" t="s">
        <v>18</v>
      </c>
      <c r="G812" s="7" t="s">
        <v>1514</v>
      </c>
      <c r="H812" s="7" t="s">
        <v>2531</v>
      </c>
      <c r="I812" s="8" t="s">
        <v>2532</v>
      </c>
    </row>
    <row r="813" spans="1:9" x14ac:dyDescent="0.35">
      <c r="A813" s="6">
        <v>861196</v>
      </c>
      <c r="B813" s="7" t="str">
        <f>"3328061008930008"</f>
        <v>3328061008930008</v>
      </c>
      <c r="C813" s="7" t="s">
        <v>2533</v>
      </c>
      <c r="D813" s="7" t="s">
        <v>17</v>
      </c>
      <c r="E813" s="7" t="s">
        <v>11</v>
      </c>
      <c r="F813" s="7" t="s">
        <v>379</v>
      </c>
      <c r="G813" s="7" t="s">
        <v>1206</v>
      </c>
      <c r="H813" s="7" t="s">
        <v>1588</v>
      </c>
      <c r="I813" s="8" t="s">
        <v>2534</v>
      </c>
    </row>
    <row r="814" spans="1:9" x14ac:dyDescent="0.35">
      <c r="A814" s="6">
        <v>2538848</v>
      </c>
      <c r="B814" s="7" t="str">
        <f>"3328061112020001"</f>
        <v>3328061112020001</v>
      </c>
      <c r="C814" s="7" t="s">
        <v>2535</v>
      </c>
      <c r="D814" s="7" t="s">
        <v>17</v>
      </c>
      <c r="E814" s="7" t="s">
        <v>11</v>
      </c>
      <c r="F814" s="7" t="s">
        <v>18</v>
      </c>
      <c r="G814" s="7" t="s">
        <v>19</v>
      </c>
      <c r="H814" s="7" t="s">
        <v>1394</v>
      </c>
      <c r="I814" s="8" t="s">
        <v>2238</v>
      </c>
    </row>
    <row r="815" spans="1:9" x14ac:dyDescent="0.35">
      <c r="A815" s="6">
        <v>2539899</v>
      </c>
      <c r="B815" s="7" t="str">
        <f>"3328061202830010"</f>
        <v>3328061202830010</v>
      </c>
      <c r="C815" s="7" t="s">
        <v>2536</v>
      </c>
      <c r="D815" s="7" t="s">
        <v>17</v>
      </c>
      <c r="E815" s="7" t="s">
        <v>11</v>
      </c>
      <c r="F815" s="7" t="s">
        <v>18</v>
      </c>
      <c r="G815" s="7" t="s">
        <v>19</v>
      </c>
      <c r="H815" s="7" t="s">
        <v>1394</v>
      </c>
      <c r="I815" s="8" t="s">
        <v>2187</v>
      </c>
    </row>
    <row r="816" spans="1:9" x14ac:dyDescent="0.35">
      <c r="A816" s="6">
        <v>2540457</v>
      </c>
      <c r="B816" s="7" t="str">
        <f>"3328061205750007"</f>
        <v>3328061205750007</v>
      </c>
      <c r="C816" s="7" t="s">
        <v>2537</v>
      </c>
      <c r="D816" s="7" t="s">
        <v>17</v>
      </c>
      <c r="E816" s="7" t="s">
        <v>11</v>
      </c>
      <c r="F816" s="7" t="s">
        <v>18</v>
      </c>
      <c r="G816" s="7" t="s">
        <v>19</v>
      </c>
      <c r="H816" s="7" t="s">
        <v>1394</v>
      </c>
      <c r="I816" s="8" t="s">
        <v>2194</v>
      </c>
    </row>
    <row r="817" spans="1:9" x14ac:dyDescent="0.35">
      <c r="A817" s="6">
        <v>2539677</v>
      </c>
      <c r="B817" s="7" t="str">
        <f>"3328061303910001"</f>
        <v>3328061303910001</v>
      </c>
      <c r="C817" s="7" t="s">
        <v>2540</v>
      </c>
      <c r="D817" s="7" t="s">
        <v>17</v>
      </c>
      <c r="E817" s="7" t="s">
        <v>11</v>
      </c>
      <c r="F817" s="7" t="s">
        <v>18</v>
      </c>
      <c r="G817" s="7" t="s">
        <v>19</v>
      </c>
      <c r="H817" s="7" t="s">
        <v>1394</v>
      </c>
      <c r="I817" s="8" t="s">
        <v>2212</v>
      </c>
    </row>
    <row r="818" spans="1:9" x14ac:dyDescent="0.35">
      <c r="A818" s="6">
        <v>2539818</v>
      </c>
      <c r="B818" s="7" t="str">
        <f>"3328061412800003"</f>
        <v>3328061412800003</v>
      </c>
      <c r="C818" s="7" t="s">
        <v>2543</v>
      </c>
      <c r="D818" s="7" t="s">
        <v>17</v>
      </c>
      <c r="E818" s="7" t="s">
        <v>11</v>
      </c>
      <c r="F818" s="7" t="s">
        <v>18</v>
      </c>
      <c r="G818" s="7" t="s">
        <v>19</v>
      </c>
      <c r="H818" s="7" t="s">
        <v>1394</v>
      </c>
      <c r="I818" s="8" t="s">
        <v>2187</v>
      </c>
    </row>
    <row r="819" spans="1:9" x14ac:dyDescent="0.35">
      <c r="A819" s="6">
        <v>2540253</v>
      </c>
      <c r="B819" s="7" t="str">
        <f>"3328061505650012"</f>
        <v>3328061505650012</v>
      </c>
      <c r="C819" s="7" t="s">
        <v>2544</v>
      </c>
      <c r="D819" s="7" t="s">
        <v>17</v>
      </c>
      <c r="E819" s="7" t="s">
        <v>11</v>
      </c>
      <c r="F819" s="7" t="s">
        <v>18</v>
      </c>
      <c r="G819" s="7" t="s">
        <v>19</v>
      </c>
      <c r="H819" s="7" t="s">
        <v>1394</v>
      </c>
      <c r="I819" s="8" t="s">
        <v>2235</v>
      </c>
    </row>
    <row r="820" spans="1:9" x14ac:dyDescent="0.35">
      <c r="A820" s="6">
        <v>2539777</v>
      </c>
      <c r="B820" s="7" t="str">
        <f>"3328061506940009"</f>
        <v>3328061506940009</v>
      </c>
      <c r="C820" s="7" t="s">
        <v>2549</v>
      </c>
      <c r="D820" s="7" t="s">
        <v>17</v>
      </c>
      <c r="E820" s="7" t="s">
        <v>11</v>
      </c>
      <c r="F820" s="7" t="s">
        <v>18</v>
      </c>
      <c r="G820" s="7" t="s">
        <v>19</v>
      </c>
      <c r="H820" s="7" t="s">
        <v>1394</v>
      </c>
      <c r="I820" s="8" t="s">
        <v>2172</v>
      </c>
    </row>
    <row r="821" spans="1:9" x14ac:dyDescent="0.35">
      <c r="A821" s="6">
        <v>2539334</v>
      </c>
      <c r="B821" s="7" t="str">
        <f>"3328061606860008"</f>
        <v>3328061606860008</v>
      </c>
      <c r="C821" s="7" t="s">
        <v>2550</v>
      </c>
      <c r="D821" s="7" t="s">
        <v>17</v>
      </c>
      <c r="E821" s="7" t="s">
        <v>11</v>
      </c>
      <c r="F821" s="7" t="s">
        <v>18</v>
      </c>
      <c r="G821" s="7" t="s">
        <v>19</v>
      </c>
      <c r="H821" s="7" t="s">
        <v>1394</v>
      </c>
      <c r="I821" s="8" t="s">
        <v>2161</v>
      </c>
    </row>
    <row r="822" spans="1:9" x14ac:dyDescent="0.35">
      <c r="A822" s="6">
        <v>52431</v>
      </c>
      <c r="B822" s="7" t="str">
        <f>"3328061708760011"</f>
        <v>3328061708760011</v>
      </c>
      <c r="C822" s="7" t="s">
        <v>2554</v>
      </c>
      <c r="D822" s="7" t="s">
        <v>17</v>
      </c>
      <c r="E822" s="7" t="s">
        <v>57</v>
      </c>
      <c r="F822" s="7" t="s">
        <v>211</v>
      </c>
      <c r="G822" s="7" t="s">
        <v>2555</v>
      </c>
      <c r="H822" s="7" t="s">
        <v>2556</v>
      </c>
      <c r="I822" s="8" t="s">
        <v>2557</v>
      </c>
    </row>
    <row r="823" spans="1:9" x14ac:dyDescent="0.35">
      <c r="A823" s="6">
        <v>1784815</v>
      </c>
      <c r="B823" s="7" t="str">
        <f>"3328061708770007"</f>
        <v>3328061708770007</v>
      </c>
      <c r="C823" s="7" t="s">
        <v>2558</v>
      </c>
      <c r="D823" s="7" t="s">
        <v>17</v>
      </c>
      <c r="E823" s="7" t="s">
        <v>11</v>
      </c>
      <c r="F823" s="7" t="s">
        <v>303</v>
      </c>
      <c r="G823" s="7" t="s">
        <v>1669</v>
      </c>
      <c r="H823" s="7" t="s">
        <v>2559</v>
      </c>
      <c r="I823" s="8" t="s">
        <v>2560</v>
      </c>
    </row>
    <row r="824" spans="1:9" x14ac:dyDescent="0.35">
      <c r="A824" s="6">
        <v>2539047</v>
      </c>
      <c r="B824" s="7" t="str">
        <f>"3328061708770007"</f>
        <v>3328061708770007</v>
      </c>
      <c r="C824" s="7" t="s">
        <v>2561</v>
      </c>
      <c r="D824" s="7" t="s">
        <v>17</v>
      </c>
      <c r="E824" s="7" t="s">
        <v>11</v>
      </c>
      <c r="F824" s="7" t="s">
        <v>18</v>
      </c>
      <c r="G824" s="7" t="s">
        <v>19</v>
      </c>
      <c r="H824" s="7" t="s">
        <v>1394</v>
      </c>
      <c r="I824" s="8" t="s">
        <v>2161</v>
      </c>
    </row>
    <row r="825" spans="1:9" x14ac:dyDescent="0.35">
      <c r="A825" s="6">
        <v>2538453</v>
      </c>
      <c r="B825" s="7" t="str">
        <f>"3328061711960005"</f>
        <v>3328061711960005</v>
      </c>
      <c r="C825" s="7" t="s">
        <v>2562</v>
      </c>
      <c r="D825" s="7" t="s">
        <v>17</v>
      </c>
      <c r="E825" s="7" t="s">
        <v>11</v>
      </c>
      <c r="F825" s="7" t="s">
        <v>18</v>
      </c>
      <c r="G825" s="7" t="s">
        <v>19</v>
      </c>
      <c r="H825" s="7" t="s">
        <v>1394</v>
      </c>
      <c r="I825" s="8" t="s">
        <v>2189</v>
      </c>
    </row>
    <row r="826" spans="1:9" x14ac:dyDescent="0.35">
      <c r="A826" s="6">
        <v>2538650</v>
      </c>
      <c r="B826" s="7" t="str">
        <f>"3328061806050001"</f>
        <v>3328061806050001</v>
      </c>
      <c r="C826" s="7" t="s">
        <v>2565</v>
      </c>
      <c r="D826" s="7" t="s">
        <v>17</v>
      </c>
      <c r="E826" s="7" t="s">
        <v>11</v>
      </c>
      <c r="F826" s="7" t="s">
        <v>18</v>
      </c>
      <c r="G826" s="7" t="s">
        <v>19</v>
      </c>
      <c r="H826" s="7" t="s">
        <v>1394</v>
      </c>
      <c r="I826" s="8" t="s">
        <v>2520</v>
      </c>
    </row>
    <row r="827" spans="1:9" x14ac:dyDescent="0.35">
      <c r="A827" s="6">
        <v>2540605</v>
      </c>
      <c r="B827" s="7" t="str">
        <f>"3328061807920005"</f>
        <v>3328061807920005</v>
      </c>
      <c r="C827" s="7" t="s">
        <v>2566</v>
      </c>
      <c r="D827" s="7" t="s">
        <v>17</v>
      </c>
      <c r="E827" s="7" t="s">
        <v>11</v>
      </c>
      <c r="F827" s="7" t="s">
        <v>18</v>
      </c>
      <c r="G827" s="7" t="s">
        <v>19</v>
      </c>
      <c r="H827" s="7" t="s">
        <v>1394</v>
      </c>
      <c r="I827" s="8" t="s">
        <v>1395</v>
      </c>
    </row>
    <row r="828" spans="1:9" x14ac:dyDescent="0.35">
      <c r="A828" s="6">
        <v>420922</v>
      </c>
      <c r="B828" s="7" t="str">
        <f>"3328061812960005"</f>
        <v>3328061812960005</v>
      </c>
      <c r="C828" s="7" t="s">
        <v>2569</v>
      </c>
      <c r="D828" s="7" t="s">
        <v>17</v>
      </c>
      <c r="E828" s="7" t="s">
        <v>11</v>
      </c>
      <c r="F828" s="7" t="s">
        <v>18</v>
      </c>
      <c r="G828" s="7" t="s">
        <v>268</v>
      </c>
      <c r="H828" s="7" t="s">
        <v>448</v>
      </c>
      <c r="I828" s="8" t="s">
        <v>888</v>
      </c>
    </row>
    <row r="829" spans="1:9" x14ac:dyDescent="0.35">
      <c r="A829" s="6">
        <v>1959521</v>
      </c>
      <c r="B829" s="7" t="str">
        <f>"3328061907890002"</f>
        <v>3328061907890002</v>
      </c>
      <c r="C829" s="7" t="s">
        <v>2571</v>
      </c>
      <c r="D829" s="7" t="s">
        <v>17</v>
      </c>
      <c r="E829" s="7" t="s">
        <v>11</v>
      </c>
      <c r="F829" s="7" t="s">
        <v>50</v>
      </c>
      <c r="G829" s="7" t="s">
        <v>86</v>
      </c>
      <c r="H829" s="7" t="s">
        <v>1268</v>
      </c>
      <c r="I829" s="8" t="s">
        <v>2503</v>
      </c>
    </row>
    <row r="830" spans="1:9" x14ac:dyDescent="0.35">
      <c r="A830" s="6">
        <v>2574122</v>
      </c>
      <c r="B830" s="7" t="str">
        <f>"3328062010990007"</f>
        <v>3328062010990007</v>
      </c>
      <c r="C830" s="7" t="s">
        <v>2574</v>
      </c>
      <c r="D830" s="7" t="s">
        <v>17</v>
      </c>
      <c r="E830" s="7" t="s">
        <v>11</v>
      </c>
      <c r="F830" s="7" t="s">
        <v>18</v>
      </c>
      <c r="G830" s="7" t="s">
        <v>19</v>
      </c>
      <c r="H830" s="7" t="s">
        <v>2575</v>
      </c>
      <c r="I830" s="8" t="s">
        <v>2575</v>
      </c>
    </row>
    <row r="831" spans="1:9" x14ac:dyDescent="0.35">
      <c r="A831" s="6">
        <v>2538868</v>
      </c>
      <c r="B831" s="7" t="str">
        <f>"3328062312700003"</f>
        <v>3328062312700003</v>
      </c>
      <c r="C831" s="7" t="s">
        <v>2576</v>
      </c>
      <c r="D831" s="7" t="s">
        <v>17</v>
      </c>
      <c r="E831" s="7" t="s">
        <v>11</v>
      </c>
      <c r="F831" s="7" t="s">
        <v>18</v>
      </c>
      <c r="G831" s="7" t="s">
        <v>19</v>
      </c>
      <c r="H831" s="7" t="s">
        <v>1394</v>
      </c>
      <c r="I831" s="8" t="s">
        <v>307</v>
      </c>
    </row>
    <row r="832" spans="1:9" x14ac:dyDescent="0.35">
      <c r="A832" s="6">
        <v>2538698</v>
      </c>
      <c r="B832" s="7" t="str">
        <f>"3328062401040004"</f>
        <v>3328062401040004</v>
      </c>
      <c r="C832" s="7" t="s">
        <v>2577</v>
      </c>
      <c r="D832" s="7" t="s">
        <v>17</v>
      </c>
      <c r="E832" s="7" t="s">
        <v>11</v>
      </c>
      <c r="F832" s="7" t="s">
        <v>18</v>
      </c>
      <c r="G832" s="7" t="s">
        <v>19</v>
      </c>
      <c r="H832" s="7" t="s">
        <v>1394</v>
      </c>
      <c r="I832" s="8" t="s">
        <v>2520</v>
      </c>
    </row>
    <row r="833" spans="1:9" x14ac:dyDescent="0.35">
      <c r="A833" s="6">
        <v>2540054</v>
      </c>
      <c r="B833" s="7" t="str">
        <f>"3328062411820006"</f>
        <v>3328062411820006</v>
      </c>
      <c r="C833" s="7" t="s">
        <v>2579</v>
      </c>
      <c r="D833" s="7" t="s">
        <v>17</v>
      </c>
      <c r="E833" s="7" t="s">
        <v>11</v>
      </c>
      <c r="F833" s="7" t="s">
        <v>18</v>
      </c>
      <c r="G833" s="7" t="s">
        <v>19</v>
      </c>
      <c r="H833" s="7" t="s">
        <v>1394</v>
      </c>
      <c r="I833" s="8" t="s">
        <v>2165</v>
      </c>
    </row>
    <row r="834" spans="1:9" x14ac:dyDescent="0.35">
      <c r="A834" s="6">
        <v>2538861</v>
      </c>
      <c r="B834" s="7" t="str">
        <f>"3328062504910002"</f>
        <v>3328062504910002</v>
      </c>
      <c r="C834" s="7" t="s">
        <v>2583</v>
      </c>
      <c r="D834" s="7" t="s">
        <v>17</v>
      </c>
      <c r="E834" s="7" t="s">
        <v>11</v>
      </c>
      <c r="F834" s="7" t="s">
        <v>18</v>
      </c>
      <c r="G834" s="7" t="s">
        <v>19</v>
      </c>
      <c r="H834" s="7" t="s">
        <v>1394</v>
      </c>
      <c r="I834" s="8" t="s">
        <v>307</v>
      </c>
    </row>
    <row r="835" spans="1:9" x14ac:dyDescent="0.35">
      <c r="A835" s="6">
        <v>2539251</v>
      </c>
      <c r="B835" s="7" t="str">
        <f>"3328062511860002"</f>
        <v>3328062511860002</v>
      </c>
      <c r="C835" s="7" t="s">
        <v>2584</v>
      </c>
      <c r="D835" s="7" t="s">
        <v>17</v>
      </c>
      <c r="E835" s="7" t="s">
        <v>11</v>
      </c>
      <c r="F835" s="7" t="s">
        <v>18</v>
      </c>
      <c r="G835" s="7" t="s">
        <v>19</v>
      </c>
      <c r="H835" s="7" t="s">
        <v>1394</v>
      </c>
      <c r="I835" s="8" t="s">
        <v>2161</v>
      </c>
    </row>
    <row r="836" spans="1:9" x14ac:dyDescent="0.35">
      <c r="A836" s="6">
        <v>2539915</v>
      </c>
      <c r="B836" s="7" t="str">
        <f>"3328062703910001"</f>
        <v>3328062703910001</v>
      </c>
      <c r="C836" s="7" t="s">
        <v>2586</v>
      </c>
      <c r="D836" s="7" t="s">
        <v>17</v>
      </c>
      <c r="E836" s="7" t="s">
        <v>11</v>
      </c>
      <c r="F836" s="7" t="s">
        <v>18</v>
      </c>
      <c r="G836" s="7" t="s">
        <v>19</v>
      </c>
      <c r="H836" s="7" t="s">
        <v>1394</v>
      </c>
      <c r="I836" s="8" t="s">
        <v>2187</v>
      </c>
    </row>
    <row r="837" spans="1:9" x14ac:dyDescent="0.35">
      <c r="A837" s="6">
        <v>2540458</v>
      </c>
      <c r="B837" s="7" t="str">
        <f>"3328062704780007"</f>
        <v>3328062704780007</v>
      </c>
      <c r="C837" s="7" t="s">
        <v>2587</v>
      </c>
      <c r="D837" s="7" t="s">
        <v>17</v>
      </c>
      <c r="E837" s="7" t="s">
        <v>11</v>
      </c>
      <c r="F837" s="7" t="s">
        <v>18</v>
      </c>
      <c r="G837" s="7" t="s">
        <v>19</v>
      </c>
      <c r="H837" s="7" t="s">
        <v>1394</v>
      </c>
      <c r="I837" s="8" t="s">
        <v>2194</v>
      </c>
    </row>
    <row r="838" spans="1:9" x14ac:dyDescent="0.35">
      <c r="A838" s="6">
        <v>1609909</v>
      </c>
      <c r="B838" s="7" t="str">
        <f>"3328062707990007"</f>
        <v>3328062707990007</v>
      </c>
      <c r="C838" s="7" t="s">
        <v>2590</v>
      </c>
      <c r="D838" s="7" t="s">
        <v>17</v>
      </c>
      <c r="E838" s="7" t="s">
        <v>11</v>
      </c>
      <c r="F838" s="7" t="s">
        <v>18</v>
      </c>
      <c r="G838" s="7" t="s">
        <v>264</v>
      </c>
      <c r="H838" s="7" t="s">
        <v>264</v>
      </c>
      <c r="I838" s="8" t="s">
        <v>2591</v>
      </c>
    </row>
    <row r="839" spans="1:9" x14ac:dyDescent="0.35">
      <c r="A839" s="6">
        <v>1687201</v>
      </c>
      <c r="B839" s="7" t="str">
        <f>"3328062801970007"</f>
        <v>3328062801970007</v>
      </c>
      <c r="C839" s="7" t="s">
        <v>2592</v>
      </c>
      <c r="D839" s="7" t="s">
        <v>17</v>
      </c>
      <c r="E839" s="7" t="s">
        <v>11</v>
      </c>
      <c r="F839" s="7" t="s">
        <v>18</v>
      </c>
      <c r="G839" s="7" t="s">
        <v>264</v>
      </c>
      <c r="H839" s="7" t="s">
        <v>265</v>
      </c>
      <c r="I839" s="8" t="s">
        <v>2053</v>
      </c>
    </row>
    <row r="840" spans="1:9" x14ac:dyDescent="0.35">
      <c r="A840" s="6">
        <v>2540191</v>
      </c>
      <c r="B840" s="7" t="str">
        <f>"3328062808990021"</f>
        <v>3328062808990021</v>
      </c>
      <c r="C840" s="7" t="s">
        <v>2593</v>
      </c>
      <c r="D840" s="7" t="s">
        <v>17</v>
      </c>
      <c r="E840" s="7" t="s">
        <v>11</v>
      </c>
      <c r="F840" s="7" t="s">
        <v>18</v>
      </c>
      <c r="G840" s="7" t="s">
        <v>19</v>
      </c>
      <c r="H840" s="7" t="s">
        <v>1394</v>
      </c>
      <c r="I840" s="8" t="s">
        <v>674</v>
      </c>
    </row>
    <row r="841" spans="1:9" x14ac:dyDescent="0.35">
      <c r="A841" s="6">
        <v>2540187</v>
      </c>
      <c r="B841" s="7" t="str">
        <f>"3328062902840004"</f>
        <v>3328062902840004</v>
      </c>
      <c r="C841" s="7" t="s">
        <v>2595</v>
      </c>
      <c r="D841" s="7" t="s">
        <v>17</v>
      </c>
      <c r="E841" s="7" t="s">
        <v>11</v>
      </c>
      <c r="F841" s="7" t="s">
        <v>18</v>
      </c>
      <c r="G841" s="7" t="s">
        <v>19</v>
      </c>
      <c r="H841" s="7" t="s">
        <v>1394</v>
      </c>
      <c r="I841" s="8" t="s">
        <v>674</v>
      </c>
    </row>
    <row r="842" spans="1:9" x14ac:dyDescent="0.35">
      <c r="A842" s="6">
        <v>2540546</v>
      </c>
      <c r="B842" s="7" t="str">
        <f>"3328062908750001"</f>
        <v>3328062908750001</v>
      </c>
      <c r="C842" s="7" t="s">
        <v>2596</v>
      </c>
      <c r="D842" s="7" t="s">
        <v>17</v>
      </c>
      <c r="E842" s="7" t="s">
        <v>11</v>
      </c>
      <c r="F842" s="7" t="s">
        <v>18</v>
      </c>
      <c r="G842" s="7" t="s">
        <v>19</v>
      </c>
      <c r="H842" s="7" t="s">
        <v>1394</v>
      </c>
      <c r="I842" s="8" t="s">
        <v>1395</v>
      </c>
    </row>
    <row r="843" spans="1:9" x14ac:dyDescent="0.35">
      <c r="A843" s="6">
        <v>2538711</v>
      </c>
      <c r="B843" s="7" t="str">
        <f>"3328063012700014"</f>
        <v>3328063012700014</v>
      </c>
      <c r="C843" s="7" t="s">
        <v>2602</v>
      </c>
      <c r="D843" s="7" t="s">
        <v>17</v>
      </c>
      <c r="E843" s="7" t="s">
        <v>11</v>
      </c>
      <c r="F843" s="7" t="s">
        <v>18</v>
      </c>
      <c r="G843" s="7" t="s">
        <v>19</v>
      </c>
      <c r="H843" s="7" t="s">
        <v>1394</v>
      </c>
      <c r="I843" s="8" t="s">
        <v>2520</v>
      </c>
    </row>
    <row r="844" spans="1:9" x14ac:dyDescent="0.35">
      <c r="A844" s="6">
        <v>1564470</v>
      </c>
      <c r="B844" s="7" t="str">
        <f>"3328063105000014"</f>
        <v>3328063105000014</v>
      </c>
      <c r="C844" s="7" t="s">
        <v>2603</v>
      </c>
      <c r="D844" s="7" t="s">
        <v>17</v>
      </c>
      <c r="E844" s="7" t="s">
        <v>11</v>
      </c>
      <c r="F844" s="7" t="s">
        <v>18</v>
      </c>
      <c r="G844" s="7" t="s">
        <v>195</v>
      </c>
      <c r="H844" s="7" t="s">
        <v>2604</v>
      </c>
      <c r="I844" s="8" t="s">
        <v>2605</v>
      </c>
    </row>
    <row r="845" spans="1:9" x14ac:dyDescent="0.35">
      <c r="A845" s="6">
        <v>1378366</v>
      </c>
      <c r="B845" s="7" t="str">
        <f>"3328064105800003"</f>
        <v>3328064105800003</v>
      </c>
      <c r="C845" s="7" t="s">
        <v>2607</v>
      </c>
      <c r="D845" s="7" t="s">
        <v>17</v>
      </c>
      <c r="E845" s="7" t="s">
        <v>11</v>
      </c>
      <c r="F845" s="7" t="s">
        <v>50</v>
      </c>
      <c r="G845" s="7" t="s">
        <v>51</v>
      </c>
      <c r="H845" s="7" t="s">
        <v>425</v>
      </c>
      <c r="I845" s="8" t="s">
        <v>426</v>
      </c>
    </row>
    <row r="846" spans="1:9" x14ac:dyDescent="0.35">
      <c r="A846" s="6">
        <v>1355730</v>
      </c>
      <c r="B846" s="7" t="str">
        <f>"3328064107820008"</f>
        <v>3328064107820008</v>
      </c>
      <c r="C846" s="7" t="s">
        <v>2608</v>
      </c>
      <c r="D846" s="7" t="s">
        <v>17</v>
      </c>
      <c r="E846" s="7" t="s">
        <v>11</v>
      </c>
      <c r="F846" s="7" t="s">
        <v>303</v>
      </c>
      <c r="G846" s="7" t="s">
        <v>2609</v>
      </c>
      <c r="H846" s="7" t="s">
        <v>501</v>
      </c>
      <c r="I846" s="8" t="s">
        <v>501</v>
      </c>
    </row>
    <row r="847" spans="1:9" x14ac:dyDescent="0.35">
      <c r="A847" s="6">
        <v>2539865</v>
      </c>
      <c r="B847" s="7" t="str">
        <f>"3328064107890006"</f>
        <v>3328064107890006</v>
      </c>
      <c r="C847" s="7" t="s">
        <v>2610</v>
      </c>
      <c r="D847" s="7" t="s">
        <v>17</v>
      </c>
      <c r="E847" s="7" t="s">
        <v>11</v>
      </c>
      <c r="F847" s="7" t="s">
        <v>18</v>
      </c>
      <c r="G847" s="7" t="s">
        <v>19</v>
      </c>
      <c r="H847" s="7" t="s">
        <v>1394</v>
      </c>
      <c r="I847" s="8" t="s">
        <v>2187</v>
      </c>
    </row>
    <row r="848" spans="1:9" x14ac:dyDescent="0.35">
      <c r="A848" s="6">
        <v>2540402</v>
      </c>
      <c r="B848" s="7" t="str">
        <f>"3328064109830006"</f>
        <v>3328064109830006</v>
      </c>
      <c r="C848" s="7" t="s">
        <v>2613</v>
      </c>
      <c r="D848" s="7" t="s">
        <v>17</v>
      </c>
      <c r="E848" s="7" t="s">
        <v>11</v>
      </c>
      <c r="F848" s="7" t="s">
        <v>18</v>
      </c>
      <c r="G848" s="7" t="s">
        <v>19</v>
      </c>
      <c r="H848" s="7" t="s">
        <v>1394</v>
      </c>
      <c r="I848" s="8" t="s">
        <v>2194</v>
      </c>
    </row>
    <row r="849" spans="1:9" x14ac:dyDescent="0.35">
      <c r="A849" s="6">
        <v>2555197</v>
      </c>
      <c r="B849" s="7" t="str">
        <f>"3328064203860006"</f>
        <v>3328064203860006</v>
      </c>
      <c r="C849" s="7" t="s">
        <v>2616</v>
      </c>
      <c r="D849" s="7" t="s">
        <v>17</v>
      </c>
      <c r="E849" s="7" t="s">
        <v>11</v>
      </c>
      <c r="F849" s="7" t="s">
        <v>67</v>
      </c>
      <c r="G849" s="7" t="s">
        <v>375</v>
      </c>
      <c r="H849" s="7" t="s">
        <v>2617</v>
      </c>
      <c r="I849" s="8" t="s">
        <v>2618</v>
      </c>
    </row>
    <row r="850" spans="1:9" x14ac:dyDescent="0.35">
      <c r="A850" s="6">
        <v>2539603</v>
      </c>
      <c r="B850" s="7" t="str">
        <f>"3328064203990002"</f>
        <v>3328064203990002</v>
      </c>
      <c r="C850" s="7" t="s">
        <v>2619</v>
      </c>
      <c r="D850" s="7" t="s">
        <v>17</v>
      </c>
      <c r="E850" s="7" t="s">
        <v>11</v>
      </c>
      <c r="F850" s="7" t="s">
        <v>18</v>
      </c>
      <c r="G850" s="7" t="s">
        <v>19</v>
      </c>
      <c r="H850" s="7" t="s">
        <v>1394</v>
      </c>
      <c r="I850" s="8" t="s">
        <v>2212</v>
      </c>
    </row>
    <row r="851" spans="1:9" x14ac:dyDescent="0.35">
      <c r="A851" s="6">
        <v>2539338</v>
      </c>
      <c r="B851" s="7" t="str">
        <f>"3328064709870005"</f>
        <v>3328064709870005</v>
      </c>
      <c r="C851" s="7" t="s">
        <v>2620</v>
      </c>
      <c r="D851" s="7" t="s">
        <v>17</v>
      </c>
      <c r="E851" s="7" t="s">
        <v>11</v>
      </c>
      <c r="F851" s="7" t="s">
        <v>18</v>
      </c>
      <c r="G851" s="7" t="s">
        <v>19</v>
      </c>
      <c r="H851" s="7" t="s">
        <v>1394</v>
      </c>
      <c r="I851" s="8" t="s">
        <v>2161</v>
      </c>
    </row>
    <row r="852" spans="1:9" x14ac:dyDescent="0.35">
      <c r="A852" s="6">
        <v>2539254</v>
      </c>
      <c r="B852" s="7" t="str">
        <f>"3328064710950002"</f>
        <v>3328064710950002</v>
      </c>
      <c r="C852" s="7" t="s">
        <v>2621</v>
      </c>
      <c r="D852" s="7" t="s">
        <v>17</v>
      </c>
      <c r="E852" s="7" t="s">
        <v>11</v>
      </c>
      <c r="F852" s="7" t="s">
        <v>18</v>
      </c>
      <c r="G852" s="7" t="s">
        <v>19</v>
      </c>
      <c r="H852" s="7" t="s">
        <v>1394</v>
      </c>
      <c r="I852" s="8" t="s">
        <v>2161</v>
      </c>
    </row>
    <row r="853" spans="1:9" x14ac:dyDescent="0.35">
      <c r="A853" s="6">
        <v>2539717</v>
      </c>
      <c r="B853" s="7" t="str">
        <f>"3328064807880006"</f>
        <v>3328064807880006</v>
      </c>
      <c r="C853" s="7" t="s">
        <v>2622</v>
      </c>
      <c r="D853" s="7" t="s">
        <v>17</v>
      </c>
      <c r="E853" s="7" t="s">
        <v>11</v>
      </c>
      <c r="F853" s="7" t="s">
        <v>18</v>
      </c>
      <c r="G853" s="7" t="s">
        <v>19</v>
      </c>
      <c r="H853" s="7" t="s">
        <v>1394</v>
      </c>
      <c r="I853" s="8" t="s">
        <v>2172</v>
      </c>
    </row>
    <row r="854" spans="1:9" x14ac:dyDescent="0.35">
      <c r="A854" s="6">
        <v>776109</v>
      </c>
      <c r="B854" s="7" t="str">
        <f>"3328064909910012"</f>
        <v>3328064909910012</v>
      </c>
      <c r="C854" s="7" t="s">
        <v>2626</v>
      </c>
      <c r="D854" s="7" t="s">
        <v>17</v>
      </c>
      <c r="E854" s="7" t="s">
        <v>11</v>
      </c>
      <c r="F854" s="7" t="s">
        <v>379</v>
      </c>
      <c r="G854" s="7" t="s">
        <v>711</v>
      </c>
      <c r="H854" s="7" t="s">
        <v>2627</v>
      </c>
      <c r="I854" s="8" t="s">
        <v>2628</v>
      </c>
    </row>
    <row r="855" spans="1:9" x14ac:dyDescent="0.35">
      <c r="A855" s="6">
        <v>2539601</v>
      </c>
      <c r="B855" s="7" t="str">
        <f>"3328065103950016"</f>
        <v>3328065103950016</v>
      </c>
      <c r="C855" s="7" t="s">
        <v>2629</v>
      </c>
      <c r="D855" s="7" t="s">
        <v>17</v>
      </c>
      <c r="E855" s="7" t="s">
        <v>11</v>
      </c>
      <c r="F855" s="7" t="s">
        <v>18</v>
      </c>
      <c r="G855" s="7" t="s">
        <v>19</v>
      </c>
      <c r="H855" s="7" t="s">
        <v>1394</v>
      </c>
      <c r="I855" s="8" t="s">
        <v>2212</v>
      </c>
    </row>
    <row r="856" spans="1:9" x14ac:dyDescent="0.35">
      <c r="A856" s="6">
        <v>1805529</v>
      </c>
      <c r="B856" s="7" t="str">
        <f>"3328065607700002"</f>
        <v>3328065607700002</v>
      </c>
      <c r="C856" s="7" t="s">
        <v>2632</v>
      </c>
      <c r="D856" s="7" t="s">
        <v>17</v>
      </c>
      <c r="E856" s="7" t="s">
        <v>11</v>
      </c>
      <c r="F856" s="7" t="s">
        <v>50</v>
      </c>
      <c r="G856" s="7" t="s">
        <v>72</v>
      </c>
      <c r="H856" s="7" t="s">
        <v>628</v>
      </c>
      <c r="I856" s="8" t="s">
        <v>1469</v>
      </c>
    </row>
    <row r="857" spans="1:9" x14ac:dyDescent="0.35">
      <c r="A857" s="6">
        <v>1628724</v>
      </c>
      <c r="B857" s="7" t="str">
        <f>"3328065607980005"</f>
        <v>3328065607980005</v>
      </c>
      <c r="C857" s="7" t="s">
        <v>2633</v>
      </c>
      <c r="D857" s="7" t="s">
        <v>17</v>
      </c>
      <c r="E857" s="7" t="s">
        <v>11</v>
      </c>
      <c r="F857" s="7" t="s">
        <v>18</v>
      </c>
      <c r="G857" s="7" t="s">
        <v>264</v>
      </c>
      <c r="H857" s="7" t="s">
        <v>248</v>
      </c>
      <c r="I857" s="8" t="s">
        <v>472</v>
      </c>
    </row>
    <row r="858" spans="1:9" x14ac:dyDescent="0.35">
      <c r="A858" s="6">
        <v>1943042</v>
      </c>
      <c r="B858" s="7" t="str">
        <f>"3328065804940005"</f>
        <v>3328065804940005</v>
      </c>
      <c r="C858" s="7" t="s">
        <v>2634</v>
      </c>
      <c r="D858" s="7" t="s">
        <v>17</v>
      </c>
      <c r="E858" s="7" t="s">
        <v>11</v>
      </c>
      <c r="F858" s="7" t="s">
        <v>50</v>
      </c>
      <c r="G858" s="7" t="s">
        <v>86</v>
      </c>
      <c r="H858" s="7" t="s">
        <v>205</v>
      </c>
      <c r="I858" s="8" t="s">
        <v>2635</v>
      </c>
    </row>
    <row r="859" spans="1:9" x14ac:dyDescent="0.35">
      <c r="A859" s="6">
        <v>2073401</v>
      </c>
      <c r="B859" s="7" t="str">
        <f>"3328065806790005"</f>
        <v>3328065806790005</v>
      </c>
      <c r="C859" s="7" t="s">
        <v>2637</v>
      </c>
      <c r="D859" s="7" t="s">
        <v>17</v>
      </c>
      <c r="E859" s="7" t="s">
        <v>11</v>
      </c>
      <c r="F859" s="7" t="s">
        <v>18</v>
      </c>
      <c r="G859" s="7" t="s">
        <v>962</v>
      </c>
      <c r="H859" s="7" t="s">
        <v>568</v>
      </c>
      <c r="I859" s="8" t="s">
        <v>364</v>
      </c>
    </row>
    <row r="860" spans="1:9" x14ac:dyDescent="0.35">
      <c r="A860" s="6">
        <v>1420047</v>
      </c>
      <c r="B860" s="7" t="str">
        <f>"3328065811950001"</f>
        <v>3328065811950001</v>
      </c>
      <c r="C860" s="7" t="s">
        <v>2638</v>
      </c>
      <c r="D860" s="7" t="s">
        <v>17</v>
      </c>
      <c r="E860" s="7" t="s">
        <v>11</v>
      </c>
      <c r="F860" s="7" t="s">
        <v>18</v>
      </c>
      <c r="G860" s="7" t="s">
        <v>2416</v>
      </c>
      <c r="H860" s="7" t="s">
        <v>2639</v>
      </c>
      <c r="I860" s="8" t="s">
        <v>2640</v>
      </c>
    </row>
    <row r="861" spans="1:9" x14ac:dyDescent="0.35">
      <c r="A861" s="6">
        <v>2539314</v>
      </c>
      <c r="B861" s="7" t="str">
        <f>"3328065912860003"</f>
        <v>3328065912860003</v>
      </c>
      <c r="C861" s="7" t="s">
        <v>2641</v>
      </c>
      <c r="D861" s="7" t="s">
        <v>17</v>
      </c>
      <c r="E861" s="7" t="s">
        <v>11</v>
      </c>
      <c r="F861" s="7" t="s">
        <v>18</v>
      </c>
      <c r="G861" s="7" t="s">
        <v>19</v>
      </c>
      <c r="H861" s="7" t="s">
        <v>1394</v>
      </c>
      <c r="I861" s="8" t="s">
        <v>2161</v>
      </c>
    </row>
    <row r="862" spans="1:9" x14ac:dyDescent="0.35">
      <c r="A862" s="6">
        <v>2538640</v>
      </c>
      <c r="B862" s="7" t="str">
        <f>"3328066005930003"</f>
        <v>3328066005930003</v>
      </c>
      <c r="C862" s="7" t="s">
        <v>2642</v>
      </c>
      <c r="D862" s="7" t="s">
        <v>17</v>
      </c>
      <c r="E862" s="7" t="s">
        <v>11</v>
      </c>
      <c r="F862" s="7" t="s">
        <v>18</v>
      </c>
      <c r="G862" s="7" t="s">
        <v>19</v>
      </c>
      <c r="H862" s="7" t="s">
        <v>1394</v>
      </c>
      <c r="I862" s="8" t="s">
        <v>2520</v>
      </c>
    </row>
    <row r="863" spans="1:9" x14ac:dyDescent="0.35">
      <c r="A863" s="6">
        <v>965610</v>
      </c>
      <c r="B863" s="7" t="str">
        <f>"3328066006860005"</f>
        <v>3328066006860005</v>
      </c>
      <c r="C863" s="7" t="s">
        <v>2643</v>
      </c>
      <c r="D863" s="7" t="s">
        <v>17</v>
      </c>
      <c r="E863" s="7" t="s">
        <v>11</v>
      </c>
      <c r="F863" s="7" t="s">
        <v>18</v>
      </c>
      <c r="G863" s="7" t="s">
        <v>2644</v>
      </c>
      <c r="H863" s="7" t="s">
        <v>2645</v>
      </c>
      <c r="I863" s="8" t="s">
        <v>2646</v>
      </c>
    </row>
    <row r="864" spans="1:9" x14ac:dyDescent="0.35">
      <c r="A864" s="6">
        <v>851792</v>
      </c>
      <c r="B864" s="7" t="str">
        <f>"3328066205930002"</f>
        <v>3328066205930002</v>
      </c>
      <c r="C864" s="7" t="s">
        <v>2647</v>
      </c>
      <c r="D864" s="7" t="s">
        <v>17</v>
      </c>
      <c r="E864" s="7" t="s">
        <v>11</v>
      </c>
      <c r="F864" s="7" t="s">
        <v>50</v>
      </c>
      <c r="G864" s="7" t="s">
        <v>280</v>
      </c>
      <c r="H864" s="7" t="s">
        <v>402</v>
      </c>
      <c r="I864" s="8" t="s">
        <v>2648</v>
      </c>
    </row>
    <row r="865" spans="1:9" x14ac:dyDescent="0.35">
      <c r="A865" s="6">
        <v>2540443</v>
      </c>
      <c r="B865" s="7" t="str">
        <f>"3328066603770005"</f>
        <v>3328066603770005</v>
      </c>
      <c r="C865" s="7" t="s">
        <v>2649</v>
      </c>
      <c r="D865" s="7" t="s">
        <v>17</v>
      </c>
      <c r="E865" s="7" t="s">
        <v>11</v>
      </c>
      <c r="F865" s="7" t="s">
        <v>18</v>
      </c>
      <c r="G865" s="7" t="s">
        <v>19</v>
      </c>
      <c r="H865" s="7" t="s">
        <v>1394</v>
      </c>
      <c r="I865" s="8" t="s">
        <v>2194</v>
      </c>
    </row>
    <row r="866" spans="1:9" x14ac:dyDescent="0.35">
      <c r="A866" s="6">
        <v>651439</v>
      </c>
      <c r="B866" s="7" t="str">
        <f>"3328066701790005"</f>
        <v>3328066701790005</v>
      </c>
      <c r="C866" s="7" t="s">
        <v>2650</v>
      </c>
      <c r="D866" s="7" t="s">
        <v>17</v>
      </c>
      <c r="E866" s="7" t="s">
        <v>11</v>
      </c>
      <c r="F866" s="7" t="s">
        <v>18</v>
      </c>
      <c r="G866" s="7" t="s">
        <v>190</v>
      </c>
      <c r="H866" s="7" t="s">
        <v>2651</v>
      </c>
      <c r="I866" s="8" t="s">
        <v>2652</v>
      </c>
    </row>
    <row r="867" spans="1:9" x14ac:dyDescent="0.35">
      <c r="A867" s="6">
        <v>2540247</v>
      </c>
      <c r="B867" s="7" t="str">
        <f>"3328066702040004"</f>
        <v>3328066702040004</v>
      </c>
      <c r="C867" s="7" t="s">
        <v>2653</v>
      </c>
      <c r="D867" s="7" t="s">
        <v>17</v>
      </c>
      <c r="E867" s="7" t="s">
        <v>11</v>
      </c>
      <c r="F867" s="7" t="s">
        <v>18</v>
      </c>
      <c r="G867" s="7" t="s">
        <v>19</v>
      </c>
      <c r="H867" s="7" t="s">
        <v>1394</v>
      </c>
      <c r="I867" s="8" t="s">
        <v>2235</v>
      </c>
    </row>
    <row r="868" spans="1:9" x14ac:dyDescent="0.35">
      <c r="A868" s="6">
        <v>1687156</v>
      </c>
      <c r="B868" s="7" t="str">
        <f>"3328066805010005"</f>
        <v>3328066805010005</v>
      </c>
      <c r="C868" s="7" t="s">
        <v>2656</v>
      </c>
      <c r="D868" s="7" t="s">
        <v>17</v>
      </c>
      <c r="E868" s="7" t="s">
        <v>11</v>
      </c>
      <c r="F868" s="7" t="s">
        <v>18</v>
      </c>
      <c r="G868" s="7" t="s">
        <v>264</v>
      </c>
      <c r="H868" s="7" t="s">
        <v>265</v>
      </c>
      <c r="I868" s="8" t="s">
        <v>2053</v>
      </c>
    </row>
    <row r="869" spans="1:9" x14ac:dyDescent="0.35">
      <c r="A869" s="6">
        <v>2540579</v>
      </c>
      <c r="B869" s="7" t="str">
        <f>"3328066902040002"</f>
        <v>3328066902040002</v>
      </c>
      <c r="C869" s="7" t="s">
        <v>2658</v>
      </c>
      <c r="D869" s="7" t="s">
        <v>17</v>
      </c>
      <c r="E869" s="7" t="s">
        <v>11</v>
      </c>
      <c r="F869" s="7" t="s">
        <v>18</v>
      </c>
      <c r="G869" s="7" t="s">
        <v>19</v>
      </c>
      <c r="H869" s="7" t="s">
        <v>1394</v>
      </c>
      <c r="I869" s="8" t="s">
        <v>1395</v>
      </c>
    </row>
    <row r="870" spans="1:9" x14ac:dyDescent="0.35">
      <c r="A870" s="6">
        <v>1882328</v>
      </c>
      <c r="B870" s="7" t="str">
        <f>"3328104101900012"</f>
        <v>3328104101900012</v>
      </c>
      <c r="C870" s="7" t="s">
        <v>2661</v>
      </c>
      <c r="D870" s="7" t="s">
        <v>17</v>
      </c>
      <c r="E870" s="7" t="s">
        <v>11</v>
      </c>
      <c r="F870" s="7" t="s">
        <v>91</v>
      </c>
      <c r="G870" s="7" t="s">
        <v>320</v>
      </c>
      <c r="H870" s="7" t="s">
        <v>2523</v>
      </c>
      <c r="I870" s="8" t="s">
        <v>2524</v>
      </c>
    </row>
    <row r="871" spans="1:9" x14ac:dyDescent="0.35">
      <c r="A871" s="6">
        <v>2540501</v>
      </c>
      <c r="B871" s="7" t="str">
        <f>"3329052406720006"</f>
        <v>3329052406720006</v>
      </c>
      <c r="C871" s="7" t="s">
        <v>1622</v>
      </c>
      <c r="D871" s="7" t="s">
        <v>17</v>
      </c>
      <c r="E871" s="7" t="s">
        <v>11</v>
      </c>
      <c r="F871" s="7" t="s">
        <v>18</v>
      </c>
      <c r="G871" s="7" t="s">
        <v>19</v>
      </c>
      <c r="H871" s="7" t="s">
        <v>1394</v>
      </c>
      <c r="I871" s="8" t="s">
        <v>2194</v>
      </c>
    </row>
    <row r="872" spans="1:9" x14ac:dyDescent="0.35">
      <c r="A872" s="6">
        <v>2540248</v>
      </c>
      <c r="B872" s="7" t="str">
        <f>"3329061802930003"</f>
        <v>3329061802930003</v>
      </c>
      <c r="C872" s="7" t="s">
        <v>2673</v>
      </c>
      <c r="D872" s="7" t="s">
        <v>17</v>
      </c>
      <c r="E872" s="7" t="s">
        <v>11</v>
      </c>
      <c r="F872" s="7" t="s">
        <v>18</v>
      </c>
      <c r="G872" s="7" t="s">
        <v>19</v>
      </c>
      <c r="H872" s="7" t="s">
        <v>1394</v>
      </c>
      <c r="I872" s="8" t="s">
        <v>2235</v>
      </c>
    </row>
    <row r="873" spans="1:9" x14ac:dyDescent="0.35">
      <c r="A873" s="6">
        <v>2540437</v>
      </c>
      <c r="B873" s="7" t="str">
        <f>"3329064909910003"</f>
        <v>3329064909910003</v>
      </c>
      <c r="C873" s="7" t="s">
        <v>2677</v>
      </c>
      <c r="D873" s="7" t="s">
        <v>17</v>
      </c>
      <c r="E873" s="7" t="s">
        <v>11</v>
      </c>
      <c r="F873" s="7" t="s">
        <v>18</v>
      </c>
      <c r="G873" s="7" t="s">
        <v>19</v>
      </c>
      <c r="H873" s="7" t="s">
        <v>1394</v>
      </c>
      <c r="I873" s="8" t="s">
        <v>2194</v>
      </c>
    </row>
    <row r="874" spans="1:9" x14ac:dyDescent="0.35">
      <c r="A874" s="6">
        <v>1692672</v>
      </c>
      <c r="B874" s="7" t="str">
        <f>"3329070305780004"</f>
        <v>3329070305780004</v>
      </c>
      <c r="C874" s="7" t="s">
        <v>2680</v>
      </c>
      <c r="D874" s="7" t="s">
        <v>17</v>
      </c>
      <c r="E874" s="7" t="s">
        <v>11</v>
      </c>
      <c r="F874" s="7" t="s">
        <v>18</v>
      </c>
      <c r="G874" s="7" t="s">
        <v>264</v>
      </c>
      <c r="H874" s="7" t="s">
        <v>265</v>
      </c>
      <c r="I874" s="8" t="s">
        <v>1869</v>
      </c>
    </row>
    <row r="875" spans="1:9" x14ac:dyDescent="0.35">
      <c r="A875" s="6">
        <v>1692685</v>
      </c>
      <c r="B875" s="7" t="str">
        <f>"3329073107990002"</f>
        <v>3329073107990002</v>
      </c>
      <c r="C875" s="7" t="s">
        <v>1843</v>
      </c>
      <c r="D875" s="7" t="s">
        <v>17</v>
      </c>
      <c r="E875" s="7" t="s">
        <v>11</v>
      </c>
      <c r="F875" s="7" t="s">
        <v>18</v>
      </c>
      <c r="G875" s="7" t="s">
        <v>264</v>
      </c>
      <c r="H875" s="7" t="s">
        <v>265</v>
      </c>
      <c r="I875" s="8" t="s">
        <v>1869</v>
      </c>
    </row>
    <row r="876" spans="1:9" x14ac:dyDescent="0.35">
      <c r="A876" s="6">
        <v>1692452</v>
      </c>
      <c r="B876" s="7" t="str">
        <f>"3329074408060002"</f>
        <v>3329074408060002</v>
      </c>
      <c r="C876" s="7" t="s">
        <v>2683</v>
      </c>
      <c r="D876" s="7" t="s">
        <v>17</v>
      </c>
      <c r="E876" s="7" t="s">
        <v>11</v>
      </c>
      <c r="F876" s="7" t="s">
        <v>18</v>
      </c>
      <c r="G876" s="7" t="s">
        <v>264</v>
      </c>
      <c r="H876" s="7" t="s">
        <v>265</v>
      </c>
      <c r="I876" s="8" t="s">
        <v>1869</v>
      </c>
    </row>
    <row r="877" spans="1:9" x14ac:dyDescent="0.35">
      <c r="A877" s="6">
        <v>2540266</v>
      </c>
      <c r="B877" s="7" t="str">
        <f>"3329084802970006"</f>
        <v>3329084802970006</v>
      </c>
      <c r="C877" s="7" t="s">
        <v>2691</v>
      </c>
      <c r="D877" s="7" t="s">
        <v>17</v>
      </c>
      <c r="E877" s="7" t="s">
        <v>11</v>
      </c>
      <c r="F877" s="7" t="s">
        <v>18</v>
      </c>
      <c r="G877" s="7" t="s">
        <v>19</v>
      </c>
      <c r="H877" s="7" t="s">
        <v>1394</v>
      </c>
      <c r="I877" s="8" t="s">
        <v>2235</v>
      </c>
    </row>
    <row r="878" spans="1:9" x14ac:dyDescent="0.35">
      <c r="A878" s="6">
        <v>1609660</v>
      </c>
      <c r="B878" s="7" t="str">
        <f>"3329090304890002"</f>
        <v>3329090304890002</v>
      </c>
      <c r="C878" s="7" t="s">
        <v>2692</v>
      </c>
      <c r="D878" s="7" t="s">
        <v>17</v>
      </c>
      <c r="E878" s="7" t="s">
        <v>11</v>
      </c>
      <c r="F878" s="7" t="s">
        <v>18</v>
      </c>
      <c r="G878" s="7" t="s">
        <v>264</v>
      </c>
      <c r="H878" s="7" t="s">
        <v>264</v>
      </c>
      <c r="I878" s="8" t="s">
        <v>2591</v>
      </c>
    </row>
    <row r="879" spans="1:9" x14ac:dyDescent="0.35">
      <c r="A879" s="6">
        <v>1609658</v>
      </c>
      <c r="B879" s="7" t="str">
        <f>"3329092709930001"</f>
        <v>3329092709930001</v>
      </c>
      <c r="C879" s="7" t="s">
        <v>2704</v>
      </c>
      <c r="D879" s="7" t="s">
        <v>17</v>
      </c>
      <c r="E879" s="7" t="s">
        <v>11</v>
      </c>
      <c r="F879" s="7" t="s">
        <v>18</v>
      </c>
      <c r="G879" s="7" t="s">
        <v>264</v>
      </c>
      <c r="H879" s="7" t="s">
        <v>264</v>
      </c>
      <c r="I879" s="8" t="s">
        <v>2591</v>
      </c>
    </row>
    <row r="880" spans="1:9" x14ac:dyDescent="0.35">
      <c r="A880" s="6">
        <v>2540355</v>
      </c>
      <c r="B880" s="7" t="str">
        <f>"3329104703890008"</f>
        <v>3329104703890008</v>
      </c>
      <c r="C880" s="7" t="s">
        <v>2711</v>
      </c>
      <c r="D880" s="7" t="s">
        <v>17</v>
      </c>
      <c r="E880" s="7" t="s">
        <v>11</v>
      </c>
      <c r="F880" s="7" t="s">
        <v>18</v>
      </c>
      <c r="G880" s="7" t="s">
        <v>19</v>
      </c>
      <c r="H880" s="7" t="s">
        <v>1394</v>
      </c>
      <c r="I880" s="8" t="s">
        <v>2235</v>
      </c>
    </row>
    <row r="881" spans="1:9" x14ac:dyDescent="0.35">
      <c r="A881" s="6">
        <v>2540461</v>
      </c>
      <c r="B881" s="7" t="str">
        <f>"3329140107750392"</f>
        <v>3329140107750392</v>
      </c>
      <c r="C881" s="7" t="s">
        <v>2712</v>
      </c>
      <c r="D881" s="7" t="s">
        <v>17</v>
      </c>
      <c r="E881" s="7" t="s">
        <v>11</v>
      </c>
      <c r="F881" s="7" t="s">
        <v>18</v>
      </c>
      <c r="G881" s="7" t="s">
        <v>19</v>
      </c>
      <c r="H881" s="7" t="s">
        <v>1394</v>
      </c>
      <c r="I881" s="8" t="s">
        <v>2194</v>
      </c>
    </row>
    <row r="882" spans="1:9" x14ac:dyDescent="0.35">
      <c r="A882" s="6">
        <v>2539882</v>
      </c>
      <c r="B882" s="7" t="str">
        <f>"3329141208970004"</f>
        <v>3329141208970004</v>
      </c>
      <c r="C882" s="7" t="s">
        <v>2713</v>
      </c>
      <c r="D882" s="7" t="s">
        <v>17</v>
      </c>
      <c r="E882" s="7" t="s">
        <v>11</v>
      </c>
      <c r="F882" s="7" t="s">
        <v>18</v>
      </c>
      <c r="G882" s="7" t="s">
        <v>19</v>
      </c>
      <c r="H882" s="7" t="s">
        <v>1394</v>
      </c>
      <c r="I882" s="8" t="s">
        <v>2187</v>
      </c>
    </row>
    <row r="883" spans="1:9" x14ac:dyDescent="0.35">
      <c r="A883" s="6">
        <v>2539444</v>
      </c>
      <c r="B883" s="7" t="str">
        <f>"3371022606710003"</f>
        <v>3371022606710003</v>
      </c>
      <c r="C883" s="7" t="s">
        <v>2726</v>
      </c>
      <c r="D883" s="7" t="s">
        <v>17</v>
      </c>
      <c r="E883" s="7" t="s">
        <v>11</v>
      </c>
      <c r="F883" s="7" t="s">
        <v>18</v>
      </c>
      <c r="G883" s="7" t="s">
        <v>19</v>
      </c>
      <c r="H883" s="7" t="s">
        <v>1394</v>
      </c>
      <c r="I883" s="8" t="s">
        <v>2161</v>
      </c>
    </row>
    <row r="884" spans="1:9" x14ac:dyDescent="0.35">
      <c r="A884" s="6">
        <v>2540932</v>
      </c>
      <c r="B884" s="7" t="str">
        <f>"3374050703690001"</f>
        <v>3374050703690001</v>
      </c>
      <c r="C884" s="7" t="s">
        <v>2736</v>
      </c>
      <c r="D884" s="7" t="s">
        <v>17</v>
      </c>
      <c r="E884" s="7" t="s">
        <v>11</v>
      </c>
      <c r="F884" s="7" t="s">
        <v>18</v>
      </c>
      <c r="G884" s="7" t="s">
        <v>19</v>
      </c>
      <c r="H884" s="7" t="s">
        <v>1394</v>
      </c>
      <c r="I884" s="8" t="s">
        <v>2280</v>
      </c>
    </row>
    <row r="885" spans="1:9" x14ac:dyDescent="0.35">
      <c r="A885" s="6">
        <v>2538700</v>
      </c>
      <c r="B885" s="7" t="str">
        <f>"3376021410950002"</f>
        <v>3376021410950002</v>
      </c>
      <c r="C885" s="7" t="s">
        <v>2771</v>
      </c>
      <c r="D885" s="7" t="s">
        <v>17</v>
      </c>
      <c r="E885" s="7" t="s">
        <v>11</v>
      </c>
      <c r="F885" s="7" t="s">
        <v>18</v>
      </c>
      <c r="G885" s="7" t="s">
        <v>19</v>
      </c>
      <c r="H885" s="7" t="s">
        <v>1394</v>
      </c>
      <c r="I885" s="8" t="s">
        <v>2520</v>
      </c>
    </row>
    <row r="886" spans="1:9" x14ac:dyDescent="0.35">
      <c r="A886" s="6">
        <v>2538489</v>
      </c>
      <c r="B886" s="7" t="str">
        <f>"3376031209870002"</f>
        <v>3376031209870002</v>
      </c>
      <c r="C886" s="7" t="s">
        <v>2775</v>
      </c>
      <c r="D886" s="7" t="s">
        <v>17</v>
      </c>
      <c r="E886" s="7" t="s">
        <v>11</v>
      </c>
      <c r="F886" s="7" t="s">
        <v>18</v>
      </c>
      <c r="G886" s="7" t="s">
        <v>19</v>
      </c>
      <c r="H886" s="7" t="s">
        <v>1394</v>
      </c>
      <c r="I886" s="8" t="s">
        <v>2189</v>
      </c>
    </row>
    <row r="887" spans="1:9" x14ac:dyDescent="0.35">
      <c r="A887" s="6">
        <v>2539949</v>
      </c>
      <c r="B887" s="7" t="str">
        <f>"3376041207960001"</f>
        <v>3376041207960001</v>
      </c>
      <c r="C887" s="7" t="s">
        <v>1292</v>
      </c>
      <c r="D887" s="7" t="s">
        <v>17</v>
      </c>
      <c r="E887" s="7" t="s">
        <v>11</v>
      </c>
      <c r="F887" s="7" t="s">
        <v>18</v>
      </c>
      <c r="G887" s="7" t="s">
        <v>19</v>
      </c>
      <c r="H887" s="7" t="s">
        <v>1394</v>
      </c>
      <c r="I887" s="8" t="s">
        <v>2261</v>
      </c>
    </row>
    <row r="888" spans="1:9" x14ac:dyDescent="0.35">
      <c r="A888" s="6">
        <v>2539805</v>
      </c>
      <c r="B888" s="7" t="str">
        <f>"3376043012940005"</f>
        <v>3376043012940005</v>
      </c>
      <c r="C888" s="7" t="s">
        <v>2781</v>
      </c>
      <c r="D888" s="7" t="s">
        <v>17</v>
      </c>
      <c r="E888" s="7" t="s">
        <v>11</v>
      </c>
      <c r="F888" s="7" t="s">
        <v>18</v>
      </c>
      <c r="G888" s="7" t="s">
        <v>19</v>
      </c>
      <c r="H888" s="7" t="s">
        <v>1394</v>
      </c>
      <c r="I888" s="8" t="s">
        <v>2172</v>
      </c>
    </row>
    <row r="889" spans="1:9" x14ac:dyDescent="0.35">
      <c r="A889" s="6">
        <v>2563493</v>
      </c>
      <c r="B889" s="7" t="str">
        <f>"3601244704870005"</f>
        <v>3601244704870005</v>
      </c>
      <c r="C889" s="7" t="s">
        <v>2800</v>
      </c>
      <c r="D889" s="7" t="s">
        <v>17</v>
      </c>
      <c r="E889" s="7" t="s">
        <v>11</v>
      </c>
      <c r="F889" s="7" t="s">
        <v>67</v>
      </c>
      <c r="G889" s="7" t="s">
        <v>375</v>
      </c>
      <c r="H889" s="7" t="s">
        <v>2801</v>
      </c>
      <c r="I889" s="8" t="s">
        <v>2802</v>
      </c>
    </row>
    <row r="890" spans="1:9" x14ac:dyDescent="0.35">
      <c r="A890" s="6">
        <v>2538943</v>
      </c>
      <c r="B890" s="7" t="str">
        <f>"3603070711880004"</f>
        <v>3603070711880004</v>
      </c>
      <c r="C890" s="7" t="s">
        <v>2806</v>
      </c>
      <c r="D890" s="7" t="s">
        <v>17</v>
      </c>
      <c r="E890" s="7" t="s">
        <v>11</v>
      </c>
      <c r="F890" s="7" t="s">
        <v>18</v>
      </c>
      <c r="G890" s="7" t="s">
        <v>19</v>
      </c>
      <c r="H890" s="7" t="s">
        <v>1394</v>
      </c>
      <c r="I890" s="8" t="s">
        <v>2161</v>
      </c>
    </row>
    <row r="891" spans="1:9" x14ac:dyDescent="0.35">
      <c r="A891" s="6">
        <v>2087859</v>
      </c>
      <c r="B891" s="7" t="str">
        <f>"3674066006840014"</f>
        <v>3674066006840014</v>
      </c>
      <c r="C891" s="7" t="s">
        <v>2816</v>
      </c>
      <c r="D891" s="7" t="s">
        <v>17</v>
      </c>
      <c r="E891" s="7" t="s">
        <v>11</v>
      </c>
      <c r="F891" s="7" t="s">
        <v>67</v>
      </c>
      <c r="G891" s="7" t="s">
        <v>68</v>
      </c>
      <c r="H891" s="7" t="s">
        <v>2817</v>
      </c>
      <c r="I891" s="8" t="s">
        <v>2818</v>
      </c>
    </row>
    <row r="892" spans="1:9" x14ac:dyDescent="0.35">
      <c r="A892" s="6">
        <v>2538819</v>
      </c>
      <c r="B892" s="7" t="str">
        <f>"5311012408820002"</f>
        <v>5311012408820002</v>
      </c>
      <c r="C892" s="7" t="s">
        <v>2825</v>
      </c>
      <c r="D892" s="7" t="s">
        <v>17</v>
      </c>
      <c r="E892" s="7" t="s">
        <v>11</v>
      </c>
      <c r="F892" s="7" t="s">
        <v>18</v>
      </c>
      <c r="G892" s="7" t="s">
        <v>19</v>
      </c>
      <c r="H892" s="7" t="s">
        <v>1394</v>
      </c>
      <c r="I892" s="8" t="s">
        <v>2238</v>
      </c>
    </row>
    <row r="893" spans="1:9" x14ac:dyDescent="0.35">
      <c r="A893" s="6">
        <v>2538641</v>
      </c>
      <c r="B893" s="7" t="str">
        <f>"6471032211790004"</f>
        <v>6471032211790004</v>
      </c>
      <c r="C893" s="7" t="s">
        <v>2830</v>
      </c>
      <c r="D893" s="7" t="s">
        <v>17</v>
      </c>
      <c r="E893" s="7" t="s">
        <v>11</v>
      </c>
      <c r="F893" s="7" t="s">
        <v>18</v>
      </c>
      <c r="G893" s="7" t="s">
        <v>19</v>
      </c>
      <c r="H893" s="7" t="s">
        <v>1394</v>
      </c>
      <c r="I893" s="8" t="s">
        <v>2520</v>
      </c>
    </row>
    <row r="894" spans="1:9" x14ac:dyDescent="0.35">
      <c r="A894" s="6">
        <v>2538642</v>
      </c>
      <c r="B894" s="7" t="str">
        <f>"6471034808900005"</f>
        <v>6471034808900005</v>
      </c>
      <c r="C894" s="7" t="s">
        <v>2832</v>
      </c>
      <c r="D894" s="7" t="s">
        <v>17</v>
      </c>
      <c r="E894" s="7" t="s">
        <v>11</v>
      </c>
      <c r="F894" s="7" t="s">
        <v>18</v>
      </c>
      <c r="G894" s="7" t="s">
        <v>19</v>
      </c>
      <c r="H894" s="7" t="s">
        <v>1394</v>
      </c>
      <c r="I894" s="8" t="s">
        <v>2520</v>
      </c>
    </row>
    <row r="895" spans="1:9" x14ac:dyDescent="0.35">
      <c r="A895" s="6">
        <v>2540121</v>
      </c>
      <c r="B895" s="7" t="str">
        <f>"8205021005980002"</f>
        <v>8205021005980002</v>
      </c>
      <c r="C895" s="7" t="s">
        <v>2833</v>
      </c>
      <c r="D895" s="7" t="s">
        <v>17</v>
      </c>
      <c r="E895" s="7" t="s">
        <v>11</v>
      </c>
      <c r="F895" s="7" t="s">
        <v>18</v>
      </c>
      <c r="G895" s="7" t="s">
        <v>19</v>
      </c>
      <c r="H895" s="7" t="s">
        <v>1394</v>
      </c>
      <c r="I895" s="8" t="s">
        <v>2165</v>
      </c>
    </row>
    <row r="896" spans="1:9" x14ac:dyDescent="0.35">
      <c r="A896" s="6">
        <v>2538573</v>
      </c>
      <c r="B896" s="7" t="str">
        <f>"9171051010850009"</f>
        <v>9171051010850009</v>
      </c>
      <c r="C896" s="7" t="s">
        <v>2836</v>
      </c>
      <c r="D896" s="7" t="s">
        <v>17</v>
      </c>
      <c r="E896" s="7" t="s">
        <v>11</v>
      </c>
      <c r="F896" s="7" t="s">
        <v>18</v>
      </c>
      <c r="G896" s="7" t="s">
        <v>19</v>
      </c>
      <c r="H896" s="7" t="s">
        <v>1394</v>
      </c>
      <c r="I896" s="8" t="s">
        <v>2189</v>
      </c>
    </row>
    <row r="897" spans="1:9" x14ac:dyDescent="0.35">
      <c r="A897" s="6">
        <v>2542599</v>
      </c>
      <c r="B897" s="7" t="str">
        <f>"1801040112970009"</f>
        <v>1801040112970009</v>
      </c>
      <c r="C897" s="7" t="s">
        <v>2846</v>
      </c>
      <c r="D897" s="7" t="s">
        <v>17</v>
      </c>
      <c r="E897" s="7" t="s">
        <v>11</v>
      </c>
      <c r="F897" s="7" t="s">
        <v>18</v>
      </c>
      <c r="G897" s="7" t="s">
        <v>19</v>
      </c>
      <c r="H897" s="7" t="s">
        <v>59</v>
      </c>
      <c r="I897" s="8" t="s">
        <v>110</v>
      </c>
    </row>
    <row r="898" spans="1:9" x14ac:dyDescent="0.35">
      <c r="A898" s="6">
        <v>2542777</v>
      </c>
      <c r="B898" s="7" t="str">
        <f>"1801231111920001"</f>
        <v>1801231111920001</v>
      </c>
      <c r="C898" s="7" t="s">
        <v>2848</v>
      </c>
      <c r="D898" s="7" t="s">
        <v>17</v>
      </c>
      <c r="E898" s="7" t="s">
        <v>11</v>
      </c>
      <c r="F898" s="7" t="s">
        <v>18</v>
      </c>
      <c r="G898" s="7" t="s">
        <v>19</v>
      </c>
      <c r="H898" s="7" t="s">
        <v>59</v>
      </c>
      <c r="I898" s="8" t="s">
        <v>2849</v>
      </c>
    </row>
    <row r="899" spans="1:9" x14ac:dyDescent="0.35">
      <c r="A899" s="6">
        <v>2542862</v>
      </c>
      <c r="B899" s="7" t="str">
        <f>"1802021004720003"</f>
        <v>1802021004720003</v>
      </c>
      <c r="C899" s="7" t="s">
        <v>2850</v>
      </c>
      <c r="D899" s="7" t="s">
        <v>17</v>
      </c>
      <c r="E899" s="7" t="s">
        <v>11</v>
      </c>
      <c r="F899" s="7" t="s">
        <v>18</v>
      </c>
      <c r="G899" s="7" t="s">
        <v>19</v>
      </c>
      <c r="H899" s="7" t="s">
        <v>59</v>
      </c>
      <c r="I899" s="8" t="s">
        <v>59</v>
      </c>
    </row>
    <row r="900" spans="1:9" x14ac:dyDescent="0.35">
      <c r="A900" s="6">
        <v>2542566</v>
      </c>
      <c r="B900" s="7" t="str">
        <f>"3172064409901001"</f>
        <v>3172064409901001</v>
      </c>
      <c r="C900" s="7" t="s">
        <v>2853</v>
      </c>
      <c r="D900" s="7" t="s">
        <v>17</v>
      </c>
      <c r="E900" s="7" t="s">
        <v>11</v>
      </c>
      <c r="F900" s="7" t="s">
        <v>18</v>
      </c>
      <c r="G900" s="7" t="s">
        <v>19</v>
      </c>
      <c r="H900" s="7" t="s">
        <v>59</v>
      </c>
      <c r="I900" s="8" t="s">
        <v>2854</v>
      </c>
    </row>
    <row r="901" spans="1:9" x14ac:dyDescent="0.35">
      <c r="A901" s="6">
        <v>2541349</v>
      </c>
      <c r="B901" s="7" t="str">
        <f>"3173011004710019"</f>
        <v>3173011004710019</v>
      </c>
      <c r="C901" s="7" t="s">
        <v>744</v>
      </c>
      <c r="D901" s="7" t="s">
        <v>17</v>
      </c>
      <c r="E901" s="7" t="s">
        <v>11</v>
      </c>
      <c r="F901" s="7" t="s">
        <v>18</v>
      </c>
      <c r="G901" s="7" t="s">
        <v>19</v>
      </c>
      <c r="H901" s="7" t="s">
        <v>59</v>
      </c>
      <c r="I901" s="8" t="s">
        <v>2856</v>
      </c>
    </row>
    <row r="902" spans="1:9" x14ac:dyDescent="0.35">
      <c r="A902" s="6">
        <v>2541490</v>
      </c>
      <c r="B902" s="7" t="str">
        <f>"3173014901051002"</f>
        <v>3173014901051002</v>
      </c>
      <c r="C902" s="7" t="s">
        <v>2861</v>
      </c>
      <c r="D902" s="7" t="s">
        <v>17</v>
      </c>
      <c r="E902" s="7" t="s">
        <v>11</v>
      </c>
      <c r="F902" s="7" t="s">
        <v>18</v>
      </c>
      <c r="G902" s="7" t="s">
        <v>19</v>
      </c>
      <c r="H902" s="7" t="s">
        <v>59</v>
      </c>
      <c r="I902" s="8" t="s">
        <v>2862</v>
      </c>
    </row>
    <row r="903" spans="1:9" x14ac:dyDescent="0.35">
      <c r="A903" s="6">
        <v>2542784</v>
      </c>
      <c r="B903" s="7" t="str">
        <f>"3174050506480006"</f>
        <v>3174050506480006</v>
      </c>
      <c r="C903" s="7" t="s">
        <v>2863</v>
      </c>
      <c r="D903" s="7" t="s">
        <v>17</v>
      </c>
      <c r="E903" s="7" t="s">
        <v>11</v>
      </c>
      <c r="F903" s="7" t="s">
        <v>18</v>
      </c>
      <c r="G903" s="7" t="s">
        <v>19</v>
      </c>
      <c r="H903" s="7" t="s">
        <v>59</v>
      </c>
      <c r="I903" s="8" t="s">
        <v>2849</v>
      </c>
    </row>
    <row r="904" spans="1:9" x14ac:dyDescent="0.35">
      <c r="A904" s="6">
        <v>2543229</v>
      </c>
      <c r="B904" s="7" t="str">
        <f>"3174050707600012"</f>
        <v>3174050707600012</v>
      </c>
      <c r="C904" s="7" t="s">
        <v>2865</v>
      </c>
      <c r="D904" s="7" t="s">
        <v>17</v>
      </c>
      <c r="E904" s="7" t="s">
        <v>11</v>
      </c>
      <c r="F904" s="7" t="s">
        <v>18</v>
      </c>
      <c r="G904" s="7" t="s">
        <v>19</v>
      </c>
      <c r="H904" s="7" t="s">
        <v>59</v>
      </c>
      <c r="I904" s="8" t="s">
        <v>222</v>
      </c>
    </row>
    <row r="905" spans="1:9" x14ac:dyDescent="0.35">
      <c r="A905" s="6">
        <v>2542783</v>
      </c>
      <c r="B905" s="7" t="str">
        <f>"3174054101540007"</f>
        <v>3174054101540007</v>
      </c>
      <c r="C905" s="7" t="s">
        <v>2867</v>
      </c>
      <c r="D905" s="7" t="s">
        <v>17</v>
      </c>
      <c r="E905" s="7" t="s">
        <v>11</v>
      </c>
      <c r="F905" s="7" t="s">
        <v>18</v>
      </c>
      <c r="G905" s="7" t="s">
        <v>19</v>
      </c>
      <c r="H905" s="7" t="s">
        <v>59</v>
      </c>
      <c r="I905" s="8" t="s">
        <v>2849</v>
      </c>
    </row>
    <row r="906" spans="1:9" x14ac:dyDescent="0.35">
      <c r="A906" s="6">
        <v>2543214</v>
      </c>
      <c r="B906" s="7" t="str">
        <f>"3174102404760007"</f>
        <v>3174102404760007</v>
      </c>
      <c r="C906" s="7" t="s">
        <v>2868</v>
      </c>
      <c r="D906" s="7" t="s">
        <v>17</v>
      </c>
      <c r="E906" s="7" t="s">
        <v>11</v>
      </c>
      <c r="F906" s="7" t="s">
        <v>18</v>
      </c>
      <c r="G906" s="7" t="s">
        <v>19</v>
      </c>
      <c r="H906" s="7" t="s">
        <v>59</v>
      </c>
      <c r="I906" s="8" t="s">
        <v>222</v>
      </c>
    </row>
    <row r="907" spans="1:9" x14ac:dyDescent="0.35">
      <c r="A907" s="6">
        <v>2543215</v>
      </c>
      <c r="B907" s="7" t="str">
        <f>"3174104505810017"</f>
        <v>3174104505810017</v>
      </c>
      <c r="C907" s="7" t="s">
        <v>2870</v>
      </c>
      <c r="D907" s="7" t="s">
        <v>17</v>
      </c>
      <c r="E907" s="7" t="s">
        <v>11</v>
      </c>
      <c r="F907" s="7" t="s">
        <v>18</v>
      </c>
      <c r="G907" s="7" t="s">
        <v>19</v>
      </c>
      <c r="H907" s="7" t="s">
        <v>59</v>
      </c>
      <c r="I907" s="8" t="s">
        <v>222</v>
      </c>
    </row>
    <row r="908" spans="1:9" x14ac:dyDescent="0.35">
      <c r="A908" s="6">
        <v>2543052</v>
      </c>
      <c r="B908" s="7" t="str">
        <f>"3174105508380002"</f>
        <v>3174105508380002</v>
      </c>
      <c r="C908" s="7" t="s">
        <v>2872</v>
      </c>
      <c r="D908" s="7" t="s">
        <v>17</v>
      </c>
      <c r="E908" s="7" t="s">
        <v>11</v>
      </c>
      <c r="F908" s="7" t="s">
        <v>18</v>
      </c>
      <c r="G908" s="7" t="s">
        <v>19</v>
      </c>
      <c r="H908" s="7" t="s">
        <v>59</v>
      </c>
      <c r="I908" s="8" t="s">
        <v>2873</v>
      </c>
    </row>
    <row r="909" spans="1:9" x14ac:dyDescent="0.35">
      <c r="A909" s="6">
        <v>2543212</v>
      </c>
      <c r="B909" s="7" t="str">
        <f>"3174105705030010"</f>
        <v>3174105705030010</v>
      </c>
      <c r="C909" s="7" t="s">
        <v>2874</v>
      </c>
      <c r="D909" s="7" t="s">
        <v>17</v>
      </c>
      <c r="E909" s="7" t="s">
        <v>11</v>
      </c>
      <c r="F909" s="7" t="s">
        <v>18</v>
      </c>
      <c r="G909" s="7" t="s">
        <v>19</v>
      </c>
      <c r="H909" s="7" t="s">
        <v>59</v>
      </c>
      <c r="I909" s="8" t="s">
        <v>222</v>
      </c>
    </row>
    <row r="910" spans="1:9" x14ac:dyDescent="0.35">
      <c r="A910" s="6">
        <v>2542394</v>
      </c>
      <c r="B910" s="7" t="str">
        <f>"3175065910980009"</f>
        <v>3175065910980009</v>
      </c>
      <c r="C910" s="7" t="s">
        <v>2875</v>
      </c>
      <c r="D910" s="7" t="s">
        <v>17</v>
      </c>
      <c r="E910" s="7" t="s">
        <v>11</v>
      </c>
      <c r="F910" s="7" t="s">
        <v>18</v>
      </c>
      <c r="G910" s="7" t="s">
        <v>19</v>
      </c>
      <c r="H910" s="7" t="s">
        <v>59</v>
      </c>
      <c r="I910" s="8" t="s">
        <v>2876</v>
      </c>
    </row>
    <row r="911" spans="1:9" x14ac:dyDescent="0.35">
      <c r="A911" s="6">
        <v>2542926</v>
      </c>
      <c r="B911" s="7" t="str">
        <f>"3175105206861004"</f>
        <v>3175105206861004</v>
      </c>
      <c r="C911" s="7" t="s">
        <v>2879</v>
      </c>
      <c r="D911" s="7" t="s">
        <v>17</v>
      </c>
      <c r="E911" s="7" t="s">
        <v>11</v>
      </c>
      <c r="F911" s="7" t="s">
        <v>18</v>
      </c>
      <c r="G911" s="7" t="s">
        <v>19</v>
      </c>
      <c r="H911" s="7" t="s">
        <v>59</v>
      </c>
      <c r="I911" s="8" t="s">
        <v>2880</v>
      </c>
    </row>
    <row r="912" spans="1:9" x14ac:dyDescent="0.35">
      <c r="A912" s="6">
        <v>2543006</v>
      </c>
      <c r="B912" s="7" t="str">
        <f>"3212192309900001"</f>
        <v>3212192309900001</v>
      </c>
      <c r="C912" s="7" t="s">
        <v>2882</v>
      </c>
      <c r="D912" s="7" t="s">
        <v>17</v>
      </c>
      <c r="E912" s="7" t="s">
        <v>11</v>
      </c>
      <c r="F912" s="7" t="s">
        <v>18</v>
      </c>
      <c r="G912" s="7" t="s">
        <v>19</v>
      </c>
      <c r="H912" s="7" t="s">
        <v>59</v>
      </c>
      <c r="I912" s="8" t="s">
        <v>2880</v>
      </c>
    </row>
    <row r="913" spans="1:9" x14ac:dyDescent="0.35">
      <c r="A913" s="6">
        <v>2542142</v>
      </c>
      <c r="B913" s="7" t="str">
        <f>"3275052509970011"</f>
        <v>3275052509970011</v>
      </c>
      <c r="C913" s="7" t="s">
        <v>2883</v>
      </c>
      <c r="D913" s="7" t="s">
        <v>17</v>
      </c>
      <c r="E913" s="7" t="s">
        <v>11</v>
      </c>
      <c r="F913" s="7" t="s">
        <v>18</v>
      </c>
      <c r="G913" s="7" t="s">
        <v>19</v>
      </c>
      <c r="H913" s="7" t="s">
        <v>59</v>
      </c>
      <c r="I913" s="8" t="s">
        <v>2884</v>
      </c>
    </row>
    <row r="914" spans="1:9" x14ac:dyDescent="0.35">
      <c r="A914" s="6">
        <v>2542560</v>
      </c>
      <c r="B914" s="7" t="str">
        <f>"3324014711870003"</f>
        <v>3324014711870003</v>
      </c>
      <c r="C914" s="7" t="s">
        <v>2885</v>
      </c>
      <c r="D914" s="7" t="s">
        <v>17</v>
      </c>
      <c r="E914" s="7" t="s">
        <v>11</v>
      </c>
      <c r="F914" s="7" t="s">
        <v>18</v>
      </c>
      <c r="G914" s="7" t="s">
        <v>19</v>
      </c>
      <c r="H914" s="7" t="s">
        <v>59</v>
      </c>
      <c r="I914" s="8" t="s">
        <v>2854</v>
      </c>
    </row>
    <row r="915" spans="1:9" x14ac:dyDescent="0.35">
      <c r="A915" s="6">
        <v>2542308</v>
      </c>
      <c r="B915" s="7" t="str">
        <f>"3325144405900001"</f>
        <v>3325144405900001</v>
      </c>
      <c r="C915" s="7" t="s">
        <v>2886</v>
      </c>
      <c r="D915" s="7" t="s">
        <v>17</v>
      </c>
      <c r="E915" s="7" t="s">
        <v>11</v>
      </c>
      <c r="F915" s="7" t="s">
        <v>18</v>
      </c>
      <c r="G915" s="7" t="s">
        <v>19</v>
      </c>
      <c r="H915" s="7" t="s">
        <v>59</v>
      </c>
      <c r="I915" s="8" t="s">
        <v>2887</v>
      </c>
    </row>
    <row r="916" spans="1:9" x14ac:dyDescent="0.35">
      <c r="A916" s="6">
        <v>704546</v>
      </c>
      <c r="B916" s="7" t="str">
        <f>"3325144405900001"</f>
        <v>3325144405900001</v>
      </c>
      <c r="C916" s="7" t="s">
        <v>2886</v>
      </c>
      <c r="D916" s="7" t="s">
        <v>17</v>
      </c>
      <c r="E916" s="7" t="s">
        <v>11</v>
      </c>
      <c r="F916" s="7" t="s">
        <v>18</v>
      </c>
      <c r="G916" s="7" t="s">
        <v>190</v>
      </c>
      <c r="H916" s="7" t="s">
        <v>2888</v>
      </c>
      <c r="I916" s="8" t="s">
        <v>2888</v>
      </c>
    </row>
    <row r="917" spans="1:9" x14ac:dyDescent="0.35">
      <c r="A917" s="6">
        <v>2542437</v>
      </c>
      <c r="B917" s="7" t="str">
        <f>"3328070104840006"</f>
        <v>3328070104840006</v>
      </c>
      <c r="C917" s="7" t="s">
        <v>1622</v>
      </c>
      <c r="D917" s="7" t="s">
        <v>17</v>
      </c>
      <c r="E917" s="7" t="s">
        <v>11</v>
      </c>
      <c r="F917" s="7" t="s">
        <v>18</v>
      </c>
      <c r="G917" s="7" t="s">
        <v>19</v>
      </c>
      <c r="H917" s="7" t="s">
        <v>59</v>
      </c>
      <c r="I917" s="8" t="s">
        <v>2893</v>
      </c>
    </row>
    <row r="918" spans="1:9" x14ac:dyDescent="0.35">
      <c r="A918" s="6">
        <v>2543322</v>
      </c>
      <c r="B918" s="7" t="str">
        <f>"3328070107940014"</f>
        <v>3328070107940014</v>
      </c>
      <c r="C918" s="7" t="s">
        <v>2894</v>
      </c>
      <c r="D918" s="7" t="s">
        <v>17</v>
      </c>
      <c r="E918" s="7" t="s">
        <v>11</v>
      </c>
      <c r="F918" s="7" t="s">
        <v>18</v>
      </c>
      <c r="G918" s="7" t="s">
        <v>19</v>
      </c>
      <c r="H918" s="7" t="s">
        <v>59</v>
      </c>
      <c r="I918" s="8" t="s">
        <v>222</v>
      </c>
    </row>
    <row r="919" spans="1:9" x14ac:dyDescent="0.35">
      <c r="A919" s="6">
        <v>2542849</v>
      </c>
      <c r="B919" s="7" t="str">
        <f>"3328070206000009"</f>
        <v>3328070206000009</v>
      </c>
      <c r="C919" s="7" t="s">
        <v>2896</v>
      </c>
      <c r="D919" s="7" t="s">
        <v>17</v>
      </c>
      <c r="E919" s="7" t="s">
        <v>11</v>
      </c>
      <c r="F919" s="7" t="s">
        <v>18</v>
      </c>
      <c r="G919" s="7" t="s">
        <v>19</v>
      </c>
      <c r="H919" s="7" t="s">
        <v>59</v>
      </c>
      <c r="I919" s="8" t="s">
        <v>59</v>
      </c>
    </row>
    <row r="920" spans="1:9" x14ac:dyDescent="0.35">
      <c r="A920" s="6">
        <v>2543068</v>
      </c>
      <c r="B920" s="7" t="str">
        <f>"3328070404040001"</f>
        <v>3328070404040001</v>
      </c>
      <c r="C920" s="7" t="s">
        <v>2902</v>
      </c>
      <c r="D920" s="7" t="s">
        <v>17</v>
      </c>
      <c r="E920" s="7" t="s">
        <v>11</v>
      </c>
      <c r="F920" s="7" t="s">
        <v>18</v>
      </c>
      <c r="G920" s="7" t="s">
        <v>19</v>
      </c>
      <c r="H920" s="7" t="s">
        <v>59</v>
      </c>
      <c r="I920" s="8" t="s">
        <v>2873</v>
      </c>
    </row>
    <row r="921" spans="1:9" x14ac:dyDescent="0.35">
      <c r="A921" s="6">
        <v>2541700</v>
      </c>
      <c r="B921" s="7" t="str">
        <f>"3328070706820002"</f>
        <v>3328070706820002</v>
      </c>
      <c r="C921" s="7" t="s">
        <v>2314</v>
      </c>
      <c r="D921" s="7" t="s">
        <v>17</v>
      </c>
      <c r="E921" s="7" t="s">
        <v>11</v>
      </c>
      <c r="F921" s="7" t="s">
        <v>18</v>
      </c>
      <c r="G921" s="7" t="s">
        <v>19</v>
      </c>
      <c r="H921" s="7" t="s">
        <v>59</v>
      </c>
      <c r="I921" s="8" t="s">
        <v>2904</v>
      </c>
    </row>
    <row r="922" spans="1:9" x14ac:dyDescent="0.35">
      <c r="A922" s="6">
        <v>2542091</v>
      </c>
      <c r="B922" s="7" t="str">
        <f>"3328070807720003"</f>
        <v>3328070807720003</v>
      </c>
      <c r="C922" s="7" t="s">
        <v>2905</v>
      </c>
      <c r="D922" s="7" t="s">
        <v>17</v>
      </c>
      <c r="E922" s="7" t="s">
        <v>11</v>
      </c>
      <c r="F922" s="7" t="s">
        <v>18</v>
      </c>
      <c r="G922" s="7" t="s">
        <v>19</v>
      </c>
      <c r="H922" s="7" t="s">
        <v>59</v>
      </c>
      <c r="I922" s="8" t="s">
        <v>2884</v>
      </c>
    </row>
    <row r="923" spans="1:9" x14ac:dyDescent="0.35">
      <c r="A923" s="6">
        <v>2541595</v>
      </c>
      <c r="B923" s="7" t="str">
        <f>"3328070812870007"</f>
        <v>3328070812870007</v>
      </c>
      <c r="C923" s="7" t="s">
        <v>2906</v>
      </c>
      <c r="D923" s="7" t="s">
        <v>17</v>
      </c>
      <c r="E923" s="7" t="s">
        <v>11</v>
      </c>
      <c r="F923" s="7" t="s">
        <v>18</v>
      </c>
      <c r="G923" s="7" t="s">
        <v>19</v>
      </c>
      <c r="H923" s="7" t="s">
        <v>59</v>
      </c>
      <c r="I923" s="8" t="s">
        <v>2904</v>
      </c>
    </row>
    <row r="924" spans="1:9" x14ac:dyDescent="0.35">
      <c r="A924" s="6">
        <v>2542458</v>
      </c>
      <c r="B924" s="7" t="str">
        <f>"3328070905690001"</f>
        <v>3328070905690001</v>
      </c>
      <c r="C924" s="7" t="s">
        <v>2911</v>
      </c>
      <c r="D924" s="7" t="s">
        <v>17</v>
      </c>
      <c r="E924" s="7" t="s">
        <v>11</v>
      </c>
      <c r="F924" s="7" t="s">
        <v>18</v>
      </c>
      <c r="G924" s="7" t="s">
        <v>19</v>
      </c>
      <c r="H924" s="7" t="s">
        <v>59</v>
      </c>
      <c r="I924" s="8" t="s">
        <v>2893</v>
      </c>
    </row>
    <row r="925" spans="1:9" x14ac:dyDescent="0.35">
      <c r="A925" s="6">
        <v>2542809</v>
      </c>
      <c r="B925" s="7" t="str">
        <f>"3328070908710002"</f>
        <v>3328070908710002</v>
      </c>
      <c r="C925" s="7" t="s">
        <v>979</v>
      </c>
      <c r="D925" s="7" t="s">
        <v>17</v>
      </c>
      <c r="E925" s="7" t="s">
        <v>11</v>
      </c>
      <c r="F925" s="7" t="s">
        <v>18</v>
      </c>
      <c r="G925" s="7" t="s">
        <v>19</v>
      </c>
      <c r="H925" s="7" t="s">
        <v>59</v>
      </c>
      <c r="I925" s="8" t="s">
        <v>2849</v>
      </c>
    </row>
    <row r="926" spans="1:9" x14ac:dyDescent="0.35">
      <c r="A926" s="6">
        <v>2541478</v>
      </c>
      <c r="B926" s="7" t="str">
        <f>"3328070909950003"</f>
        <v>3328070909950003</v>
      </c>
      <c r="C926" s="7" t="s">
        <v>2913</v>
      </c>
      <c r="D926" s="7" t="s">
        <v>17</v>
      </c>
      <c r="E926" s="7" t="s">
        <v>11</v>
      </c>
      <c r="F926" s="7" t="s">
        <v>18</v>
      </c>
      <c r="G926" s="7" t="s">
        <v>19</v>
      </c>
      <c r="H926" s="7" t="s">
        <v>59</v>
      </c>
      <c r="I926" s="8" t="s">
        <v>2862</v>
      </c>
    </row>
    <row r="927" spans="1:9" x14ac:dyDescent="0.35">
      <c r="A927" s="6">
        <v>2084635</v>
      </c>
      <c r="B927" s="7" t="str">
        <f>"3328071010060006"</f>
        <v>3328071010060006</v>
      </c>
      <c r="C927" s="7" t="s">
        <v>2914</v>
      </c>
      <c r="D927" s="7" t="s">
        <v>17</v>
      </c>
      <c r="E927" s="7" t="s">
        <v>57</v>
      </c>
      <c r="F927" s="7" t="s">
        <v>18</v>
      </c>
      <c r="G927" s="7" t="s">
        <v>962</v>
      </c>
      <c r="H927" s="7" t="s">
        <v>1046</v>
      </c>
      <c r="I927" s="8" t="s">
        <v>1146</v>
      </c>
    </row>
    <row r="928" spans="1:9" x14ac:dyDescent="0.35">
      <c r="A928" s="6">
        <v>2541830</v>
      </c>
      <c r="B928" s="7" t="str">
        <f>"3328071203020002"</f>
        <v>3328071203020002</v>
      </c>
      <c r="C928" s="7" t="s">
        <v>2915</v>
      </c>
      <c r="D928" s="7" t="s">
        <v>17</v>
      </c>
      <c r="E928" s="7" t="s">
        <v>11</v>
      </c>
      <c r="F928" s="7" t="s">
        <v>18</v>
      </c>
      <c r="G928" s="7" t="s">
        <v>19</v>
      </c>
      <c r="H928" s="7" t="s">
        <v>59</v>
      </c>
      <c r="I928" s="8" t="s">
        <v>2916</v>
      </c>
    </row>
    <row r="929" spans="1:9" x14ac:dyDescent="0.35">
      <c r="A929" s="6">
        <v>1884294</v>
      </c>
      <c r="B929" s="7" t="str">
        <f>"3328071203020002"</f>
        <v>3328071203020002</v>
      </c>
      <c r="C929" s="7" t="s">
        <v>2915</v>
      </c>
      <c r="D929" s="7" t="s">
        <v>17</v>
      </c>
      <c r="E929" s="7" t="s">
        <v>57</v>
      </c>
      <c r="F929" s="7" t="s">
        <v>91</v>
      </c>
      <c r="G929" s="7" t="s">
        <v>159</v>
      </c>
      <c r="H929" s="7" t="s">
        <v>685</v>
      </c>
      <c r="I929" s="8" t="s">
        <v>686</v>
      </c>
    </row>
    <row r="930" spans="1:9" x14ac:dyDescent="0.35">
      <c r="A930" s="6">
        <v>2542112</v>
      </c>
      <c r="B930" s="7" t="str">
        <f>"3328071203700005"</f>
        <v>3328071203700005</v>
      </c>
      <c r="C930" s="7" t="s">
        <v>2919</v>
      </c>
      <c r="D930" s="7" t="s">
        <v>17</v>
      </c>
      <c r="E930" s="7" t="s">
        <v>11</v>
      </c>
      <c r="F930" s="7" t="s">
        <v>18</v>
      </c>
      <c r="G930" s="7" t="s">
        <v>19</v>
      </c>
      <c r="H930" s="7" t="s">
        <v>59</v>
      </c>
      <c r="I930" s="8" t="s">
        <v>2884</v>
      </c>
    </row>
    <row r="931" spans="1:9" x14ac:dyDescent="0.35">
      <c r="A931" s="6">
        <v>2543032</v>
      </c>
      <c r="B931" s="7" t="str">
        <f>"3328071207850018"</f>
        <v>3328071207850018</v>
      </c>
      <c r="C931" s="7" t="s">
        <v>2922</v>
      </c>
      <c r="D931" s="7" t="s">
        <v>17</v>
      </c>
      <c r="E931" s="7" t="s">
        <v>11</v>
      </c>
      <c r="F931" s="7" t="s">
        <v>18</v>
      </c>
      <c r="G931" s="7" t="s">
        <v>19</v>
      </c>
      <c r="H931" s="7" t="s">
        <v>59</v>
      </c>
      <c r="I931" s="8" t="s">
        <v>2873</v>
      </c>
    </row>
    <row r="932" spans="1:9" x14ac:dyDescent="0.35">
      <c r="A932" s="6">
        <v>2541462</v>
      </c>
      <c r="B932" s="7" t="str">
        <f>"3328071406790002"</f>
        <v>3328071406790002</v>
      </c>
      <c r="C932" s="7" t="s">
        <v>2927</v>
      </c>
      <c r="D932" s="7" t="s">
        <v>17</v>
      </c>
      <c r="E932" s="7" t="s">
        <v>11</v>
      </c>
      <c r="F932" s="7" t="s">
        <v>18</v>
      </c>
      <c r="G932" s="7" t="s">
        <v>19</v>
      </c>
      <c r="H932" s="7" t="s">
        <v>59</v>
      </c>
      <c r="I932" s="8" t="s">
        <v>2862</v>
      </c>
    </row>
    <row r="933" spans="1:9" x14ac:dyDescent="0.35">
      <c r="A933" s="6">
        <v>2542108</v>
      </c>
      <c r="B933" s="7" t="str">
        <f>"3328072103970002"</f>
        <v>3328072103970002</v>
      </c>
      <c r="C933" s="7" t="s">
        <v>2939</v>
      </c>
      <c r="D933" s="7" t="s">
        <v>17</v>
      </c>
      <c r="E933" s="7" t="s">
        <v>11</v>
      </c>
      <c r="F933" s="7" t="s">
        <v>18</v>
      </c>
      <c r="G933" s="7" t="s">
        <v>19</v>
      </c>
      <c r="H933" s="7" t="s">
        <v>59</v>
      </c>
      <c r="I933" s="8" t="s">
        <v>2884</v>
      </c>
    </row>
    <row r="934" spans="1:9" x14ac:dyDescent="0.35">
      <c r="A934" s="6">
        <v>2541702</v>
      </c>
      <c r="B934" s="7" t="str">
        <f>"3328072707000001"</f>
        <v>3328072707000001</v>
      </c>
      <c r="C934" s="7" t="s">
        <v>2940</v>
      </c>
      <c r="D934" s="7" t="s">
        <v>17</v>
      </c>
      <c r="E934" s="7" t="s">
        <v>11</v>
      </c>
      <c r="F934" s="7" t="s">
        <v>18</v>
      </c>
      <c r="G934" s="7" t="s">
        <v>19</v>
      </c>
      <c r="H934" s="7" t="s">
        <v>59</v>
      </c>
      <c r="I934" s="8" t="s">
        <v>2941</v>
      </c>
    </row>
    <row r="935" spans="1:9" x14ac:dyDescent="0.35">
      <c r="A935" s="6">
        <v>2542945</v>
      </c>
      <c r="B935" s="7" t="str">
        <f>"3328072808030003"</f>
        <v>3328072808030003</v>
      </c>
      <c r="C935" s="7" t="s">
        <v>2945</v>
      </c>
      <c r="D935" s="7" t="s">
        <v>17</v>
      </c>
      <c r="E935" s="7" t="s">
        <v>11</v>
      </c>
      <c r="F935" s="7" t="s">
        <v>18</v>
      </c>
      <c r="G935" s="7" t="s">
        <v>19</v>
      </c>
      <c r="H935" s="7" t="s">
        <v>59</v>
      </c>
      <c r="I935" s="8" t="s">
        <v>2880</v>
      </c>
    </row>
    <row r="936" spans="1:9" x14ac:dyDescent="0.35">
      <c r="A936" s="6">
        <v>2542021</v>
      </c>
      <c r="B936" s="7" t="str">
        <f>"3328073007690002"</f>
        <v>3328073007690002</v>
      </c>
      <c r="C936" s="7" t="s">
        <v>2948</v>
      </c>
      <c r="D936" s="7" t="s">
        <v>17</v>
      </c>
      <c r="E936" s="7" t="s">
        <v>11</v>
      </c>
      <c r="F936" s="7" t="s">
        <v>18</v>
      </c>
      <c r="G936" s="7" t="s">
        <v>19</v>
      </c>
      <c r="H936" s="7" t="s">
        <v>59</v>
      </c>
      <c r="I936" s="8" t="s">
        <v>2884</v>
      </c>
    </row>
    <row r="937" spans="1:9" x14ac:dyDescent="0.35">
      <c r="A937" s="6">
        <v>2542113</v>
      </c>
      <c r="B937" s="7" t="str">
        <f>"3328074107730070"</f>
        <v>3328074107730070</v>
      </c>
      <c r="C937" s="7" t="s">
        <v>2951</v>
      </c>
      <c r="D937" s="7" t="s">
        <v>17</v>
      </c>
      <c r="E937" s="7" t="s">
        <v>11</v>
      </c>
      <c r="F937" s="7" t="s">
        <v>18</v>
      </c>
      <c r="G937" s="7" t="s">
        <v>19</v>
      </c>
      <c r="H937" s="7" t="s">
        <v>59</v>
      </c>
      <c r="I937" s="8" t="s">
        <v>2884</v>
      </c>
    </row>
    <row r="938" spans="1:9" x14ac:dyDescent="0.35">
      <c r="A938" s="6">
        <v>2541664</v>
      </c>
      <c r="B938" s="7" t="str">
        <f>"3328074110020003"</f>
        <v>3328074110020003</v>
      </c>
      <c r="C938" s="7" t="s">
        <v>2953</v>
      </c>
      <c r="D938" s="7" t="s">
        <v>17</v>
      </c>
      <c r="E938" s="7" t="s">
        <v>11</v>
      </c>
      <c r="F938" s="7" t="s">
        <v>18</v>
      </c>
      <c r="G938" s="7" t="s">
        <v>19</v>
      </c>
      <c r="H938" s="7" t="s">
        <v>59</v>
      </c>
      <c r="I938" s="8" t="s">
        <v>2904</v>
      </c>
    </row>
    <row r="939" spans="1:9" x14ac:dyDescent="0.35">
      <c r="A939" s="6">
        <v>2542937</v>
      </c>
      <c r="B939" s="7" t="str">
        <f>"3328074308860003"</f>
        <v>3328074308860003</v>
      </c>
      <c r="C939" s="7" t="s">
        <v>2954</v>
      </c>
      <c r="D939" s="7" t="s">
        <v>17</v>
      </c>
      <c r="E939" s="7" t="s">
        <v>11</v>
      </c>
      <c r="F939" s="7" t="s">
        <v>18</v>
      </c>
      <c r="G939" s="7" t="s">
        <v>19</v>
      </c>
      <c r="H939" s="7" t="s">
        <v>59</v>
      </c>
      <c r="I939" s="8" t="s">
        <v>2880</v>
      </c>
    </row>
    <row r="940" spans="1:9" x14ac:dyDescent="0.35">
      <c r="A940" s="6">
        <v>2541541</v>
      </c>
      <c r="B940" s="7" t="str">
        <f>"3328074701960007"</f>
        <v>3328074701960007</v>
      </c>
      <c r="C940" s="7" t="s">
        <v>2957</v>
      </c>
      <c r="D940" s="7" t="s">
        <v>17</v>
      </c>
      <c r="E940" s="7" t="s">
        <v>11</v>
      </c>
      <c r="F940" s="7" t="s">
        <v>18</v>
      </c>
      <c r="G940" s="7" t="s">
        <v>19</v>
      </c>
      <c r="H940" s="7" t="s">
        <v>59</v>
      </c>
      <c r="I940" s="8" t="s">
        <v>2862</v>
      </c>
    </row>
    <row r="941" spans="1:9" x14ac:dyDescent="0.35">
      <c r="A941" s="6">
        <v>2541663</v>
      </c>
      <c r="B941" s="7" t="str">
        <f>"3328074803980005"</f>
        <v>3328074803980005</v>
      </c>
      <c r="C941" s="7" t="s">
        <v>2961</v>
      </c>
      <c r="D941" s="7" t="s">
        <v>17</v>
      </c>
      <c r="E941" s="7" t="s">
        <v>11</v>
      </c>
      <c r="F941" s="7" t="s">
        <v>18</v>
      </c>
      <c r="G941" s="7" t="s">
        <v>19</v>
      </c>
      <c r="H941" s="7" t="s">
        <v>59</v>
      </c>
      <c r="I941" s="8" t="s">
        <v>2904</v>
      </c>
    </row>
    <row r="942" spans="1:9" x14ac:dyDescent="0.35">
      <c r="A942" s="6">
        <v>2542938</v>
      </c>
      <c r="B942" s="7" t="str">
        <f>"3328074903870003"</f>
        <v>3328074903870003</v>
      </c>
      <c r="C942" s="7" t="s">
        <v>2963</v>
      </c>
      <c r="D942" s="7" t="s">
        <v>17</v>
      </c>
      <c r="E942" s="7" t="s">
        <v>11</v>
      </c>
      <c r="F942" s="7" t="s">
        <v>18</v>
      </c>
      <c r="G942" s="7" t="s">
        <v>19</v>
      </c>
      <c r="H942" s="7" t="s">
        <v>59</v>
      </c>
      <c r="I942" s="8" t="s">
        <v>2880</v>
      </c>
    </row>
    <row r="943" spans="1:9" x14ac:dyDescent="0.35">
      <c r="A943" s="6">
        <v>2542459</v>
      </c>
      <c r="B943" s="7" t="str">
        <f>"3328075011750007"</f>
        <v>3328075011750007</v>
      </c>
      <c r="C943" s="7" t="s">
        <v>2964</v>
      </c>
      <c r="D943" s="7" t="s">
        <v>17</v>
      </c>
      <c r="E943" s="7" t="s">
        <v>11</v>
      </c>
      <c r="F943" s="7" t="s">
        <v>18</v>
      </c>
      <c r="G943" s="7" t="s">
        <v>19</v>
      </c>
      <c r="H943" s="7" t="s">
        <v>59</v>
      </c>
      <c r="I943" s="8" t="s">
        <v>2893</v>
      </c>
    </row>
    <row r="944" spans="1:9" x14ac:dyDescent="0.35">
      <c r="A944" s="6">
        <v>2542187</v>
      </c>
      <c r="B944" s="7" t="str">
        <f>"3328075302010002"</f>
        <v>3328075302010002</v>
      </c>
      <c r="C944" s="7" t="s">
        <v>2965</v>
      </c>
      <c r="D944" s="7" t="s">
        <v>17</v>
      </c>
      <c r="E944" s="7" t="s">
        <v>11</v>
      </c>
      <c r="F944" s="7" t="s">
        <v>18</v>
      </c>
      <c r="G944" s="7" t="s">
        <v>19</v>
      </c>
      <c r="H944" s="7" t="s">
        <v>59</v>
      </c>
      <c r="I944" s="8" t="s">
        <v>2884</v>
      </c>
    </row>
    <row r="945" spans="1:9" x14ac:dyDescent="0.35">
      <c r="A945" s="6">
        <v>2542475</v>
      </c>
      <c r="B945" s="7" t="str">
        <f>"3328075603900002"</f>
        <v>3328075603900002</v>
      </c>
      <c r="C945" s="7" t="s">
        <v>2968</v>
      </c>
      <c r="D945" s="7" t="s">
        <v>17</v>
      </c>
      <c r="E945" s="7" t="s">
        <v>11</v>
      </c>
      <c r="F945" s="7" t="s">
        <v>18</v>
      </c>
      <c r="G945" s="7" t="s">
        <v>19</v>
      </c>
      <c r="H945" s="7" t="s">
        <v>59</v>
      </c>
      <c r="I945" s="8" t="s">
        <v>2893</v>
      </c>
    </row>
    <row r="946" spans="1:9" x14ac:dyDescent="0.35">
      <c r="A946" s="6">
        <v>2541673</v>
      </c>
      <c r="B946" s="7" t="str">
        <f>"3328075710990001"</f>
        <v>3328075710990001</v>
      </c>
      <c r="C946" s="7" t="s">
        <v>1536</v>
      </c>
      <c r="D946" s="7" t="s">
        <v>17</v>
      </c>
      <c r="E946" s="7" t="s">
        <v>11</v>
      </c>
      <c r="F946" s="7" t="s">
        <v>18</v>
      </c>
      <c r="G946" s="7" t="s">
        <v>19</v>
      </c>
      <c r="H946" s="7" t="s">
        <v>59</v>
      </c>
      <c r="I946" s="8" t="s">
        <v>2904</v>
      </c>
    </row>
    <row r="947" spans="1:9" x14ac:dyDescent="0.35">
      <c r="A947" s="6">
        <v>2541621</v>
      </c>
      <c r="B947" s="7" t="str">
        <f>"3328075809950001"</f>
        <v>3328075809950001</v>
      </c>
      <c r="C947" s="7" t="s">
        <v>2970</v>
      </c>
      <c r="D947" s="7" t="s">
        <v>17</v>
      </c>
      <c r="E947" s="7" t="s">
        <v>11</v>
      </c>
      <c r="F947" s="7" t="s">
        <v>18</v>
      </c>
      <c r="G947" s="7" t="s">
        <v>19</v>
      </c>
      <c r="H947" s="7" t="s">
        <v>59</v>
      </c>
      <c r="I947" s="8" t="s">
        <v>2904</v>
      </c>
    </row>
    <row r="948" spans="1:9" x14ac:dyDescent="0.35">
      <c r="A948" s="6">
        <v>2541670</v>
      </c>
      <c r="B948" s="7" t="str">
        <f>"3328076212600001"</f>
        <v>3328076212600001</v>
      </c>
      <c r="C948" s="7" t="s">
        <v>2973</v>
      </c>
      <c r="D948" s="7" t="s">
        <v>17</v>
      </c>
      <c r="E948" s="7" t="s">
        <v>11</v>
      </c>
      <c r="F948" s="7" t="s">
        <v>18</v>
      </c>
      <c r="G948" s="7" t="s">
        <v>19</v>
      </c>
      <c r="H948" s="7" t="s">
        <v>59</v>
      </c>
      <c r="I948" s="8" t="s">
        <v>2904</v>
      </c>
    </row>
    <row r="949" spans="1:9" x14ac:dyDescent="0.35">
      <c r="A949" s="6">
        <v>2542941</v>
      </c>
      <c r="B949" s="7" t="str">
        <f>"3328131201796287"</f>
        <v>3328131201796287</v>
      </c>
      <c r="C949" s="7" t="s">
        <v>2979</v>
      </c>
      <c r="D949" s="7" t="s">
        <v>17</v>
      </c>
      <c r="E949" s="7" t="s">
        <v>11</v>
      </c>
      <c r="F949" s="7" t="s">
        <v>18</v>
      </c>
      <c r="G949" s="7" t="s">
        <v>19</v>
      </c>
      <c r="H949" s="7" t="s">
        <v>59</v>
      </c>
      <c r="I949" s="8" t="s">
        <v>2880</v>
      </c>
    </row>
    <row r="950" spans="1:9" x14ac:dyDescent="0.35">
      <c r="A950" s="6">
        <v>2542705</v>
      </c>
      <c r="B950" s="7" t="str">
        <f>"3329072010010002"</f>
        <v>3329072010010002</v>
      </c>
      <c r="C950" s="7" t="s">
        <v>2980</v>
      </c>
      <c r="D950" s="7" t="s">
        <v>17</v>
      </c>
      <c r="E950" s="7" t="s">
        <v>11</v>
      </c>
      <c r="F950" s="7" t="s">
        <v>18</v>
      </c>
      <c r="G950" s="7" t="s">
        <v>19</v>
      </c>
      <c r="H950" s="7" t="s">
        <v>59</v>
      </c>
      <c r="I950" s="8" t="s">
        <v>110</v>
      </c>
    </row>
    <row r="951" spans="1:9" x14ac:dyDescent="0.35">
      <c r="A951" s="6">
        <v>2541484</v>
      </c>
      <c r="B951" s="7" t="str">
        <f>"3329091903660007"</f>
        <v>3329091903660007</v>
      </c>
      <c r="C951" s="7" t="s">
        <v>2917</v>
      </c>
      <c r="D951" s="7" t="s">
        <v>17</v>
      </c>
      <c r="E951" s="7" t="s">
        <v>11</v>
      </c>
      <c r="F951" s="7" t="s">
        <v>18</v>
      </c>
      <c r="G951" s="7" t="s">
        <v>19</v>
      </c>
      <c r="H951" s="7" t="s">
        <v>59</v>
      </c>
      <c r="I951" s="8" t="s">
        <v>2862</v>
      </c>
    </row>
    <row r="952" spans="1:9" x14ac:dyDescent="0.35">
      <c r="A952" s="6">
        <v>2543031</v>
      </c>
      <c r="B952" s="7" t="str">
        <f>"3329096803750007"</f>
        <v>3329096803750007</v>
      </c>
      <c r="C952" s="7" t="s">
        <v>2984</v>
      </c>
      <c r="D952" s="7" t="s">
        <v>17</v>
      </c>
      <c r="E952" s="7" t="s">
        <v>11</v>
      </c>
      <c r="F952" s="7" t="s">
        <v>18</v>
      </c>
      <c r="G952" s="7" t="s">
        <v>19</v>
      </c>
      <c r="H952" s="7" t="s">
        <v>59</v>
      </c>
      <c r="I952" s="8" t="s">
        <v>2873</v>
      </c>
    </row>
    <row r="953" spans="1:9" x14ac:dyDescent="0.35">
      <c r="A953" s="6">
        <v>2543336</v>
      </c>
      <c r="B953" s="7" t="str">
        <f>"3329136503040003"</f>
        <v>3329136503040003</v>
      </c>
      <c r="C953" s="7" t="s">
        <v>2985</v>
      </c>
      <c r="D953" s="7" t="s">
        <v>17</v>
      </c>
      <c r="E953" s="7" t="s">
        <v>11</v>
      </c>
      <c r="F953" s="7" t="s">
        <v>18</v>
      </c>
      <c r="G953" s="7" t="s">
        <v>19</v>
      </c>
      <c r="H953" s="7" t="s">
        <v>59</v>
      </c>
      <c r="I953" s="8" t="s">
        <v>222</v>
      </c>
    </row>
    <row r="954" spans="1:9" x14ac:dyDescent="0.35">
      <c r="A954" s="6">
        <v>1617465</v>
      </c>
      <c r="B954" s="7" t="str">
        <f>"3329136503040003"</f>
        <v>3329136503040003</v>
      </c>
      <c r="C954" s="7" t="s">
        <v>2986</v>
      </c>
      <c r="D954" s="7" t="s">
        <v>17</v>
      </c>
      <c r="E954" s="7" t="s">
        <v>11</v>
      </c>
      <c r="F954" s="7" t="s">
        <v>18</v>
      </c>
      <c r="G954" s="7" t="s">
        <v>264</v>
      </c>
      <c r="H954" s="7" t="s">
        <v>773</v>
      </c>
      <c r="I954" s="8" t="s">
        <v>1454</v>
      </c>
    </row>
    <row r="955" spans="1:9" x14ac:dyDescent="0.35">
      <c r="A955" s="6">
        <v>2541347</v>
      </c>
      <c r="B955" s="7" t="str">
        <f>"3501112711830001"</f>
        <v>3501112711830001</v>
      </c>
      <c r="C955" s="7" t="s">
        <v>2987</v>
      </c>
      <c r="D955" s="7" t="s">
        <v>17</v>
      </c>
      <c r="E955" s="7" t="s">
        <v>11</v>
      </c>
      <c r="F955" s="7" t="s">
        <v>18</v>
      </c>
      <c r="G955" s="7" t="s">
        <v>19</v>
      </c>
      <c r="H955" s="7" t="s">
        <v>59</v>
      </c>
      <c r="I955" s="8" t="s">
        <v>2856</v>
      </c>
    </row>
    <row r="956" spans="1:9" x14ac:dyDescent="0.35">
      <c r="A956" s="6">
        <v>2542555</v>
      </c>
      <c r="B956" s="7" t="str">
        <f>"3602126911060002"</f>
        <v>3602126911060002</v>
      </c>
      <c r="C956" s="7" t="s">
        <v>2993</v>
      </c>
      <c r="D956" s="7" t="s">
        <v>17</v>
      </c>
      <c r="E956" s="7" t="s">
        <v>11</v>
      </c>
      <c r="F956" s="7" t="s">
        <v>18</v>
      </c>
      <c r="G956" s="7" t="s">
        <v>19</v>
      </c>
      <c r="H956" s="7" t="s">
        <v>59</v>
      </c>
      <c r="I956" s="8" t="s">
        <v>2893</v>
      </c>
    </row>
    <row r="957" spans="1:9" x14ac:dyDescent="0.35">
      <c r="A957" s="6">
        <v>2542371</v>
      </c>
      <c r="B957" s="7" t="str">
        <f>"3604031509060001"</f>
        <v>3604031509060001</v>
      </c>
      <c r="C957" s="7" t="s">
        <v>2994</v>
      </c>
      <c r="D957" s="7" t="s">
        <v>17</v>
      </c>
      <c r="E957" s="7" t="s">
        <v>11</v>
      </c>
      <c r="F957" s="7" t="s">
        <v>18</v>
      </c>
      <c r="G957" s="7" t="s">
        <v>19</v>
      </c>
      <c r="H957" s="7" t="s">
        <v>59</v>
      </c>
      <c r="I957" s="8" t="s">
        <v>2876</v>
      </c>
    </row>
    <row r="958" spans="1:9" x14ac:dyDescent="0.35">
      <c r="A958" s="6">
        <v>2542365</v>
      </c>
      <c r="B958" s="7" t="str">
        <f>"3604035710790217"</f>
        <v>3604035710790217</v>
      </c>
      <c r="C958" s="7" t="s">
        <v>2996</v>
      </c>
      <c r="D958" s="7" t="s">
        <v>17</v>
      </c>
      <c r="E958" s="7" t="s">
        <v>11</v>
      </c>
      <c r="F958" s="7" t="s">
        <v>18</v>
      </c>
      <c r="G958" s="7" t="s">
        <v>19</v>
      </c>
      <c r="H958" s="7" t="s">
        <v>59</v>
      </c>
      <c r="I958" s="8" t="s">
        <v>2876</v>
      </c>
    </row>
    <row r="959" spans="1:9" x14ac:dyDescent="0.35">
      <c r="A959" s="6">
        <v>2541485</v>
      </c>
      <c r="B959" s="7" t="str">
        <f>"3671052009740003"</f>
        <v>3671052009740003</v>
      </c>
      <c r="C959" s="7" t="s">
        <v>2997</v>
      </c>
      <c r="D959" s="7" t="s">
        <v>17</v>
      </c>
      <c r="E959" s="7" t="s">
        <v>11</v>
      </c>
      <c r="F959" s="7" t="s">
        <v>18</v>
      </c>
      <c r="G959" s="7" t="s">
        <v>19</v>
      </c>
      <c r="H959" s="7" t="s">
        <v>59</v>
      </c>
      <c r="I959" s="8" t="s">
        <v>2862</v>
      </c>
    </row>
    <row r="960" spans="1:9" x14ac:dyDescent="0.35">
      <c r="A960" s="6">
        <v>2542796</v>
      </c>
      <c r="B960" s="7" t="str">
        <f>"3671062410610003"</f>
        <v>3671062410610003</v>
      </c>
      <c r="C960" s="7" t="s">
        <v>3002</v>
      </c>
      <c r="D960" s="7" t="s">
        <v>17</v>
      </c>
      <c r="E960" s="7" t="s">
        <v>11</v>
      </c>
      <c r="F960" s="7" t="s">
        <v>18</v>
      </c>
      <c r="G960" s="7" t="s">
        <v>19</v>
      </c>
      <c r="H960" s="7" t="s">
        <v>59</v>
      </c>
      <c r="I960" s="8" t="s">
        <v>2849</v>
      </c>
    </row>
    <row r="961" spans="1:9" x14ac:dyDescent="0.35">
      <c r="A961" s="6">
        <v>2543202</v>
      </c>
      <c r="B961" s="7" t="str">
        <f>"3674031508740003"</f>
        <v>3674031508740003</v>
      </c>
      <c r="C961" s="7" t="s">
        <v>3005</v>
      </c>
      <c r="D961" s="7" t="s">
        <v>17</v>
      </c>
      <c r="E961" s="7" t="s">
        <v>11</v>
      </c>
      <c r="F961" s="7" t="s">
        <v>18</v>
      </c>
      <c r="G961" s="7" t="s">
        <v>19</v>
      </c>
      <c r="H961" s="7" t="s">
        <v>59</v>
      </c>
      <c r="I961" s="8" t="s">
        <v>2873</v>
      </c>
    </row>
    <row r="962" spans="1:9" x14ac:dyDescent="0.35">
      <c r="A962" s="6">
        <v>2541479</v>
      </c>
      <c r="B962" s="7" t="str">
        <f>"3674044806900002"</f>
        <v>3674044806900002</v>
      </c>
      <c r="C962" s="7" t="s">
        <v>3006</v>
      </c>
      <c r="D962" s="7" t="s">
        <v>17</v>
      </c>
      <c r="E962" s="7" t="s">
        <v>11</v>
      </c>
      <c r="F962" s="7" t="s">
        <v>18</v>
      </c>
      <c r="G962" s="7" t="s">
        <v>19</v>
      </c>
      <c r="H962" s="7" t="s">
        <v>59</v>
      </c>
      <c r="I962" s="8" t="s">
        <v>2862</v>
      </c>
    </row>
    <row r="963" spans="1:9" x14ac:dyDescent="0.35">
      <c r="A963" s="6">
        <v>2542942</v>
      </c>
      <c r="B963" s="7" t="str">
        <f>"3674052703910002"</f>
        <v>3674052703910002</v>
      </c>
      <c r="C963" s="7" t="s">
        <v>3007</v>
      </c>
      <c r="D963" s="7" t="s">
        <v>17</v>
      </c>
      <c r="E963" s="7" t="s">
        <v>11</v>
      </c>
      <c r="F963" s="7" t="s">
        <v>18</v>
      </c>
      <c r="G963" s="7" t="s">
        <v>19</v>
      </c>
      <c r="H963" s="7" t="s">
        <v>59</v>
      </c>
      <c r="I963" s="8" t="s">
        <v>2880</v>
      </c>
    </row>
    <row r="964" spans="1:9" x14ac:dyDescent="0.35">
      <c r="A964" s="6">
        <v>2543203</v>
      </c>
      <c r="B964" s="7" t="str">
        <f>"3674064410760002"</f>
        <v>3674064410760002</v>
      </c>
      <c r="C964" s="7" t="s">
        <v>3010</v>
      </c>
      <c r="D964" s="7" t="s">
        <v>17</v>
      </c>
      <c r="E964" s="7" t="s">
        <v>11</v>
      </c>
      <c r="F964" s="7" t="s">
        <v>18</v>
      </c>
      <c r="G964" s="7" t="s">
        <v>19</v>
      </c>
      <c r="H964" s="7" t="s">
        <v>59</v>
      </c>
      <c r="I964" s="8" t="s">
        <v>2873</v>
      </c>
    </row>
    <row r="965" spans="1:9" x14ac:dyDescent="0.35">
      <c r="A965" s="6">
        <v>2544411</v>
      </c>
      <c r="B965" s="7" t="str">
        <f>"1801154203000002"</f>
        <v>1801154203000002</v>
      </c>
      <c r="C965" s="7" t="s">
        <v>3011</v>
      </c>
      <c r="D965" s="7" t="s">
        <v>17</v>
      </c>
      <c r="E965" s="7" t="s">
        <v>11</v>
      </c>
      <c r="F965" s="7" t="s">
        <v>18</v>
      </c>
      <c r="G965" s="7" t="s">
        <v>19</v>
      </c>
      <c r="H965" s="7" t="s">
        <v>3014</v>
      </c>
      <c r="I965" s="8" t="s">
        <v>3015</v>
      </c>
    </row>
    <row r="966" spans="1:9" x14ac:dyDescent="0.35">
      <c r="A966" s="6">
        <v>2544040</v>
      </c>
      <c r="B966" s="7" t="str">
        <f>"3171020206810006"</f>
        <v>3171020206810006</v>
      </c>
      <c r="C966" s="7" t="s">
        <v>3017</v>
      </c>
      <c r="D966" s="7" t="s">
        <v>17</v>
      </c>
      <c r="E966" s="7" t="s">
        <v>11</v>
      </c>
      <c r="F966" s="7" t="s">
        <v>18</v>
      </c>
      <c r="G966" s="7" t="s">
        <v>19</v>
      </c>
      <c r="H966" s="7" t="s">
        <v>3014</v>
      </c>
      <c r="I966" s="8" t="s">
        <v>3018</v>
      </c>
    </row>
    <row r="967" spans="1:9" x14ac:dyDescent="0.35">
      <c r="A967" s="6">
        <v>2544239</v>
      </c>
      <c r="B967" s="7" t="str">
        <f>"3172020205660011"</f>
        <v>3172020205660011</v>
      </c>
      <c r="C967" s="7" t="s">
        <v>943</v>
      </c>
      <c r="D967" s="7" t="s">
        <v>17</v>
      </c>
      <c r="E967" s="7" t="s">
        <v>11</v>
      </c>
      <c r="F967" s="7" t="s">
        <v>18</v>
      </c>
      <c r="G967" s="7" t="s">
        <v>19</v>
      </c>
      <c r="H967" s="7" t="s">
        <v>3014</v>
      </c>
      <c r="I967" s="8" t="s">
        <v>3014</v>
      </c>
    </row>
    <row r="968" spans="1:9" x14ac:dyDescent="0.35">
      <c r="A968" s="6">
        <v>2544387</v>
      </c>
      <c r="B968" s="7" t="str">
        <f>"3172026206061003"</f>
        <v>3172026206061003</v>
      </c>
      <c r="C968" s="7" t="s">
        <v>3020</v>
      </c>
      <c r="D968" s="7" t="s">
        <v>17</v>
      </c>
      <c r="E968" s="7" t="s">
        <v>11</v>
      </c>
      <c r="F968" s="7" t="s">
        <v>18</v>
      </c>
      <c r="G968" s="7" t="s">
        <v>19</v>
      </c>
      <c r="H968" s="7" t="s">
        <v>3014</v>
      </c>
      <c r="I968" s="8" t="s">
        <v>3015</v>
      </c>
    </row>
    <row r="969" spans="1:9" x14ac:dyDescent="0.35">
      <c r="A969" s="6">
        <v>2544386</v>
      </c>
      <c r="B969" s="7" t="str">
        <f>"3172026304850021"</f>
        <v>3172026304850021</v>
      </c>
      <c r="C969" s="7" t="s">
        <v>3022</v>
      </c>
      <c r="D969" s="7" t="s">
        <v>17</v>
      </c>
      <c r="E969" s="7" t="s">
        <v>11</v>
      </c>
      <c r="F969" s="7" t="s">
        <v>18</v>
      </c>
      <c r="G969" s="7" t="s">
        <v>19</v>
      </c>
      <c r="H969" s="7" t="s">
        <v>3014</v>
      </c>
      <c r="I969" s="8" t="s">
        <v>3015</v>
      </c>
    </row>
    <row r="970" spans="1:9" x14ac:dyDescent="0.35">
      <c r="A970" s="6">
        <v>2544238</v>
      </c>
      <c r="B970" s="7" t="str">
        <f>"3172027112740016"</f>
        <v>3172027112740016</v>
      </c>
      <c r="C970" s="7" t="s">
        <v>3023</v>
      </c>
      <c r="D970" s="7" t="s">
        <v>17</v>
      </c>
      <c r="E970" s="7" t="s">
        <v>11</v>
      </c>
      <c r="F970" s="7" t="s">
        <v>18</v>
      </c>
      <c r="G970" s="7" t="s">
        <v>19</v>
      </c>
      <c r="H970" s="7" t="s">
        <v>3014</v>
      </c>
      <c r="I970" s="8" t="s">
        <v>3014</v>
      </c>
    </row>
    <row r="971" spans="1:9" x14ac:dyDescent="0.35">
      <c r="A971" s="6">
        <v>2543986</v>
      </c>
      <c r="B971" s="7" t="str">
        <f>"3172060404740007"</f>
        <v>3172060404740007</v>
      </c>
      <c r="C971" s="7" t="s">
        <v>3024</v>
      </c>
      <c r="D971" s="7" t="s">
        <v>17</v>
      </c>
      <c r="E971" s="7" t="s">
        <v>11</v>
      </c>
      <c r="F971" s="7" t="s">
        <v>18</v>
      </c>
      <c r="G971" s="7" t="s">
        <v>19</v>
      </c>
      <c r="H971" s="7" t="s">
        <v>3014</v>
      </c>
      <c r="I971" s="8" t="s">
        <v>1381</v>
      </c>
    </row>
    <row r="972" spans="1:9" x14ac:dyDescent="0.35">
      <c r="A972" s="6">
        <v>2544329</v>
      </c>
      <c r="B972" s="7" t="str">
        <f>"3173012105870016"</f>
        <v>3173012105870016</v>
      </c>
      <c r="C972" s="7" t="s">
        <v>3025</v>
      </c>
      <c r="D972" s="7" t="s">
        <v>17</v>
      </c>
      <c r="E972" s="7" t="s">
        <v>11</v>
      </c>
      <c r="F972" s="7" t="s">
        <v>18</v>
      </c>
      <c r="G972" s="7" t="s">
        <v>19</v>
      </c>
      <c r="H972" s="7" t="s">
        <v>3014</v>
      </c>
      <c r="I972" s="8" t="s">
        <v>3026</v>
      </c>
    </row>
    <row r="973" spans="1:9" x14ac:dyDescent="0.35">
      <c r="A973" s="6">
        <v>2544330</v>
      </c>
      <c r="B973" s="7" t="str">
        <f>"3173015809931001"</f>
        <v>3173015809931001</v>
      </c>
      <c r="C973" s="7" t="s">
        <v>3027</v>
      </c>
      <c r="D973" s="7" t="s">
        <v>17</v>
      </c>
      <c r="E973" s="7" t="s">
        <v>11</v>
      </c>
      <c r="F973" s="7" t="s">
        <v>18</v>
      </c>
      <c r="G973" s="7" t="s">
        <v>19</v>
      </c>
      <c r="H973" s="7" t="s">
        <v>3014</v>
      </c>
      <c r="I973" s="8" t="s">
        <v>3026</v>
      </c>
    </row>
    <row r="974" spans="1:9" x14ac:dyDescent="0.35">
      <c r="A974" s="6">
        <v>2544605</v>
      </c>
      <c r="B974" s="7" t="str">
        <f>"3173020411981002"</f>
        <v>3173020411981002</v>
      </c>
      <c r="C974" s="7" t="s">
        <v>3028</v>
      </c>
      <c r="D974" s="7" t="s">
        <v>17</v>
      </c>
      <c r="E974" s="7" t="s">
        <v>11</v>
      </c>
      <c r="F974" s="7" t="s">
        <v>18</v>
      </c>
      <c r="G974" s="7" t="s">
        <v>19</v>
      </c>
      <c r="H974" s="7" t="s">
        <v>3014</v>
      </c>
      <c r="I974" s="8" t="s">
        <v>492</v>
      </c>
    </row>
    <row r="975" spans="1:9" x14ac:dyDescent="0.35">
      <c r="A975" s="6">
        <v>2544034</v>
      </c>
      <c r="B975" s="7" t="str">
        <f>"3173071705820004"</f>
        <v>3173071705820004</v>
      </c>
      <c r="C975" s="7" t="s">
        <v>3031</v>
      </c>
      <c r="D975" s="7" t="s">
        <v>17</v>
      </c>
      <c r="E975" s="7" t="s">
        <v>11</v>
      </c>
      <c r="F975" s="7" t="s">
        <v>18</v>
      </c>
      <c r="G975" s="7" t="s">
        <v>19</v>
      </c>
      <c r="H975" s="7" t="s">
        <v>3014</v>
      </c>
      <c r="I975" s="8" t="s">
        <v>3018</v>
      </c>
    </row>
    <row r="976" spans="1:9" x14ac:dyDescent="0.35">
      <c r="A976" s="6">
        <v>2543904</v>
      </c>
      <c r="B976" s="7" t="str">
        <f>"3174030112700011"</f>
        <v>3174030112700011</v>
      </c>
      <c r="C976" s="7" t="s">
        <v>3032</v>
      </c>
      <c r="D976" s="7" t="s">
        <v>17</v>
      </c>
      <c r="E976" s="7" t="s">
        <v>11</v>
      </c>
      <c r="F976" s="7" t="s">
        <v>18</v>
      </c>
      <c r="G976" s="7" t="s">
        <v>19</v>
      </c>
      <c r="H976" s="7" t="s">
        <v>3014</v>
      </c>
      <c r="I976" s="8" t="s">
        <v>1381</v>
      </c>
    </row>
    <row r="977" spans="1:9" x14ac:dyDescent="0.35">
      <c r="A977" s="6">
        <v>2543781</v>
      </c>
      <c r="B977" s="7" t="str">
        <f>"3174035010700007"</f>
        <v>3174035010700007</v>
      </c>
      <c r="C977" s="7" t="s">
        <v>3034</v>
      </c>
      <c r="D977" s="7" t="s">
        <v>17</v>
      </c>
      <c r="E977" s="7" t="s">
        <v>11</v>
      </c>
      <c r="F977" s="7" t="s">
        <v>18</v>
      </c>
      <c r="G977" s="7" t="s">
        <v>19</v>
      </c>
      <c r="H977" s="7" t="s">
        <v>3014</v>
      </c>
      <c r="I977" s="8" t="s">
        <v>3035</v>
      </c>
    </row>
    <row r="978" spans="1:9" x14ac:dyDescent="0.35">
      <c r="A978" s="6">
        <v>2543777</v>
      </c>
      <c r="B978" s="7" t="str">
        <f>"3174071402830008"</f>
        <v>3174071402830008</v>
      </c>
      <c r="C978" s="7" t="s">
        <v>3037</v>
      </c>
      <c r="D978" s="7" t="s">
        <v>17</v>
      </c>
      <c r="E978" s="7" t="s">
        <v>11</v>
      </c>
      <c r="F978" s="7" t="s">
        <v>18</v>
      </c>
      <c r="G978" s="7" t="s">
        <v>19</v>
      </c>
      <c r="H978" s="7" t="s">
        <v>3014</v>
      </c>
      <c r="I978" s="8" t="s">
        <v>3035</v>
      </c>
    </row>
    <row r="979" spans="1:9" x14ac:dyDescent="0.35">
      <c r="A979" s="6">
        <v>2544676</v>
      </c>
      <c r="B979" s="7" t="str">
        <f>"3175080611920003"</f>
        <v>3175080611920003</v>
      </c>
      <c r="C979" s="7" t="s">
        <v>3038</v>
      </c>
      <c r="D979" s="7" t="s">
        <v>17</v>
      </c>
      <c r="E979" s="7" t="s">
        <v>11</v>
      </c>
      <c r="F979" s="7" t="s">
        <v>18</v>
      </c>
      <c r="G979" s="7" t="s">
        <v>19</v>
      </c>
      <c r="H979" s="7" t="s">
        <v>3014</v>
      </c>
      <c r="I979" s="8" t="s">
        <v>3040</v>
      </c>
    </row>
    <row r="980" spans="1:9" x14ac:dyDescent="0.35">
      <c r="A980" s="6">
        <v>2544191</v>
      </c>
      <c r="B980" s="7" t="str">
        <f>"3175082507610005"</f>
        <v>3175082507610005</v>
      </c>
      <c r="C980" s="7" t="s">
        <v>3043</v>
      </c>
      <c r="D980" s="7" t="s">
        <v>17</v>
      </c>
      <c r="E980" s="7" t="s">
        <v>11</v>
      </c>
      <c r="F980" s="7" t="s">
        <v>18</v>
      </c>
      <c r="G980" s="7" t="s">
        <v>19</v>
      </c>
      <c r="H980" s="7" t="s">
        <v>3014</v>
      </c>
      <c r="I980" s="8" t="s">
        <v>3014</v>
      </c>
    </row>
    <row r="981" spans="1:9" x14ac:dyDescent="0.35">
      <c r="A981" s="6">
        <v>2544192</v>
      </c>
      <c r="B981" s="7" t="str">
        <f>"3175104605740008"</f>
        <v>3175104605740008</v>
      </c>
      <c r="C981" s="7" t="s">
        <v>3045</v>
      </c>
      <c r="D981" s="7" t="s">
        <v>17</v>
      </c>
      <c r="E981" s="7" t="s">
        <v>11</v>
      </c>
      <c r="F981" s="7" t="s">
        <v>18</v>
      </c>
      <c r="G981" s="7" t="s">
        <v>19</v>
      </c>
      <c r="H981" s="7" t="s">
        <v>3014</v>
      </c>
      <c r="I981" s="8" t="s">
        <v>3014</v>
      </c>
    </row>
    <row r="982" spans="1:9" x14ac:dyDescent="0.35">
      <c r="A982" s="6">
        <v>2544415</v>
      </c>
      <c r="B982" s="7" t="str">
        <f>"3203205602900004"</f>
        <v>3203205602900004</v>
      </c>
      <c r="C982" s="7" t="s">
        <v>3046</v>
      </c>
      <c r="D982" s="7" t="s">
        <v>17</v>
      </c>
      <c r="E982" s="7" t="s">
        <v>11</v>
      </c>
      <c r="F982" s="7" t="s">
        <v>18</v>
      </c>
      <c r="G982" s="7" t="s">
        <v>19</v>
      </c>
      <c r="H982" s="7" t="s">
        <v>3014</v>
      </c>
      <c r="I982" s="8" t="s">
        <v>3015</v>
      </c>
    </row>
    <row r="983" spans="1:9" x14ac:dyDescent="0.35">
      <c r="A983" s="6">
        <v>2544061</v>
      </c>
      <c r="B983" s="7" t="str">
        <f>"3275031805060015"</f>
        <v>3275031805060015</v>
      </c>
      <c r="C983" s="7" t="s">
        <v>3048</v>
      </c>
      <c r="D983" s="7" t="s">
        <v>17</v>
      </c>
      <c r="E983" s="7" t="s">
        <v>11</v>
      </c>
      <c r="F983" s="7" t="s">
        <v>18</v>
      </c>
      <c r="G983" s="7" t="s">
        <v>19</v>
      </c>
      <c r="H983" s="7" t="s">
        <v>3014</v>
      </c>
      <c r="I983" s="8" t="s">
        <v>3018</v>
      </c>
    </row>
    <row r="984" spans="1:9" x14ac:dyDescent="0.35">
      <c r="A984" s="6">
        <v>2544261</v>
      </c>
      <c r="B984" s="7" t="str">
        <f>"3308082004900003"</f>
        <v>3308082004900003</v>
      </c>
      <c r="C984" s="7" t="s">
        <v>3052</v>
      </c>
      <c r="D984" s="7" t="s">
        <v>17</v>
      </c>
      <c r="E984" s="7" t="s">
        <v>11</v>
      </c>
      <c r="F984" s="7" t="s">
        <v>18</v>
      </c>
      <c r="G984" s="7" t="s">
        <v>19</v>
      </c>
      <c r="H984" s="7" t="s">
        <v>3014</v>
      </c>
      <c r="I984" s="8" t="s">
        <v>3014</v>
      </c>
    </row>
    <row r="985" spans="1:9" x14ac:dyDescent="0.35">
      <c r="A985" s="6">
        <v>2071798</v>
      </c>
      <c r="B985" s="7" t="str">
        <f>"3308132111960001"</f>
        <v>3308132111960001</v>
      </c>
      <c r="C985" s="7" t="s">
        <v>3053</v>
      </c>
      <c r="D985" s="7" t="s">
        <v>17</v>
      </c>
      <c r="E985" s="7" t="s">
        <v>11</v>
      </c>
      <c r="F985" s="7" t="s">
        <v>18</v>
      </c>
      <c r="G985" s="7" t="s">
        <v>962</v>
      </c>
      <c r="H985" s="7" t="s">
        <v>3054</v>
      </c>
      <c r="I985" s="8" t="s">
        <v>3055</v>
      </c>
    </row>
    <row r="986" spans="1:9" x14ac:dyDescent="0.35">
      <c r="A986" s="6">
        <v>2544408</v>
      </c>
      <c r="B986" s="7" t="str">
        <f>"3318161312900001"</f>
        <v>3318161312900001</v>
      </c>
      <c r="C986" s="7" t="s">
        <v>3056</v>
      </c>
      <c r="D986" s="7" t="s">
        <v>17</v>
      </c>
      <c r="E986" s="7" t="s">
        <v>11</v>
      </c>
      <c r="F986" s="7" t="s">
        <v>18</v>
      </c>
      <c r="G986" s="7" t="s">
        <v>19</v>
      </c>
      <c r="H986" s="7" t="s">
        <v>3014</v>
      </c>
      <c r="I986" s="8" t="s">
        <v>3015</v>
      </c>
    </row>
    <row r="987" spans="1:9" x14ac:dyDescent="0.35">
      <c r="A987" s="6">
        <v>971986</v>
      </c>
      <c r="B987" s="7" t="str">
        <f>"3320085705050002"</f>
        <v>3320085705050002</v>
      </c>
      <c r="C987" s="7" t="s">
        <v>3059</v>
      </c>
      <c r="D987" s="7" t="s">
        <v>17</v>
      </c>
      <c r="E987" s="7" t="s">
        <v>11</v>
      </c>
      <c r="F987" s="7" t="s">
        <v>18</v>
      </c>
      <c r="G987" s="7" t="s">
        <v>2644</v>
      </c>
      <c r="H987" s="7" t="s">
        <v>1646</v>
      </c>
      <c r="I987" s="8" t="s">
        <v>3060</v>
      </c>
    </row>
    <row r="988" spans="1:9" x14ac:dyDescent="0.35">
      <c r="A988" s="6">
        <v>2543946</v>
      </c>
      <c r="B988" s="7" t="str">
        <f>"3320085705050002"</f>
        <v>3320085705050002</v>
      </c>
      <c r="C988" s="7" t="s">
        <v>3061</v>
      </c>
      <c r="D988" s="7" t="s">
        <v>17</v>
      </c>
      <c r="E988" s="7" t="s">
        <v>11</v>
      </c>
      <c r="F988" s="7" t="s">
        <v>18</v>
      </c>
      <c r="G988" s="7" t="s">
        <v>19</v>
      </c>
      <c r="H988" s="7" t="s">
        <v>3014</v>
      </c>
      <c r="I988" s="8" t="s">
        <v>1381</v>
      </c>
    </row>
    <row r="989" spans="1:9" x14ac:dyDescent="0.35">
      <c r="A989" s="6">
        <v>671601</v>
      </c>
      <c r="B989" s="7" t="str">
        <f>"3325080206050002"</f>
        <v>3325080206050002</v>
      </c>
      <c r="C989" s="7" t="s">
        <v>3062</v>
      </c>
      <c r="D989" s="7" t="s">
        <v>17</v>
      </c>
      <c r="E989" s="7" t="s">
        <v>11</v>
      </c>
      <c r="F989" s="7" t="s">
        <v>18</v>
      </c>
      <c r="G989" s="7" t="s">
        <v>190</v>
      </c>
      <c r="H989" s="7" t="s">
        <v>3063</v>
      </c>
      <c r="I989" s="8" t="s">
        <v>3064</v>
      </c>
    </row>
    <row r="990" spans="1:9" x14ac:dyDescent="0.35">
      <c r="A990" s="6">
        <v>2543800</v>
      </c>
      <c r="B990" s="7" t="str">
        <f>"3325080206050002"</f>
        <v>3325080206050002</v>
      </c>
      <c r="C990" s="7" t="s">
        <v>3065</v>
      </c>
      <c r="D990" s="7" t="s">
        <v>17</v>
      </c>
      <c r="E990" s="7" t="s">
        <v>11</v>
      </c>
      <c r="F990" s="7" t="s">
        <v>18</v>
      </c>
      <c r="G990" s="7" t="s">
        <v>19</v>
      </c>
      <c r="H990" s="7" t="s">
        <v>3014</v>
      </c>
      <c r="I990" s="8" t="s">
        <v>1381</v>
      </c>
    </row>
    <row r="991" spans="1:9" x14ac:dyDescent="0.35">
      <c r="A991" s="6">
        <v>771266</v>
      </c>
      <c r="B991" s="7" t="str">
        <f>"3328054107920021"</f>
        <v>3328054107920021</v>
      </c>
      <c r="C991" s="7" t="s">
        <v>3067</v>
      </c>
      <c r="D991" s="7" t="s">
        <v>17</v>
      </c>
      <c r="E991" s="7" t="s">
        <v>11</v>
      </c>
      <c r="F991" s="7" t="s">
        <v>3068</v>
      </c>
      <c r="G991" s="7" t="s">
        <v>3069</v>
      </c>
      <c r="H991" s="7" t="s">
        <v>3070</v>
      </c>
      <c r="I991" s="8" t="s">
        <v>3071</v>
      </c>
    </row>
    <row r="992" spans="1:9" x14ac:dyDescent="0.35">
      <c r="A992" s="6">
        <v>2543845</v>
      </c>
      <c r="B992" s="7" t="str">
        <f>"3328062303990001"</f>
        <v>3328062303990001</v>
      </c>
      <c r="C992" s="7" t="s">
        <v>3072</v>
      </c>
      <c r="D992" s="7" t="s">
        <v>17</v>
      </c>
      <c r="E992" s="7" t="s">
        <v>11</v>
      </c>
      <c r="F992" s="7" t="s">
        <v>18</v>
      </c>
      <c r="G992" s="7" t="s">
        <v>19</v>
      </c>
      <c r="H992" s="7" t="s">
        <v>3014</v>
      </c>
      <c r="I992" s="8" t="s">
        <v>1381</v>
      </c>
    </row>
    <row r="993" spans="1:9" x14ac:dyDescent="0.35">
      <c r="A993" s="6">
        <v>2084636</v>
      </c>
      <c r="B993" s="7" t="str">
        <f>"3328080101060003"</f>
        <v>3328080101060003</v>
      </c>
      <c r="C993" s="7" t="s">
        <v>3073</v>
      </c>
      <c r="D993" s="7" t="s">
        <v>17</v>
      </c>
      <c r="E993" s="7" t="s">
        <v>57</v>
      </c>
      <c r="F993" s="7" t="s">
        <v>18</v>
      </c>
      <c r="G993" s="7" t="s">
        <v>962</v>
      </c>
      <c r="H993" s="7" t="s">
        <v>1046</v>
      </c>
      <c r="I993" s="8" t="s">
        <v>1146</v>
      </c>
    </row>
    <row r="994" spans="1:9" x14ac:dyDescent="0.35">
      <c r="A994" s="6">
        <v>2544414</v>
      </c>
      <c r="B994" s="7" t="str">
        <f>"3328080105910001"</f>
        <v>3328080105910001</v>
      </c>
      <c r="C994" s="7" t="s">
        <v>3075</v>
      </c>
      <c r="D994" s="7" t="s">
        <v>17</v>
      </c>
      <c r="E994" s="7" t="s">
        <v>11</v>
      </c>
      <c r="F994" s="7" t="s">
        <v>18</v>
      </c>
      <c r="G994" s="7" t="s">
        <v>19</v>
      </c>
      <c r="H994" s="7" t="s">
        <v>3014</v>
      </c>
      <c r="I994" s="8" t="s">
        <v>3015</v>
      </c>
    </row>
    <row r="995" spans="1:9" x14ac:dyDescent="0.35">
      <c r="A995" s="6">
        <v>2544138</v>
      </c>
      <c r="B995" s="7" t="str">
        <f>"3328080107700101"</f>
        <v>3328080107700101</v>
      </c>
      <c r="C995" s="7" t="s">
        <v>2576</v>
      </c>
      <c r="D995" s="7" t="s">
        <v>17</v>
      </c>
      <c r="E995" s="7" t="s">
        <v>11</v>
      </c>
      <c r="F995" s="7" t="s">
        <v>18</v>
      </c>
      <c r="G995" s="7" t="s">
        <v>19</v>
      </c>
      <c r="H995" s="7" t="s">
        <v>3014</v>
      </c>
      <c r="I995" s="8" t="s">
        <v>3014</v>
      </c>
    </row>
    <row r="996" spans="1:9" x14ac:dyDescent="0.35">
      <c r="A996" s="6">
        <v>2544434</v>
      </c>
      <c r="B996" s="7" t="str">
        <f>"3328080204040003"</f>
        <v>3328080204040003</v>
      </c>
      <c r="C996" s="7" t="s">
        <v>3079</v>
      </c>
      <c r="D996" s="7" t="s">
        <v>17</v>
      </c>
      <c r="E996" s="7" t="s">
        <v>11</v>
      </c>
      <c r="F996" s="7" t="s">
        <v>18</v>
      </c>
      <c r="G996" s="7" t="s">
        <v>19</v>
      </c>
      <c r="H996" s="7" t="s">
        <v>3014</v>
      </c>
      <c r="I996" s="8" t="s">
        <v>3074</v>
      </c>
    </row>
    <row r="997" spans="1:9" x14ac:dyDescent="0.35">
      <c r="A997" s="6">
        <v>1683163</v>
      </c>
      <c r="B997" s="7" t="str">
        <f>"3328080509920002"</f>
        <v>3328080509920002</v>
      </c>
      <c r="C997" s="7" t="s">
        <v>3080</v>
      </c>
      <c r="D997" s="7" t="s">
        <v>17</v>
      </c>
      <c r="E997" s="7" t="s">
        <v>11</v>
      </c>
      <c r="F997" s="7" t="s">
        <v>18</v>
      </c>
      <c r="G997" s="7" t="s">
        <v>264</v>
      </c>
      <c r="H997" s="7" t="s">
        <v>265</v>
      </c>
      <c r="I997" s="8" t="s">
        <v>982</v>
      </c>
    </row>
    <row r="998" spans="1:9" x14ac:dyDescent="0.35">
      <c r="A998" s="6">
        <v>2543929</v>
      </c>
      <c r="B998" s="7" t="str">
        <f>"3328081007930001"</f>
        <v>3328081007930001</v>
      </c>
      <c r="C998" s="7" t="s">
        <v>3083</v>
      </c>
      <c r="D998" s="7" t="s">
        <v>17</v>
      </c>
      <c r="E998" s="7" t="s">
        <v>11</v>
      </c>
      <c r="F998" s="7" t="s">
        <v>18</v>
      </c>
      <c r="G998" s="7" t="s">
        <v>19</v>
      </c>
      <c r="H998" s="7" t="s">
        <v>3014</v>
      </c>
      <c r="I998" s="8" t="s">
        <v>1381</v>
      </c>
    </row>
    <row r="999" spans="1:9" x14ac:dyDescent="0.35">
      <c r="A999" s="6">
        <v>2543905</v>
      </c>
      <c r="B999" s="7" t="str">
        <f>"3328081012910002"</f>
        <v>3328081012910002</v>
      </c>
      <c r="C999" s="7" t="s">
        <v>3087</v>
      </c>
      <c r="D999" s="7" t="s">
        <v>17</v>
      </c>
      <c r="E999" s="7" t="s">
        <v>11</v>
      </c>
      <c r="F999" s="7" t="s">
        <v>18</v>
      </c>
      <c r="G999" s="7" t="s">
        <v>19</v>
      </c>
      <c r="H999" s="7" t="s">
        <v>3014</v>
      </c>
      <c r="I999" s="8" t="s">
        <v>1381</v>
      </c>
    </row>
    <row r="1000" spans="1:9" x14ac:dyDescent="0.35">
      <c r="A1000" s="6">
        <v>2543949</v>
      </c>
      <c r="B1000" s="7" t="str">
        <f>"3328081202820001"</f>
        <v>3328081202820001</v>
      </c>
      <c r="C1000" s="7" t="s">
        <v>3088</v>
      </c>
      <c r="D1000" s="7" t="s">
        <v>17</v>
      </c>
      <c r="E1000" s="7" t="s">
        <v>11</v>
      </c>
      <c r="F1000" s="7" t="s">
        <v>18</v>
      </c>
      <c r="G1000" s="7" t="s">
        <v>19</v>
      </c>
      <c r="H1000" s="7" t="s">
        <v>3014</v>
      </c>
      <c r="I1000" s="8" t="s">
        <v>1381</v>
      </c>
    </row>
    <row r="1001" spans="1:9" x14ac:dyDescent="0.35">
      <c r="A1001" s="6">
        <v>2544325</v>
      </c>
      <c r="B1001" s="7" t="str">
        <f>"3328081210930002"</f>
        <v>3328081210930002</v>
      </c>
      <c r="C1001" s="7" t="s">
        <v>3090</v>
      </c>
      <c r="D1001" s="7" t="s">
        <v>17</v>
      </c>
      <c r="E1001" s="7" t="s">
        <v>11</v>
      </c>
      <c r="F1001" s="7" t="s">
        <v>18</v>
      </c>
      <c r="G1001" s="7" t="s">
        <v>19</v>
      </c>
      <c r="H1001" s="7" t="s">
        <v>3014</v>
      </c>
      <c r="I1001" s="8" t="s">
        <v>3026</v>
      </c>
    </row>
    <row r="1002" spans="1:9" x14ac:dyDescent="0.35">
      <c r="A1002" s="6">
        <v>2544521</v>
      </c>
      <c r="B1002" s="7" t="str">
        <f>"3328081507540004"</f>
        <v>3328081507540004</v>
      </c>
      <c r="C1002" s="7" t="s">
        <v>3092</v>
      </c>
      <c r="D1002" s="7" t="s">
        <v>17</v>
      </c>
      <c r="E1002" s="7" t="s">
        <v>11</v>
      </c>
      <c r="F1002" s="7" t="s">
        <v>18</v>
      </c>
      <c r="G1002" s="7" t="s">
        <v>19</v>
      </c>
      <c r="H1002" s="7" t="s">
        <v>3014</v>
      </c>
      <c r="I1002" s="8" t="s">
        <v>3074</v>
      </c>
    </row>
    <row r="1003" spans="1:9" x14ac:dyDescent="0.35">
      <c r="A1003" s="6">
        <v>3124871</v>
      </c>
      <c r="B1003" s="7" t="str">
        <f>"3328081607650005"</f>
        <v>3328081607650005</v>
      </c>
      <c r="C1003" s="7" t="s">
        <v>3094</v>
      </c>
      <c r="D1003" s="7" t="s">
        <v>17</v>
      </c>
      <c r="E1003" s="7" t="s">
        <v>57</v>
      </c>
      <c r="F1003" s="7" t="s">
        <v>18</v>
      </c>
      <c r="G1003" s="7" t="s">
        <v>163</v>
      </c>
      <c r="H1003" s="7" t="s">
        <v>723</v>
      </c>
      <c r="I1003" s="8" t="s">
        <v>724</v>
      </c>
    </row>
    <row r="1004" spans="1:9" x14ac:dyDescent="0.35">
      <c r="A1004" s="6">
        <v>1627405</v>
      </c>
      <c r="B1004" s="7" t="str">
        <f>"3328081812790003"</f>
        <v>3328081812790003</v>
      </c>
      <c r="C1004" s="7" t="s">
        <v>3096</v>
      </c>
      <c r="D1004" s="7" t="s">
        <v>17</v>
      </c>
      <c r="E1004" s="7" t="s">
        <v>11</v>
      </c>
      <c r="F1004" s="7" t="s">
        <v>18</v>
      </c>
      <c r="G1004" s="7" t="s">
        <v>264</v>
      </c>
      <c r="H1004" s="7" t="s">
        <v>248</v>
      </c>
      <c r="I1004" s="8" t="s">
        <v>2689</v>
      </c>
    </row>
    <row r="1005" spans="1:9" x14ac:dyDescent="0.35">
      <c r="A1005" s="6">
        <v>2544366</v>
      </c>
      <c r="B1005" s="7" t="str">
        <f>"3328082004720001"</f>
        <v>3328082004720001</v>
      </c>
      <c r="C1005" s="7" t="s">
        <v>3097</v>
      </c>
      <c r="D1005" s="7" t="s">
        <v>17</v>
      </c>
      <c r="E1005" s="7" t="s">
        <v>11</v>
      </c>
      <c r="F1005" s="7" t="s">
        <v>18</v>
      </c>
      <c r="G1005" s="7" t="s">
        <v>19</v>
      </c>
      <c r="H1005" s="7" t="s">
        <v>3014</v>
      </c>
      <c r="I1005" s="8" t="s">
        <v>3026</v>
      </c>
    </row>
    <row r="1006" spans="1:9" x14ac:dyDescent="0.35">
      <c r="A1006" s="6">
        <v>2544028</v>
      </c>
      <c r="B1006" s="7" t="str">
        <f>"3328082609990005"</f>
        <v>3328082609990005</v>
      </c>
      <c r="C1006" s="7" t="s">
        <v>3100</v>
      </c>
      <c r="D1006" s="7" t="s">
        <v>17</v>
      </c>
      <c r="E1006" s="7" t="s">
        <v>11</v>
      </c>
      <c r="F1006" s="7" t="s">
        <v>18</v>
      </c>
      <c r="G1006" s="7" t="s">
        <v>19</v>
      </c>
      <c r="H1006" s="7" t="s">
        <v>3014</v>
      </c>
      <c r="I1006" s="8" t="s">
        <v>3018</v>
      </c>
    </row>
    <row r="1007" spans="1:9" x14ac:dyDescent="0.35">
      <c r="A1007" s="6">
        <v>2544524</v>
      </c>
      <c r="B1007" s="7" t="str">
        <f>"3328082812000002"</f>
        <v>3328082812000002</v>
      </c>
      <c r="C1007" s="7" t="s">
        <v>3104</v>
      </c>
      <c r="D1007" s="7" t="s">
        <v>17</v>
      </c>
      <c r="E1007" s="7" t="s">
        <v>11</v>
      </c>
      <c r="F1007" s="7" t="s">
        <v>18</v>
      </c>
      <c r="G1007" s="7" t="s">
        <v>19</v>
      </c>
      <c r="H1007" s="7" t="s">
        <v>3014</v>
      </c>
      <c r="I1007" s="8" t="s">
        <v>3074</v>
      </c>
    </row>
    <row r="1008" spans="1:9" x14ac:dyDescent="0.35">
      <c r="A1008" s="6">
        <v>2544443</v>
      </c>
      <c r="B1008" s="7" t="str">
        <f>"3328083010930002"</f>
        <v>3328083010930002</v>
      </c>
      <c r="C1008" s="7" t="s">
        <v>3106</v>
      </c>
      <c r="D1008" s="7" t="s">
        <v>17</v>
      </c>
      <c r="E1008" s="7" t="s">
        <v>11</v>
      </c>
      <c r="F1008" s="7" t="s">
        <v>18</v>
      </c>
      <c r="G1008" s="7" t="s">
        <v>19</v>
      </c>
      <c r="H1008" s="7" t="s">
        <v>3014</v>
      </c>
      <c r="I1008" s="8" t="s">
        <v>3074</v>
      </c>
    </row>
    <row r="1009" spans="1:9" x14ac:dyDescent="0.35">
      <c r="A1009" s="6">
        <v>2544544</v>
      </c>
      <c r="B1009" s="7" t="str">
        <f>"3328083105060002"</f>
        <v>3328083105060002</v>
      </c>
      <c r="C1009" s="7" t="s">
        <v>3109</v>
      </c>
      <c r="D1009" s="7" t="s">
        <v>17</v>
      </c>
      <c r="E1009" s="7" t="s">
        <v>11</v>
      </c>
      <c r="F1009" s="7" t="s">
        <v>18</v>
      </c>
      <c r="G1009" s="7" t="s">
        <v>19</v>
      </c>
      <c r="H1009" s="7" t="s">
        <v>3014</v>
      </c>
      <c r="I1009" s="8" t="s">
        <v>492</v>
      </c>
    </row>
    <row r="1010" spans="1:9" x14ac:dyDescent="0.35">
      <c r="A1010" s="6">
        <v>2544131</v>
      </c>
      <c r="B1010" s="7" t="str">
        <f>"3328084107030037"</f>
        <v>3328084107030037</v>
      </c>
      <c r="C1010" s="7" t="s">
        <v>3112</v>
      </c>
      <c r="D1010" s="7" t="s">
        <v>17</v>
      </c>
      <c r="E1010" s="7" t="s">
        <v>11</v>
      </c>
      <c r="F1010" s="7" t="s">
        <v>18</v>
      </c>
      <c r="G1010" s="7" t="s">
        <v>19</v>
      </c>
      <c r="H1010" s="7" t="s">
        <v>3014</v>
      </c>
      <c r="I1010" s="8" t="s">
        <v>3014</v>
      </c>
    </row>
    <row r="1011" spans="1:9" x14ac:dyDescent="0.35">
      <c r="A1011" s="6">
        <v>2544139</v>
      </c>
      <c r="B1011" s="7" t="str">
        <f>"3328084107750076"</f>
        <v>3328084107750076</v>
      </c>
      <c r="C1011" s="7" t="s">
        <v>3113</v>
      </c>
      <c r="D1011" s="7" t="s">
        <v>17</v>
      </c>
      <c r="E1011" s="7" t="s">
        <v>11</v>
      </c>
      <c r="F1011" s="7" t="s">
        <v>18</v>
      </c>
      <c r="G1011" s="7" t="s">
        <v>19</v>
      </c>
      <c r="H1011" s="7" t="s">
        <v>3014</v>
      </c>
      <c r="I1011" s="8" t="s">
        <v>3014</v>
      </c>
    </row>
    <row r="1012" spans="1:9" x14ac:dyDescent="0.35">
      <c r="A1012" s="6">
        <v>2544203</v>
      </c>
      <c r="B1012" s="7" t="str">
        <f>"3328084107920027"</f>
        <v>3328084107920027</v>
      </c>
      <c r="C1012" s="7" t="s">
        <v>3114</v>
      </c>
      <c r="D1012" s="7" t="s">
        <v>17</v>
      </c>
      <c r="E1012" s="7" t="s">
        <v>11</v>
      </c>
      <c r="F1012" s="7" t="s">
        <v>18</v>
      </c>
      <c r="G1012" s="7" t="s">
        <v>19</v>
      </c>
      <c r="H1012" s="7" t="s">
        <v>3014</v>
      </c>
      <c r="I1012" s="8" t="s">
        <v>3014</v>
      </c>
    </row>
    <row r="1013" spans="1:9" x14ac:dyDescent="0.35">
      <c r="A1013" s="6">
        <v>2544364</v>
      </c>
      <c r="B1013" s="7" t="str">
        <f>"3328084208810002"</f>
        <v>3328084208810002</v>
      </c>
      <c r="C1013" s="7" t="s">
        <v>3117</v>
      </c>
      <c r="D1013" s="7" t="s">
        <v>17</v>
      </c>
      <c r="E1013" s="7" t="s">
        <v>11</v>
      </c>
      <c r="F1013" s="7" t="s">
        <v>18</v>
      </c>
      <c r="G1013" s="7" t="s">
        <v>19</v>
      </c>
      <c r="H1013" s="7" t="s">
        <v>3014</v>
      </c>
      <c r="I1013" s="8" t="s">
        <v>3026</v>
      </c>
    </row>
    <row r="1014" spans="1:9" x14ac:dyDescent="0.35">
      <c r="A1014" s="6">
        <v>1385360</v>
      </c>
      <c r="B1014" s="7" t="str">
        <f>"3328084904740002"</f>
        <v>3328084904740002</v>
      </c>
      <c r="C1014" s="7" t="s">
        <v>3120</v>
      </c>
      <c r="D1014" s="7" t="s">
        <v>17</v>
      </c>
      <c r="E1014" s="7" t="s">
        <v>11</v>
      </c>
      <c r="F1014" s="7" t="s">
        <v>50</v>
      </c>
      <c r="G1014" s="7" t="s">
        <v>51</v>
      </c>
      <c r="H1014" s="7" t="s">
        <v>52</v>
      </c>
      <c r="I1014" s="8" t="s">
        <v>52</v>
      </c>
    </row>
    <row r="1015" spans="1:9" x14ac:dyDescent="0.35">
      <c r="A1015" s="6">
        <v>1568232</v>
      </c>
      <c r="B1015" s="7" t="str">
        <f>"3328084909980004"</f>
        <v>3328084909980004</v>
      </c>
      <c r="C1015" s="7" t="s">
        <v>3121</v>
      </c>
      <c r="D1015" s="7" t="s">
        <v>17</v>
      </c>
      <c r="E1015" s="7" t="s">
        <v>11</v>
      </c>
      <c r="F1015" s="7" t="s">
        <v>18</v>
      </c>
      <c r="G1015" s="7" t="s">
        <v>195</v>
      </c>
      <c r="H1015" s="7" t="s">
        <v>1434</v>
      </c>
      <c r="I1015" s="8" t="s">
        <v>2474</v>
      </c>
    </row>
    <row r="1016" spans="1:9" x14ac:dyDescent="0.35">
      <c r="A1016" s="6">
        <v>851712</v>
      </c>
      <c r="B1016" s="7" t="str">
        <f>"3328085003870003"</f>
        <v>3328085003870003</v>
      </c>
      <c r="C1016" s="7" t="s">
        <v>3123</v>
      </c>
      <c r="D1016" s="7" t="s">
        <v>17</v>
      </c>
      <c r="E1016" s="7" t="s">
        <v>11</v>
      </c>
      <c r="F1016" s="7" t="s">
        <v>50</v>
      </c>
      <c r="G1016" s="7" t="s">
        <v>280</v>
      </c>
      <c r="H1016" s="7" t="s">
        <v>776</v>
      </c>
      <c r="I1016" s="8" t="s">
        <v>2182</v>
      </c>
    </row>
    <row r="1017" spans="1:9" x14ac:dyDescent="0.35">
      <c r="A1017" s="6">
        <v>2543948</v>
      </c>
      <c r="B1017" s="7" t="str">
        <f>"3328085104840002"</f>
        <v>3328085104840002</v>
      </c>
      <c r="C1017" s="7" t="s">
        <v>3125</v>
      </c>
      <c r="D1017" s="7" t="s">
        <v>17</v>
      </c>
      <c r="E1017" s="7" t="s">
        <v>11</v>
      </c>
      <c r="F1017" s="7" t="s">
        <v>18</v>
      </c>
      <c r="G1017" s="7" t="s">
        <v>19</v>
      </c>
      <c r="H1017" s="7" t="s">
        <v>3014</v>
      </c>
      <c r="I1017" s="8" t="s">
        <v>1381</v>
      </c>
    </row>
    <row r="1018" spans="1:9" x14ac:dyDescent="0.35">
      <c r="A1018" s="6">
        <v>2544141</v>
      </c>
      <c r="B1018" s="7" t="str">
        <f>"3328085409040002"</f>
        <v>3328085409040002</v>
      </c>
      <c r="C1018" s="7" t="s">
        <v>3126</v>
      </c>
      <c r="D1018" s="7" t="s">
        <v>17</v>
      </c>
      <c r="E1018" s="7" t="s">
        <v>11</v>
      </c>
      <c r="F1018" s="7" t="s">
        <v>18</v>
      </c>
      <c r="G1018" s="7" t="s">
        <v>19</v>
      </c>
      <c r="H1018" s="7" t="s">
        <v>3014</v>
      </c>
      <c r="I1018" s="8" t="s">
        <v>3014</v>
      </c>
    </row>
    <row r="1019" spans="1:9" x14ac:dyDescent="0.35">
      <c r="A1019" s="6">
        <v>1651110</v>
      </c>
      <c r="B1019" s="7" t="str">
        <f>"3328085804940003"</f>
        <v>3328085804940003</v>
      </c>
      <c r="C1019" s="7" t="s">
        <v>3128</v>
      </c>
      <c r="D1019" s="7" t="s">
        <v>17</v>
      </c>
      <c r="E1019" s="7" t="s">
        <v>11</v>
      </c>
      <c r="F1019" s="7" t="s">
        <v>18</v>
      </c>
      <c r="G1019" s="7" t="s">
        <v>264</v>
      </c>
      <c r="H1019" s="7" t="s">
        <v>396</v>
      </c>
      <c r="I1019" s="8" t="s">
        <v>2036</v>
      </c>
    </row>
    <row r="1020" spans="1:9" x14ac:dyDescent="0.35">
      <c r="A1020" s="6">
        <v>2544314</v>
      </c>
      <c r="B1020" s="7" t="str">
        <f>"3328086305900001"</f>
        <v>3328086305900001</v>
      </c>
      <c r="C1020" s="7" t="s">
        <v>3129</v>
      </c>
      <c r="D1020" s="7" t="s">
        <v>17</v>
      </c>
      <c r="E1020" s="7" t="s">
        <v>11</v>
      </c>
      <c r="F1020" s="7" t="s">
        <v>18</v>
      </c>
      <c r="G1020" s="7" t="s">
        <v>19</v>
      </c>
      <c r="H1020" s="7" t="s">
        <v>3014</v>
      </c>
      <c r="I1020" s="8" t="s">
        <v>3095</v>
      </c>
    </row>
    <row r="1021" spans="1:9" x14ac:dyDescent="0.35">
      <c r="A1021" s="6">
        <v>2543906</v>
      </c>
      <c r="B1021" s="7" t="str">
        <f>"3328086409970003"</f>
        <v>3328086409970003</v>
      </c>
      <c r="C1021" s="7" t="s">
        <v>3130</v>
      </c>
      <c r="D1021" s="7" t="s">
        <v>17</v>
      </c>
      <c r="E1021" s="7" t="s">
        <v>11</v>
      </c>
      <c r="F1021" s="7" t="s">
        <v>18</v>
      </c>
      <c r="G1021" s="7" t="s">
        <v>19</v>
      </c>
      <c r="H1021" s="7" t="s">
        <v>3014</v>
      </c>
      <c r="I1021" s="8" t="s">
        <v>1381</v>
      </c>
    </row>
    <row r="1022" spans="1:9" x14ac:dyDescent="0.35">
      <c r="A1022" s="6">
        <v>2544060</v>
      </c>
      <c r="B1022" s="7" t="str">
        <f>"3328086603000003"</f>
        <v>3328086603000003</v>
      </c>
      <c r="C1022" s="7" t="s">
        <v>3131</v>
      </c>
      <c r="D1022" s="7" t="s">
        <v>17</v>
      </c>
      <c r="E1022" s="7" t="s">
        <v>11</v>
      </c>
      <c r="F1022" s="7" t="s">
        <v>18</v>
      </c>
      <c r="G1022" s="7" t="s">
        <v>19</v>
      </c>
      <c r="H1022" s="7" t="s">
        <v>3014</v>
      </c>
      <c r="I1022" s="8" t="s">
        <v>3018</v>
      </c>
    </row>
    <row r="1023" spans="1:9" x14ac:dyDescent="0.35">
      <c r="A1023" s="6">
        <v>1377852</v>
      </c>
      <c r="B1023" s="7" t="str">
        <f>"3328086703010004"</f>
        <v>3328086703010004</v>
      </c>
      <c r="C1023" s="7" t="s">
        <v>3134</v>
      </c>
      <c r="D1023" s="7" t="s">
        <v>17</v>
      </c>
      <c r="E1023" s="7" t="s">
        <v>11</v>
      </c>
      <c r="F1023" s="7" t="s">
        <v>50</v>
      </c>
      <c r="G1023" s="7" t="s">
        <v>51</v>
      </c>
      <c r="H1023" s="7" t="s">
        <v>78</v>
      </c>
      <c r="I1023" s="8" t="s">
        <v>78</v>
      </c>
    </row>
    <row r="1024" spans="1:9" x14ac:dyDescent="0.35">
      <c r="A1024" s="6">
        <v>2544257</v>
      </c>
      <c r="B1024" s="7" t="str">
        <f>"3328150709892826"</f>
        <v>3328150709892826</v>
      </c>
      <c r="C1024" s="7" t="s">
        <v>3137</v>
      </c>
      <c r="D1024" s="7" t="s">
        <v>17</v>
      </c>
      <c r="E1024" s="7" t="s">
        <v>11</v>
      </c>
      <c r="F1024" s="7" t="s">
        <v>18</v>
      </c>
      <c r="G1024" s="7" t="s">
        <v>19</v>
      </c>
      <c r="H1024" s="7" t="s">
        <v>3014</v>
      </c>
      <c r="I1024" s="8" t="s">
        <v>3014</v>
      </c>
    </row>
    <row r="1025" spans="1:9" x14ac:dyDescent="0.35">
      <c r="A1025" s="6">
        <v>2544324</v>
      </c>
      <c r="B1025" s="7" t="str">
        <f>"3329091305830015"</f>
        <v>3329091305830015</v>
      </c>
      <c r="C1025" s="7" t="s">
        <v>3138</v>
      </c>
      <c r="D1025" s="7" t="s">
        <v>17</v>
      </c>
      <c r="E1025" s="7" t="s">
        <v>11</v>
      </c>
      <c r="F1025" s="7" t="s">
        <v>18</v>
      </c>
      <c r="G1025" s="7" t="s">
        <v>19</v>
      </c>
      <c r="H1025" s="7" t="s">
        <v>3014</v>
      </c>
      <c r="I1025" s="8" t="s">
        <v>3026</v>
      </c>
    </row>
    <row r="1026" spans="1:9" x14ac:dyDescent="0.35">
      <c r="A1026" s="6">
        <v>2544212</v>
      </c>
      <c r="B1026" s="7" t="str">
        <f>"3376032907010003"</f>
        <v>3376032907010003</v>
      </c>
      <c r="C1026" s="7" t="s">
        <v>3139</v>
      </c>
      <c r="D1026" s="7" t="s">
        <v>17</v>
      </c>
      <c r="E1026" s="7" t="s">
        <v>11</v>
      </c>
      <c r="F1026" s="7" t="s">
        <v>18</v>
      </c>
      <c r="G1026" s="7" t="s">
        <v>19</v>
      </c>
      <c r="H1026" s="7" t="s">
        <v>3014</v>
      </c>
      <c r="I1026" s="8" t="s">
        <v>3014</v>
      </c>
    </row>
    <row r="1027" spans="1:9" x14ac:dyDescent="0.35">
      <c r="A1027" s="6">
        <v>2544164</v>
      </c>
      <c r="B1027" s="7" t="str">
        <f>"3527081706780001"</f>
        <v>3527081706780001</v>
      </c>
      <c r="C1027" s="7" t="s">
        <v>3141</v>
      </c>
      <c r="D1027" s="7" t="s">
        <v>17</v>
      </c>
      <c r="E1027" s="7" t="s">
        <v>11</v>
      </c>
      <c r="F1027" s="7" t="s">
        <v>18</v>
      </c>
      <c r="G1027" s="7" t="s">
        <v>19</v>
      </c>
      <c r="H1027" s="7" t="s">
        <v>3014</v>
      </c>
      <c r="I1027" s="8" t="s">
        <v>3014</v>
      </c>
    </row>
    <row r="1028" spans="1:9" x14ac:dyDescent="0.35">
      <c r="A1028" s="6">
        <v>2544432</v>
      </c>
      <c r="B1028" s="7" t="str">
        <f>"3602095512020001"</f>
        <v>3602095512020001</v>
      </c>
      <c r="C1028" s="7" t="s">
        <v>3144</v>
      </c>
      <c r="D1028" s="7" t="s">
        <v>17</v>
      </c>
      <c r="E1028" s="7" t="s">
        <v>11</v>
      </c>
      <c r="F1028" s="7" t="s">
        <v>18</v>
      </c>
      <c r="G1028" s="7" t="s">
        <v>19</v>
      </c>
      <c r="H1028" s="7" t="s">
        <v>3014</v>
      </c>
      <c r="I1028" s="8" t="s">
        <v>3074</v>
      </c>
    </row>
    <row r="1029" spans="1:9" x14ac:dyDescent="0.35">
      <c r="A1029" s="6">
        <v>2568655</v>
      </c>
      <c r="B1029" s="7" t="str">
        <f>"3604121211890003"</f>
        <v>3604121211890003</v>
      </c>
      <c r="C1029" s="7" t="s">
        <v>3150</v>
      </c>
      <c r="D1029" s="7" t="s">
        <v>17</v>
      </c>
      <c r="E1029" s="7" t="s">
        <v>11</v>
      </c>
      <c r="F1029" s="7" t="s">
        <v>67</v>
      </c>
      <c r="G1029" s="7" t="s">
        <v>375</v>
      </c>
      <c r="H1029" s="7" t="s">
        <v>3151</v>
      </c>
      <c r="I1029" s="8" t="s">
        <v>3152</v>
      </c>
    </row>
    <row r="1030" spans="1:9" x14ac:dyDescent="0.35">
      <c r="A1030" s="6">
        <v>2543902</v>
      </c>
      <c r="B1030" s="7" t="str">
        <f>"3674031704780014"</f>
        <v>3674031704780014</v>
      </c>
      <c r="C1030" s="7" t="s">
        <v>3155</v>
      </c>
      <c r="D1030" s="7" t="s">
        <v>17</v>
      </c>
      <c r="E1030" s="7" t="s">
        <v>11</v>
      </c>
      <c r="F1030" s="7" t="s">
        <v>18</v>
      </c>
      <c r="G1030" s="7" t="s">
        <v>19</v>
      </c>
      <c r="H1030" s="7" t="s">
        <v>3014</v>
      </c>
      <c r="I1030" s="8" t="s">
        <v>1381</v>
      </c>
    </row>
    <row r="1031" spans="1:9" x14ac:dyDescent="0.35">
      <c r="A1031" s="6">
        <v>2543903</v>
      </c>
      <c r="B1031" s="7" t="str">
        <f>"3674036109770009"</f>
        <v>3674036109770009</v>
      </c>
      <c r="C1031" s="7" t="s">
        <v>3156</v>
      </c>
      <c r="D1031" s="7" t="s">
        <v>17</v>
      </c>
      <c r="E1031" s="7" t="s">
        <v>11</v>
      </c>
      <c r="F1031" s="7" t="s">
        <v>18</v>
      </c>
      <c r="G1031" s="7" t="s">
        <v>19</v>
      </c>
      <c r="H1031" s="7" t="s">
        <v>3014</v>
      </c>
      <c r="I1031" s="8" t="s">
        <v>1381</v>
      </c>
    </row>
    <row r="1032" spans="1:9" x14ac:dyDescent="0.35">
      <c r="A1032" s="6">
        <v>2548253</v>
      </c>
      <c r="B1032" s="7" t="str">
        <f>"1306024704860005"</f>
        <v>1306024704860005</v>
      </c>
      <c r="C1032" s="7" t="s">
        <v>3160</v>
      </c>
      <c r="D1032" s="7" t="s">
        <v>17</v>
      </c>
      <c r="E1032" s="7" t="s">
        <v>11</v>
      </c>
      <c r="F1032" s="7" t="s">
        <v>18</v>
      </c>
      <c r="G1032" s="7" t="s">
        <v>19</v>
      </c>
      <c r="H1032" s="7" t="s">
        <v>2575</v>
      </c>
      <c r="I1032" s="8" t="s">
        <v>3161</v>
      </c>
    </row>
    <row r="1033" spans="1:9" x14ac:dyDescent="0.35">
      <c r="A1033" s="6">
        <v>2548289</v>
      </c>
      <c r="B1033" s="7" t="str">
        <f>"3171081501810002"</f>
        <v>3171081501810002</v>
      </c>
      <c r="C1033" s="7" t="s">
        <v>3094</v>
      </c>
      <c r="D1033" s="7" t="s">
        <v>17</v>
      </c>
      <c r="E1033" s="7" t="s">
        <v>11</v>
      </c>
      <c r="F1033" s="7" t="s">
        <v>18</v>
      </c>
      <c r="G1033" s="7" t="s">
        <v>19</v>
      </c>
      <c r="H1033" s="7" t="s">
        <v>2575</v>
      </c>
      <c r="I1033" s="8" t="s">
        <v>3161</v>
      </c>
    </row>
    <row r="1034" spans="1:9" x14ac:dyDescent="0.35">
      <c r="A1034" s="6">
        <v>2545475</v>
      </c>
      <c r="B1034" s="7" t="str">
        <f>"3172027110940003"</f>
        <v>3172027110940003</v>
      </c>
      <c r="C1034" s="7" t="s">
        <v>3163</v>
      </c>
      <c r="D1034" s="7" t="s">
        <v>17</v>
      </c>
      <c r="E1034" s="7" t="s">
        <v>11</v>
      </c>
      <c r="F1034" s="7" t="s">
        <v>18</v>
      </c>
      <c r="G1034" s="7" t="s">
        <v>19</v>
      </c>
      <c r="H1034" s="7" t="s">
        <v>2575</v>
      </c>
      <c r="I1034" s="8" t="s">
        <v>1207</v>
      </c>
    </row>
    <row r="1035" spans="1:9" x14ac:dyDescent="0.35">
      <c r="A1035" s="6">
        <v>2547030</v>
      </c>
      <c r="B1035" s="7" t="str">
        <f>"3172034302740003"</f>
        <v>3172034302740003</v>
      </c>
      <c r="C1035" s="7" t="s">
        <v>3164</v>
      </c>
      <c r="D1035" s="7" t="s">
        <v>17</v>
      </c>
      <c r="E1035" s="7" t="s">
        <v>11</v>
      </c>
      <c r="F1035" s="7" t="s">
        <v>18</v>
      </c>
      <c r="G1035" s="7" t="s">
        <v>19</v>
      </c>
      <c r="H1035" s="7" t="s">
        <v>2575</v>
      </c>
      <c r="I1035" s="8" t="s">
        <v>3165</v>
      </c>
    </row>
    <row r="1036" spans="1:9" x14ac:dyDescent="0.35">
      <c r="A1036" s="6">
        <v>2548242</v>
      </c>
      <c r="B1036" s="7" t="str">
        <f>"3172040112820018"</f>
        <v>3172040112820018</v>
      </c>
      <c r="C1036" s="7" t="s">
        <v>3167</v>
      </c>
      <c r="D1036" s="7" t="s">
        <v>17</v>
      </c>
      <c r="E1036" s="7" t="s">
        <v>11</v>
      </c>
      <c r="F1036" s="7" t="s">
        <v>18</v>
      </c>
      <c r="G1036" s="7" t="s">
        <v>19</v>
      </c>
      <c r="H1036" s="7" t="s">
        <v>2575</v>
      </c>
      <c r="I1036" s="8" t="s">
        <v>3161</v>
      </c>
    </row>
    <row r="1037" spans="1:9" x14ac:dyDescent="0.35">
      <c r="A1037" s="6">
        <v>2548549</v>
      </c>
      <c r="B1037" s="7" t="str">
        <f>"3172040401870018"</f>
        <v>3172040401870018</v>
      </c>
      <c r="C1037" s="7" t="s">
        <v>3169</v>
      </c>
      <c r="D1037" s="7" t="s">
        <v>17</v>
      </c>
      <c r="E1037" s="7" t="s">
        <v>11</v>
      </c>
      <c r="F1037" s="7" t="s">
        <v>18</v>
      </c>
      <c r="G1037" s="7" t="s">
        <v>19</v>
      </c>
      <c r="H1037" s="7" t="s">
        <v>2575</v>
      </c>
      <c r="I1037" s="8" t="s">
        <v>3170</v>
      </c>
    </row>
    <row r="1038" spans="1:9" x14ac:dyDescent="0.35">
      <c r="A1038" s="6">
        <v>2548243</v>
      </c>
      <c r="B1038" s="7" t="str">
        <f>"3172044201891003"</f>
        <v>3172044201891003</v>
      </c>
      <c r="C1038" s="7" t="s">
        <v>421</v>
      </c>
      <c r="D1038" s="7" t="s">
        <v>17</v>
      </c>
      <c r="E1038" s="7" t="s">
        <v>11</v>
      </c>
      <c r="F1038" s="7" t="s">
        <v>18</v>
      </c>
      <c r="G1038" s="7" t="s">
        <v>19</v>
      </c>
      <c r="H1038" s="7" t="s">
        <v>2575</v>
      </c>
      <c r="I1038" s="8" t="s">
        <v>3161</v>
      </c>
    </row>
    <row r="1039" spans="1:9" x14ac:dyDescent="0.35">
      <c r="A1039" s="6">
        <v>2545582</v>
      </c>
      <c r="B1039" s="7" t="str">
        <f>"3173025510741001"</f>
        <v>3173025510741001</v>
      </c>
      <c r="C1039" s="7" t="s">
        <v>3173</v>
      </c>
      <c r="D1039" s="7" t="s">
        <v>17</v>
      </c>
      <c r="E1039" s="7" t="s">
        <v>11</v>
      </c>
      <c r="F1039" s="7" t="s">
        <v>18</v>
      </c>
      <c r="G1039" s="7" t="s">
        <v>19</v>
      </c>
      <c r="H1039" s="7" t="s">
        <v>2575</v>
      </c>
      <c r="I1039" s="8" t="s">
        <v>3174</v>
      </c>
    </row>
    <row r="1040" spans="1:9" x14ac:dyDescent="0.35">
      <c r="A1040" s="6">
        <v>2547808</v>
      </c>
      <c r="B1040" s="7" t="str">
        <f>"3173030204680007"</f>
        <v>3173030204680007</v>
      </c>
      <c r="C1040" s="7" t="s">
        <v>1622</v>
      </c>
      <c r="D1040" s="7" t="s">
        <v>17</v>
      </c>
      <c r="E1040" s="7" t="s">
        <v>11</v>
      </c>
      <c r="F1040" s="7" t="s">
        <v>18</v>
      </c>
      <c r="G1040" s="7" t="s">
        <v>19</v>
      </c>
      <c r="H1040" s="7" t="s">
        <v>2575</v>
      </c>
      <c r="I1040" s="8" t="s">
        <v>3176</v>
      </c>
    </row>
    <row r="1041" spans="1:9" x14ac:dyDescent="0.35">
      <c r="A1041" s="6">
        <v>2545293</v>
      </c>
      <c r="B1041" s="7" t="str">
        <f>"3174024101620006"</f>
        <v>3174024101620006</v>
      </c>
      <c r="C1041" s="7" t="s">
        <v>3177</v>
      </c>
      <c r="D1041" s="7" t="s">
        <v>17</v>
      </c>
      <c r="E1041" s="7" t="s">
        <v>11</v>
      </c>
      <c r="F1041" s="7" t="s">
        <v>18</v>
      </c>
      <c r="G1041" s="7" t="s">
        <v>19</v>
      </c>
      <c r="H1041" s="7" t="s">
        <v>2575</v>
      </c>
      <c r="I1041" s="8" t="s">
        <v>3178</v>
      </c>
    </row>
    <row r="1042" spans="1:9" x14ac:dyDescent="0.35">
      <c r="A1042" s="6">
        <v>2545774</v>
      </c>
      <c r="B1042" s="7" t="str">
        <f>"3174030308700008"</f>
        <v>3174030308700008</v>
      </c>
      <c r="C1042" s="7" t="s">
        <v>3179</v>
      </c>
      <c r="D1042" s="7" t="s">
        <v>17</v>
      </c>
      <c r="E1042" s="7" t="s">
        <v>11</v>
      </c>
      <c r="F1042" s="7" t="s">
        <v>18</v>
      </c>
      <c r="G1042" s="7" t="s">
        <v>19</v>
      </c>
      <c r="H1042" s="7" t="s">
        <v>2575</v>
      </c>
      <c r="I1042" s="8" t="s">
        <v>3180</v>
      </c>
    </row>
    <row r="1043" spans="1:9" x14ac:dyDescent="0.35">
      <c r="A1043" s="6">
        <v>2545510</v>
      </c>
      <c r="B1043" s="7" t="str">
        <f>"3174030908630001"</f>
        <v>3174030908630001</v>
      </c>
      <c r="C1043" s="7" t="s">
        <v>3181</v>
      </c>
      <c r="D1043" s="7" t="s">
        <v>17</v>
      </c>
      <c r="E1043" s="7" t="s">
        <v>11</v>
      </c>
      <c r="F1043" s="7" t="s">
        <v>18</v>
      </c>
      <c r="G1043" s="7" t="s">
        <v>19</v>
      </c>
      <c r="H1043" s="7" t="s">
        <v>2575</v>
      </c>
      <c r="I1043" s="8" t="s">
        <v>3174</v>
      </c>
    </row>
    <row r="1044" spans="1:9" x14ac:dyDescent="0.35">
      <c r="A1044" s="6">
        <v>2545414</v>
      </c>
      <c r="B1044" s="7" t="str">
        <f>"3174031608530002"</f>
        <v>3174031608530002</v>
      </c>
      <c r="C1044" s="7" t="s">
        <v>3182</v>
      </c>
      <c r="D1044" s="7" t="s">
        <v>17</v>
      </c>
      <c r="E1044" s="7" t="s">
        <v>11</v>
      </c>
      <c r="F1044" s="7" t="s">
        <v>18</v>
      </c>
      <c r="G1044" s="7" t="s">
        <v>19</v>
      </c>
      <c r="H1044" s="7" t="s">
        <v>2575</v>
      </c>
      <c r="I1044" s="8" t="s">
        <v>3178</v>
      </c>
    </row>
    <row r="1045" spans="1:9" x14ac:dyDescent="0.35">
      <c r="A1045" s="6">
        <v>2545415</v>
      </c>
      <c r="B1045" s="7" t="str">
        <f>"3174035007540003"</f>
        <v>3174035007540003</v>
      </c>
      <c r="C1045" s="7" t="s">
        <v>3183</v>
      </c>
      <c r="D1045" s="7" t="s">
        <v>17</v>
      </c>
      <c r="E1045" s="7" t="s">
        <v>11</v>
      </c>
      <c r="F1045" s="7" t="s">
        <v>18</v>
      </c>
      <c r="G1045" s="7" t="s">
        <v>19</v>
      </c>
      <c r="H1045" s="7" t="s">
        <v>2575</v>
      </c>
      <c r="I1045" s="8" t="s">
        <v>3178</v>
      </c>
    </row>
    <row r="1046" spans="1:9" x14ac:dyDescent="0.35">
      <c r="A1046" s="6">
        <v>2545511</v>
      </c>
      <c r="B1046" s="7" t="str">
        <f>"3174037112710011"</f>
        <v>3174037112710011</v>
      </c>
      <c r="C1046" s="7" t="s">
        <v>3185</v>
      </c>
      <c r="D1046" s="7" t="s">
        <v>17</v>
      </c>
      <c r="E1046" s="7" t="s">
        <v>11</v>
      </c>
      <c r="F1046" s="7" t="s">
        <v>18</v>
      </c>
      <c r="G1046" s="7" t="s">
        <v>19</v>
      </c>
      <c r="H1046" s="7" t="s">
        <v>2575</v>
      </c>
      <c r="I1046" s="8" t="s">
        <v>3174</v>
      </c>
    </row>
    <row r="1047" spans="1:9" x14ac:dyDescent="0.35">
      <c r="A1047" s="6">
        <v>2547355</v>
      </c>
      <c r="B1047" s="7" t="str">
        <f>"3174052803810007"</f>
        <v>3174052803810007</v>
      </c>
      <c r="C1047" s="7" t="s">
        <v>3187</v>
      </c>
      <c r="D1047" s="7" t="s">
        <v>17</v>
      </c>
      <c r="E1047" s="7" t="s">
        <v>11</v>
      </c>
      <c r="F1047" s="7" t="s">
        <v>18</v>
      </c>
      <c r="G1047" s="7" t="s">
        <v>19</v>
      </c>
      <c r="H1047" s="7" t="s">
        <v>2575</v>
      </c>
      <c r="I1047" s="8" t="s">
        <v>3188</v>
      </c>
    </row>
    <row r="1048" spans="1:9" x14ac:dyDescent="0.35">
      <c r="A1048" s="6">
        <v>2547356</v>
      </c>
      <c r="B1048" s="7" t="str">
        <f>"3174054107810010"</f>
        <v>3174054107810010</v>
      </c>
      <c r="C1048" s="7" t="s">
        <v>3189</v>
      </c>
      <c r="D1048" s="7" t="s">
        <v>17</v>
      </c>
      <c r="E1048" s="7" t="s">
        <v>11</v>
      </c>
      <c r="F1048" s="7" t="s">
        <v>18</v>
      </c>
      <c r="G1048" s="7" t="s">
        <v>19</v>
      </c>
      <c r="H1048" s="7" t="s">
        <v>2575</v>
      </c>
      <c r="I1048" s="8" t="s">
        <v>3188</v>
      </c>
    </row>
    <row r="1049" spans="1:9" x14ac:dyDescent="0.35">
      <c r="A1049" s="6">
        <v>2548050</v>
      </c>
      <c r="B1049" s="7" t="str">
        <f>"3174062811740003"</f>
        <v>3174062811740003</v>
      </c>
      <c r="C1049" s="7" t="s">
        <v>2736</v>
      </c>
      <c r="D1049" s="7" t="s">
        <v>17</v>
      </c>
      <c r="E1049" s="7" t="s">
        <v>11</v>
      </c>
      <c r="F1049" s="7" t="s">
        <v>18</v>
      </c>
      <c r="G1049" s="7" t="s">
        <v>19</v>
      </c>
      <c r="H1049" s="7" t="s">
        <v>2575</v>
      </c>
      <c r="I1049" s="8" t="s">
        <v>3191</v>
      </c>
    </row>
    <row r="1050" spans="1:9" x14ac:dyDescent="0.35">
      <c r="A1050" s="6">
        <v>2547570</v>
      </c>
      <c r="B1050" s="7" t="str">
        <f>"3174071408610010"</f>
        <v>3174071408610010</v>
      </c>
      <c r="C1050" s="7" t="s">
        <v>3192</v>
      </c>
      <c r="D1050" s="7" t="s">
        <v>17</v>
      </c>
      <c r="E1050" s="7" t="s">
        <v>11</v>
      </c>
      <c r="F1050" s="7" t="s">
        <v>18</v>
      </c>
      <c r="G1050" s="7" t="s">
        <v>19</v>
      </c>
      <c r="H1050" s="7" t="s">
        <v>2575</v>
      </c>
      <c r="I1050" s="8" t="s">
        <v>3176</v>
      </c>
    </row>
    <row r="1051" spans="1:9" x14ac:dyDescent="0.35">
      <c r="A1051" s="6">
        <v>2547569</v>
      </c>
      <c r="B1051" s="7" t="str">
        <f>"3174075111640008"</f>
        <v>3174075111640008</v>
      </c>
      <c r="C1051" s="7" t="s">
        <v>3193</v>
      </c>
      <c r="D1051" s="7" t="s">
        <v>17</v>
      </c>
      <c r="E1051" s="7" t="s">
        <v>11</v>
      </c>
      <c r="F1051" s="7" t="s">
        <v>18</v>
      </c>
      <c r="G1051" s="7" t="s">
        <v>19</v>
      </c>
      <c r="H1051" s="7" t="s">
        <v>2575</v>
      </c>
      <c r="I1051" s="8" t="s">
        <v>3176</v>
      </c>
    </row>
    <row r="1052" spans="1:9" x14ac:dyDescent="0.35">
      <c r="A1052" s="6">
        <v>2548046</v>
      </c>
      <c r="B1052" s="7" t="str">
        <f>"3174106005791001"</f>
        <v>3174106005791001</v>
      </c>
      <c r="C1052" s="7" t="s">
        <v>3195</v>
      </c>
      <c r="D1052" s="7" t="s">
        <v>17</v>
      </c>
      <c r="E1052" s="7" t="s">
        <v>11</v>
      </c>
      <c r="F1052" s="7" t="s">
        <v>18</v>
      </c>
      <c r="G1052" s="7" t="s">
        <v>19</v>
      </c>
      <c r="H1052" s="7" t="s">
        <v>2575</v>
      </c>
      <c r="I1052" s="8" t="s">
        <v>3191</v>
      </c>
    </row>
    <row r="1053" spans="1:9" x14ac:dyDescent="0.35">
      <c r="A1053" s="6">
        <v>2548202</v>
      </c>
      <c r="B1053" s="7" t="str">
        <f>"3175011212770010"</f>
        <v>3175011212770010</v>
      </c>
      <c r="C1053" s="7" t="s">
        <v>2757</v>
      </c>
      <c r="D1053" s="7" t="s">
        <v>17</v>
      </c>
      <c r="E1053" s="7" t="s">
        <v>11</v>
      </c>
      <c r="F1053" s="7" t="s">
        <v>18</v>
      </c>
      <c r="G1053" s="7" t="s">
        <v>19</v>
      </c>
      <c r="H1053" s="7" t="s">
        <v>2575</v>
      </c>
      <c r="I1053" s="8" t="s">
        <v>3161</v>
      </c>
    </row>
    <row r="1054" spans="1:9" x14ac:dyDescent="0.35">
      <c r="A1054" s="6">
        <v>2547544</v>
      </c>
      <c r="B1054" s="7" t="str">
        <f>"3175050208820011"</f>
        <v>3175050208820011</v>
      </c>
      <c r="C1054" s="7" t="s">
        <v>3196</v>
      </c>
      <c r="D1054" s="7" t="s">
        <v>17</v>
      </c>
      <c r="E1054" s="7" t="s">
        <v>11</v>
      </c>
      <c r="F1054" s="7" t="s">
        <v>18</v>
      </c>
      <c r="G1054" s="7" t="s">
        <v>19</v>
      </c>
      <c r="H1054" s="7" t="s">
        <v>2575</v>
      </c>
      <c r="I1054" s="8" t="s">
        <v>3176</v>
      </c>
    </row>
    <row r="1055" spans="1:9" x14ac:dyDescent="0.35">
      <c r="A1055" s="6">
        <v>2548068</v>
      </c>
      <c r="B1055" s="7" t="str">
        <f>"3175092101971003"</f>
        <v>3175092101971003</v>
      </c>
      <c r="C1055" s="7" t="s">
        <v>3197</v>
      </c>
      <c r="D1055" s="7" t="s">
        <v>17</v>
      </c>
      <c r="E1055" s="7" t="s">
        <v>11</v>
      </c>
      <c r="F1055" s="7" t="s">
        <v>18</v>
      </c>
      <c r="G1055" s="7" t="s">
        <v>19</v>
      </c>
      <c r="H1055" s="7" t="s">
        <v>2575</v>
      </c>
      <c r="I1055" s="8" t="s">
        <v>3191</v>
      </c>
    </row>
    <row r="1056" spans="1:9" x14ac:dyDescent="0.35">
      <c r="A1056" s="6">
        <v>2547958</v>
      </c>
      <c r="B1056" s="7" t="str">
        <f>"3201152506920002"</f>
        <v>3201152506920002</v>
      </c>
      <c r="C1056" s="7" t="s">
        <v>3198</v>
      </c>
      <c r="D1056" s="7" t="s">
        <v>17</v>
      </c>
      <c r="E1056" s="7" t="s">
        <v>11</v>
      </c>
      <c r="F1056" s="7" t="s">
        <v>18</v>
      </c>
      <c r="G1056" s="7" t="s">
        <v>19</v>
      </c>
      <c r="H1056" s="7" t="s">
        <v>2575</v>
      </c>
      <c r="I1056" s="8" t="s">
        <v>3200</v>
      </c>
    </row>
    <row r="1057" spans="1:9" x14ac:dyDescent="0.35">
      <c r="A1057" s="6">
        <v>2547959</v>
      </c>
      <c r="B1057" s="7" t="str">
        <f>"3201154810940009"</f>
        <v>3201154810940009</v>
      </c>
      <c r="C1057" s="7" t="s">
        <v>3201</v>
      </c>
      <c r="D1057" s="7" t="s">
        <v>17</v>
      </c>
      <c r="E1057" s="7" t="s">
        <v>11</v>
      </c>
      <c r="F1057" s="7" t="s">
        <v>18</v>
      </c>
      <c r="G1057" s="7" t="s">
        <v>19</v>
      </c>
      <c r="H1057" s="7" t="s">
        <v>2575</v>
      </c>
      <c r="I1057" s="8" t="s">
        <v>3200</v>
      </c>
    </row>
    <row r="1058" spans="1:9" x14ac:dyDescent="0.35">
      <c r="A1058" s="6">
        <v>2546887</v>
      </c>
      <c r="B1058" s="7" t="str">
        <f>"3206326004870002"</f>
        <v>3206326004870002</v>
      </c>
      <c r="C1058" s="7" t="s">
        <v>3202</v>
      </c>
      <c r="D1058" s="7" t="s">
        <v>17</v>
      </c>
      <c r="E1058" s="7" t="s">
        <v>11</v>
      </c>
      <c r="F1058" s="7" t="s">
        <v>18</v>
      </c>
      <c r="G1058" s="7" t="s">
        <v>19</v>
      </c>
      <c r="H1058" s="7" t="s">
        <v>2575</v>
      </c>
      <c r="I1058" s="8" t="s">
        <v>3203</v>
      </c>
    </row>
    <row r="1059" spans="1:9" x14ac:dyDescent="0.35">
      <c r="A1059" s="6">
        <v>2545927</v>
      </c>
      <c r="B1059" s="7" t="str">
        <f>"3209051007750006"</f>
        <v>3209051007750006</v>
      </c>
      <c r="C1059" s="7" t="s">
        <v>3204</v>
      </c>
      <c r="D1059" s="7" t="s">
        <v>17</v>
      </c>
      <c r="E1059" s="7" t="s">
        <v>11</v>
      </c>
      <c r="F1059" s="7" t="s">
        <v>18</v>
      </c>
      <c r="G1059" s="7" t="s">
        <v>19</v>
      </c>
      <c r="H1059" s="7" t="s">
        <v>2575</v>
      </c>
      <c r="I1059" s="8" t="s">
        <v>3206</v>
      </c>
    </row>
    <row r="1060" spans="1:9" x14ac:dyDescent="0.35">
      <c r="A1060" s="6">
        <v>2547971</v>
      </c>
      <c r="B1060" s="7" t="str">
        <f>"3216141506720031"</f>
        <v>3216141506720031</v>
      </c>
      <c r="C1060" s="7" t="s">
        <v>3210</v>
      </c>
      <c r="D1060" s="7" t="s">
        <v>17</v>
      </c>
      <c r="E1060" s="7" t="s">
        <v>11</v>
      </c>
      <c r="F1060" s="7" t="s">
        <v>18</v>
      </c>
      <c r="G1060" s="7" t="s">
        <v>19</v>
      </c>
      <c r="H1060" s="7" t="s">
        <v>2575</v>
      </c>
      <c r="I1060" s="8" t="s">
        <v>3211</v>
      </c>
    </row>
    <row r="1061" spans="1:9" x14ac:dyDescent="0.35">
      <c r="A1061" s="6">
        <v>2545867</v>
      </c>
      <c r="B1061" s="7" t="str">
        <f>"3275010710960012"</f>
        <v>3275010710960012</v>
      </c>
      <c r="C1061" s="7" t="s">
        <v>3028</v>
      </c>
      <c r="D1061" s="7" t="s">
        <v>17</v>
      </c>
      <c r="E1061" s="7" t="s">
        <v>11</v>
      </c>
      <c r="F1061" s="7" t="s">
        <v>18</v>
      </c>
      <c r="G1061" s="7" t="s">
        <v>19</v>
      </c>
      <c r="H1061" s="7" t="s">
        <v>2575</v>
      </c>
      <c r="I1061" s="8" t="s">
        <v>3180</v>
      </c>
    </row>
    <row r="1062" spans="1:9" x14ac:dyDescent="0.35">
      <c r="A1062" s="6">
        <v>2545336</v>
      </c>
      <c r="B1062" s="7" t="str">
        <f>"3275010811670017"</f>
        <v>3275010811670017</v>
      </c>
      <c r="C1062" s="7" t="s">
        <v>3212</v>
      </c>
      <c r="D1062" s="7" t="s">
        <v>17</v>
      </c>
      <c r="E1062" s="7" t="s">
        <v>11</v>
      </c>
      <c r="F1062" s="7" t="s">
        <v>18</v>
      </c>
      <c r="G1062" s="7" t="s">
        <v>19</v>
      </c>
      <c r="H1062" s="7" t="s">
        <v>2575</v>
      </c>
      <c r="I1062" s="8" t="s">
        <v>3178</v>
      </c>
    </row>
    <row r="1063" spans="1:9" x14ac:dyDescent="0.35">
      <c r="A1063" s="6">
        <v>2546145</v>
      </c>
      <c r="B1063" s="7" t="str">
        <f>"3275011310770017"</f>
        <v>3275011310770017</v>
      </c>
      <c r="C1063" s="7" t="s">
        <v>3213</v>
      </c>
      <c r="D1063" s="7" t="s">
        <v>17</v>
      </c>
      <c r="E1063" s="7" t="s">
        <v>11</v>
      </c>
      <c r="F1063" s="7" t="s">
        <v>18</v>
      </c>
      <c r="G1063" s="7" t="s">
        <v>19</v>
      </c>
      <c r="H1063" s="7" t="s">
        <v>2575</v>
      </c>
      <c r="I1063" s="8" t="s">
        <v>1410</v>
      </c>
    </row>
    <row r="1064" spans="1:9" x14ac:dyDescent="0.35">
      <c r="A1064" s="6">
        <v>2545337</v>
      </c>
      <c r="B1064" s="7" t="str">
        <f>"3275014101710035"</f>
        <v>3275014101710035</v>
      </c>
      <c r="C1064" s="7" t="s">
        <v>3214</v>
      </c>
      <c r="D1064" s="7" t="s">
        <v>17</v>
      </c>
      <c r="E1064" s="7" t="s">
        <v>11</v>
      </c>
      <c r="F1064" s="7" t="s">
        <v>18</v>
      </c>
      <c r="G1064" s="7" t="s">
        <v>19</v>
      </c>
      <c r="H1064" s="7" t="s">
        <v>2575</v>
      </c>
      <c r="I1064" s="8" t="s">
        <v>3178</v>
      </c>
    </row>
    <row r="1065" spans="1:9" x14ac:dyDescent="0.35">
      <c r="A1065" s="6">
        <v>2548290</v>
      </c>
      <c r="B1065" s="7" t="str">
        <f>"3275026910850018"</f>
        <v>3275026910850018</v>
      </c>
      <c r="C1065" s="7" t="s">
        <v>3215</v>
      </c>
      <c r="D1065" s="7" t="s">
        <v>17</v>
      </c>
      <c r="E1065" s="7" t="s">
        <v>11</v>
      </c>
      <c r="F1065" s="7" t="s">
        <v>18</v>
      </c>
      <c r="G1065" s="7" t="s">
        <v>19</v>
      </c>
      <c r="H1065" s="7" t="s">
        <v>2575</v>
      </c>
      <c r="I1065" s="8" t="s">
        <v>3161</v>
      </c>
    </row>
    <row r="1066" spans="1:9" x14ac:dyDescent="0.35">
      <c r="A1066" s="6">
        <v>2544950</v>
      </c>
      <c r="B1066" s="7" t="str">
        <f>"3275090501830025"</f>
        <v>3275090501830025</v>
      </c>
      <c r="C1066" s="7" t="s">
        <v>3216</v>
      </c>
      <c r="D1066" s="7" t="s">
        <v>17</v>
      </c>
      <c r="E1066" s="7" t="s">
        <v>11</v>
      </c>
      <c r="F1066" s="7" t="s">
        <v>18</v>
      </c>
      <c r="G1066" s="7" t="s">
        <v>19</v>
      </c>
      <c r="H1066" s="7" t="s">
        <v>2575</v>
      </c>
      <c r="I1066" s="8" t="s">
        <v>3217</v>
      </c>
    </row>
    <row r="1067" spans="1:9" x14ac:dyDescent="0.35">
      <c r="A1067" s="6">
        <v>2544951</v>
      </c>
      <c r="B1067" s="7" t="str">
        <f>"3275094708980020"</f>
        <v>3275094708980020</v>
      </c>
      <c r="C1067" s="7" t="s">
        <v>3218</v>
      </c>
      <c r="D1067" s="7" t="s">
        <v>17</v>
      </c>
      <c r="E1067" s="7" t="s">
        <v>11</v>
      </c>
      <c r="F1067" s="7" t="s">
        <v>18</v>
      </c>
      <c r="G1067" s="7" t="s">
        <v>19</v>
      </c>
      <c r="H1067" s="7" t="s">
        <v>2575</v>
      </c>
      <c r="I1067" s="8" t="s">
        <v>3217</v>
      </c>
    </row>
    <row r="1068" spans="1:9" x14ac:dyDescent="0.35">
      <c r="A1068" s="6">
        <v>2545448</v>
      </c>
      <c r="B1068" s="7" t="str">
        <f>"3304026508860001"</f>
        <v>3304026508860001</v>
      </c>
      <c r="C1068" s="7" t="s">
        <v>3220</v>
      </c>
      <c r="D1068" s="7" t="s">
        <v>17</v>
      </c>
      <c r="E1068" s="7" t="s">
        <v>11</v>
      </c>
      <c r="F1068" s="7" t="s">
        <v>18</v>
      </c>
      <c r="G1068" s="7" t="s">
        <v>19</v>
      </c>
      <c r="H1068" s="7" t="s">
        <v>2575</v>
      </c>
      <c r="I1068" s="8" t="s">
        <v>1207</v>
      </c>
    </row>
    <row r="1069" spans="1:9" x14ac:dyDescent="0.35">
      <c r="A1069" s="6">
        <v>2545248</v>
      </c>
      <c r="B1069" s="7" t="str">
        <f>"3304121905920002"</f>
        <v>3304121905920002</v>
      </c>
      <c r="C1069" s="7" t="s">
        <v>3221</v>
      </c>
      <c r="D1069" s="7" t="s">
        <v>17</v>
      </c>
      <c r="E1069" s="7" t="s">
        <v>11</v>
      </c>
      <c r="F1069" s="7" t="s">
        <v>18</v>
      </c>
      <c r="G1069" s="7" t="s">
        <v>19</v>
      </c>
      <c r="H1069" s="7" t="s">
        <v>2575</v>
      </c>
      <c r="I1069" s="8" t="s">
        <v>3224</v>
      </c>
    </row>
    <row r="1070" spans="1:9" x14ac:dyDescent="0.35">
      <c r="A1070" s="6">
        <v>2546403</v>
      </c>
      <c r="B1070" s="7" t="str">
        <f>"3311017012060003"</f>
        <v>3311017012060003</v>
      </c>
      <c r="C1070" s="7" t="s">
        <v>3225</v>
      </c>
      <c r="D1070" s="7" t="s">
        <v>17</v>
      </c>
      <c r="E1070" s="7" t="s">
        <v>11</v>
      </c>
      <c r="F1070" s="7" t="s">
        <v>18</v>
      </c>
      <c r="G1070" s="7" t="s">
        <v>19</v>
      </c>
      <c r="H1070" s="7" t="s">
        <v>2575</v>
      </c>
      <c r="I1070" s="8" t="s">
        <v>3203</v>
      </c>
    </row>
    <row r="1071" spans="1:9" x14ac:dyDescent="0.35">
      <c r="A1071" s="6">
        <v>2547637</v>
      </c>
      <c r="B1071" s="7" t="str">
        <f>"3328090107880037"</f>
        <v>3328090107880037</v>
      </c>
      <c r="C1071" s="7" t="s">
        <v>3227</v>
      </c>
      <c r="D1071" s="7" t="s">
        <v>17</v>
      </c>
      <c r="E1071" s="7" t="s">
        <v>11</v>
      </c>
      <c r="F1071" s="7" t="s">
        <v>18</v>
      </c>
      <c r="G1071" s="7" t="s">
        <v>19</v>
      </c>
      <c r="H1071" s="7" t="s">
        <v>2575</v>
      </c>
      <c r="I1071" s="8" t="s">
        <v>3176</v>
      </c>
    </row>
    <row r="1072" spans="1:9" x14ac:dyDescent="0.35">
      <c r="A1072" s="6">
        <v>2548162</v>
      </c>
      <c r="B1072" s="7" t="str">
        <f>"3328090107910071"</f>
        <v>3328090107910071</v>
      </c>
      <c r="C1072" s="7" t="s">
        <v>3231</v>
      </c>
      <c r="D1072" s="7" t="s">
        <v>17</v>
      </c>
      <c r="E1072" s="7" t="s">
        <v>11</v>
      </c>
      <c r="F1072" s="7" t="s">
        <v>18</v>
      </c>
      <c r="G1072" s="7" t="s">
        <v>19</v>
      </c>
      <c r="H1072" s="7" t="s">
        <v>2575</v>
      </c>
      <c r="I1072" s="8" t="s">
        <v>3232</v>
      </c>
    </row>
    <row r="1073" spans="1:9" x14ac:dyDescent="0.35">
      <c r="A1073" s="6">
        <v>2546050</v>
      </c>
      <c r="B1073" s="7" t="str">
        <f>"3328090110940004"</f>
        <v>3328090110940004</v>
      </c>
      <c r="C1073" s="7" t="s">
        <v>3233</v>
      </c>
      <c r="D1073" s="7" t="s">
        <v>17</v>
      </c>
      <c r="E1073" s="7" t="s">
        <v>11</v>
      </c>
      <c r="F1073" s="7" t="s">
        <v>18</v>
      </c>
      <c r="G1073" s="7" t="s">
        <v>19</v>
      </c>
      <c r="H1073" s="7" t="s">
        <v>2575</v>
      </c>
      <c r="I1073" s="8" t="s">
        <v>3235</v>
      </c>
    </row>
    <row r="1074" spans="1:9" x14ac:dyDescent="0.35">
      <c r="A1074" s="6">
        <v>2547515</v>
      </c>
      <c r="B1074" s="7" t="str">
        <f>"3328090202010009"</f>
        <v>3328090202010009</v>
      </c>
      <c r="C1074" s="7" t="s">
        <v>3238</v>
      </c>
      <c r="D1074" s="7" t="s">
        <v>17</v>
      </c>
      <c r="E1074" s="7" t="s">
        <v>11</v>
      </c>
      <c r="F1074" s="7" t="s">
        <v>18</v>
      </c>
      <c r="G1074" s="7" t="s">
        <v>19</v>
      </c>
      <c r="H1074" s="7" t="s">
        <v>2575</v>
      </c>
      <c r="I1074" s="8" t="s">
        <v>3176</v>
      </c>
    </row>
    <row r="1075" spans="1:9" x14ac:dyDescent="0.35">
      <c r="A1075" s="6">
        <v>2545281</v>
      </c>
      <c r="B1075" s="7" t="str">
        <f>"3328090309970001"</f>
        <v>3328090309970001</v>
      </c>
      <c r="C1075" s="7" t="s">
        <v>3239</v>
      </c>
      <c r="D1075" s="7" t="s">
        <v>17</v>
      </c>
      <c r="E1075" s="7" t="s">
        <v>11</v>
      </c>
      <c r="F1075" s="7" t="s">
        <v>18</v>
      </c>
      <c r="G1075" s="7" t="s">
        <v>19</v>
      </c>
      <c r="H1075" s="7" t="s">
        <v>2575</v>
      </c>
      <c r="I1075" s="8" t="s">
        <v>3224</v>
      </c>
    </row>
    <row r="1076" spans="1:9" x14ac:dyDescent="0.35">
      <c r="A1076" s="6">
        <v>2546972</v>
      </c>
      <c r="B1076" s="7" t="str">
        <f>"3328090409870002"</f>
        <v>3328090409870002</v>
      </c>
      <c r="C1076" s="7" t="s">
        <v>3242</v>
      </c>
      <c r="D1076" s="7" t="s">
        <v>17</v>
      </c>
      <c r="E1076" s="7" t="s">
        <v>11</v>
      </c>
      <c r="F1076" s="7" t="s">
        <v>18</v>
      </c>
      <c r="G1076" s="7" t="s">
        <v>19</v>
      </c>
      <c r="H1076" s="7" t="s">
        <v>2575</v>
      </c>
      <c r="I1076" s="8" t="s">
        <v>3165</v>
      </c>
    </row>
    <row r="1077" spans="1:9" x14ac:dyDescent="0.35">
      <c r="A1077" s="6">
        <v>1421439</v>
      </c>
      <c r="B1077" s="7" t="str">
        <f>"3328090601060002"</f>
        <v>3328090601060002</v>
      </c>
      <c r="C1077" s="7" t="s">
        <v>3245</v>
      </c>
      <c r="D1077" s="7" t="s">
        <v>17</v>
      </c>
      <c r="E1077" s="7" t="s">
        <v>57</v>
      </c>
      <c r="F1077" s="7" t="s">
        <v>91</v>
      </c>
      <c r="G1077" s="7" t="s">
        <v>114</v>
      </c>
      <c r="H1077" s="7" t="s">
        <v>3246</v>
      </c>
      <c r="I1077" s="8" t="s">
        <v>3247</v>
      </c>
    </row>
    <row r="1078" spans="1:9" x14ac:dyDescent="0.35">
      <c r="A1078" s="6">
        <v>2545595</v>
      </c>
      <c r="B1078" s="7" t="str">
        <f>"3328090705960006"</f>
        <v>3328090705960006</v>
      </c>
      <c r="C1078" s="7" t="s">
        <v>3254</v>
      </c>
      <c r="D1078" s="7" t="s">
        <v>17</v>
      </c>
      <c r="E1078" s="7" t="s">
        <v>11</v>
      </c>
      <c r="F1078" s="7" t="s">
        <v>18</v>
      </c>
      <c r="G1078" s="7" t="s">
        <v>19</v>
      </c>
      <c r="H1078" s="7" t="s">
        <v>2575</v>
      </c>
      <c r="I1078" s="8" t="s">
        <v>3174</v>
      </c>
    </row>
    <row r="1079" spans="1:9" x14ac:dyDescent="0.35">
      <c r="A1079" s="6">
        <v>2548420</v>
      </c>
      <c r="B1079" s="7" t="str">
        <f>"3328090806700006"</f>
        <v>3328090806700006</v>
      </c>
      <c r="C1079" s="7" t="s">
        <v>3256</v>
      </c>
      <c r="D1079" s="7" t="s">
        <v>17</v>
      </c>
      <c r="E1079" s="7" t="s">
        <v>11</v>
      </c>
      <c r="F1079" s="7" t="s">
        <v>18</v>
      </c>
      <c r="G1079" s="7" t="s">
        <v>19</v>
      </c>
      <c r="H1079" s="7" t="s">
        <v>2575</v>
      </c>
      <c r="I1079" s="8" t="s">
        <v>3257</v>
      </c>
    </row>
    <row r="1080" spans="1:9" x14ac:dyDescent="0.35">
      <c r="A1080" s="6">
        <v>2432816</v>
      </c>
      <c r="B1080" s="7" t="str">
        <f>"3328090809950004"</f>
        <v>3328090809950004</v>
      </c>
      <c r="C1080" s="7" t="s">
        <v>3258</v>
      </c>
      <c r="D1080" s="7" t="s">
        <v>17</v>
      </c>
      <c r="E1080" s="7" t="s">
        <v>11</v>
      </c>
      <c r="F1080" s="7" t="s">
        <v>50</v>
      </c>
      <c r="G1080" s="7" t="s">
        <v>58</v>
      </c>
      <c r="H1080" s="7" t="s">
        <v>1747</v>
      </c>
      <c r="I1080" s="8" t="s">
        <v>2291</v>
      </c>
    </row>
    <row r="1081" spans="1:9" x14ac:dyDescent="0.35">
      <c r="A1081" s="6">
        <v>2547509</v>
      </c>
      <c r="B1081" s="7" t="str">
        <f>"3328090907000006"</f>
        <v>3328090907000006</v>
      </c>
      <c r="C1081" s="7" t="s">
        <v>3260</v>
      </c>
      <c r="D1081" s="7" t="s">
        <v>17</v>
      </c>
      <c r="E1081" s="7" t="s">
        <v>11</v>
      </c>
      <c r="F1081" s="7" t="s">
        <v>18</v>
      </c>
      <c r="G1081" s="7" t="s">
        <v>19</v>
      </c>
      <c r="H1081" s="7" t="s">
        <v>2575</v>
      </c>
      <c r="I1081" s="8" t="s">
        <v>3176</v>
      </c>
    </row>
    <row r="1082" spans="1:9" x14ac:dyDescent="0.35">
      <c r="A1082" s="6">
        <v>2547641</v>
      </c>
      <c r="B1082" s="7" t="str">
        <f>"3328091105940004"</f>
        <v>3328091105940004</v>
      </c>
      <c r="C1082" s="7" t="s">
        <v>3041</v>
      </c>
      <c r="D1082" s="7" t="s">
        <v>17</v>
      </c>
      <c r="E1082" s="7" t="s">
        <v>11</v>
      </c>
      <c r="F1082" s="7" t="s">
        <v>18</v>
      </c>
      <c r="G1082" s="7" t="s">
        <v>19</v>
      </c>
      <c r="H1082" s="7" t="s">
        <v>2575</v>
      </c>
      <c r="I1082" s="8" t="s">
        <v>3176</v>
      </c>
    </row>
    <row r="1083" spans="1:9" x14ac:dyDescent="0.35">
      <c r="A1083" s="6">
        <v>2574108</v>
      </c>
      <c r="B1083" s="7" t="str">
        <f>"3328091107020010"</f>
        <v>3328091107020010</v>
      </c>
      <c r="C1083" s="7" t="s">
        <v>3264</v>
      </c>
      <c r="D1083" s="7" t="s">
        <v>17</v>
      </c>
      <c r="E1083" s="7" t="s">
        <v>11</v>
      </c>
      <c r="F1083" s="7" t="s">
        <v>18</v>
      </c>
      <c r="G1083" s="7" t="s">
        <v>19</v>
      </c>
      <c r="H1083" s="7" t="s">
        <v>2575</v>
      </c>
      <c r="I1083" s="8" t="s">
        <v>2575</v>
      </c>
    </row>
    <row r="1084" spans="1:9" x14ac:dyDescent="0.35">
      <c r="A1084" s="6">
        <v>2546957</v>
      </c>
      <c r="B1084" s="7" t="str">
        <f>"3328091109030001"</f>
        <v>3328091109030001</v>
      </c>
      <c r="C1084" s="7" t="s">
        <v>3265</v>
      </c>
      <c r="D1084" s="7" t="s">
        <v>17</v>
      </c>
      <c r="E1084" s="7" t="s">
        <v>11</v>
      </c>
      <c r="F1084" s="7" t="s">
        <v>18</v>
      </c>
      <c r="G1084" s="7" t="s">
        <v>19</v>
      </c>
      <c r="H1084" s="7" t="s">
        <v>2575</v>
      </c>
      <c r="I1084" s="8" t="s">
        <v>3203</v>
      </c>
    </row>
    <row r="1085" spans="1:9" x14ac:dyDescent="0.35">
      <c r="A1085" s="6">
        <v>2548598</v>
      </c>
      <c r="B1085" s="7" t="str">
        <f>"3328091210870001"</f>
        <v>3328091210870001</v>
      </c>
      <c r="C1085" s="7" t="s">
        <v>3267</v>
      </c>
      <c r="D1085" s="7" t="s">
        <v>17</v>
      </c>
      <c r="E1085" s="7" t="s">
        <v>11</v>
      </c>
      <c r="F1085" s="7" t="s">
        <v>18</v>
      </c>
      <c r="G1085" s="7" t="s">
        <v>19</v>
      </c>
      <c r="H1085" s="7" t="s">
        <v>2575</v>
      </c>
      <c r="I1085" s="8" t="s">
        <v>3170</v>
      </c>
    </row>
    <row r="1086" spans="1:9" x14ac:dyDescent="0.35">
      <c r="A1086" s="6">
        <v>2574087</v>
      </c>
      <c r="B1086" s="7" t="str">
        <f>"3328091305000007"</f>
        <v>3328091305000007</v>
      </c>
      <c r="C1086" s="7" t="s">
        <v>3268</v>
      </c>
      <c r="D1086" s="7" t="s">
        <v>17</v>
      </c>
      <c r="E1086" s="7" t="s">
        <v>11</v>
      </c>
      <c r="F1086" s="7" t="s">
        <v>18</v>
      </c>
      <c r="G1086" s="7" t="s">
        <v>19</v>
      </c>
      <c r="H1086" s="7" t="s">
        <v>2575</v>
      </c>
      <c r="I1086" s="8" t="s">
        <v>2575</v>
      </c>
    </row>
    <row r="1087" spans="1:9" x14ac:dyDescent="0.35">
      <c r="A1087" s="6">
        <v>2546976</v>
      </c>
      <c r="B1087" s="7" t="str">
        <f>"3328091305020006"</f>
        <v>3328091305020006</v>
      </c>
      <c r="C1087" s="7" t="s">
        <v>3271</v>
      </c>
      <c r="D1087" s="7" t="s">
        <v>17</v>
      </c>
      <c r="E1087" s="7" t="s">
        <v>11</v>
      </c>
      <c r="F1087" s="7" t="s">
        <v>18</v>
      </c>
      <c r="G1087" s="7" t="s">
        <v>19</v>
      </c>
      <c r="H1087" s="7" t="s">
        <v>2575</v>
      </c>
      <c r="I1087" s="8" t="s">
        <v>3165</v>
      </c>
    </row>
    <row r="1088" spans="1:9" x14ac:dyDescent="0.35">
      <c r="A1088" s="6">
        <v>2544948</v>
      </c>
      <c r="B1088" s="7" t="str">
        <f>"3328091403870001"</f>
        <v>3328091403870001</v>
      </c>
      <c r="C1088" s="7" t="s">
        <v>3276</v>
      </c>
      <c r="D1088" s="7" t="s">
        <v>17</v>
      </c>
      <c r="E1088" s="7" t="s">
        <v>11</v>
      </c>
      <c r="F1088" s="7" t="s">
        <v>18</v>
      </c>
      <c r="G1088" s="7" t="s">
        <v>19</v>
      </c>
      <c r="H1088" s="7" t="s">
        <v>2575</v>
      </c>
      <c r="I1088" s="8" t="s">
        <v>3217</v>
      </c>
    </row>
    <row r="1089" spans="1:9" x14ac:dyDescent="0.35">
      <c r="A1089" s="6">
        <v>2548412</v>
      </c>
      <c r="B1089" s="7" t="str">
        <f>"3328091408980001"</f>
        <v>3328091408980001</v>
      </c>
      <c r="C1089" s="7" t="s">
        <v>3278</v>
      </c>
      <c r="D1089" s="7" t="s">
        <v>17</v>
      </c>
      <c r="E1089" s="7" t="s">
        <v>11</v>
      </c>
      <c r="F1089" s="7" t="s">
        <v>18</v>
      </c>
      <c r="G1089" s="7" t="s">
        <v>19</v>
      </c>
      <c r="H1089" s="7" t="s">
        <v>2575</v>
      </c>
      <c r="I1089" s="8" t="s">
        <v>3257</v>
      </c>
    </row>
    <row r="1090" spans="1:9" x14ac:dyDescent="0.35">
      <c r="A1090" s="6">
        <v>2544876</v>
      </c>
      <c r="B1090" s="7" t="str">
        <f>"3328091509810009"</f>
        <v>3328091509810009</v>
      </c>
      <c r="C1090" s="7" t="s">
        <v>3279</v>
      </c>
      <c r="D1090" s="7" t="s">
        <v>17</v>
      </c>
      <c r="E1090" s="7" t="s">
        <v>11</v>
      </c>
      <c r="F1090" s="7" t="s">
        <v>18</v>
      </c>
      <c r="G1090" s="7" t="s">
        <v>19</v>
      </c>
      <c r="H1090" s="7" t="s">
        <v>2575</v>
      </c>
      <c r="I1090" s="8" t="s">
        <v>3217</v>
      </c>
    </row>
    <row r="1091" spans="1:9" x14ac:dyDescent="0.35">
      <c r="A1091" s="6">
        <v>2545347</v>
      </c>
      <c r="B1091" s="7" t="str">
        <f>"3328091607830003"</f>
        <v>3328091607830003</v>
      </c>
      <c r="C1091" s="7" t="s">
        <v>3285</v>
      </c>
      <c r="D1091" s="7" t="s">
        <v>17</v>
      </c>
      <c r="E1091" s="7" t="s">
        <v>11</v>
      </c>
      <c r="F1091" s="7" t="s">
        <v>18</v>
      </c>
      <c r="G1091" s="7" t="s">
        <v>19</v>
      </c>
      <c r="H1091" s="7" t="s">
        <v>2575</v>
      </c>
      <c r="I1091" s="8" t="s">
        <v>3178</v>
      </c>
    </row>
    <row r="1092" spans="1:9" x14ac:dyDescent="0.35">
      <c r="A1092" s="6">
        <v>2547350</v>
      </c>
      <c r="B1092" s="7" t="str">
        <f>"3328091703730012"</f>
        <v>3328091703730012</v>
      </c>
      <c r="C1092" s="7" t="s">
        <v>2576</v>
      </c>
      <c r="D1092" s="7" t="s">
        <v>17</v>
      </c>
      <c r="E1092" s="7" t="s">
        <v>11</v>
      </c>
      <c r="F1092" s="7" t="s">
        <v>18</v>
      </c>
      <c r="G1092" s="7" t="s">
        <v>19</v>
      </c>
      <c r="H1092" s="7" t="s">
        <v>2575</v>
      </c>
      <c r="I1092" s="8" t="s">
        <v>3188</v>
      </c>
    </row>
    <row r="1093" spans="1:9" x14ac:dyDescent="0.35">
      <c r="A1093" s="6">
        <v>2546886</v>
      </c>
      <c r="B1093" s="7" t="str">
        <f>"3328092004890005"</f>
        <v>3328092004890005</v>
      </c>
      <c r="C1093" s="7" t="s">
        <v>3287</v>
      </c>
      <c r="D1093" s="7" t="s">
        <v>17</v>
      </c>
      <c r="E1093" s="7" t="s">
        <v>11</v>
      </c>
      <c r="F1093" s="7" t="s">
        <v>18</v>
      </c>
      <c r="G1093" s="7" t="s">
        <v>19</v>
      </c>
      <c r="H1093" s="7" t="s">
        <v>2575</v>
      </c>
      <c r="I1093" s="8" t="s">
        <v>3203</v>
      </c>
    </row>
    <row r="1094" spans="1:9" x14ac:dyDescent="0.35">
      <c r="A1094" s="6">
        <v>2545743</v>
      </c>
      <c r="B1094" s="7" t="str">
        <f>"3328092104000004"</f>
        <v>3328092104000004</v>
      </c>
      <c r="C1094" s="7" t="s">
        <v>3288</v>
      </c>
      <c r="D1094" s="7" t="s">
        <v>17</v>
      </c>
      <c r="E1094" s="7" t="s">
        <v>11</v>
      </c>
      <c r="F1094" s="7" t="s">
        <v>18</v>
      </c>
      <c r="G1094" s="7" t="s">
        <v>19</v>
      </c>
      <c r="H1094" s="7" t="s">
        <v>2575</v>
      </c>
      <c r="I1094" s="8" t="s">
        <v>3180</v>
      </c>
    </row>
    <row r="1095" spans="1:9" x14ac:dyDescent="0.35">
      <c r="A1095" s="6">
        <v>2545361</v>
      </c>
      <c r="B1095" s="7" t="str">
        <f>"3328092209030006"</f>
        <v>3328092209030006</v>
      </c>
      <c r="C1095" s="7" t="s">
        <v>3290</v>
      </c>
      <c r="D1095" s="7" t="s">
        <v>17</v>
      </c>
      <c r="E1095" s="7" t="s">
        <v>11</v>
      </c>
      <c r="F1095" s="7" t="s">
        <v>18</v>
      </c>
      <c r="G1095" s="7" t="s">
        <v>19</v>
      </c>
      <c r="H1095" s="7" t="s">
        <v>2575</v>
      </c>
      <c r="I1095" s="8" t="s">
        <v>3178</v>
      </c>
    </row>
    <row r="1096" spans="1:9" x14ac:dyDescent="0.35">
      <c r="A1096" s="6">
        <v>2544850</v>
      </c>
      <c r="B1096" s="7" t="str">
        <f>"3328092504020002"</f>
        <v>3328092504020002</v>
      </c>
      <c r="C1096" s="7" t="s">
        <v>3293</v>
      </c>
      <c r="D1096" s="7" t="s">
        <v>17</v>
      </c>
      <c r="E1096" s="7" t="s">
        <v>11</v>
      </c>
      <c r="F1096" s="7" t="s">
        <v>18</v>
      </c>
      <c r="G1096" s="7" t="s">
        <v>19</v>
      </c>
      <c r="H1096" s="7" t="s">
        <v>2575</v>
      </c>
      <c r="I1096" s="8" t="s">
        <v>3217</v>
      </c>
    </row>
    <row r="1097" spans="1:9" x14ac:dyDescent="0.35">
      <c r="A1097" s="6">
        <v>2432817</v>
      </c>
      <c r="B1097" s="7" t="str">
        <f>"3328092505710003"</f>
        <v>3328092505710003</v>
      </c>
      <c r="C1097" s="7" t="s">
        <v>3294</v>
      </c>
      <c r="D1097" s="7" t="s">
        <v>17</v>
      </c>
      <c r="E1097" s="7" t="s">
        <v>11</v>
      </c>
      <c r="F1097" s="7" t="s">
        <v>50</v>
      </c>
      <c r="G1097" s="7" t="s">
        <v>58</v>
      </c>
      <c r="H1097" s="7" t="s">
        <v>1747</v>
      </c>
      <c r="I1097" s="8" t="s">
        <v>2291</v>
      </c>
    </row>
    <row r="1098" spans="1:9" x14ac:dyDescent="0.35">
      <c r="A1098" s="6">
        <v>2547547</v>
      </c>
      <c r="B1098" s="7" t="str">
        <f>"3328092710980007"</f>
        <v>3328092710980007</v>
      </c>
      <c r="C1098" s="7" t="s">
        <v>3299</v>
      </c>
      <c r="D1098" s="7" t="s">
        <v>17</v>
      </c>
      <c r="E1098" s="7" t="s">
        <v>11</v>
      </c>
      <c r="F1098" s="7" t="s">
        <v>18</v>
      </c>
      <c r="G1098" s="7" t="s">
        <v>19</v>
      </c>
      <c r="H1098" s="7" t="s">
        <v>2575</v>
      </c>
      <c r="I1098" s="8" t="s">
        <v>3176</v>
      </c>
    </row>
    <row r="1099" spans="1:9" x14ac:dyDescent="0.35">
      <c r="A1099" s="6">
        <v>2545771</v>
      </c>
      <c r="B1099" s="7" t="str">
        <f>"3328092803970005"</f>
        <v>3328092803970005</v>
      </c>
      <c r="C1099" s="7" t="s">
        <v>3303</v>
      </c>
      <c r="D1099" s="7" t="s">
        <v>17</v>
      </c>
      <c r="E1099" s="7" t="s">
        <v>11</v>
      </c>
      <c r="F1099" s="7" t="s">
        <v>18</v>
      </c>
      <c r="G1099" s="7" t="s">
        <v>19</v>
      </c>
      <c r="H1099" s="7" t="s">
        <v>2575</v>
      </c>
      <c r="I1099" s="8" t="s">
        <v>3180</v>
      </c>
    </row>
    <row r="1100" spans="1:9" x14ac:dyDescent="0.35">
      <c r="A1100" s="6">
        <v>2547801</v>
      </c>
      <c r="B1100" s="7" t="str">
        <f>"3328093001060009"</f>
        <v>3328093001060009</v>
      </c>
      <c r="C1100" s="7" t="s">
        <v>3305</v>
      </c>
      <c r="D1100" s="7" t="s">
        <v>17</v>
      </c>
      <c r="E1100" s="7" t="s">
        <v>11</v>
      </c>
      <c r="F1100" s="7" t="s">
        <v>18</v>
      </c>
      <c r="G1100" s="7" t="s">
        <v>19</v>
      </c>
      <c r="H1100" s="7" t="s">
        <v>2575</v>
      </c>
      <c r="I1100" s="8" t="s">
        <v>3176</v>
      </c>
    </row>
    <row r="1101" spans="1:9" x14ac:dyDescent="0.35">
      <c r="A1101" s="6">
        <v>2544877</v>
      </c>
      <c r="B1101" s="7" t="str">
        <f>"3328094401880002"</f>
        <v>3328094401880002</v>
      </c>
      <c r="C1101" s="7" t="s">
        <v>3306</v>
      </c>
      <c r="D1101" s="7" t="s">
        <v>17</v>
      </c>
      <c r="E1101" s="7" t="s">
        <v>11</v>
      </c>
      <c r="F1101" s="7" t="s">
        <v>18</v>
      </c>
      <c r="G1101" s="7" t="s">
        <v>19</v>
      </c>
      <c r="H1101" s="7" t="s">
        <v>2575</v>
      </c>
      <c r="I1101" s="8" t="s">
        <v>3217</v>
      </c>
    </row>
    <row r="1102" spans="1:9" x14ac:dyDescent="0.35">
      <c r="A1102" s="6">
        <v>2545457</v>
      </c>
      <c r="B1102" s="7" t="str">
        <f>"3328094502960002"</f>
        <v>3328094502960002</v>
      </c>
      <c r="C1102" s="7" t="s">
        <v>2608</v>
      </c>
      <c r="D1102" s="7" t="s">
        <v>17</v>
      </c>
      <c r="E1102" s="7" t="s">
        <v>11</v>
      </c>
      <c r="F1102" s="7" t="s">
        <v>18</v>
      </c>
      <c r="G1102" s="7" t="s">
        <v>19</v>
      </c>
      <c r="H1102" s="7" t="s">
        <v>2575</v>
      </c>
      <c r="I1102" s="8" t="s">
        <v>1207</v>
      </c>
    </row>
    <row r="1103" spans="1:9" x14ac:dyDescent="0.35">
      <c r="A1103" s="6">
        <v>2546360</v>
      </c>
      <c r="B1103" s="7" t="str">
        <f>"3328094511950008"</f>
        <v>3328094511950008</v>
      </c>
      <c r="C1103" s="7" t="s">
        <v>3314</v>
      </c>
      <c r="D1103" s="7" t="s">
        <v>17</v>
      </c>
      <c r="E1103" s="7" t="s">
        <v>11</v>
      </c>
      <c r="F1103" s="7" t="s">
        <v>18</v>
      </c>
      <c r="G1103" s="7" t="s">
        <v>19</v>
      </c>
      <c r="H1103" s="7" t="s">
        <v>2575</v>
      </c>
      <c r="I1103" s="8" t="s">
        <v>3203</v>
      </c>
    </row>
    <row r="1104" spans="1:9" x14ac:dyDescent="0.35">
      <c r="A1104" s="6">
        <v>2432818</v>
      </c>
      <c r="B1104" s="7" t="str">
        <f>"3328094810750002"</f>
        <v>3328094810750002</v>
      </c>
      <c r="C1104" s="7" t="s">
        <v>3315</v>
      </c>
      <c r="D1104" s="7" t="s">
        <v>17</v>
      </c>
      <c r="E1104" s="7" t="s">
        <v>11</v>
      </c>
      <c r="F1104" s="7" t="s">
        <v>50</v>
      </c>
      <c r="G1104" s="7" t="s">
        <v>58</v>
      </c>
      <c r="H1104" s="7" t="s">
        <v>1747</v>
      </c>
      <c r="I1104" s="8" t="s">
        <v>2291</v>
      </c>
    </row>
    <row r="1105" spans="1:9" x14ac:dyDescent="0.35">
      <c r="A1105" s="6">
        <v>2084144</v>
      </c>
      <c r="B1105" s="7" t="str">
        <f>"3328094911050003"</f>
        <v>3328094911050003</v>
      </c>
      <c r="C1105" s="7" t="s">
        <v>3316</v>
      </c>
      <c r="D1105" s="7" t="s">
        <v>17</v>
      </c>
      <c r="E1105" s="7" t="s">
        <v>57</v>
      </c>
      <c r="F1105" s="7" t="s">
        <v>18</v>
      </c>
      <c r="G1105" s="7" t="s">
        <v>962</v>
      </c>
      <c r="H1105" s="7" t="s">
        <v>1899</v>
      </c>
      <c r="I1105" s="8" t="s">
        <v>3317</v>
      </c>
    </row>
    <row r="1106" spans="1:9" x14ac:dyDescent="0.35">
      <c r="A1106" s="6">
        <v>2547369</v>
      </c>
      <c r="B1106" s="7" t="str">
        <f>"3328095005010001"</f>
        <v>3328095005010001</v>
      </c>
      <c r="C1106" s="7" t="s">
        <v>3320</v>
      </c>
      <c r="D1106" s="7" t="s">
        <v>17</v>
      </c>
      <c r="E1106" s="7" t="s">
        <v>11</v>
      </c>
      <c r="F1106" s="7" t="s">
        <v>18</v>
      </c>
      <c r="G1106" s="7" t="s">
        <v>19</v>
      </c>
      <c r="H1106" s="7" t="s">
        <v>2575</v>
      </c>
      <c r="I1106" s="8" t="s">
        <v>3188</v>
      </c>
    </row>
    <row r="1107" spans="1:9" x14ac:dyDescent="0.35">
      <c r="A1107" s="6">
        <v>2546049</v>
      </c>
      <c r="B1107" s="7" t="str">
        <f>"3328095102750005"</f>
        <v>3328095102750005</v>
      </c>
      <c r="C1107" s="7" t="s">
        <v>3321</v>
      </c>
      <c r="D1107" s="7" t="s">
        <v>17</v>
      </c>
      <c r="E1107" s="7" t="s">
        <v>11</v>
      </c>
      <c r="F1107" s="7" t="s">
        <v>18</v>
      </c>
      <c r="G1107" s="7" t="s">
        <v>19</v>
      </c>
      <c r="H1107" s="7" t="s">
        <v>2575</v>
      </c>
      <c r="I1107" s="8" t="s">
        <v>3235</v>
      </c>
    </row>
    <row r="1108" spans="1:9" x14ac:dyDescent="0.35">
      <c r="A1108" s="6">
        <v>2545087</v>
      </c>
      <c r="B1108" s="7" t="str">
        <f>"3328095303980001"</f>
        <v>3328095303980001</v>
      </c>
      <c r="C1108" s="7" t="s">
        <v>3322</v>
      </c>
      <c r="D1108" s="7" t="s">
        <v>17</v>
      </c>
      <c r="E1108" s="7" t="s">
        <v>11</v>
      </c>
      <c r="F1108" s="7" t="s">
        <v>18</v>
      </c>
      <c r="G1108" s="7" t="s">
        <v>19</v>
      </c>
      <c r="H1108" s="7" t="s">
        <v>2575</v>
      </c>
      <c r="I1108" s="8" t="s">
        <v>3217</v>
      </c>
    </row>
    <row r="1109" spans="1:9" x14ac:dyDescent="0.35">
      <c r="A1109" s="6">
        <v>727691</v>
      </c>
      <c r="B1109" s="7" t="str">
        <f>"3328095303980001"</f>
        <v>3328095303980001</v>
      </c>
      <c r="C1109" s="7" t="s">
        <v>3322</v>
      </c>
      <c r="D1109" s="7" t="s">
        <v>17</v>
      </c>
      <c r="E1109" s="7" t="s">
        <v>11</v>
      </c>
      <c r="F1109" s="7" t="s">
        <v>18</v>
      </c>
      <c r="G1109" s="7" t="s">
        <v>3323</v>
      </c>
      <c r="H1109" s="7" t="s">
        <v>3324</v>
      </c>
      <c r="I1109" s="8" t="s">
        <v>2597</v>
      </c>
    </row>
    <row r="1110" spans="1:9" x14ac:dyDescent="0.35">
      <c r="A1110" s="6">
        <v>2547000</v>
      </c>
      <c r="B1110" s="7" t="str">
        <f>"3328095311030004"</f>
        <v>3328095311030004</v>
      </c>
      <c r="C1110" s="7" t="s">
        <v>3325</v>
      </c>
      <c r="D1110" s="7" t="s">
        <v>17</v>
      </c>
      <c r="E1110" s="7" t="s">
        <v>11</v>
      </c>
      <c r="F1110" s="7" t="s">
        <v>18</v>
      </c>
      <c r="G1110" s="7" t="s">
        <v>19</v>
      </c>
      <c r="H1110" s="7" t="s">
        <v>2575</v>
      </c>
      <c r="I1110" s="8" t="s">
        <v>3165</v>
      </c>
    </row>
    <row r="1111" spans="1:9" x14ac:dyDescent="0.35">
      <c r="A1111" s="6">
        <v>2547431</v>
      </c>
      <c r="B1111" s="7" t="str">
        <f>"3328095312010001"</f>
        <v>3328095312010001</v>
      </c>
      <c r="C1111" s="7" t="s">
        <v>3327</v>
      </c>
      <c r="D1111" s="7" t="s">
        <v>17</v>
      </c>
      <c r="E1111" s="7" t="s">
        <v>11</v>
      </c>
      <c r="F1111" s="7" t="s">
        <v>18</v>
      </c>
      <c r="G1111" s="7" t="s">
        <v>19</v>
      </c>
      <c r="H1111" s="7" t="s">
        <v>2575</v>
      </c>
      <c r="I1111" s="8" t="s">
        <v>3188</v>
      </c>
    </row>
    <row r="1112" spans="1:9" x14ac:dyDescent="0.35">
      <c r="A1112" s="6">
        <v>2547351</v>
      </c>
      <c r="B1112" s="7" t="str">
        <f>"3328095403730005"</f>
        <v>3328095403730005</v>
      </c>
      <c r="C1112" s="7" t="s">
        <v>3328</v>
      </c>
      <c r="D1112" s="7" t="s">
        <v>17</v>
      </c>
      <c r="E1112" s="7" t="s">
        <v>11</v>
      </c>
      <c r="F1112" s="7" t="s">
        <v>18</v>
      </c>
      <c r="G1112" s="7" t="s">
        <v>19</v>
      </c>
      <c r="H1112" s="7" t="s">
        <v>2575</v>
      </c>
      <c r="I1112" s="8" t="s">
        <v>3188</v>
      </c>
    </row>
    <row r="1113" spans="1:9" x14ac:dyDescent="0.35">
      <c r="A1113" s="6">
        <v>2548341</v>
      </c>
      <c r="B1113" s="7" t="str">
        <f>"3328095507730016"</f>
        <v>3328095507730016</v>
      </c>
      <c r="C1113" s="7" t="s">
        <v>3329</v>
      </c>
      <c r="D1113" s="7" t="s">
        <v>17</v>
      </c>
      <c r="E1113" s="7" t="s">
        <v>11</v>
      </c>
      <c r="F1113" s="7" t="s">
        <v>18</v>
      </c>
      <c r="G1113" s="7" t="s">
        <v>19</v>
      </c>
      <c r="H1113" s="7" t="s">
        <v>2575</v>
      </c>
      <c r="I1113" s="8" t="s">
        <v>3257</v>
      </c>
    </row>
    <row r="1114" spans="1:9" x14ac:dyDescent="0.35">
      <c r="A1114" s="6">
        <v>2547092</v>
      </c>
      <c r="B1114" s="7" t="str">
        <f>"3328096408880003"</f>
        <v>3328096408880003</v>
      </c>
      <c r="C1114" s="7" t="s">
        <v>3334</v>
      </c>
      <c r="D1114" s="7" t="s">
        <v>17</v>
      </c>
      <c r="E1114" s="7" t="s">
        <v>11</v>
      </c>
      <c r="F1114" s="7" t="s">
        <v>18</v>
      </c>
      <c r="G1114" s="7" t="s">
        <v>19</v>
      </c>
      <c r="H1114" s="7" t="s">
        <v>2575</v>
      </c>
      <c r="I1114" s="8" t="s">
        <v>3165</v>
      </c>
    </row>
    <row r="1115" spans="1:9" x14ac:dyDescent="0.35">
      <c r="A1115" s="6">
        <v>2546020</v>
      </c>
      <c r="B1115" s="7" t="str">
        <f>"3328096708830003"</f>
        <v>3328096708830003</v>
      </c>
      <c r="C1115" s="7" t="s">
        <v>3336</v>
      </c>
      <c r="D1115" s="7" t="s">
        <v>17</v>
      </c>
      <c r="E1115" s="7" t="s">
        <v>11</v>
      </c>
      <c r="F1115" s="7" t="s">
        <v>18</v>
      </c>
      <c r="G1115" s="7" t="s">
        <v>19</v>
      </c>
      <c r="H1115" s="7" t="s">
        <v>2575</v>
      </c>
      <c r="I1115" s="8" t="s">
        <v>2575</v>
      </c>
    </row>
    <row r="1116" spans="1:9" x14ac:dyDescent="0.35">
      <c r="A1116" s="6">
        <v>2544949</v>
      </c>
      <c r="B1116" s="7" t="str">
        <f>"3328096711950004"</f>
        <v>3328096711950004</v>
      </c>
      <c r="C1116" s="7" t="s">
        <v>3337</v>
      </c>
      <c r="D1116" s="7" t="s">
        <v>17</v>
      </c>
      <c r="E1116" s="7" t="s">
        <v>11</v>
      </c>
      <c r="F1116" s="7" t="s">
        <v>18</v>
      </c>
      <c r="G1116" s="7" t="s">
        <v>19</v>
      </c>
      <c r="H1116" s="7" t="s">
        <v>2575</v>
      </c>
      <c r="I1116" s="8" t="s">
        <v>3217</v>
      </c>
    </row>
    <row r="1117" spans="1:9" x14ac:dyDescent="0.35">
      <c r="A1117" s="6">
        <v>2449274</v>
      </c>
      <c r="B1117" s="7" t="str">
        <f>"3328096810830006"</f>
        <v>3328096810830006</v>
      </c>
      <c r="C1117" s="7" t="s">
        <v>3338</v>
      </c>
      <c r="D1117" s="7" t="s">
        <v>17</v>
      </c>
      <c r="E1117" s="7" t="s">
        <v>11</v>
      </c>
      <c r="F1117" s="7" t="s">
        <v>91</v>
      </c>
      <c r="G1117" s="7" t="s">
        <v>92</v>
      </c>
      <c r="H1117" s="7" t="s">
        <v>673</v>
      </c>
      <c r="I1117" s="8" t="s">
        <v>3339</v>
      </c>
    </row>
    <row r="1118" spans="1:9" x14ac:dyDescent="0.35">
      <c r="A1118" s="6">
        <v>2545318</v>
      </c>
      <c r="B1118" s="7" t="str">
        <f>"3328096810830006"</f>
        <v>3328096810830006</v>
      </c>
      <c r="C1118" s="7" t="s">
        <v>3338</v>
      </c>
      <c r="D1118" s="7" t="s">
        <v>17</v>
      </c>
      <c r="E1118" s="7" t="s">
        <v>11</v>
      </c>
      <c r="F1118" s="7" t="s">
        <v>18</v>
      </c>
      <c r="G1118" s="7" t="s">
        <v>19</v>
      </c>
      <c r="H1118" s="7" t="s">
        <v>2575</v>
      </c>
      <c r="I1118" s="8" t="s">
        <v>3178</v>
      </c>
    </row>
    <row r="1119" spans="1:9" x14ac:dyDescent="0.35">
      <c r="A1119" s="6">
        <v>2545609</v>
      </c>
      <c r="B1119" s="7" t="str">
        <f>"3328096909940003"</f>
        <v>3328096909940003</v>
      </c>
      <c r="C1119" s="7" t="s">
        <v>3340</v>
      </c>
      <c r="D1119" s="7" t="s">
        <v>17</v>
      </c>
      <c r="E1119" s="7" t="s">
        <v>11</v>
      </c>
      <c r="F1119" s="7" t="s">
        <v>18</v>
      </c>
      <c r="G1119" s="7" t="s">
        <v>19</v>
      </c>
      <c r="H1119" s="7" t="s">
        <v>2575</v>
      </c>
      <c r="I1119" s="8" t="s">
        <v>3174</v>
      </c>
    </row>
    <row r="1120" spans="1:9" x14ac:dyDescent="0.35">
      <c r="A1120" s="6">
        <v>2574071</v>
      </c>
      <c r="B1120" s="7" t="str">
        <f>"3328100112450013"</f>
        <v>3328100112450013</v>
      </c>
      <c r="C1120" s="7" t="s">
        <v>3343</v>
      </c>
      <c r="D1120" s="7" t="s">
        <v>17</v>
      </c>
      <c r="E1120" s="7" t="s">
        <v>11</v>
      </c>
      <c r="F1120" s="7" t="s">
        <v>18</v>
      </c>
      <c r="G1120" s="7" t="s">
        <v>19</v>
      </c>
      <c r="H1120" s="7" t="s">
        <v>2575</v>
      </c>
      <c r="I1120" s="8" t="s">
        <v>2575</v>
      </c>
    </row>
    <row r="1121" spans="1:9" x14ac:dyDescent="0.35">
      <c r="A1121" s="6">
        <v>2574073</v>
      </c>
      <c r="B1121" s="7" t="str">
        <f>"3328100507790004"</f>
        <v>3328100507790004</v>
      </c>
      <c r="C1121" s="7" t="s">
        <v>3346</v>
      </c>
      <c r="D1121" s="7" t="s">
        <v>17</v>
      </c>
      <c r="E1121" s="7" t="s">
        <v>11</v>
      </c>
      <c r="F1121" s="7" t="s">
        <v>18</v>
      </c>
      <c r="G1121" s="7" t="s">
        <v>19</v>
      </c>
      <c r="H1121" s="7" t="s">
        <v>2575</v>
      </c>
      <c r="I1121" s="8" t="s">
        <v>2575</v>
      </c>
    </row>
    <row r="1122" spans="1:9" x14ac:dyDescent="0.35">
      <c r="A1122" s="6">
        <v>2574124</v>
      </c>
      <c r="B1122" s="7" t="str">
        <f>"3328100607950005"</f>
        <v>3328100607950005</v>
      </c>
      <c r="C1122" s="7" t="s">
        <v>3347</v>
      </c>
      <c r="D1122" s="7" t="s">
        <v>17</v>
      </c>
      <c r="E1122" s="7" t="s">
        <v>11</v>
      </c>
      <c r="F1122" s="7" t="s">
        <v>18</v>
      </c>
      <c r="G1122" s="7" t="s">
        <v>19</v>
      </c>
      <c r="H1122" s="7" t="s">
        <v>2575</v>
      </c>
      <c r="I1122" s="8" t="s">
        <v>2575</v>
      </c>
    </row>
    <row r="1123" spans="1:9" x14ac:dyDescent="0.35">
      <c r="A1123" s="6">
        <v>2574072</v>
      </c>
      <c r="B1123" s="7" t="str">
        <f>"3328104502570003"</f>
        <v>3328104502570003</v>
      </c>
      <c r="C1123" s="7" t="s">
        <v>3349</v>
      </c>
      <c r="D1123" s="7" t="s">
        <v>17</v>
      </c>
      <c r="E1123" s="7" t="s">
        <v>11</v>
      </c>
      <c r="F1123" s="7" t="s">
        <v>18</v>
      </c>
      <c r="G1123" s="7" t="s">
        <v>19</v>
      </c>
      <c r="H1123" s="7" t="s">
        <v>2575</v>
      </c>
      <c r="I1123" s="8" t="s">
        <v>2575</v>
      </c>
    </row>
    <row r="1124" spans="1:9" x14ac:dyDescent="0.35">
      <c r="A1124" s="6">
        <v>2547093</v>
      </c>
      <c r="B1124" s="7" t="str">
        <f>"3328110209870002"</f>
        <v>3328110209870002</v>
      </c>
      <c r="C1124" s="7" t="s">
        <v>3350</v>
      </c>
      <c r="D1124" s="7" t="s">
        <v>17</v>
      </c>
      <c r="E1124" s="7" t="s">
        <v>11</v>
      </c>
      <c r="F1124" s="7" t="s">
        <v>18</v>
      </c>
      <c r="G1124" s="7" t="s">
        <v>19</v>
      </c>
      <c r="H1124" s="7" t="s">
        <v>2575</v>
      </c>
      <c r="I1124" s="8" t="s">
        <v>3165</v>
      </c>
    </row>
    <row r="1125" spans="1:9" x14ac:dyDescent="0.35">
      <c r="A1125" s="6">
        <v>2546088</v>
      </c>
      <c r="B1125" s="7" t="str">
        <f>"3328114704780006"</f>
        <v>3328114704780006</v>
      </c>
      <c r="C1125" s="7" t="s">
        <v>3352</v>
      </c>
      <c r="D1125" s="7" t="s">
        <v>17</v>
      </c>
      <c r="E1125" s="7" t="s">
        <v>11</v>
      </c>
      <c r="F1125" s="7" t="s">
        <v>18</v>
      </c>
      <c r="G1125" s="7" t="s">
        <v>19</v>
      </c>
      <c r="H1125" s="7" t="s">
        <v>2575</v>
      </c>
      <c r="I1125" s="8" t="s">
        <v>3235</v>
      </c>
    </row>
    <row r="1126" spans="1:9" x14ac:dyDescent="0.35">
      <c r="A1126" s="6">
        <v>2574128</v>
      </c>
      <c r="B1126" s="7" t="str">
        <f>"3328126012000005"</f>
        <v>3328126012000005</v>
      </c>
      <c r="C1126" s="7" t="s">
        <v>3353</v>
      </c>
      <c r="D1126" s="7" t="s">
        <v>17</v>
      </c>
      <c r="E1126" s="7" t="s">
        <v>11</v>
      </c>
      <c r="F1126" s="7" t="s">
        <v>18</v>
      </c>
      <c r="G1126" s="7" t="s">
        <v>19</v>
      </c>
      <c r="H1126" s="7" t="s">
        <v>2575</v>
      </c>
      <c r="I1126" s="8" t="s">
        <v>2575</v>
      </c>
    </row>
    <row r="1127" spans="1:9" x14ac:dyDescent="0.35">
      <c r="A1127" s="6">
        <v>2547741</v>
      </c>
      <c r="B1127" s="7" t="str">
        <f>"3329081604920022"</f>
        <v>3329081604920022</v>
      </c>
      <c r="C1127" s="7" t="s">
        <v>3358</v>
      </c>
      <c r="D1127" s="7" t="s">
        <v>17</v>
      </c>
      <c r="E1127" s="7" t="s">
        <v>11</v>
      </c>
      <c r="F1127" s="7" t="s">
        <v>18</v>
      </c>
      <c r="G1127" s="7" t="s">
        <v>19</v>
      </c>
      <c r="H1127" s="7" t="s">
        <v>2575</v>
      </c>
      <c r="I1127" s="8" t="s">
        <v>3176</v>
      </c>
    </row>
    <row r="1128" spans="1:9" x14ac:dyDescent="0.35">
      <c r="A1128" s="6">
        <v>1627676</v>
      </c>
      <c r="B1128" s="7" t="str">
        <f>"3329081604920022"</f>
        <v>3329081604920022</v>
      </c>
      <c r="C1128" s="7" t="s">
        <v>3359</v>
      </c>
      <c r="D1128" s="7" t="s">
        <v>17</v>
      </c>
      <c r="E1128" s="7" t="s">
        <v>11</v>
      </c>
      <c r="F1128" s="7" t="s">
        <v>18</v>
      </c>
      <c r="G1128" s="7" t="s">
        <v>264</v>
      </c>
      <c r="H1128" s="7" t="s">
        <v>248</v>
      </c>
      <c r="I1128" s="8" t="s">
        <v>868</v>
      </c>
    </row>
    <row r="1129" spans="1:9" x14ac:dyDescent="0.35">
      <c r="A1129" s="6">
        <v>2546827</v>
      </c>
      <c r="B1129" s="7" t="str">
        <f>"3329091211810006"</f>
        <v>3329091211810006</v>
      </c>
      <c r="C1129" s="7" t="s">
        <v>3361</v>
      </c>
      <c r="D1129" s="7" t="s">
        <v>17</v>
      </c>
      <c r="E1129" s="7" t="s">
        <v>11</v>
      </c>
      <c r="F1129" s="7" t="s">
        <v>18</v>
      </c>
      <c r="G1129" s="7" t="s">
        <v>19</v>
      </c>
      <c r="H1129" s="7" t="s">
        <v>2575</v>
      </c>
      <c r="I1129" s="8" t="s">
        <v>3203</v>
      </c>
    </row>
    <row r="1130" spans="1:9" x14ac:dyDescent="0.35">
      <c r="A1130" s="6">
        <v>2548282</v>
      </c>
      <c r="B1130" s="7" t="str">
        <f>"3329096101020002"</f>
        <v>3329096101020002</v>
      </c>
      <c r="C1130" s="7" t="s">
        <v>3362</v>
      </c>
      <c r="D1130" s="7" t="s">
        <v>17</v>
      </c>
      <c r="E1130" s="7" t="s">
        <v>11</v>
      </c>
      <c r="F1130" s="7" t="s">
        <v>18</v>
      </c>
      <c r="G1130" s="7" t="s">
        <v>19</v>
      </c>
      <c r="H1130" s="7" t="s">
        <v>2575</v>
      </c>
      <c r="I1130" s="8" t="s">
        <v>3161</v>
      </c>
    </row>
    <row r="1131" spans="1:9" x14ac:dyDescent="0.35">
      <c r="A1131" s="6">
        <v>2545686</v>
      </c>
      <c r="B1131" s="7" t="str">
        <f>"3329100602910003"</f>
        <v>3329100602910003</v>
      </c>
      <c r="C1131" s="7" t="s">
        <v>3363</v>
      </c>
      <c r="D1131" s="7" t="s">
        <v>17</v>
      </c>
      <c r="E1131" s="7" t="s">
        <v>11</v>
      </c>
      <c r="F1131" s="7" t="s">
        <v>18</v>
      </c>
      <c r="G1131" s="7" t="s">
        <v>19</v>
      </c>
      <c r="H1131" s="7" t="s">
        <v>2575</v>
      </c>
      <c r="I1131" s="8" t="s">
        <v>3174</v>
      </c>
    </row>
    <row r="1132" spans="1:9" x14ac:dyDescent="0.35">
      <c r="A1132" s="6">
        <v>2546056</v>
      </c>
      <c r="B1132" s="7" t="str">
        <f>"3329124503950006"</f>
        <v>3329124503950006</v>
      </c>
      <c r="C1132" s="7" t="s">
        <v>1167</v>
      </c>
      <c r="D1132" s="7" t="s">
        <v>17</v>
      </c>
      <c r="E1132" s="7" t="s">
        <v>11</v>
      </c>
      <c r="F1132" s="7" t="s">
        <v>18</v>
      </c>
      <c r="G1132" s="7" t="s">
        <v>19</v>
      </c>
      <c r="H1132" s="7" t="s">
        <v>2575</v>
      </c>
      <c r="I1132" s="8" t="s">
        <v>3235</v>
      </c>
    </row>
    <row r="1133" spans="1:9" x14ac:dyDescent="0.35">
      <c r="A1133" s="6">
        <v>2545278</v>
      </c>
      <c r="B1133" s="7" t="str">
        <f>"3329140506950008"</f>
        <v>3329140506950008</v>
      </c>
      <c r="C1133" s="7" t="s">
        <v>3366</v>
      </c>
      <c r="D1133" s="7" t="s">
        <v>17</v>
      </c>
      <c r="E1133" s="7" t="s">
        <v>11</v>
      </c>
      <c r="F1133" s="7" t="s">
        <v>18</v>
      </c>
      <c r="G1133" s="7" t="s">
        <v>19</v>
      </c>
      <c r="H1133" s="7" t="s">
        <v>2575</v>
      </c>
      <c r="I1133" s="8" t="s">
        <v>3224</v>
      </c>
    </row>
    <row r="1134" spans="1:9" x14ac:dyDescent="0.35">
      <c r="A1134" s="6">
        <v>2546006</v>
      </c>
      <c r="B1134" s="7" t="str">
        <f>"3329145211960016"</f>
        <v>3329145211960016</v>
      </c>
      <c r="C1134" s="7" t="s">
        <v>3367</v>
      </c>
      <c r="D1134" s="7" t="s">
        <v>17</v>
      </c>
      <c r="E1134" s="7" t="s">
        <v>11</v>
      </c>
      <c r="F1134" s="7" t="s">
        <v>18</v>
      </c>
      <c r="G1134" s="7" t="s">
        <v>19</v>
      </c>
      <c r="H1134" s="7" t="s">
        <v>2575</v>
      </c>
      <c r="I1134" s="8" t="s">
        <v>2575</v>
      </c>
    </row>
    <row r="1135" spans="1:9" x14ac:dyDescent="0.35">
      <c r="A1135" s="6">
        <v>2546934</v>
      </c>
      <c r="B1135" s="7" t="str">
        <f>"3329150912980004"</f>
        <v>3329150912980004</v>
      </c>
      <c r="C1135" s="7" t="s">
        <v>3368</v>
      </c>
      <c r="D1135" s="7" t="s">
        <v>17</v>
      </c>
      <c r="E1135" s="7" t="s">
        <v>11</v>
      </c>
      <c r="F1135" s="7" t="s">
        <v>18</v>
      </c>
      <c r="G1135" s="7" t="s">
        <v>19</v>
      </c>
      <c r="H1135" s="7" t="s">
        <v>2575</v>
      </c>
      <c r="I1135" s="8" t="s">
        <v>3203</v>
      </c>
    </row>
    <row r="1136" spans="1:9" x14ac:dyDescent="0.35">
      <c r="A1136" s="6">
        <v>2547002</v>
      </c>
      <c r="B1136" s="7" t="str">
        <f>"3329160401960002"</f>
        <v>3329160401960002</v>
      </c>
      <c r="C1136" s="7" t="s">
        <v>2243</v>
      </c>
      <c r="D1136" s="7" t="s">
        <v>17</v>
      </c>
      <c r="E1136" s="7" t="s">
        <v>11</v>
      </c>
      <c r="F1136" s="7" t="s">
        <v>18</v>
      </c>
      <c r="G1136" s="7" t="s">
        <v>19</v>
      </c>
      <c r="H1136" s="7" t="s">
        <v>2575</v>
      </c>
      <c r="I1136" s="8" t="s">
        <v>3165</v>
      </c>
    </row>
    <row r="1137" spans="1:9" x14ac:dyDescent="0.35">
      <c r="A1137" s="6">
        <v>2547969</v>
      </c>
      <c r="B1137" s="7" t="str">
        <f>"3376010506960002"</f>
        <v>3376010506960002</v>
      </c>
      <c r="C1137" s="7" t="s">
        <v>3370</v>
      </c>
      <c r="D1137" s="7" t="s">
        <v>17</v>
      </c>
      <c r="E1137" s="7" t="s">
        <v>11</v>
      </c>
      <c r="F1137" s="7" t="s">
        <v>18</v>
      </c>
      <c r="G1137" s="7" t="s">
        <v>19</v>
      </c>
      <c r="H1137" s="7" t="s">
        <v>2575</v>
      </c>
      <c r="I1137" s="8" t="s">
        <v>3211</v>
      </c>
    </row>
    <row r="1138" spans="1:9" x14ac:dyDescent="0.35">
      <c r="A1138" s="6">
        <v>2546971</v>
      </c>
      <c r="B1138" s="7" t="str">
        <f>"3376016804900002"</f>
        <v>3376016804900002</v>
      </c>
      <c r="C1138" s="7" t="s">
        <v>3371</v>
      </c>
      <c r="D1138" s="7" t="s">
        <v>17</v>
      </c>
      <c r="E1138" s="7" t="s">
        <v>11</v>
      </c>
      <c r="F1138" s="7" t="s">
        <v>18</v>
      </c>
      <c r="G1138" s="7" t="s">
        <v>19</v>
      </c>
      <c r="H1138" s="7" t="s">
        <v>2575</v>
      </c>
      <c r="I1138" s="8" t="s">
        <v>3165</v>
      </c>
    </row>
    <row r="1139" spans="1:9" x14ac:dyDescent="0.35">
      <c r="A1139" s="6">
        <v>2547120</v>
      </c>
      <c r="B1139" s="7" t="str">
        <f>"3376022508840001"</f>
        <v>3376022508840001</v>
      </c>
      <c r="C1139" s="7" t="s">
        <v>3372</v>
      </c>
      <c r="D1139" s="7" t="s">
        <v>17</v>
      </c>
      <c r="E1139" s="7" t="s">
        <v>11</v>
      </c>
      <c r="F1139" s="7" t="s">
        <v>18</v>
      </c>
      <c r="G1139" s="7" t="s">
        <v>19</v>
      </c>
      <c r="H1139" s="7" t="s">
        <v>2575</v>
      </c>
      <c r="I1139" s="8" t="s">
        <v>3165</v>
      </c>
    </row>
    <row r="1140" spans="1:9" x14ac:dyDescent="0.35">
      <c r="A1140" s="6">
        <v>2547119</v>
      </c>
      <c r="B1140" s="7" t="str">
        <f>"3376024211880002"</f>
        <v>3376024211880002</v>
      </c>
      <c r="C1140" s="7" t="s">
        <v>3373</v>
      </c>
      <c r="D1140" s="7" t="s">
        <v>17</v>
      </c>
      <c r="E1140" s="7" t="s">
        <v>11</v>
      </c>
      <c r="F1140" s="7" t="s">
        <v>18</v>
      </c>
      <c r="G1140" s="7" t="s">
        <v>19</v>
      </c>
      <c r="H1140" s="7" t="s">
        <v>2575</v>
      </c>
      <c r="I1140" s="8" t="s">
        <v>3165</v>
      </c>
    </row>
    <row r="1141" spans="1:9" x14ac:dyDescent="0.35">
      <c r="A1141" s="6">
        <v>2545563</v>
      </c>
      <c r="B1141" s="7" t="str">
        <f>"3376025209060004"</f>
        <v>3376025209060004</v>
      </c>
      <c r="C1141" s="7" t="s">
        <v>3374</v>
      </c>
      <c r="D1141" s="7" t="s">
        <v>17</v>
      </c>
      <c r="E1141" s="7" t="s">
        <v>11</v>
      </c>
      <c r="F1141" s="7" t="s">
        <v>18</v>
      </c>
      <c r="G1141" s="7" t="s">
        <v>19</v>
      </c>
      <c r="H1141" s="7" t="s">
        <v>2575</v>
      </c>
      <c r="I1141" s="8" t="s">
        <v>3174</v>
      </c>
    </row>
    <row r="1142" spans="1:9" x14ac:dyDescent="0.35">
      <c r="A1142" s="6">
        <v>2547118</v>
      </c>
      <c r="B1142" s="7" t="str">
        <f>"3376027112620006"</f>
        <v>3376027112620006</v>
      </c>
      <c r="C1142" s="7" t="s">
        <v>3376</v>
      </c>
      <c r="D1142" s="7" t="s">
        <v>17</v>
      </c>
      <c r="E1142" s="7" t="s">
        <v>11</v>
      </c>
      <c r="F1142" s="7" t="s">
        <v>18</v>
      </c>
      <c r="G1142" s="7" t="s">
        <v>19</v>
      </c>
      <c r="H1142" s="7" t="s">
        <v>2575</v>
      </c>
      <c r="I1142" s="8" t="s">
        <v>3165</v>
      </c>
    </row>
    <row r="1143" spans="1:9" x14ac:dyDescent="0.35">
      <c r="A1143" s="6">
        <v>2547155</v>
      </c>
      <c r="B1143" s="7" t="str">
        <f>"3376035403870001"</f>
        <v>3376035403870001</v>
      </c>
      <c r="C1143" s="7" t="s">
        <v>3378</v>
      </c>
      <c r="D1143" s="7" t="s">
        <v>17</v>
      </c>
      <c r="E1143" s="7" t="s">
        <v>11</v>
      </c>
      <c r="F1143" s="7" t="s">
        <v>18</v>
      </c>
      <c r="G1143" s="7" t="s">
        <v>19</v>
      </c>
      <c r="H1143" s="7" t="s">
        <v>2575</v>
      </c>
      <c r="I1143" s="8" t="s">
        <v>3379</v>
      </c>
    </row>
    <row r="1144" spans="1:9" x14ac:dyDescent="0.35">
      <c r="A1144" s="6">
        <v>2545642</v>
      </c>
      <c r="B1144" s="7" t="str">
        <f>"3520016702890002"</f>
        <v>3520016702890002</v>
      </c>
      <c r="C1144" s="7" t="s">
        <v>3380</v>
      </c>
      <c r="D1144" s="7" t="s">
        <v>17</v>
      </c>
      <c r="E1144" s="7" t="s">
        <v>11</v>
      </c>
      <c r="F1144" s="7" t="s">
        <v>18</v>
      </c>
      <c r="G1144" s="7" t="s">
        <v>19</v>
      </c>
      <c r="H1144" s="7" t="s">
        <v>2575</v>
      </c>
      <c r="I1144" s="8" t="s">
        <v>3174</v>
      </c>
    </row>
    <row r="1145" spans="1:9" x14ac:dyDescent="0.35">
      <c r="A1145" s="6">
        <v>2545626</v>
      </c>
      <c r="B1145" s="7" t="str">
        <f>"3523110403980001"</f>
        <v>3523110403980001</v>
      </c>
      <c r="C1145" s="7" t="s">
        <v>3383</v>
      </c>
      <c r="D1145" s="7" t="s">
        <v>17</v>
      </c>
      <c r="E1145" s="7" t="s">
        <v>11</v>
      </c>
      <c r="F1145" s="7" t="s">
        <v>18</v>
      </c>
      <c r="G1145" s="7" t="s">
        <v>19</v>
      </c>
      <c r="H1145" s="7" t="s">
        <v>2575</v>
      </c>
      <c r="I1145" s="8" t="s">
        <v>3174</v>
      </c>
    </row>
    <row r="1146" spans="1:9" x14ac:dyDescent="0.35">
      <c r="A1146" s="6">
        <v>1611768</v>
      </c>
      <c r="B1146" s="7" t="str">
        <f>"3529161403010002"</f>
        <v>3529161403010002</v>
      </c>
      <c r="C1146" s="7" t="s">
        <v>3387</v>
      </c>
      <c r="D1146" s="7" t="s">
        <v>17</v>
      </c>
      <c r="E1146" s="7" t="s">
        <v>11</v>
      </c>
      <c r="F1146" s="7" t="s">
        <v>303</v>
      </c>
      <c r="G1146" s="7" t="s">
        <v>3388</v>
      </c>
      <c r="H1146" s="7" t="s">
        <v>3389</v>
      </c>
      <c r="I1146" s="8" t="s">
        <v>3390</v>
      </c>
    </row>
    <row r="1147" spans="1:9" x14ac:dyDescent="0.35">
      <c r="A1147" s="6">
        <v>2548509</v>
      </c>
      <c r="B1147" s="7" t="str">
        <f>"3529161403010002"</f>
        <v>3529161403010002</v>
      </c>
      <c r="C1147" s="7" t="s">
        <v>3387</v>
      </c>
      <c r="D1147" s="7" t="s">
        <v>17</v>
      </c>
      <c r="E1147" s="7" t="s">
        <v>11</v>
      </c>
      <c r="F1147" s="7" t="s">
        <v>18</v>
      </c>
      <c r="G1147" s="7" t="s">
        <v>19</v>
      </c>
      <c r="H1147" s="7" t="s">
        <v>2575</v>
      </c>
      <c r="I1147" s="8" t="s">
        <v>3170</v>
      </c>
    </row>
    <row r="1148" spans="1:9" x14ac:dyDescent="0.35">
      <c r="A1148" s="6">
        <v>2545368</v>
      </c>
      <c r="B1148" s="7" t="str">
        <f>"3674060303810006"</f>
        <v>3674060303810006</v>
      </c>
      <c r="C1148" s="7" t="s">
        <v>3391</v>
      </c>
      <c r="D1148" s="7" t="s">
        <v>17</v>
      </c>
      <c r="E1148" s="7" t="s">
        <v>11</v>
      </c>
      <c r="F1148" s="7" t="s">
        <v>18</v>
      </c>
      <c r="G1148" s="7" t="s">
        <v>19</v>
      </c>
      <c r="H1148" s="7" t="s">
        <v>2575</v>
      </c>
      <c r="I1148" s="8" t="s">
        <v>3178</v>
      </c>
    </row>
    <row r="1149" spans="1:9" x14ac:dyDescent="0.35">
      <c r="A1149" s="6">
        <v>2545369</v>
      </c>
      <c r="B1149" s="7" t="str">
        <f>"3674064404880014"</f>
        <v>3674064404880014</v>
      </c>
      <c r="C1149" s="7" t="s">
        <v>3394</v>
      </c>
      <c r="D1149" s="7" t="s">
        <v>17</v>
      </c>
      <c r="E1149" s="7" t="s">
        <v>11</v>
      </c>
      <c r="F1149" s="7" t="s">
        <v>18</v>
      </c>
      <c r="G1149" s="7" t="s">
        <v>19</v>
      </c>
      <c r="H1149" s="7" t="s">
        <v>2575</v>
      </c>
      <c r="I1149" s="8" t="s">
        <v>3178</v>
      </c>
    </row>
    <row r="1150" spans="1:9" x14ac:dyDescent="0.35">
      <c r="A1150" s="6">
        <v>2550789</v>
      </c>
      <c r="B1150" s="7" t="str">
        <f>"1217051209900001"</f>
        <v>1217051209900001</v>
      </c>
      <c r="C1150" s="7" t="s">
        <v>3397</v>
      </c>
      <c r="D1150" s="7" t="s">
        <v>17</v>
      </c>
      <c r="E1150" s="7" t="s">
        <v>11</v>
      </c>
      <c r="F1150" s="7" t="s">
        <v>18</v>
      </c>
      <c r="G1150" s="7" t="s">
        <v>19</v>
      </c>
      <c r="H1150" s="7" t="s">
        <v>251</v>
      </c>
      <c r="I1150" s="8" t="s">
        <v>3400</v>
      </c>
    </row>
    <row r="1151" spans="1:9" x14ac:dyDescent="0.35">
      <c r="A1151" s="6">
        <v>2549400</v>
      </c>
      <c r="B1151" s="7" t="str">
        <f>"1303040901880004"</f>
        <v>1303040901880004</v>
      </c>
      <c r="C1151" s="7" t="s">
        <v>3401</v>
      </c>
      <c r="D1151" s="7" t="s">
        <v>17</v>
      </c>
      <c r="E1151" s="7" t="s">
        <v>11</v>
      </c>
      <c r="F1151" s="7" t="s">
        <v>18</v>
      </c>
      <c r="G1151" s="7" t="s">
        <v>19</v>
      </c>
      <c r="H1151" s="7" t="s">
        <v>251</v>
      </c>
      <c r="I1151" s="8" t="s">
        <v>3348</v>
      </c>
    </row>
    <row r="1152" spans="1:9" x14ac:dyDescent="0.35">
      <c r="A1152" s="6">
        <v>1455355</v>
      </c>
      <c r="B1152" s="7" t="str">
        <f>"1471090106740001"</f>
        <v>1471090106740001</v>
      </c>
      <c r="C1152" s="7" t="s">
        <v>3404</v>
      </c>
      <c r="D1152" s="7" t="s">
        <v>17</v>
      </c>
      <c r="E1152" s="7" t="s">
        <v>11</v>
      </c>
      <c r="F1152" s="7" t="s">
        <v>303</v>
      </c>
      <c r="G1152" s="7" t="s">
        <v>304</v>
      </c>
      <c r="H1152" s="7" t="s">
        <v>3405</v>
      </c>
      <c r="I1152" s="8" t="s">
        <v>3406</v>
      </c>
    </row>
    <row r="1153" spans="1:9" x14ac:dyDescent="0.35">
      <c r="A1153" s="6">
        <v>2550326</v>
      </c>
      <c r="B1153" s="7" t="str">
        <f>"1901020707920001"</f>
        <v>1901020707920001</v>
      </c>
      <c r="C1153" s="7" t="s">
        <v>3407</v>
      </c>
      <c r="D1153" s="7" t="s">
        <v>17</v>
      </c>
      <c r="E1153" s="7" t="s">
        <v>11</v>
      </c>
      <c r="F1153" s="7" t="s">
        <v>18</v>
      </c>
      <c r="G1153" s="7" t="s">
        <v>19</v>
      </c>
      <c r="H1153" s="7" t="s">
        <v>251</v>
      </c>
      <c r="I1153" s="8" t="s">
        <v>3410</v>
      </c>
    </row>
    <row r="1154" spans="1:9" x14ac:dyDescent="0.35">
      <c r="A1154" s="6">
        <v>2550365</v>
      </c>
      <c r="B1154" s="7" t="str">
        <f>"3171071103830007"</f>
        <v>3171071103830007</v>
      </c>
      <c r="C1154" s="7" t="s">
        <v>3411</v>
      </c>
      <c r="D1154" s="7" t="s">
        <v>17</v>
      </c>
      <c r="E1154" s="7" t="s">
        <v>11</v>
      </c>
      <c r="F1154" s="7" t="s">
        <v>18</v>
      </c>
      <c r="G1154" s="7" t="s">
        <v>19</v>
      </c>
      <c r="H1154" s="7" t="s">
        <v>251</v>
      </c>
      <c r="I1154" s="8" t="s">
        <v>3414</v>
      </c>
    </row>
    <row r="1155" spans="1:9" x14ac:dyDescent="0.35">
      <c r="A1155" s="6">
        <v>2550366</v>
      </c>
      <c r="B1155" s="7" t="str">
        <f>"3171074909850006"</f>
        <v>3171074909850006</v>
      </c>
      <c r="C1155" s="7" t="s">
        <v>3415</v>
      </c>
      <c r="D1155" s="7" t="s">
        <v>17</v>
      </c>
      <c r="E1155" s="7" t="s">
        <v>11</v>
      </c>
      <c r="F1155" s="7" t="s">
        <v>18</v>
      </c>
      <c r="G1155" s="7" t="s">
        <v>19</v>
      </c>
      <c r="H1155" s="7" t="s">
        <v>251</v>
      </c>
      <c r="I1155" s="8" t="s">
        <v>3414</v>
      </c>
    </row>
    <row r="1156" spans="1:9" x14ac:dyDescent="0.35">
      <c r="A1156" s="6">
        <v>2551159</v>
      </c>
      <c r="B1156" s="7" t="str">
        <f>"3171081804740003"</f>
        <v>3171081804740003</v>
      </c>
      <c r="C1156" s="7" t="s">
        <v>3416</v>
      </c>
      <c r="D1156" s="7" t="s">
        <v>17</v>
      </c>
      <c r="E1156" s="7" t="s">
        <v>11</v>
      </c>
      <c r="F1156" s="7" t="s">
        <v>18</v>
      </c>
      <c r="G1156" s="7" t="s">
        <v>19</v>
      </c>
      <c r="H1156" s="7" t="s">
        <v>251</v>
      </c>
      <c r="I1156" s="8" t="s">
        <v>3418</v>
      </c>
    </row>
    <row r="1157" spans="1:9" x14ac:dyDescent="0.35">
      <c r="A1157" s="6">
        <v>2550890</v>
      </c>
      <c r="B1157" s="7" t="str">
        <f>"3172010410750009"</f>
        <v>3172010410750009</v>
      </c>
      <c r="C1157" s="7" t="s">
        <v>3419</v>
      </c>
      <c r="D1157" s="7" t="s">
        <v>17</v>
      </c>
      <c r="E1157" s="7" t="s">
        <v>11</v>
      </c>
      <c r="F1157" s="7" t="s">
        <v>18</v>
      </c>
      <c r="G1157" s="7" t="s">
        <v>19</v>
      </c>
      <c r="H1157" s="7" t="s">
        <v>251</v>
      </c>
      <c r="I1157" s="8" t="s">
        <v>3400</v>
      </c>
    </row>
    <row r="1158" spans="1:9" x14ac:dyDescent="0.35">
      <c r="A1158" s="6">
        <v>2550891</v>
      </c>
      <c r="B1158" s="7" t="str">
        <f>"3172014712810002"</f>
        <v>3172014712810002</v>
      </c>
      <c r="C1158" s="7" t="s">
        <v>3420</v>
      </c>
      <c r="D1158" s="7" t="s">
        <v>17</v>
      </c>
      <c r="E1158" s="7" t="s">
        <v>11</v>
      </c>
      <c r="F1158" s="7" t="s">
        <v>18</v>
      </c>
      <c r="G1158" s="7" t="s">
        <v>19</v>
      </c>
      <c r="H1158" s="7" t="s">
        <v>251</v>
      </c>
      <c r="I1158" s="8" t="s">
        <v>3400</v>
      </c>
    </row>
    <row r="1159" spans="1:9" x14ac:dyDescent="0.35">
      <c r="A1159" s="6">
        <v>2572789</v>
      </c>
      <c r="B1159" s="7" t="str">
        <f>"3172020310840008"</f>
        <v>3172020310840008</v>
      </c>
      <c r="C1159" s="7" t="s">
        <v>3423</v>
      </c>
      <c r="D1159" s="7" t="s">
        <v>17</v>
      </c>
      <c r="E1159" s="7" t="s">
        <v>11</v>
      </c>
      <c r="F1159" s="7" t="s">
        <v>18</v>
      </c>
      <c r="G1159" s="7" t="s">
        <v>19</v>
      </c>
      <c r="H1159" s="7" t="s">
        <v>251</v>
      </c>
      <c r="I1159" s="8" t="s">
        <v>252</v>
      </c>
    </row>
    <row r="1160" spans="1:9" x14ac:dyDescent="0.35">
      <c r="A1160" s="6">
        <v>2549469</v>
      </c>
      <c r="B1160" s="7" t="str">
        <f>"3172041101760005"</f>
        <v>3172041101760005</v>
      </c>
      <c r="C1160" s="7" t="s">
        <v>3425</v>
      </c>
      <c r="D1160" s="7" t="s">
        <v>17</v>
      </c>
      <c r="E1160" s="7" t="s">
        <v>11</v>
      </c>
      <c r="F1160" s="7" t="s">
        <v>18</v>
      </c>
      <c r="G1160" s="7" t="s">
        <v>19</v>
      </c>
      <c r="H1160" s="7" t="s">
        <v>251</v>
      </c>
      <c r="I1160" s="8" t="s">
        <v>3348</v>
      </c>
    </row>
    <row r="1161" spans="1:9" x14ac:dyDescent="0.35">
      <c r="A1161" s="6">
        <v>2550510</v>
      </c>
      <c r="B1161" s="7" t="str">
        <f>"3172044410610002"</f>
        <v>3172044410610002</v>
      </c>
      <c r="C1161" s="7" t="s">
        <v>3426</v>
      </c>
      <c r="D1161" s="7" t="s">
        <v>17</v>
      </c>
      <c r="E1161" s="7" t="s">
        <v>11</v>
      </c>
      <c r="F1161" s="7" t="s">
        <v>18</v>
      </c>
      <c r="G1161" s="7" t="s">
        <v>19</v>
      </c>
      <c r="H1161" s="7" t="s">
        <v>251</v>
      </c>
      <c r="I1161" s="8" t="s">
        <v>3414</v>
      </c>
    </row>
    <row r="1162" spans="1:9" x14ac:dyDescent="0.35">
      <c r="A1162" s="6">
        <v>2572407</v>
      </c>
      <c r="B1162" s="7" t="str">
        <f>"3172045705031003"</f>
        <v>3172045705031003</v>
      </c>
      <c r="C1162" s="7" t="s">
        <v>3427</v>
      </c>
      <c r="D1162" s="7" t="s">
        <v>17</v>
      </c>
      <c r="E1162" s="7" t="s">
        <v>11</v>
      </c>
      <c r="F1162" s="7" t="s">
        <v>18</v>
      </c>
      <c r="G1162" s="7" t="s">
        <v>19</v>
      </c>
      <c r="H1162" s="7" t="s">
        <v>251</v>
      </c>
      <c r="I1162" s="8" t="s">
        <v>252</v>
      </c>
    </row>
    <row r="1163" spans="1:9" x14ac:dyDescent="0.35">
      <c r="A1163" s="6">
        <v>2549470</v>
      </c>
      <c r="B1163" s="7" t="str">
        <f>"3172046408800012"</f>
        <v>3172046408800012</v>
      </c>
      <c r="C1163" s="7" t="s">
        <v>3428</v>
      </c>
      <c r="D1163" s="7" t="s">
        <v>17</v>
      </c>
      <c r="E1163" s="7" t="s">
        <v>11</v>
      </c>
      <c r="F1163" s="7" t="s">
        <v>18</v>
      </c>
      <c r="G1163" s="7" t="s">
        <v>19</v>
      </c>
      <c r="H1163" s="7" t="s">
        <v>251</v>
      </c>
      <c r="I1163" s="8" t="s">
        <v>3348</v>
      </c>
    </row>
    <row r="1164" spans="1:9" x14ac:dyDescent="0.35">
      <c r="A1164" s="6">
        <v>2572383</v>
      </c>
      <c r="B1164" s="7" t="str">
        <f>"3173020602860004"</f>
        <v>3173020602860004</v>
      </c>
      <c r="C1164" s="7" t="s">
        <v>3429</v>
      </c>
      <c r="D1164" s="7" t="s">
        <v>17</v>
      </c>
      <c r="E1164" s="7" t="s">
        <v>11</v>
      </c>
      <c r="F1164" s="7" t="s">
        <v>18</v>
      </c>
      <c r="G1164" s="7" t="s">
        <v>19</v>
      </c>
      <c r="H1164" s="7" t="s">
        <v>251</v>
      </c>
      <c r="I1164" s="8" t="s">
        <v>252</v>
      </c>
    </row>
    <row r="1165" spans="1:9" x14ac:dyDescent="0.35">
      <c r="A1165" s="6">
        <v>2549434</v>
      </c>
      <c r="B1165" s="7" t="str">
        <f>"3174035103820001"</f>
        <v>3174035103820001</v>
      </c>
      <c r="C1165" s="7" t="s">
        <v>3430</v>
      </c>
      <c r="D1165" s="7" t="s">
        <v>17</v>
      </c>
      <c r="E1165" s="7" t="s">
        <v>11</v>
      </c>
      <c r="F1165" s="7" t="s">
        <v>18</v>
      </c>
      <c r="G1165" s="7" t="s">
        <v>19</v>
      </c>
      <c r="H1165" s="7" t="s">
        <v>251</v>
      </c>
      <c r="I1165" s="8" t="s">
        <v>3348</v>
      </c>
    </row>
    <row r="1166" spans="1:9" x14ac:dyDescent="0.35">
      <c r="A1166" s="6">
        <v>2548956</v>
      </c>
      <c r="B1166" s="7" t="str">
        <f>"3174051207840001"</f>
        <v>3174051207840001</v>
      </c>
      <c r="C1166" s="7" t="s">
        <v>3431</v>
      </c>
      <c r="D1166" s="7" t="s">
        <v>17</v>
      </c>
      <c r="E1166" s="7" t="s">
        <v>11</v>
      </c>
      <c r="F1166" s="7" t="s">
        <v>18</v>
      </c>
      <c r="G1166" s="7" t="s">
        <v>19</v>
      </c>
      <c r="H1166" s="7" t="s">
        <v>251</v>
      </c>
      <c r="I1166" s="8" t="s">
        <v>3432</v>
      </c>
    </row>
    <row r="1167" spans="1:9" x14ac:dyDescent="0.35">
      <c r="A1167" s="6">
        <v>2549018</v>
      </c>
      <c r="B1167" s="7" t="str">
        <f>"3175012005840002"</f>
        <v>3175012005840002</v>
      </c>
      <c r="C1167" s="7" t="s">
        <v>3435</v>
      </c>
      <c r="D1167" s="7" t="s">
        <v>17</v>
      </c>
      <c r="E1167" s="7" t="s">
        <v>11</v>
      </c>
      <c r="F1167" s="7" t="s">
        <v>18</v>
      </c>
      <c r="G1167" s="7" t="s">
        <v>19</v>
      </c>
      <c r="H1167" s="7" t="s">
        <v>251</v>
      </c>
      <c r="I1167" s="8" t="s">
        <v>3432</v>
      </c>
    </row>
    <row r="1168" spans="1:9" x14ac:dyDescent="0.35">
      <c r="A1168" s="6">
        <v>2549436</v>
      </c>
      <c r="B1168" s="7" t="str">
        <f>"3175050411760009"</f>
        <v>3175050411760009</v>
      </c>
      <c r="C1168" s="7" t="s">
        <v>3437</v>
      </c>
      <c r="D1168" s="7" t="s">
        <v>17</v>
      </c>
      <c r="E1168" s="7" t="s">
        <v>11</v>
      </c>
      <c r="F1168" s="7" t="s">
        <v>18</v>
      </c>
      <c r="G1168" s="7" t="s">
        <v>19</v>
      </c>
      <c r="H1168" s="7" t="s">
        <v>251</v>
      </c>
      <c r="I1168" s="8" t="s">
        <v>3348</v>
      </c>
    </row>
    <row r="1169" spans="1:9" x14ac:dyDescent="0.35">
      <c r="A1169" s="6">
        <v>2549806</v>
      </c>
      <c r="B1169" s="7" t="str">
        <f>"3205154410960003"</f>
        <v>3205154410960003</v>
      </c>
      <c r="C1169" s="7" t="s">
        <v>3440</v>
      </c>
      <c r="D1169" s="7" t="s">
        <v>17</v>
      </c>
      <c r="E1169" s="7" t="s">
        <v>11</v>
      </c>
      <c r="F1169" s="7" t="s">
        <v>18</v>
      </c>
      <c r="G1169" s="7" t="s">
        <v>19</v>
      </c>
      <c r="H1169" s="7" t="s">
        <v>251</v>
      </c>
      <c r="I1169" s="8" t="s">
        <v>3344</v>
      </c>
    </row>
    <row r="1170" spans="1:9" x14ac:dyDescent="0.35">
      <c r="A1170" s="6">
        <v>2551158</v>
      </c>
      <c r="B1170" s="7" t="str">
        <f>"3207050504990001"</f>
        <v>3207050504990001</v>
      </c>
      <c r="C1170" s="7" t="s">
        <v>3441</v>
      </c>
      <c r="D1170" s="7" t="s">
        <v>17</v>
      </c>
      <c r="E1170" s="7" t="s">
        <v>11</v>
      </c>
      <c r="F1170" s="7" t="s">
        <v>18</v>
      </c>
      <c r="G1170" s="7" t="s">
        <v>19</v>
      </c>
      <c r="H1170" s="7" t="s">
        <v>251</v>
      </c>
      <c r="I1170" s="8" t="s">
        <v>3418</v>
      </c>
    </row>
    <row r="1171" spans="1:9" x14ac:dyDescent="0.35">
      <c r="A1171" s="6">
        <v>2551162</v>
      </c>
      <c r="B1171" s="7" t="str">
        <f>"3207055201530001"</f>
        <v>3207055201530001</v>
      </c>
      <c r="C1171" s="7" t="s">
        <v>3444</v>
      </c>
      <c r="D1171" s="7" t="s">
        <v>17</v>
      </c>
      <c r="E1171" s="7" t="s">
        <v>11</v>
      </c>
      <c r="F1171" s="7" t="s">
        <v>18</v>
      </c>
      <c r="G1171" s="7" t="s">
        <v>19</v>
      </c>
      <c r="H1171" s="7" t="s">
        <v>251</v>
      </c>
      <c r="I1171" s="8" t="s">
        <v>3418</v>
      </c>
    </row>
    <row r="1172" spans="1:9" x14ac:dyDescent="0.35">
      <c r="A1172" s="6">
        <v>2549978</v>
      </c>
      <c r="B1172" s="7" t="str">
        <f>"3207235209970001"</f>
        <v>3207235209970001</v>
      </c>
      <c r="C1172" s="7" t="s">
        <v>3445</v>
      </c>
      <c r="D1172" s="7" t="s">
        <v>17</v>
      </c>
      <c r="E1172" s="7" t="s">
        <v>11</v>
      </c>
      <c r="F1172" s="7" t="s">
        <v>18</v>
      </c>
      <c r="G1172" s="7" t="s">
        <v>19</v>
      </c>
      <c r="H1172" s="7" t="s">
        <v>251</v>
      </c>
      <c r="I1172" s="8" t="s">
        <v>3344</v>
      </c>
    </row>
    <row r="1173" spans="1:9" x14ac:dyDescent="0.35">
      <c r="A1173" s="6">
        <v>2550644</v>
      </c>
      <c r="B1173" s="7" t="str">
        <f>"3208212702930001"</f>
        <v>3208212702930001</v>
      </c>
      <c r="C1173" s="7" t="s">
        <v>3448</v>
      </c>
      <c r="D1173" s="7" t="s">
        <v>17</v>
      </c>
      <c r="E1173" s="7" t="s">
        <v>11</v>
      </c>
      <c r="F1173" s="7" t="s">
        <v>18</v>
      </c>
      <c r="G1173" s="7" t="s">
        <v>19</v>
      </c>
      <c r="H1173" s="7" t="s">
        <v>251</v>
      </c>
      <c r="I1173" s="8" t="s">
        <v>3451</v>
      </c>
    </row>
    <row r="1174" spans="1:9" x14ac:dyDescent="0.35">
      <c r="A1174" s="6">
        <v>2550097</v>
      </c>
      <c r="B1174" s="7" t="str">
        <f>"3212066210940002"</f>
        <v>3212066210940002</v>
      </c>
      <c r="C1174" s="7" t="s">
        <v>3452</v>
      </c>
      <c r="D1174" s="7" t="s">
        <v>17</v>
      </c>
      <c r="E1174" s="7" t="s">
        <v>11</v>
      </c>
      <c r="F1174" s="7" t="s">
        <v>18</v>
      </c>
      <c r="G1174" s="7" t="s">
        <v>19</v>
      </c>
      <c r="H1174" s="7" t="s">
        <v>251</v>
      </c>
      <c r="I1174" s="8" t="s">
        <v>3410</v>
      </c>
    </row>
    <row r="1175" spans="1:9" x14ac:dyDescent="0.35">
      <c r="A1175" s="6">
        <v>2550892</v>
      </c>
      <c r="B1175" s="7" t="str">
        <f>"3216190704820015"</f>
        <v>3216190704820015</v>
      </c>
      <c r="C1175" s="7" t="s">
        <v>3454</v>
      </c>
      <c r="D1175" s="7" t="s">
        <v>17</v>
      </c>
      <c r="E1175" s="7" t="s">
        <v>11</v>
      </c>
      <c r="F1175" s="7" t="s">
        <v>18</v>
      </c>
      <c r="G1175" s="7" t="s">
        <v>19</v>
      </c>
      <c r="H1175" s="7" t="s">
        <v>251</v>
      </c>
      <c r="I1175" s="8" t="s">
        <v>3400</v>
      </c>
    </row>
    <row r="1176" spans="1:9" x14ac:dyDescent="0.35">
      <c r="A1176" s="6">
        <v>2550893</v>
      </c>
      <c r="B1176" s="7" t="str">
        <f>"3216196412830006"</f>
        <v>3216196412830006</v>
      </c>
      <c r="C1176" s="7" t="s">
        <v>1124</v>
      </c>
      <c r="D1176" s="7" t="s">
        <v>17</v>
      </c>
      <c r="E1176" s="7" t="s">
        <v>11</v>
      </c>
      <c r="F1176" s="7" t="s">
        <v>18</v>
      </c>
      <c r="G1176" s="7" t="s">
        <v>19</v>
      </c>
      <c r="H1176" s="7" t="s">
        <v>251</v>
      </c>
      <c r="I1176" s="8" t="s">
        <v>3400</v>
      </c>
    </row>
    <row r="1177" spans="1:9" x14ac:dyDescent="0.35">
      <c r="A1177" s="6">
        <v>3077620</v>
      </c>
      <c r="B1177" s="7" t="str">
        <f>"3301056507990010"</f>
        <v>3301056507990010</v>
      </c>
      <c r="C1177" s="7" t="s">
        <v>3455</v>
      </c>
      <c r="D1177" s="7" t="s">
        <v>17</v>
      </c>
      <c r="E1177" s="7" t="s">
        <v>11</v>
      </c>
      <c r="F1177" s="7" t="s">
        <v>18</v>
      </c>
      <c r="G1177" s="7" t="s">
        <v>163</v>
      </c>
      <c r="H1177" s="7" t="s">
        <v>1345</v>
      </c>
      <c r="I1177" s="8" t="s">
        <v>3456</v>
      </c>
    </row>
    <row r="1178" spans="1:9" x14ac:dyDescent="0.35">
      <c r="A1178" s="6">
        <v>1102525</v>
      </c>
      <c r="B1178" s="7" t="str">
        <f>"3305011005830008"</f>
        <v>3305011005830008</v>
      </c>
      <c r="C1178" s="7" t="s">
        <v>3457</v>
      </c>
      <c r="D1178" s="7" t="s">
        <v>17</v>
      </c>
      <c r="E1178" s="7" t="s">
        <v>11</v>
      </c>
      <c r="F1178" s="7" t="s">
        <v>18</v>
      </c>
      <c r="G1178" s="7" t="s">
        <v>171</v>
      </c>
      <c r="H1178" s="7" t="s">
        <v>3458</v>
      </c>
      <c r="I1178" s="8" t="s">
        <v>3459</v>
      </c>
    </row>
    <row r="1179" spans="1:9" x14ac:dyDescent="0.35">
      <c r="A1179" s="6">
        <v>718803</v>
      </c>
      <c r="B1179" s="7" t="str">
        <f>"3307032612740006"</f>
        <v>3307032612740006</v>
      </c>
      <c r="C1179" s="7" t="s">
        <v>3461</v>
      </c>
      <c r="D1179" s="7" t="s">
        <v>17</v>
      </c>
      <c r="E1179" s="7" t="s">
        <v>11</v>
      </c>
      <c r="F1179" s="7" t="s">
        <v>18</v>
      </c>
      <c r="G1179" s="7" t="s">
        <v>392</v>
      </c>
      <c r="H1179" s="7" t="s">
        <v>3462</v>
      </c>
      <c r="I1179" s="8" t="s">
        <v>1666</v>
      </c>
    </row>
    <row r="1180" spans="1:9" x14ac:dyDescent="0.35">
      <c r="A1180" s="6">
        <v>2550640</v>
      </c>
      <c r="B1180" s="7" t="str">
        <f>"3308186508890005"</f>
        <v>3308186508890005</v>
      </c>
      <c r="C1180" s="7" t="s">
        <v>3463</v>
      </c>
      <c r="D1180" s="7" t="s">
        <v>17</v>
      </c>
      <c r="E1180" s="7" t="s">
        <v>11</v>
      </c>
      <c r="F1180" s="7" t="s">
        <v>18</v>
      </c>
      <c r="G1180" s="7" t="s">
        <v>19</v>
      </c>
      <c r="H1180" s="7" t="s">
        <v>251</v>
      </c>
      <c r="I1180" s="8" t="s">
        <v>3451</v>
      </c>
    </row>
    <row r="1181" spans="1:9" x14ac:dyDescent="0.35">
      <c r="A1181" s="6">
        <v>855043</v>
      </c>
      <c r="B1181" s="7" t="str">
        <f>"3309041001759008"</f>
        <v>3309041001759008</v>
      </c>
      <c r="C1181" s="7" t="s">
        <v>3465</v>
      </c>
      <c r="D1181" s="7" t="s">
        <v>17</v>
      </c>
      <c r="E1181" s="7" t="s">
        <v>11</v>
      </c>
      <c r="F1181" s="7" t="s">
        <v>18</v>
      </c>
      <c r="G1181" s="7" t="s">
        <v>1271</v>
      </c>
      <c r="H1181" s="7" t="s">
        <v>222</v>
      </c>
      <c r="I1181" s="8" t="s">
        <v>3466</v>
      </c>
    </row>
    <row r="1182" spans="1:9" x14ac:dyDescent="0.35">
      <c r="A1182" s="6">
        <v>2550596</v>
      </c>
      <c r="B1182" s="7" t="str">
        <f>"3310141302890002"</f>
        <v>3310141302890002</v>
      </c>
      <c r="C1182" s="7" t="s">
        <v>3467</v>
      </c>
      <c r="D1182" s="7" t="s">
        <v>17</v>
      </c>
      <c r="E1182" s="7" t="s">
        <v>11</v>
      </c>
      <c r="F1182" s="7" t="s">
        <v>18</v>
      </c>
      <c r="G1182" s="7" t="s">
        <v>19</v>
      </c>
      <c r="H1182" s="7" t="s">
        <v>251</v>
      </c>
      <c r="I1182" s="8" t="s">
        <v>3451</v>
      </c>
    </row>
    <row r="1183" spans="1:9" x14ac:dyDescent="0.35">
      <c r="A1183" s="6">
        <v>2549546</v>
      </c>
      <c r="B1183" s="7" t="str">
        <f>"3313045502990001"</f>
        <v>3313045502990001</v>
      </c>
      <c r="C1183" s="7" t="s">
        <v>3469</v>
      </c>
      <c r="D1183" s="7" t="s">
        <v>17</v>
      </c>
      <c r="E1183" s="7" t="s">
        <v>11</v>
      </c>
      <c r="F1183" s="7" t="s">
        <v>18</v>
      </c>
      <c r="G1183" s="7" t="s">
        <v>19</v>
      </c>
      <c r="H1183" s="7" t="s">
        <v>251</v>
      </c>
      <c r="I1183" s="8" t="s">
        <v>3344</v>
      </c>
    </row>
    <row r="1184" spans="1:9" x14ac:dyDescent="0.35">
      <c r="A1184" s="6">
        <v>2548936</v>
      </c>
      <c r="B1184" s="7" t="str">
        <f>"3315134107900023"</f>
        <v>3315134107900023</v>
      </c>
      <c r="C1184" s="7" t="s">
        <v>3473</v>
      </c>
      <c r="D1184" s="7" t="s">
        <v>17</v>
      </c>
      <c r="E1184" s="7" t="s">
        <v>11</v>
      </c>
      <c r="F1184" s="7" t="s">
        <v>18</v>
      </c>
      <c r="G1184" s="7" t="s">
        <v>19</v>
      </c>
      <c r="H1184" s="7" t="s">
        <v>251</v>
      </c>
      <c r="I1184" s="8" t="s">
        <v>3432</v>
      </c>
    </row>
    <row r="1185" spans="1:9" x14ac:dyDescent="0.35">
      <c r="A1185" s="6">
        <v>636259</v>
      </c>
      <c r="B1185" s="7" t="str">
        <f>"3320050204060001"</f>
        <v>3320050204060001</v>
      </c>
      <c r="C1185" s="7" t="s">
        <v>3474</v>
      </c>
      <c r="D1185" s="7" t="s">
        <v>17</v>
      </c>
      <c r="E1185" s="7" t="s">
        <v>57</v>
      </c>
      <c r="F1185" s="7" t="s">
        <v>18</v>
      </c>
      <c r="G1185" s="7" t="s">
        <v>190</v>
      </c>
      <c r="H1185" s="7" t="s">
        <v>1497</v>
      </c>
      <c r="I1185" s="8" t="s">
        <v>1498</v>
      </c>
    </row>
    <row r="1186" spans="1:9" x14ac:dyDescent="0.35">
      <c r="A1186" s="6">
        <v>2550894</v>
      </c>
      <c r="B1186" s="7" t="str">
        <f>"3320050204060001"</f>
        <v>3320050204060001</v>
      </c>
      <c r="C1186" s="7" t="s">
        <v>3475</v>
      </c>
      <c r="D1186" s="7" t="s">
        <v>17</v>
      </c>
      <c r="E1186" s="7" t="s">
        <v>11</v>
      </c>
      <c r="F1186" s="7" t="s">
        <v>18</v>
      </c>
      <c r="G1186" s="7" t="s">
        <v>19</v>
      </c>
      <c r="H1186" s="7" t="s">
        <v>251</v>
      </c>
      <c r="I1186" s="8" t="s">
        <v>3400</v>
      </c>
    </row>
    <row r="1187" spans="1:9" x14ac:dyDescent="0.35">
      <c r="A1187" s="6">
        <v>2549744</v>
      </c>
      <c r="B1187" s="7" t="str">
        <f>"3325110212950005"</f>
        <v>3325110212950005</v>
      </c>
      <c r="C1187" s="7" t="s">
        <v>3476</v>
      </c>
      <c r="D1187" s="7" t="s">
        <v>17</v>
      </c>
      <c r="E1187" s="7" t="s">
        <v>11</v>
      </c>
      <c r="F1187" s="7" t="s">
        <v>18</v>
      </c>
      <c r="G1187" s="7" t="s">
        <v>19</v>
      </c>
      <c r="H1187" s="7" t="s">
        <v>251</v>
      </c>
      <c r="I1187" s="8" t="s">
        <v>3344</v>
      </c>
    </row>
    <row r="1188" spans="1:9" x14ac:dyDescent="0.35">
      <c r="A1188" s="6">
        <v>1541797</v>
      </c>
      <c r="B1188" s="7" t="str">
        <f>"3326016505790003"</f>
        <v>3326016505790003</v>
      </c>
      <c r="C1188" s="7" t="s">
        <v>3479</v>
      </c>
      <c r="D1188" s="7" t="s">
        <v>17</v>
      </c>
      <c r="E1188" s="7" t="s">
        <v>11</v>
      </c>
      <c r="F1188" s="7" t="s">
        <v>18</v>
      </c>
      <c r="G1188" s="7" t="s">
        <v>195</v>
      </c>
      <c r="H1188" s="7" t="s">
        <v>2462</v>
      </c>
      <c r="I1188" s="8" t="s">
        <v>3480</v>
      </c>
    </row>
    <row r="1189" spans="1:9" x14ac:dyDescent="0.35">
      <c r="A1189" s="6">
        <v>2649995</v>
      </c>
      <c r="B1189" s="7" t="str">
        <f>"3327043003920003"</f>
        <v>3327043003920003</v>
      </c>
      <c r="C1189" s="7" t="s">
        <v>3481</v>
      </c>
      <c r="D1189" s="7" t="s">
        <v>17</v>
      </c>
      <c r="E1189" s="7" t="s">
        <v>11</v>
      </c>
      <c r="F1189" s="7" t="s">
        <v>18</v>
      </c>
      <c r="G1189" s="7" t="s">
        <v>199</v>
      </c>
      <c r="H1189" s="7" t="s">
        <v>3482</v>
      </c>
      <c r="I1189" s="8" t="s">
        <v>3483</v>
      </c>
    </row>
    <row r="1190" spans="1:9" x14ac:dyDescent="0.35">
      <c r="A1190" s="6">
        <v>2550136</v>
      </c>
      <c r="B1190" s="7" t="str">
        <f>"3328090104770003"</f>
        <v>3328090104770003</v>
      </c>
      <c r="C1190" s="7" t="s">
        <v>3484</v>
      </c>
      <c r="D1190" s="7" t="s">
        <v>17</v>
      </c>
      <c r="E1190" s="7" t="s">
        <v>11</v>
      </c>
      <c r="F1190" s="7" t="s">
        <v>18</v>
      </c>
      <c r="G1190" s="7" t="s">
        <v>19</v>
      </c>
      <c r="H1190" s="7" t="s">
        <v>251</v>
      </c>
      <c r="I1190" s="8" t="s">
        <v>3410</v>
      </c>
    </row>
    <row r="1191" spans="1:9" x14ac:dyDescent="0.35">
      <c r="A1191" s="6">
        <v>2551108</v>
      </c>
      <c r="B1191" s="7" t="str">
        <f>"3328090602960001"</f>
        <v>3328090602960001</v>
      </c>
      <c r="C1191" s="7" t="s">
        <v>3485</v>
      </c>
      <c r="D1191" s="7" t="s">
        <v>17</v>
      </c>
      <c r="E1191" s="7" t="s">
        <v>11</v>
      </c>
      <c r="F1191" s="7" t="s">
        <v>18</v>
      </c>
      <c r="G1191" s="7" t="s">
        <v>19</v>
      </c>
      <c r="H1191" s="7" t="s">
        <v>251</v>
      </c>
      <c r="I1191" s="8" t="s">
        <v>3418</v>
      </c>
    </row>
    <row r="1192" spans="1:9" x14ac:dyDescent="0.35">
      <c r="A1192" s="6">
        <v>2550794</v>
      </c>
      <c r="B1192" s="7" t="str">
        <f>"3328095306920003"</f>
        <v>3328095306920003</v>
      </c>
      <c r="C1192" s="7" t="s">
        <v>3486</v>
      </c>
      <c r="D1192" s="7" t="s">
        <v>17</v>
      </c>
      <c r="E1192" s="7" t="s">
        <v>11</v>
      </c>
      <c r="F1192" s="7" t="s">
        <v>18</v>
      </c>
      <c r="G1192" s="7" t="s">
        <v>19</v>
      </c>
      <c r="H1192" s="7" t="s">
        <v>251</v>
      </c>
      <c r="I1192" s="8" t="s">
        <v>3400</v>
      </c>
    </row>
    <row r="1193" spans="1:9" x14ac:dyDescent="0.35">
      <c r="A1193" s="6">
        <v>2550493</v>
      </c>
      <c r="B1193" s="7" t="str">
        <f>"3328100102920004"</f>
        <v>3328100102920004</v>
      </c>
      <c r="C1193" s="7" t="s">
        <v>3488</v>
      </c>
      <c r="D1193" s="7" t="s">
        <v>17</v>
      </c>
      <c r="E1193" s="7" t="s">
        <v>11</v>
      </c>
      <c r="F1193" s="7" t="s">
        <v>18</v>
      </c>
      <c r="G1193" s="7" t="s">
        <v>19</v>
      </c>
      <c r="H1193" s="7" t="s">
        <v>251</v>
      </c>
      <c r="I1193" s="8" t="s">
        <v>3414</v>
      </c>
    </row>
    <row r="1194" spans="1:9" x14ac:dyDescent="0.35">
      <c r="A1194" s="6">
        <v>422784</v>
      </c>
      <c r="B1194" s="7" t="str">
        <f>"3328100110580002"</f>
        <v>3328100110580002</v>
      </c>
      <c r="C1194" s="7" t="s">
        <v>3489</v>
      </c>
      <c r="D1194" s="7" t="s">
        <v>17</v>
      </c>
      <c r="E1194" s="7" t="s">
        <v>11</v>
      </c>
      <c r="F1194" s="7" t="s">
        <v>18</v>
      </c>
      <c r="G1194" s="7" t="s">
        <v>268</v>
      </c>
      <c r="H1194" s="7" t="s">
        <v>277</v>
      </c>
      <c r="I1194" s="8" t="s">
        <v>884</v>
      </c>
    </row>
    <row r="1195" spans="1:9" x14ac:dyDescent="0.35">
      <c r="A1195" s="6">
        <v>2572382</v>
      </c>
      <c r="B1195" s="7" t="str">
        <f>"3328100307930002"</f>
        <v>3328100307930002</v>
      </c>
      <c r="C1195" s="7" t="s">
        <v>3490</v>
      </c>
      <c r="D1195" s="7" t="s">
        <v>17</v>
      </c>
      <c r="E1195" s="7" t="s">
        <v>11</v>
      </c>
      <c r="F1195" s="7" t="s">
        <v>18</v>
      </c>
      <c r="G1195" s="7" t="s">
        <v>19</v>
      </c>
      <c r="H1195" s="7" t="s">
        <v>251</v>
      </c>
      <c r="I1195" s="8" t="s">
        <v>252</v>
      </c>
    </row>
    <row r="1196" spans="1:9" x14ac:dyDescent="0.35">
      <c r="A1196" s="6">
        <v>788141</v>
      </c>
      <c r="B1196" s="7" t="str">
        <f>"3328100705850004"</f>
        <v>3328100705850004</v>
      </c>
      <c r="C1196" s="7" t="s">
        <v>3494</v>
      </c>
      <c r="D1196" s="7" t="s">
        <v>17</v>
      </c>
      <c r="E1196" s="7" t="s">
        <v>11</v>
      </c>
      <c r="F1196" s="7" t="s">
        <v>18</v>
      </c>
      <c r="G1196" s="7" t="s">
        <v>3495</v>
      </c>
      <c r="H1196" s="7" t="s">
        <v>3496</v>
      </c>
      <c r="I1196" s="8" t="s">
        <v>3497</v>
      </c>
    </row>
    <row r="1197" spans="1:9" x14ac:dyDescent="0.35">
      <c r="A1197" s="6">
        <v>3125529</v>
      </c>
      <c r="B1197" s="7" t="str">
        <f>"3328100804900002"</f>
        <v>3328100804900002</v>
      </c>
      <c r="C1197" s="7" t="s">
        <v>3498</v>
      </c>
      <c r="D1197" s="7" t="s">
        <v>17</v>
      </c>
      <c r="E1197" s="7" t="s">
        <v>57</v>
      </c>
      <c r="F1197" s="7" t="s">
        <v>18</v>
      </c>
      <c r="G1197" s="7" t="s">
        <v>163</v>
      </c>
      <c r="H1197" s="7" t="s">
        <v>723</v>
      </c>
      <c r="I1197" s="8" t="s">
        <v>724</v>
      </c>
    </row>
    <row r="1198" spans="1:9" x14ac:dyDescent="0.35">
      <c r="A1198" s="6">
        <v>636258</v>
      </c>
      <c r="B1198" s="7" t="str">
        <f>"3328100911050004"</f>
        <v>3328100911050004</v>
      </c>
      <c r="C1198" s="7" t="s">
        <v>3499</v>
      </c>
      <c r="D1198" s="7" t="s">
        <v>17</v>
      </c>
      <c r="E1198" s="7" t="s">
        <v>57</v>
      </c>
      <c r="F1198" s="7" t="s">
        <v>18</v>
      </c>
      <c r="G1198" s="7" t="s">
        <v>190</v>
      </c>
      <c r="H1198" s="7" t="s">
        <v>1497</v>
      </c>
      <c r="I1198" s="8" t="s">
        <v>1498</v>
      </c>
    </row>
    <row r="1199" spans="1:9" x14ac:dyDescent="0.35">
      <c r="A1199" s="6">
        <v>2550903</v>
      </c>
      <c r="B1199" s="7" t="str">
        <f>"3328100911050004"</f>
        <v>3328100911050004</v>
      </c>
      <c r="C1199" s="7" t="s">
        <v>3499</v>
      </c>
      <c r="D1199" s="7" t="s">
        <v>17</v>
      </c>
      <c r="E1199" s="7" t="s">
        <v>11</v>
      </c>
      <c r="F1199" s="7" t="s">
        <v>18</v>
      </c>
      <c r="G1199" s="7" t="s">
        <v>19</v>
      </c>
      <c r="H1199" s="7" t="s">
        <v>251</v>
      </c>
      <c r="I1199" s="8" t="s">
        <v>3400</v>
      </c>
    </row>
    <row r="1200" spans="1:9" x14ac:dyDescent="0.35">
      <c r="A1200" s="6">
        <v>421304</v>
      </c>
      <c r="B1200" s="7" t="str">
        <f>"3328101002880001"</f>
        <v>3328101002880001</v>
      </c>
      <c r="C1200" s="7" t="s">
        <v>3501</v>
      </c>
      <c r="D1200" s="7" t="s">
        <v>17</v>
      </c>
      <c r="E1200" s="7" t="s">
        <v>11</v>
      </c>
      <c r="F1200" s="7" t="s">
        <v>18</v>
      </c>
      <c r="G1200" s="7" t="s">
        <v>268</v>
      </c>
      <c r="H1200" s="7" t="s">
        <v>371</v>
      </c>
      <c r="I1200" s="8" t="s">
        <v>2769</v>
      </c>
    </row>
    <row r="1201" spans="1:9" x14ac:dyDescent="0.35">
      <c r="A1201" s="6">
        <v>2548872</v>
      </c>
      <c r="B1201" s="7" t="str">
        <f>"3328101002920006"</f>
        <v>3328101002920006</v>
      </c>
      <c r="C1201" s="7" t="s">
        <v>3502</v>
      </c>
      <c r="D1201" s="7" t="s">
        <v>17</v>
      </c>
      <c r="E1201" s="7" t="s">
        <v>11</v>
      </c>
      <c r="F1201" s="7" t="s">
        <v>18</v>
      </c>
      <c r="G1201" s="7" t="s">
        <v>19</v>
      </c>
      <c r="H1201" s="7" t="s">
        <v>251</v>
      </c>
      <c r="I1201" s="8" t="s">
        <v>3432</v>
      </c>
    </row>
    <row r="1202" spans="1:9" x14ac:dyDescent="0.35">
      <c r="A1202" s="6">
        <v>1700379</v>
      </c>
      <c r="B1202" s="7" t="str">
        <f>"3328101003600002"</f>
        <v>3328101003600002</v>
      </c>
      <c r="C1202" s="7" t="s">
        <v>3505</v>
      </c>
      <c r="D1202" s="7" t="s">
        <v>17</v>
      </c>
      <c r="E1202" s="7" t="s">
        <v>11</v>
      </c>
      <c r="F1202" s="7" t="s">
        <v>18</v>
      </c>
      <c r="G1202" s="7" t="s">
        <v>264</v>
      </c>
      <c r="H1202" s="7" t="s">
        <v>461</v>
      </c>
      <c r="I1202" s="8" t="s">
        <v>1692</v>
      </c>
    </row>
    <row r="1203" spans="1:9" x14ac:dyDescent="0.35">
      <c r="A1203" s="6">
        <v>1148776</v>
      </c>
      <c r="B1203" s="7" t="str">
        <f>"3328101007960004"</f>
        <v>3328101007960004</v>
      </c>
      <c r="C1203" s="7" t="s">
        <v>3506</v>
      </c>
      <c r="D1203" s="7" t="s">
        <v>17</v>
      </c>
      <c r="E1203" s="7" t="s">
        <v>11</v>
      </c>
      <c r="F1203" s="7" t="s">
        <v>18</v>
      </c>
      <c r="G1203" s="7" t="s">
        <v>180</v>
      </c>
      <c r="H1203" s="7" t="s">
        <v>3507</v>
      </c>
      <c r="I1203" s="8" t="s">
        <v>3508</v>
      </c>
    </row>
    <row r="1204" spans="1:9" x14ac:dyDescent="0.35">
      <c r="A1204" s="6">
        <v>2635444</v>
      </c>
      <c r="B1204" s="7" t="str">
        <f>"3328101308540001"</f>
        <v>3328101308540001</v>
      </c>
      <c r="C1204" s="7" t="s">
        <v>3514</v>
      </c>
      <c r="D1204" s="7" t="s">
        <v>17</v>
      </c>
      <c r="E1204" s="7" t="s">
        <v>11</v>
      </c>
      <c r="F1204" s="7" t="s">
        <v>18</v>
      </c>
      <c r="G1204" s="7" t="s">
        <v>199</v>
      </c>
      <c r="H1204" s="7" t="s">
        <v>599</v>
      </c>
      <c r="I1204" s="8" t="s">
        <v>600</v>
      </c>
    </row>
    <row r="1205" spans="1:9" x14ac:dyDescent="0.35">
      <c r="A1205" s="6">
        <v>2550505</v>
      </c>
      <c r="B1205" s="7" t="str">
        <f>"3328101406050003"</f>
        <v>3328101406050003</v>
      </c>
      <c r="C1205" s="7" t="s">
        <v>3515</v>
      </c>
      <c r="D1205" s="7" t="s">
        <v>17</v>
      </c>
      <c r="E1205" s="7" t="s">
        <v>11</v>
      </c>
      <c r="F1205" s="7" t="s">
        <v>18</v>
      </c>
      <c r="G1205" s="7" t="s">
        <v>19</v>
      </c>
      <c r="H1205" s="7" t="s">
        <v>251</v>
      </c>
      <c r="I1205" s="8" t="s">
        <v>3414</v>
      </c>
    </row>
    <row r="1206" spans="1:9" x14ac:dyDescent="0.35">
      <c r="A1206" s="6">
        <v>2572578</v>
      </c>
      <c r="B1206" s="7" t="str">
        <f>"3328101406050003"</f>
        <v>3328101406050003</v>
      </c>
      <c r="C1206" s="7" t="s">
        <v>3516</v>
      </c>
      <c r="D1206" s="7" t="s">
        <v>17</v>
      </c>
      <c r="E1206" s="7" t="s">
        <v>11</v>
      </c>
      <c r="F1206" s="7" t="s">
        <v>18</v>
      </c>
      <c r="G1206" s="7" t="s">
        <v>19</v>
      </c>
      <c r="H1206" s="7" t="s">
        <v>251</v>
      </c>
      <c r="I1206" s="8" t="s">
        <v>252</v>
      </c>
    </row>
    <row r="1207" spans="1:9" x14ac:dyDescent="0.35">
      <c r="A1207" s="6">
        <v>3123700</v>
      </c>
      <c r="B1207" s="7" t="str">
        <f>"3328101611960002"</f>
        <v>3328101611960002</v>
      </c>
      <c r="C1207" s="7" t="s">
        <v>3518</v>
      </c>
      <c r="D1207" s="7" t="s">
        <v>17</v>
      </c>
      <c r="E1207" s="7" t="s">
        <v>57</v>
      </c>
      <c r="F1207" s="7" t="s">
        <v>18</v>
      </c>
      <c r="G1207" s="7" t="s">
        <v>163</v>
      </c>
      <c r="H1207" s="7" t="s">
        <v>723</v>
      </c>
      <c r="I1207" s="8" t="s">
        <v>724</v>
      </c>
    </row>
    <row r="1208" spans="1:9" x14ac:dyDescent="0.35">
      <c r="A1208" s="6">
        <v>569987</v>
      </c>
      <c r="B1208" s="7" t="str">
        <f>"3328101704910002"</f>
        <v>3328101704910002</v>
      </c>
      <c r="C1208" s="7" t="s">
        <v>3520</v>
      </c>
      <c r="D1208" s="7" t="s">
        <v>17</v>
      </c>
      <c r="E1208" s="7" t="s">
        <v>11</v>
      </c>
      <c r="F1208" s="7" t="s">
        <v>2889</v>
      </c>
      <c r="G1208" s="7" t="s">
        <v>3076</v>
      </c>
      <c r="H1208" s="7" t="s">
        <v>3521</v>
      </c>
      <c r="I1208" s="8" t="s">
        <v>3522</v>
      </c>
    </row>
    <row r="1209" spans="1:9" x14ac:dyDescent="0.35">
      <c r="A1209" s="6">
        <v>739092</v>
      </c>
      <c r="B1209" s="7" t="str">
        <f>"3328101712970005"</f>
        <v>3328101712970005</v>
      </c>
      <c r="C1209" s="7" t="s">
        <v>3523</v>
      </c>
      <c r="D1209" s="7" t="s">
        <v>17</v>
      </c>
      <c r="E1209" s="7" t="s">
        <v>11</v>
      </c>
      <c r="F1209" s="7" t="s">
        <v>18</v>
      </c>
      <c r="G1209" s="7" t="s">
        <v>1381</v>
      </c>
      <c r="H1209" s="7" t="s">
        <v>3524</v>
      </c>
      <c r="I1209" s="8" t="s">
        <v>3525</v>
      </c>
    </row>
    <row r="1210" spans="1:9" x14ac:dyDescent="0.35">
      <c r="A1210" s="6">
        <v>2572282</v>
      </c>
      <c r="B1210" s="7" t="str">
        <f>"3328101803810004"</f>
        <v>3328101803810004</v>
      </c>
      <c r="C1210" s="7" t="s">
        <v>3527</v>
      </c>
      <c r="D1210" s="7" t="s">
        <v>17</v>
      </c>
      <c r="E1210" s="7" t="s">
        <v>11</v>
      </c>
      <c r="F1210" s="7" t="s">
        <v>18</v>
      </c>
      <c r="G1210" s="7" t="s">
        <v>19</v>
      </c>
      <c r="H1210" s="7" t="s">
        <v>251</v>
      </c>
      <c r="I1210" s="8" t="s">
        <v>252</v>
      </c>
    </row>
    <row r="1211" spans="1:9" x14ac:dyDescent="0.35">
      <c r="A1211" s="6">
        <v>2569803</v>
      </c>
      <c r="B1211" s="7" t="str">
        <f>"3328101812060004"</f>
        <v>3328101812060004</v>
      </c>
      <c r="C1211" s="7" t="s">
        <v>3528</v>
      </c>
      <c r="D1211" s="7" t="s">
        <v>17</v>
      </c>
      <c r="E1211" s="7" t="s">
        <v>11</v>
      </c>
      <c r="F1211" s="7" t="s">
        <v>18</v>
      </c>
      <c r="G1211" s="7" t="s">
        <v>19</v>
      </c>
      <c r="H1211" s="7" t="s">
        <v>251</v>
      </c>
      <c r="I1211" s="8" t="s">
        <v>3418</v>
      </c>
    </row>
    <row r="1212" spans="1:9" x14ac:dyDescent="0.35">
      <c r="A1212" s="6">
        <v>2084637</v>
      </c>
      <c r="B1212" s="7" t="str">
        <f>"3328101812060004"</f>
        <v>3328101812060004</v>
      </c>
      <c r="C1212" s="7" t="s">
        <v>3528</v>
      </c>
      <c r="D1212" s="7" t="s">
        <v>17</v>
      </c>
      <c r="E1212" s="7" t="s">
        <v>57</v>
      </c>
      <c r="F1212" s="7" t="s">
        <v>18</v>
      </c>
      <c r="G1212" s="7" t="s">
        <v>962</v>
      </c>
      <c r="H1212" s="7" t="s">
        <v>1046</v>
      </c>
      <c r="I1212" s="8" t="s">
        <v>1146</v>
      </c>
    </row>
    <row r="1213" spans="1:9" x14ac:dyDescent="0.35">
      <c r="A1213" s="6">
        <v>3124924</v>
      </c>
      <c r="B1213" s="7" t="str">
        <f>"3328101911640005"</f>
        <v>3328101911640005</v>
      </c>
      <c r="C1213" s="7" t="s">
        <v>2850</v>
      </c>
      <c r="D1213" s="7" t="s">
        <v>17</v>
      </c>
      <c r="E1213" s="7" t="s">
        <v>57</v>
      </c>
      <c r="F1213" s="7" t="s">
        <v>18</v>
      </c>
      <c r="G1213" s="7" t="s">
        <v>163</v>
      </c>
      <c r="H1213" s="7" t="s">
        <v>723</v>
      </c>
      <c r="I1213" s="8" t="s">
        <v>724</v>
      </c>
    </row>
    <row r="1214" spans="1:9" x14ac:dyDescent="0.35">
      <c r="A1214" s="6">
        <v>2551205</v>
      </c>
      <c r="B1214" s="7" t="str">
        <f>"3328102003000003"</f>
        <v>3328102003000003</v>
      </c>
      <c r="C1214" s="7" t="s">
        <v>3529</v>
      </c>
      <c r="D1214" s="7" t="s">
        <v>17</v>
      </c>
      <c r="E1214" s="7" t="s">
        <v>11</v>
      </c>
      <c r="F1214" s="7" t="s">
        <v>18</v>
      </c>
      <c r="G1214" s="7" t="s">
        <v>19</v>
      </c>
      <c r="H1214" s="7" t="s">
        <v>251</v>
      </c>
      <c r="I1214" s="8" t="s">
        <v>3418</v>
      </c>
    </row>
    <row r="1215" spans="1:9" x14ac:dyDescent="0.35">
      <c r="A1215" s="6">
        <v>2549398</v>
      </c>
      <c r="B1215" s="7" t="str">
        <f>"3328102104720005"</f>
        <v>3328102104720005</v>
      </c>
      <c r="C1215" s="7" t="s">
        <v>3532</v>
      </c>
      <c r="D1215" s="7" t="s">
        <v>17</v>
      </c>
      <c r="E1215" s="7" t="s">
        <v>11</v>
      </c>
      <c r="F1215" s="7" t="s">
        <v>18</v>
      </c>
      <c r="G1215" s="7" t="s">
        <v>19</v>
      </c>
      <c r="H1215" s="7" t="s">
        <v>251</v>
      </c>
      <c r="I1215" s="8" t="s">
        <v>3348</v>
      </c>
    </row>
    <row r="1216" spans="1:9" x14ac:dyDescent="0.35">
      <c r="A1216" s="6">
        <v>2550051</v>
      </c>
      <c r="B1216" s="7" t="str">
        <f>"3328102505930003"</f>
        <v>3328102505930003</v>
      </c>
      <c r="C1216" s="7" t="s">
        <v>3537</v>
      </c>
      <c r="D1216" s="7" t="s">
        <v>17</v>
      </c>
      <c r="E1216" s="7" t="s">
        <v>11</v>
      </c>
      <c r="F1216" s="7" t="s">
        <v>18</v>
      </c>
      <c r="G1216" s="7" t="s">
        <v>19</v>
      </c>
      <c r="H1216" s="7" t="s">
        <v>251</v>
      </c>
      <c r="I1216" s="8" t="s">
        <v>3410</v>
      </c>
    </row>
    <row r="1217" spans="1:9" x14ac:dyDescent="0.35">
      <c r="A1217" s="6">
        <v>2549975</v>
      </c>
      <c r="B1217" s="7" t="str">
        <f>"3328102710750002"</f>
        <v>3328102710750002</v>
      </c>
      <c r="C1217" s="7" t="s">
        <v>3540</v>
      </c>
      <c r="D1217" s="7" t="s">
        <v>17</v>
      </c>
      <c r="E1217" s="7" t="s">
        <v>11</v>
      </c>
      <c r="F1217" s="7" t="s">
        <v>18</v>
      </c>
      <c r="G1217" s="7" t="s">
        <v>19</v>
      </c>
      <c r="H1217" s="7" t="s">
        <v>251</v>
      </c>
      <c r="I1217" s="8" t="s">
        <v>3344</v>
      </c>
    </row>
    <row r="1218" spans="1:9" x14ac:dyDescent="0.35">
      <c r="A1218" s="6">
        <v>2548657</v>
      </c>
      <c r="B1218" s="7" t="str">
        <f>"3328102901930004"</f>
        <v>3328102901930004</v>
      </c>
      <c r="C1218" s="7" t="s">
        <v>3541</v>
      </c>
      <c r="D1218" s="7" t="s">
        <v>17</v>
      </c>
      <c r="E1218" s="7" t="s">
        <v>11</v>
      </c>
      <c r="F1218" s="7" t="s">
        <v>18</v>
      </c>
      <c r="G1218" s="7" t="s">
        <v>19</v>
      </c>
      <c r="H1218" s="7" t="s">
        <v>251</v>
      </c>
      <c r="I1218" s="8" t="s">
        <v>3432</v>
      </c>
    </row>
    <row r="1219" spans="1:9" x14ac:dyDescent="0.35">
      <c r="A1219" s="6">
        <v>2550870</v>
      </c>
      <c r="B1219" s="7" t="str">
        <f>"3328103011700001"</f>
        <v>3328103011700001</v>
      </c>
      <c r="C1219" s="7" t="s">
        <v>3542</v>
      </c>
      <c r="D1219" s="7" t="s">
        <v>17</v>
      </c>
      <c r="E1219" s="7" t="s">
        <v>11</v>
      </c>
      <c r="F1219" s="7" t="s">
        <v>18</v>
      </c>
      <c r="G1219" s="7" t="s">
        <v>19</v>
      </c>
      <c r="H1219" s="7" t="s">
        <v>251</v>
      </c>
      <c r="I1219" s="8" t="s">
        <v>3400</v>
      </c>
    </row>
    <row r="1220" spans="1:9" x14ac:dyDescent="0.35">
      <c r="A1220" s="6">
        <v>807568</v>
      </c>
      <c r="B1220" s="7" t="str">
        <f>"3328104305890008"</f>
        <v>3328104305890008</v>
      </c>
      <c r="C1220" s="7" t="s">
        <v>3543</v>
      </c>
      <c r="D1220" s="7" t="s">
        <v>17</v>
      </c>
      <c r="E1220" s="7" t="s">
        <v>11</v>
      </c>
      <c r="F1220" s="7" t="s">
        <v>18</v>
      </c>
      <c r="G1220" s="7" t="s">
        <v>951</v>
      </c>
      <c r="H1220" s="7" t="s">
        <v>3544</v>
      </c>
      <c r="I1220" s="8" t="s">
        <v>3544</v>
      </c>
    </row>
    <row r="1221" spans="1:9" x14ac:dyDescent="0.35">
      <c r="A1221" s="6">
        <v>2572846</v>
      </c>
      <c r="B1221" s="7" t="str">
        <f>"3328104305890008"</f>
        <v>3328104305890008</v>
      </c>
      <c r="C1221" s="7" t="s">
        <v>3543</v>
      </c>
      <c r="D1221" s="7" t="s">
        <v>17</v>
      </c>
      <c r="E1221" s="7" t="s">
        <v>11</v>
      </c>
      <c r="F1221" s="7" t="s">
        <v>18</v>
      </c>
      <c r="G1221" s="7" t="s">
        <v>19</v>
      </c>
      <c r="H1221" s="7" t="s">
        <v>251</v>
      </c>
      <c r="I1221" s="8" t="s">
        <v>252</v>
      </c>
    </row>
    <row r="1222" spans="1:9" x14ac:dyDescent="0.35">
      <c r="A1222" s="6">
        <v>2550817</v>
      </c>
      <c r="B1222" s="7" t="str">
        <f>"3328104509050002"</f>
        <v>3328104509050002</v>
      </c>
      <c r="C1222" s="7" t="s">
        <v>3546</v>
      </c>
      <c r="D1222" s="7" t="s">
        <v>17</v>
      </c>
      <c r="E1222" s="7" t="s">
        <v>11</v>
      </c>
      <c r="F1222" s="7" t="s">
        <v>18</v>
      </c>
      <c r="G1222" s="7" t="s">
        <v>19</v>
      </c>
      <c r="H1222" s="7" t="s">
        <v>251</v>
      </c>
      <c r="I1222" s="8" t="s">
        <v>3400</v>
      </c>
    </row>
    <row r="1223" spans="1:9" x14ac:dyDescent="0.35">
      <c r="A1223" s="6">
        <v>740843</v>
      </c>
      <c r="B1223" s="7" t="str">
        <f>"3328104601950006"</f>
        <v>3328104601950006</v>
      </c>
      <c r="C1223" s="7" t="s">
        <v>3549</v>
      </c>
      <c r="D1223" s="7" t="s">
        <v>17</v>
      </c>
      <c r="E1223" s="7" t="s">
        <v>11</v>
      </c>
      <c r="F1223" s="7" t="s">
        <v>18</v>
      </c>
      <c r="G1223" s="7" t="s">
        <v>1381</v>
      </c>
      <c r="H1223" s="7" t="s">
        <v>3550</v>
      </c>
      <c r="I1223" s="8" t="s">
        <v>3551</v>
      </c>
    </row>
    <row r="1224" spans="1:9" x14ac:dyDescent="0.35">
      <c r="A1224" s="6">
        <v>2572537</v>
      </c>
      <c r="B1224" s="7" t="str">
        <f>"3328104609550001"</f>
        <v>3328104609550001</v>
      </c>
      <c r="C1224" s="7" t="s">
        <v>1782</v>
      </c>
      <c r="D1224" s="7" t="s">
        <v>17</v>
      </c>
      <c r="E1224" s="7" t="s">
        <v>11</v>
      </c>
      <c r="F1224" s="7" t="s">
        <v>18</v>
      </c>
      <c r="G1224" s="7" t="s">
        <v>19</v>
      </c>
      <c r="H1224" s="7" t="s">
        <v>251</v>
      </c>
      <c r="I1224" s="8" t="s">
        <v>252</v>
      </c>
    </row>
    <row r="1225" spans="1:9" x14ac:dyDescent="0.35">
      <c r="A1225" s="6">
        <v>1128420</v>
      </c>
      <c r="B1225" s="7" t="str">
        <f>"3328104711830002"</f>
        <v>3328104711830002</v>
      </c>
      <c r="C1225" s="7" t="s">
        <v>3553</v>
      </c>
      <c r="D1225" s="7" t="s">
        <v>17</v>
      </c>
      <c r="E1225" s="7" t="s">
        <v>11</v>
      </c>
      <c r="F1225" s="7" t="s">
        <v>91</v>
      </c>
      <c r="G1225" s="7" t="s">
        <v>631</v>
      </c>
      <c r="H1225" s="7" t="s">
        <v>3554</v>
      </c>
      <c r="I1225" s="8" t="s">
        <v>3555</v>
      </c>
    </row>
    <row r="1226" spans="1:9" x14ac:dyDescent="0.35">
      <c r="A1226" s="6">
        <v>1678056</v>
      </c>
      <c r="B1226" s="7" t="str">
        <f>"3328104812920001"</f>
        <v>3328104812920001</v>
      </c>
      <c r="C1226" s="7" t="s">
        <v>3557</v>
      </c>
      <c r="D1226" s="7" t="s">
        <v>17</v>
      </c>
      <c r="E1226" s="7" t="s">
        <v>11</v>
      </c>
      <c r="F1226" s="7" t="s">
        <v>18</v>
      </c>
      <c r="G1226" s="7" t="s">
        <v>1514</v>
      </c>
      <c r="H1226" s="7" t="s">
        <v>1682</v>
      </c>
      <c r="I1226" s="8" t="s">
        <v>3558</v>
      </c>
    </row>
    <row r="1227" spans="1:9" x14ac:dyDescent="0.35">
      <c r="A1227" s="6">
        <v>2548987</v>
      </c>
      <c r="B1227" s="7" t="str">
        <f>"3328105004860008"</f>
        <v>3328105004860008</v>
      </c>
      <c r="C1227" s="7" t="s">
        <v>3559</v>
      </c>
      <c r="D1227" s="7" t="s">
        <v>17</v>
      </c>
      <c r="E1227" s="7" t="s">
        <v>11</v>
      </c>
      <c r="F1227" s="7" t="s">
        <v>18</v>
      </c>
      <c r="G1227" s="7" t="s">
        <v>19</v>
      </c>
      <c r="H1227" s="7" t="s">
        <v>251</v>
      </c>
      <c r="I1227" s="8" t="s">
        <v>3432</v>
      </c>
    </row>
    <row r="1228" spans="1:9" x14ac:dyDescent="0.35">
      <c r="A1228" s="6">
        <v>740940</v>
      </c>
      <c r="B1228" s="7" t="str">
        <f>"3328105109840004"</f>
        <v>3328105109840004</v>
      </c>
      <c r="C1228" s="7" t="s">
        <v>3560</v>
      </c>
      <c r="D1228" s="7" t="s">
        <v>17</v>
      </c>
      <c r="E1228" s="7" t="s">
        <v>11</v>
      </c>
      <c r="F1228" s="7" t="s">
        <v>18</v>
      </c>
      <c r="G1228" s="7" t="s">
        <v>1381</v>
      </c>
      <c r="H1228" s="7" t="s">
        <v>3550</v>
      </c>
      <c r="I1228" s="8" t="s">
        <v>3561</v>
      </c>
    </row>
    <row r="1229" spans="1:9" x14ac:dyDescent="0.35">
      <c r="A1229" s="6">
        <v>1695968</v>
      </c>
      <c r="B1229" s="7" t="str">
        <f>"3328105308770009"</f>
        <v>3328105308770009</v>
      </c>
      <c r="C1229" s="7" t="s">
        <v>3562</v>
      </c>
      <c r="D1229" s="7" t="s">
        <v>17</v>
      </c>
      <c r="E1229" s="7" t="s">
        <v>11</v>
      </c>
      <c r="F1229" s="7" t="s">
        <v>18</v>
      </c>
      <c r="G1229" s="7" t="s">
        <v>1514</v>
      </c>
      <c r="H1229" s="7" t="s">
        <v>3563</v>
      </c>
      <c r="I1229" s="8" t="s">
        <v>3564</v>
      </c>
    </row>
    <row r="1230" spans="1:9" x14ac:dyDescent="0.35">
      <c r="A1230" s="6">
        <v>2572075</v>
      </c>
      <c r="B1230" s="7" t="str">
        <f>"3328105308770009"</f>
        <v>3328105308770009</v>
      </c>
      <c r="C1230" s="7" t="s">
        <v>3562</v>
      </c>
      <c r="D1230" s="7" t="s">
        <v>17</v>
      </c>
      <c r="E1230" s="7" t="s">
        <v>11</v>
      </c>
      <c r="F1230" s="7" t="s">
        <v>18</v>
      </c>
      <c r="G1230" s="7" t="s">
        <v>19</v>
      </c>
      <c r="H1230" s="7" t="s">
        <v>251</v>
      </c>
      <c r="I1230" s="8" t="s">
        <v>252</v>
      </c>
    </row>
    <row r="1231" spans="1:9" x14ac:dyDescent="0.35">
      <c r="A1231" s="6">
        <v>2571623</v>
      </c>
      <c r="B1231" s="7" t="str">
        <f>"3328105401900002"</f>
        <v>3328105401900002</v>
      </c>
      <c r="C1231" s="7" t="s">
        <v>1617</v>
      </c>
      <c r="D1231" s="7" t="s">
        <v>17</v>
      </c>
      <c r="E1231" s="7" t="s">
        <v>11</v>
      </c>
      <c r="F1231" s="7" t="s">
        <v>18</v>
      </c>
      <c r="G1231" s="7" t="s">
        <v>19</v>
      </c>
      <c r="H1231" s="7" t="s">
        <v>3565</v>
      </c>
      <c r="I1231" s="8" t="s">
        <v>678</v>
      </c>
    </row>
    <row r="1232" spans="1:9" x14ac:dyDescent="0.35">
      <c r="A1232" s="6">
        <v>2572509</v>
      </c>
      <c r="B1232" s="7" t="str">
        <f>"3328105401900002"</f>
        <v>3328105401900002</v>
      </c>
      <c r="C1232" s="7" t="s">
        <v>1616</v>
      </c>
      <c r="D1232" s="7" t="s">
        <v>17</v>
      </c>
      <c r="E1232" s="7" t="s">
        <v>11</v>
      </c>
      <c r="F1232" s="7" t="s">
        <v>18</v>
      </c>
      <c r="G1232" s="7" t="s">
        <v>19</v>
      </c>
      <c r="H1232" s="7" t="s">
        <v>251</v>
      </c>
      <c r="I1232" s="8" t="s">
        <v>252</v>
      </c>
    </row>
    <row r="1233" spans="1:9" x14ac:dyDescent="0.35">
      <c r="A1233" s="6">
        <v>788142</v>
      </c>
      <c r="B1233" s="7" t="str">
        <f>"3328105407850002"</f>
        <v>3328105407850002</v>
      </c>
      <c r="C1233" s="7" t="s">
        <v>3566</v>
      </c>
      <c r="D1233" s="7" t="s">
        <v>17</v>
      </c>
      <c r="E1233" s="7" t="s">
        <v>11</v>
      </c>
      <c r="F1233" s="7" t="s">
        <v>18</v>
      </c>
      <c r="G1233" s="7" t="s">
        <v>3495</v>
      </c>
      <c r="H1233" s="7" t="s">
        <v>3496</v>
      </c>
      <c r="I1233" s="8" t="s">
        <v>3497</v>
      </c>
    </row>
    <row r="1234" spans="1:9" x14ac:dyDescent="0.35">
      <c r="A1234" s="6">
        <v>2569673</v>
      </c>
      <c r="B1234" s="7" t="str">
        <f>"3328105501910001"</f>
        <v>3328105501910001</v>
      </c>
      <c r="C1234" s="7" t="s">
        <v>3567</v>
      </c>
      <c r="D1234" s="7" t="s">
        <v>17</v>
      </c>
      <c r="E1234" s="7" t="s">
        <v>11</v>
      </c>
      <c r="F1234" s="7" t="s">
        <v>18</v>
      </c>
      <c r="G1234" s="7" t="s">
        <v>19</v>
      </c>
      <c r="H1234" s="7" t="s">
        <v>251</v>
      </c>
      <c r="I1234" s="8" t="s">
        <v>3400</v>
      </c>
    </row>
    <row r="1235" spans="1:9" x14ac:dyDescent="0.35">
      <c r="A1235" s="6">
        <v>2572401</v>
      </c>
      <c r="B1235" s="7" t="str">
        <f>"3328105501910001"</f>
        <v>3328105501910001</v>
      </c>
      <c r="C1235" s="7" t="s">
        <v>3023</v>
      </c>
      <c r="D1235" s="7" t="s">
        <v>17</v>
      </c>
      <c r="E1235" s="7" t="s">
        <v>11</v>
      </c>
      <c r="F1235" s="7" t="s">
        <v>18</v>
      </c>
      <c r="G1235" s="7" t="s">
        <v>19</v>
      </c>
      <c r="H1235" s="7" t="s">
        <v>251</v>
      </c>
      <c r="I1235" s="8" t="s">
        <v>252</v>
      </c>
    </row>
    <row r="1236" spans="1:9" x14ac:dyDescent="0.35">
      <c r="A1236" s="6">
        <v>726686</v>
      </c>
      <c r="B1236" s="7" t="str">
        <f>"3328105503980008"</f>
        <v>3328105503980008</v>
      </c>
      <c r="C1236" s="7" t="s">
        <v>3568</v>
      </c>
      <c r="D1236" s="7" t="s">
        <v>17</v>
      </c>
      <c r="E1236" s="7" t="s">
        <v>11</v>
      </c>
      <c r="F1236" s="7" t="s">
        <v>18</v>
      </c>
      <c r="G1236" s="7" t="s">
        <v>3323</v>
      </c>
      <c r="H1236" s="7" t="s">
        <v>3569</v>
      </c>
      <c r="I1236" s="8" t="s">
        <v>3570</v>
      </c>
    </row>
    <row r="1237" spans="1:9" x14ac:dyDescent="0.35">
      <c r="A1237" s="6">
        <v>2569529</v>
      </c>
      <c r="B1237" s="7" t="str">
        <f>"3328105503980008"</f>
        <v>3328105503980008</v>
      </c>
      <c r="C1237" s="7" t="s">
        <v>3568</v>
      </c>
      <c r="D1237" s="7" t="s">
        <v>17</v>
      </c>
      <c r="E1237" s="7" t="s">
        <v>11</v>
      </c>
      <c r="F1237" s="7" t="s">
        <v>18</v>
      </c>
      <c r="G1237" s="7" t="s">
        <v>19</v>
      </c>
      <c r="H1237" s="7" t="s">
        <v>251</v>
      </c>
      <c r="I1237" s="8" t="s">
        <v>3344</v>
      </c>
    </row>
    <row r="1238" spans="1:9" x14ac:dyDescent="0.35">
      <c r="A1238" s="6">
        <v>149408</v>
      </c>
      <c r="B1238" s="7" t="str">
        <f>"3328105506990002"</f>
        <v>3328105506990002</v>
      </c>
      <c r="C1238" s="7" t="s">
        <v>3572</v>
      </c>
      <c r="D1238" s="7" t="s">
        <v>17</v>
      </c>
      <c r="E1238" s="7" t="s">
        <v>11</v>
      </c>
      <c r="F1238" s="7" t="s">
        <v>44</v>
      </c>
      <c r="G1238" s="7" t="s">
        <v>3573</v>
      </c>
      <c r="H1238" s="7" t="s">
        <v>3574</v>
      </c>
      <c r="I1238" s="8" t="s">
        <v>3575</v>
      </c>
    </row>
    <row r="1239" spans="1:9" x14ac:dyDescent="0.35">
      <c r="A1239" s="6">
        <v>2549019</v>
      </c>
      <c r="B1239" s="7" t="str">
        <f>"3328105702940001"</f>
        <v>3328105702940001</v>
      </c>
      <c r="C1239" s="7" t="s">
        <v>3578</v>
      </c>
      <c r="D1239" s="7" t="s">
        <v>17</v>
      </c>
      <c r="E1239" s="7" t="s">
        <v>11</v>
      </c>
      <c r="F1239" s="7" t="s">
        <v>18</v>
      </c>
      <c r="G1239" s="7" t="s">
        <v>19</v>
      </c>
      <c r="H1239" s="7" t="s">
        <v>251</v>
      </c>
      <c r="I1239" s="8" t="s">
        <v>3432</v>
      </c>
    </row>
    <row r="1240" spans="1:9" x14ac:dyDescent="0.35">
      <c r="A1240" s="6">
        <v>777159</v>
      </c>
      <c r="B1240" s="7" t="str">
        <f>"3328105703880004"</f>
        <v>3328105703880004</v>
      </c>
      <c r="C1240" s="7" t="s">
        <v>3579</v>
      </c>
      <c r="D1240" s="7" t="s">
        <v>17</v>
      </c>
      <c r="E1240" s="7" t="s">
        <v>11</v>
      </c>
      <c r="F1240" s="7" t="s">
        <v>379</v>
      </c>
      <c r="G1240" s="7" t="s">
        <v>711</v>
      </c>
      <c r="H1240" s="7" t="s">
        <v>2627</v>
      </c>
      <c r="I1240" s="8" t="s">
        <v>1090</v>
      </c>
    </row>
    <row r="1241" spans="1:9" x14ac:dyDescent="0.35">
      <c r="A1241" s="6">
        <v>2427644</v>
      </c>
      <c r="B1241" s="7" t="str">
        <f>"3328105706000001"</f>
        <v>3328105706000001</v>
      </c>
      <c r="C1241" s="7" t="s">
        <v>3581</v>
      </c>
      <c r="D1241" s="7" t="s">
        <v>17</v>
      </c>
      <c r="E1241" s="7" t="s">
        <v>11</v>
      </c>
      <c r="F1241" s="7" t="s">
        <v>50</v>
      </c>
      <c r="G1241" s="7" t="s">
        <v>58</v>
      </c>
      <c r="H1241" s="7" t="s">
        <v>1742</v>
      </c>
      <c r="I1241" s="8" t="s">
        <v>3582</v>
      </c>
    </row>
    <row r="1242" spans="1:9" x14ac:dyDescent="0.35">
      <c r="A1242" s="6">
        <v>2549015</v>
      </c>
      <c r="B1242" s="7" t="str">
        <f>"3328105812020006"</f>
        <v>3328105812020006</v>
      </c>
      <c r="C1242" s="7" t="s">
        <v>3583</v>
      </c>
      <c r="D1242" s="7" t="s">
        <v>17</v>
      </c>
      <c r="E1242" s="7" t="s">
        <v>11</v>
      </c>
      <c r="F1242" s="7" t="s">
        <v>18</v>
      </c>
      <c r="G1242" s="7" t="s">
        <v>19</v>
      </c>
      <c r="H1242" s="7" t="s">
        <v>251</v>
      </c>
      <c r="I1242" s="8" t="s">
        <v>3432</v>
      </c>
    </row>
    <row r="1243" spans="1:9" x14ac:dyDescent="0.35">
      <c r="A1243" s="6">
        <v>1129024</v>
      </c>
      <c r="B1243" s="7" t="str">
        <f>"3328106111960001"</f>
        <v>3328106111960001</v>
      </c>
      <c r="C1243" s="7" t="s">
        <v>388</v>
      </c>
      <c r="D1243" s="7" t="s">
        <v>17</v>
      </c>
      <c r="E1243" s="7" t="s">
        <v>11</v>
      </c>
      <c r="F1243" s="7" t="s">
        <v>303</v>
      </c>
      <c r="G1243" s="7" t="s">
        <v>1584</v>
      </c>
      <c r="H1243" s="7" t="s">
        <v>3587</v>
      </c>
      <c r="I1243" s="8" t="s">
        <v>3588</v>
      </c>
    </row>
    <row r="1244" spans="1:9" x14ac:dyDescent="0.35">
      <c r="A1244" s="6">
        <v>420931</v>
      </c>
      <c r="B1244" s="7" t="str">
        <f>"3328106206960005"</f>
        <v>3328106206960005</v>
      </c>
      <c r="C1244" s="7" t="s">
        <v>3591</v>
      </c>
      <c r="D1244" s="7" t="s">
        <v>17</v>
      </c>
      <c r="E1244" s="7" t="s">
        <v>11</v>
      </c>
      <c r="F1244" s="7" t="s">
        <v>18</v>
      </c>
      <c r="G1244" s="7" t="s">
        <v>268</v>
      </c>
      <c r="H1244" s="7" t="s">
        <v>448</v>
      </c>
      <c r="I1244" s="8" t="s">
        <v>888</v>
      </c>
    </row>
    <row r="1245" spans="1:9" x14ac:dyDescent="0.35">
      <c r="A1245" s="6">
        <v>2551019</v>
      </c>
      <c r="B1245" s="7" t="str">
        <f>"3328106407930002"</f>
        <v>3328106407930002</v>
      </c>
      <c r="C1245" s="7" t="s">
        <v>3593</v>
      </c>
      <c r="D1245" s="7" t="s">
        <v>17</v>
      </c>
      <c r="E1245" s="7" t="s">
        <v>11</v>
      </c>
      <c r="F1245" s="7" t="s">
        <v>18</v>
      </c>
      <c r="G1245" s="7" t="s">
        <v>19</v>
      </c>
      <c r="H1245" s="7" t="s">
        <v>251</v>
      </c>
      <c r="I1245" s="8" t="s">
        <v>3400</v>
      </c>
    </row>
    <row r="1246" spans="1:9" x14ac:dyDescent="0.35">
      <c r="A1246" s="6">
        <v>421627</v>
      </c>
      <c r="B1246" s="7" t="str">
        <f>"3328106612930001"</f>
        <v>3328106612930001</v>
      </c>
      <c r="C1246" s="7" t="s">
        <v>3594</v>
      </c>
      <c r="D1246" s="7" t="s">
        <v>17</v>
      </c>
      <c r="E1246" s="7" t="s">
        <v>11</v>
      </c>
      <c r="F1246" s="7" t="s">
        <v>18</v>
      </c>
      <c r="G1246" s="7" t="s">
        <v>268</v>
      </c>
      <c r="H1246" s="7" t="s">
        <v>371</v>
      </c>
      <c r="I1246" s="8" t="s">
        <v>2772</v>
      </c>
    </row>
    <row r="1247" spans="1:9" x14ac:dyDescent="0.35">
      <c r="A1247" s="6">
        <v>2549697</v>
      </c>
      <c r="B1247" s="7" t="str">
        <f>"3329035006010003"</f>
        <v>3329035006010003</v>
      </c>
      <c r="C1247" s="7" t="s">
        <v>3595</v>
      </c>
      <c r="D1247" s="7" t="s">
        <v>17</v>
      </c>
      <c r="E1247" s="7" t="s">
        <v>11</v>
      </c>
      <c r="F1247" s="7" t="s">
        <v>18</v>
      </c>
      <c r="G1247" s="7" t="s">
        <v>19</v>
      </c>
      <c r="H1247" s="7" t="s">
        <v>251</v>
      </c>
      <c r="I1247" s="8" t="s">
        <v>3344</v>
      </c>
    </row>
    <row r="1248" spans="1:9" x14ac:dyDescent="0.35">
      <c r="A1248" s="6">
        <v>1701987</v>
      </c>
      <c r="B1248" s="7" t="str">
        <f>"3329035006010003"</f>
        <v>3329035006010003</v>
      </c>
      <c r="C1248" s="7" t="s">
        <v>3596</v>
      </c>
      <c r="D1248" s="7" t="s">
        <v>17</v>
      </c>
      <c r="E1248" s="7" t="s">
        <v>11</v>
      </c>
      <c r="F1248" s="7" t="s">
        <v>18</v>
      </c>
      <c r="G1248" s="7" t="s">
        <v>264</v>
      </c>
      <c r="H1248" s="7" t="s">
        <v>461</v>
      </c>
      <c r="I1248" s="8" t="s">
        <v>3597</v>
      </c>
    </row>
    <row r="1249" spans="1:9" x14ac:dyDescent="0.35">
      <c r="A1249" s="6">
        <v>2572209</v>
      </c>
      <c r="B1249" s="7" t="str">
        <f>"3329035303850011"</f>
        <v>3329035303850011</v>
      </c>
      <c r="C1249" s="7" t="s">
        <v>3598</v>
      </c>
      <c r="D1249" s="7" t="s">
        <v>17</v>
      </c>
      <c r="E1249" s="7" t="s">
        <v>11</v>
      </c>
      <c r="F1249" s="7" t="s">
        <v>18</v>
      </c>
      <c r="G1249" s="7" t="s">
        <v>19</v>
      </c>
      <c r="H1249" s="7" t="s">
        <v>251</v>
      </c>
      <c r="I1249" s="8" t="s">
        <v>252</v>
      </c>
    </row>
    <row r="1250" spans="1:9" x14ac:dyDescent="0.35">
      <c r="A1250" s="6">
        <v>2549700</v>
      </c>
      <c r="B1250" s="7" t="str">
        <f>"3329036510810003"</f>
        <v>3329036510810003</v>
      </c>
      <c r="C1250" s="7" t="s">
        <v>3599</v>
      </c>
      <c r="D1250" s="7" t="s">
        <v>17</v>
      </c>
      <c r="E1250" s="7" t="s">
        <v>11</v>
      </c>
      <c r="F1250" s="7" t="s">
        <v>18</v>
      </c>
      <c r="G1250" s="7" t="s">
        <v>19</v>
      </c>
      <c r="H1250" s="7" t="s">
        <v>251</v>
      </c>
      <c r="I1250" s="8" t="s">
        <v>3344</v>
      </c>
    </row>
    <row r="1251" spans="1:9" x14ac:dyDescent="0.35">
      <c r="A1251" s="6">
        <v>1701986</v>
      </c>
      <c r="B1251" s="7" t="str">
        <f>"3329036510810003"</f>
        <v>3329036510810003</v>
      </c>
      <c r="C1251" s="7" t="s">
        <v>3599</v>
      </c>
      <c r="D1251" s="7" t="s">
        <v>17</v>
      </c>
      <c r="E1251" s="7" t="s">
        <v>11</v>
      </c>
      <c r="F1251" s="7" t="s">
        <v>18</v>
      </c>
      <c r="G1251" s="7" t="s">
        <v>264</v>
      </c>
      <c r="H1251" s="7" t="s">
        <v>461</v>
      </c>
      <c r="I1251" s="8" t="s">
        <v>3597</v>
      </c>
    </row>
    <row r="1252" spans="1:9" x14ac:dyDescent="0.35">
      <c r="A1252" s="6">
        <v>2550315</v>
      </c>
      <c r="B1252" s="7" t="str">
        <f>"3329062212950004"</f>
        <v>3329062212950004</v>
      </c>
      <c r="C1252" s="7" t="s">
        <v>3602</v>
      </c>
      <c r="D1252" s="7" t="s">
        <v>17</v>
      </c>
      <c r="E1252" s="7" t="s">
        <v>11</v>
      </c>
      <c r="F1252" s="7" t="s">
        <v>18</v>
      </c>
      <c r="G1252" s="7" t="s">
        <v>19</v>
      </c>
      <c r="H1252" s="7" t="s">
        <v>251</v>
      </c>
      <c r="I1252" s="8" t="s">
        <v>3410</v>
      </c>
    </row>
    <row r="1253" spans="1:9" x14ac:dyDescent="0.35">
      <c r="A1253" s="6">
        <v>2572393</v>
      </c>
      <c r="B1253" s="7" t="str">
        <f>"3329070909830005"</f>
        <v>3329070909830005</v>
      </c>
      <c r="C1253" s="7" t="s">
        <v>3605</v>
      </c>
      <c r="D1253" s="7" t="s">
        <v>17</v>
      </c>
      <c r="E1253" s="7" t="s">
        <v>11</v>
      </c>
      <c r="F1253" s="7" t="s">
        <v>18</v>
      </c>
      <c r="G1253" s="7" t="s">
        <v>19</v>
      </c>
      <c r="H1253" s="7" t="s">
        <v>251</v>
      </c>
      <c r="I1253" s="8" t="s">
        <v>252</v>
      </c>
    </row>
    <row r="1254" spans="1:9" x14ac:dyDescent="0.35">
      <c r="A1254" s="6">
        <v>2550392</v>
      </c>
      <c r="B1254" s="7" t="str">
        <f>"3329071010920003"</f>
        <v>3329071010920003</v>
      </c>
      <c r="C1254" s="7" t="s">
        <v>3606</v>
      </c>
      <c r="D1254" s="7" t="s">
        <v>17</v>
      </c>
      <c r="E1254" s="7" t="s">
        <v>11</v>
      </c>
      <c r="F1254" s="7" t="s">
        <v>18</v>
      </c>
      <c r="G1254" s="7" t="s">
        <v>19</v>
      </c>
      <c r="H1254" s="7" t="s">
        <v>251</v>
      </c>
      <c r="I1254" s="8" t="s">
        <v>3414</v>
      </c>
    </row>
    <row r="1255" spans="1:9" x14ac:dyDescent="0.35">
      <c r="A1255" s="6">
        <v>1693573</v>
      </c>
      <c r="B1255" s="7" t="str">
        <f>"3329072206950001"</f>
        <v>3329072206950001</v>
      </c>
      <c r="C1255" s="7" t="s">
        <v>3607</v>
      </c>
      <c r="D1255" s="7" t="s">
        <v>17</v>
      </c>
      <c r="E1255" s="7" t="s">
        <v>11</v>
      </c>
      <c r="F1255" s="7" t="s">
        <v>18</v>
      </c>
      <c r="G1255" s="7" t="s">
        <v>264</v>
      </c>
      <c r="H1255" s="7" t="s">
        <v>265</v>
      </c>
      <c r="I1255" s="8" t="s">
        <v>865</v>
      </c>
    </row>
    <row r="1256" spans="1:9" x14ac:dyDescent="0.35">
      <c r="A1256" s="6">
        <v>2548665</v>
      </c>
      <c r="B1256" s="7" t="str">
        <f>"3329076904900002"</f>
        <v>3329076904900002</v>
      </c>
      <c r="C1256" s="7" t="s">
        <v>3609</v>
      </c>
      <c r="D1256" s="7" t="s">
        <v>17</v>
      </c>
      <c r="E1256" s="7" t="s">
        <v>11</v>
      </c>
      <c r="F1256" s="7" t="s">
        <v>18</v>
      </c>
      <c r="G1256" s="7" t="s">
        <v>19</v>
      </c>
      <c r="H1256" s="7" t="s">
        <v>251</v>
      </c>
      <c r="I1256" s="8" t="s">
        <v>3432</v>
      </c>
    </row>
    <row r="1257" spans="1:9" x14ac:dyDescent="0.35">
      <c r="A1257" s="6">
        <v>2548705</v>
      </c>
      <c r="B1257" s="7" t="str">
        <f>"3329091804810009"</f>
        <v>3329091804810009</v>
      </c>
      <c r="C1257" s="7" t="s">
        <v>3610</v>
      </c>
      <c r="D1257" s="7" t="s">
        <v>17</v>
      </c>
      <c r="E1257" s="7" t="s">
        <v>11</v>
      </c>
      <c r="F1257" s="7" t="s">
        <v>18</v>
      </c>
      <c r="G1257" s="7" t="s">
        <v>19</v>
      </c>
      <c r="H1257" s="7" t="s">
        <v>251</v>
      </c>
      <c r="I1257" s="8" t="s">
        <v>3432</v>
      </c>
    </row>
    <row r="1258" spans="1:9" x14ac:dyDescent="0.35">
      <c r="A1258" s="6">
        <v>2550113</v>
      </c>
      <c r="B1258" s="7" t="str">
        <f>"3329092005870006"</f>
        <v>3329092005870006</v>
      </c>
      <c r="C1258" s="7" t="s">
        <v>3611</v>
      </c>
      <c r="D1258" s="7" t="s">
        <v>17</v>
      </c>
      <c r="E1258" s="7" t="s">
        <v>11</v>
      </c>
      <c r="F1258" s="7" t="s">
        <v>18</v>
      </c>
      <c r="G1258" s="7" t="s">
        <v>19</v>
      </c>
      <c r="H1258" s="7" t="s">
        <v>251</v>
      </c>
      <c r="I1258" s="8" t="s">
        <v>3410</v>
      </c>
    </row>
    <row r="1259" spans="1:9" x14ac:dyDescent="0.35">
      <c r="A1259" s="6">
        <v>2550081</v>
      </c>
      <c r="B1259" s="7" t="str">
        <f>"3329100804920003"</f>
        <v>3329100804920003</v>
      </c>
      <c r="C1259" s="7" t="s">
        <v>3615</v>
      </c>
      <c r="D1259" s="7" t="s">
        <v>17</v>
      </c>
      <c r="E1259" s="7" t="s">
        <v>11</v>
      </c>
      <c r="F1259" s="7" t="s">
        <v>18</v>
      </c>
      <c r="G1259" s="7" t="s">
        <v>19</v>
      </c>
      <c r="H1259" s="7" t="s">
        <v>251</v>
      </c>
      <c r="I1259" s="8" t="s">
        <v>3410</v>
      </c>
    </row>
    <row r="1260" spans="1:9" x14ac:dyDescent="0.35">
      <c r="A1260" s="6">
        <v>1691459</v>
      </c>
      <c r="B1260" s="7" t="str">
        <f>"3329105201970004"</f>
        <v>3329105201970004</v>
      </c>
      <c r="C1260" s="7" t="s">
        <v>3616</v>
      </c>
      <c r="D1260" s="7" t="s">
        <v>17</v>
      </c>
      <c r="E1260" s="7" t="s">
        <v>11</v>
      </c>
      <c r="F1260" s="7" t="s">
        <v>18</v>
      </c>
      <c r="G1260" s="7" t="s">
        <v>264</v>
      </c>
      <c r="H1260" s="7" t="s">
        <v>273</v>
      </c>
      <c r="I1260" s="8" t="s">
        <v>273</v>
      </c>
    </row>
    <row r="1261" spans="1:9" x14ac:dyDescent="0.35">
      <c r="A1261" s="6">
        <v>2548678</v>
      </c>
      <c r="B1261" s="7" t="str">
        <f>"3329121010720006"</f>
        <v>3329121010720006</v>
      </c>
      <c r="C1261" s="7" t="s">
        <v>3617</v>
      </c>
      <c r="D1261" s="7" t="s">
        <v>17</v>
      </c>
      <c r="E1261" s="7" t="s">
        <v>11</v>
      </c>
      <c r="F1261" s="7" t="s">
        <v>18</v>
      </c>
      <c r="G1261" s="7" t="s">
        <v>19</v>
      </c>
      <c r="H1261" s="7" t="s">
        <v>251</v>
      </c>
      <c r="I1261" s="8" t="s">
        <v>3432</v>
      </c>
    </row>
    <row r="1262" spans="1:9" x14ac:dyDescent="0.35">
      <c r="A1262" s="6">
        <v>2550520</v>
      </c>
      <c r="B1262" s="7" t="str">
        <f>"3329126909970005"</f>
        <v>3329126909970005</v>
      </c>
      <c r="C1262" s="7" t="s">
        <v>3619</v>
      </c>
      <c r="D1262" s="7" t="s">
        <v>17</v>
      </c>
      <c r="E1262" s="7" t="s">
        <v>11</v>
      </c>
      <c r="F1262" s="7" t="s">
        <v>18</v>
      </c>
      <c r="G1262" s="7" t="s">
        <v>19</v>
      </c>
      <c r="H1262" s="7" t="s">
        <v>251</v>
      </c>
      <c r="I1262" s="8" t="s">
        <v>3414</v>
      </c>
    </row>
    <row r="1263" spans="1:9" x14ac:dyDescent="0.35">
      <c r="A1263" s="6">
        <v>2549356</v>
      </c>
      <c r="B1263" s="7" t="str">
        <f>"3329156912920002"</f>
        <v>3329156912920002</v>
      </c>
      <c r="C1263" s="7" t="s">
        <v>3620</v>
      </c>
      <c r="D1263" s="7" t="s">
        <v>17</v>
      </c>
      <c r="E1263" s="7" t="s">
        <v>11</v>
      </c>
      <c r="F1263" s="7" t="s">
        <v>18</v>
      </c>
      <c r="G1263" s="7" t="s">
        <v>19</v>
      </c>
      <c r="H1263" s="7" t="s">
        <v>251</v>
      </c>
      <c r="I1263" s="8" t="s">
        <v>3493</v>
      </c>
    </row>
    <row r="1264" spans="1:9" x14ac:dyDescent="0.35">
      <c r="A1264" s="6">
        <v>2572713</v>
      </c>
      <c r="B1264" s="7" t="str">
        <f>"3374015410900001"</f>
        <v>3374015410900001</v>
      </c>
      <c r="C1264" s="7" t="s">
        <v>3622</v>
      </c>
      <c r="D1264" s="7" t="s">
        <v>17</v>
      </c>
      <c r="E1264" s="7" t="s">
        <v>11</v>
      </c>
      <c r="F1264" s="7" t="s">
        <v>18</v>
      </c>
      <c r="G1264" s="7" t="s">
        <v>19</v>
      </c>
      <c r="H1264" s="7" t="s">
        <v>251</v>
      </c>
      <c r="I1264" s="8" t="s">
        <v>252</v>
      </c>
    </row>
    <row r="1265" spans="1:9" x14ac:dyDescent="0.35">
      <c r="A1265" s="6">
        <v>2550082</v>
      </c>
      <c r="B1265" s="7" t="str">
        <f>"3374061504910002"</f>
        <v>3374061504910002</v>
      </c>
      <c r="C1265" s="7" t="s">
        <v>3625</v>
      </c>
      <c r="D1265" s="7" t="s">
        <v>17</v>
      </c>
      <c r="E1265" s="7" t="s">
        <v>11</v>
      </c>
      <c r="F1265" s="7" t="s">
        <v>18</v>
      </c>
      <c r="G1265" s="7" t="s">
        <v>19</v>
      </c>
      <c r="H1265" s="7" t="s">
        <v>251</v>
      </c>
      <c r="I1265" s="8" t="s">
        <v>3410</v>
      </c>
    </row>
    <row r="1266" spans="1:9" x14ac:dyDescent="0.35">
      <c r="A1266" s="6">
        <v>2550083</v>
      </c>
      <c r="B1266" s="7" t="str">
        <f>"3374066801920007"</f>
        <v>3374066801920007</v>
      </c>
      <c r="C1266" s="7" t="s">
        <v>3627</v>
      </c>
      <c r="D1266" s="7" t="s">
        <v>17</v>
      </c>
      <c r="E1266" s="7" t="s">
        <v>11</v>
      </c>
      <c r="F1266" s="7" t="s">
        <v>18</v>
      </c>
      <c r="G1266" s="7" t="s">
        <v>19</v>
      </c>
      <c r="H1266" s="7" t="s">
        <v>251</v>
      </c>
      <c r="I1266" s="8" t="s">
        <v>3410</v>
      </c>
    </row>
    <row r="1267" spans="1:9" x14ac:dyDescent="0.35">
      <c r="A1267" s="6">
        <v>2551138</v>
      </c>
      <c r="B1267" s="7" t="str">
        <f>"3376010204850003"</f>
        <v>3376010204850003</v>
      </c>
      <c r="C1267" s="7" t="s">
        <v>3628</v>
      </c>
      <c r="D1267" s="7" t="s">
        <v>17</v>
      </c>
      <c r="E1267" s="7" t="s">
        <v>11</v>
      </c>
      <c r="F1267" s="7" t="s">
        <v>18</v>
      </c>
      <c r="G1267" s="7" t="s">
        <v>19</v>
      </c>
      <c r="H1267" s="7" t="s">
        <v>251</v>
      </c>
      <c r="I1267" s="8" t="s">
        <v>3418</v>
      </c>
    </row>
    <row r="1268" spans="1:9" x14ac:dyDescent="0.35">
      <c r="A1268" s="6">
        <v>2550464</v>
      </c>
      <c r="B1268" s="7" t="str">
        <f>"3376014605960002"</f>
        <v>3376014605960002</v>
      </c>
      <c r="C1268" s="7" t="s">
        <v>3629</v>
      </c>
      <c r="D1268" s="7" t="s">
        <v>17</v>
      </c>
      <c r="E1268" s="7" t="s">
        <v>11</v>
      </c>
      <c r="F1268" s="7" t="s">
        <v>18</v>
      </c>
      <c r="G1268" s="7" t="s">
        <v>19</v>
      </c>
      <c r="H1268" s="7" t="s">
        <v>251</v>
      </c>
      <c r="I1268" s="8" t="s">
        <v>3414</v>
      </c>
    </row>
    <row r="1269" spans="1:9" x14ac:dyDescent="0.35">
      <c r="A1269" s="6">
        <v>2550465</v>
      </c>
      <c r="B1269" s="7" t="str">
        <f>"3376016101750002"</f>
        <v>3376016101750002</v>
      </c>
      <c r="C1269" s="7" t="s">
        <v>3630</v>
      </c>
      <c r="D1269" s="7" t="s">
        <v>17</v>
      </c>
      <c r="E1269" s="7" t="s">
        <v>11</v>
      </c>
      <c r="F1269" s="7" t="s">
        <v>18</v>
      </c>
      <c r="G1269" s="7" t="s">
        <v>19</v>
      </c>
      <c r="H1269" s="7" t="s">
        <v>251</v>
      </c>
      <c r="I1269" s="8" t="s">
        <v>3414</v>
      </c>
    </row>
    <row r="1270" spans="1:9" x14ac:dyDescent="0.35">
      <c r="A1270" s="6">
        <v>2551140</v>
      </c>
      <c r="B1270" s="7" t="str">
        <f>"3376016202990001"</f>
        <v>3376016202990001</v>
      </c>
      <c r="C1270" s="7" t="s">
        <v>3631</v>
      </c>
      <c r="D1270" s="7" t="s">
        <v>17</v>
      </c>
      <c r="E1270" s="7" t="s">
        <v>11</v>
      </c>
      <c r="F1270" s="7" t="s">
        <v>18</v>
      </c>
      <c r="G1270" s="7" t="s">
        <v>19</v>
      </c>
      <c r="H1270" s="7" t="s">
        <v>251</v>
      </c>
      <c r="I1270" s="8" t="s">
        <v>3418</v>
      </c>
    </row>
    <row r="1271" spans="1:9" x14ac:dyDescent="0.35">
      <c r="A1271" s="6">
        <v>421303</v>
      </c>
      <c r="B1271" s="7" t="str">
        <f>"3376024808940002"</f>
        <v>3376024808940002</v>
      </c>
      <c r="C1271" s="7" t="s">
        <v>3633</v>
      </c>
      <c r="D1271" s="7" t="s">
        <v>17</v>
      </c>
      <c r="E1271" s="7" t="s">
        <v>11</v>
      </c>
      <c r="F1271" s="7" t="s">
        <v>18</v>
      </c>
      <c r="G1271" s="7" t="s">
        <v>268</v>
      </c>
      <c r="H1271" s="7" t="s">
        <v>371</v>
      </c>
      <c r="I1271" s="8" t="s">
        <v>2769</v>
      </c>
    </row>
    <row r="1272" spans="1:9" x14ac:dyDescent="0.35">
      <c r="A1272" s="6">
        <v>2549477</v>
      </c>
      <c r="B1272" s="7" t="str">
        <f>"3506171809730003"</f>
        <v>3506171809730003</v>
      </c>
      <c r="C1272" s="7" t="s">
        <v>3634</v>
      </c>
      <c r="D1272" s="7" t="s">
        <v>17</v>
      </c>
      <c r="E1272" s="7" t="s">
        <v>11</v>
      </c>
      <c r="F1272" s="7" t="s">
        <v>18</v>
      </c>
      <c r="G1272" s="7" t="s">
        <v>19</v>
      </c>
      <c r="H1272" s="7" t="s">
        <v>251</v>
      </c>
      <c r="I1272" s="8" t="s">
        <v>3348</v>
      </c>
    </row>
    <row r="1273" spans="1:9" x14ac:dyDescent="0.35">
      <c r="A1273" s="6">
        <v>2550324</v>
      </c>
      <c r="B1273" s="7" t="str">
        <f>"3513191911730001"</f>
        <v>3513191911730001</v>
      </c>
      <c r="C1273" s="7" t="s">
        <v>3637</v>
      </c>
      <c r="D1273" s="7" t="s">
        <v>17</v>
      </c>
      <c r="E1273" s="7" t="s">
        <v>11</v>
      </c>
      <c r="F1273" s="7" t="s">
        <v>18</v>
      </c>
      <c r="G1273" s="7" t="s">
        <v>19</v>
      </c>
      <c r="H1273" s="7" t="s">
        <v>251</v>
      </c>
      <c r="I1273" s="8" t="s">
        <v>3410</v>
      </c>
    </row>
    <row r="1274" spans="1:9" x14ac:dyDescent="0.35">
      <c r="A1274" s="6">
        <v>2550325</v>
      </c>
      <c r="B1274" s="7" t="str">
        <f>"3513196803890004"</f>
        <v>3513196803890004</v>
      </c>
      <c r="C1274" s="7" t="s">
        <v>3641</v>
      </c>
      <c r="D1274" s="7" t="s">
        <v>17</v>
      </c>
      <c r="E1274" s="7" t="s">
        <v>11</v>
      </c>
      <c r="F1274" s="7" t="s">
        <v>18</v>
      </c>
      <c r="G1274" s="7" t="s">
        <v>19</v>
      </c>
      <c r="H1274" s="7" t="s">
        <v>251</v>
      </c>
      <c r="I1274" s="8" t="s">
        <v>3410</v>
      </c>
    </row>
    <row r="1275" spans="1:9" x14ac:dyDescent="0.35">
      <c r="A1275" s="6">
        <v>2549306</v>
      </c>
      <c r="B1275" s="7" t="str">
        <f>"3671114512980001"</f>
        <v>3671114512980001</v>
      </c>
      <c r="C1275" s="7" t="s">
        <v>3642</v>
      </c>
      <c r="D1275" s="7" t="s">
        <v>17</v>
      </c>
      <c r="E1275" s="7" t="s">
        <v>11</v>
      </c>
      <c r="F1275" s="7" t="s">
        <v>18</v>
      </c>
      <c r="G1275" s="7" t="s">
        <v>19</v>
      </c>
      <c r="H1275" s="7" t="s">
        <v>251</v>
      </c>
      <c r="I1275" s="8" t="s">
        <v>3493</v>
      </c>
    </row>
    <row r="1276" spans="1:9" x14ac:dyDescent="0.35">
      <c r="A1276" s="6">
        <v>2549017</v>
      </c>
      <c r="B1276" s="7" t="str">
        <f>"5271014102910002"</f>
        <v>5271014102910002</v>
      </c>
      <c r="C1276" s="7" t="s">
        <v>3649</v>
      </c>
      <c r="D1276" s="7" t="s">
        <v>17</v>
      </c>
      <c r="E1276" s="7" t="s">
        <v>11</v>
      </c>
      <c r="F1276" s="7" t="s">
        <v>18</v>
      </c>
      <c r="G1276" s="7" t="s">
        <v>19</v>
      </c>
      <c r="H1276" s="7" t="s">
        <v>251</v>
      </c>
      <c r="I1276" s="8" t="s">
        <v>3432</v>
      </c>
    </row>
    <row r="1277" spans="1:9" x14ac:dyDescent="0.35">
      <c r="A1277" s="6">
        <v>2550450</v>
      </c>
      <c r="B1277" s="7" t="str">
        <f>"9171025003880004"</f>
        <v>9171025003880004</v>
      </c>
      <c r="C1277" s="7" t="s">
        <v>3650</v>
      </c>
      <c r="D1277" s="7" t="s">
        <v>17</v>
      </c>
      <c r="E1277" s="7" t="s">
        <v>11</v>
      </c>
      <c r="F1277" s="7" t="s">
        <v>18</v>
      </c>
      <c r="G1277" s="7" t="s">
        <v>19</v>
      </c>
      <c r="H1277" s="7" t="s">
        <v>251</v>
      </c>
      <c r="I1277" s="8" t="s">
        <v>3414</v>
      </c>
    </row>
    <row r="1278" spans="1:9" x14ac:dyDescent="0.35">
      <c r="A1278" s="6">
        <v>2553474</v>
      </c>
      <c r="B1278" s="7" t="str">
        <f>"1203042307031001"</f>
        <v>1203042307031001</v>
      </c>
      <c r="C1278" s="7" t="s">
        <v>3657</v>
      </c>
      <c r="D1278" s="7" t="s">
        <v>17</v>
      </c>
      <c r="E1278" s="7" t="s">
        <v>11</v>
      </c>
      <c r="F1278" s="7" t="s">
        <v>18</v>
      </c>
      <c r="G1278" s="7" t="s">
        <v>19</v>
      </c>
      <c r="H1278" s="7" t="s">
        <v>348</v>
      </c>
      <c r="I1278" s="8" t="s">
        <v>3658</v>
      </c>
    </row>
    <row r="1279" spans="1:9" x14ac:dyDescent="0.35">
      <c r="A1279" s="6">
        <v>2551338</v>
      </c>
      <c r="B1279" s="7" t="str">
        <f>"3171071012961003"</f>
        <v>3171071012961003</v>
      </c>
      <c r="C1279" s="7" t="s">
        <v>3664</v>
      </c>
      <c r="D1279" s="7" t="s">
        <v>17</v>
      </c>
      <c r="E1279" s="7" t="s">
        <v>11</v>
      </c>
      <c r="F1279" s="7" t="s">
        <v>18</v>
      </c>
      <c r="G1279" s="7" t="s">
        <v>19</v>
      </c>
      <c r="H1279" s="7" t="s">
        <v>348</v>
      </c>
      <c r="I1279" s="8" t="s">
        <v>459</v>
      </c>
    </row>
    <row r="1280" spans="1:9" x14ac:dyDescent="0.35">
      <c r="A1280" s="6">
        <v>2552984</v>
      </c>
      <c r="B1280" s="7" t="str">
        <f>"3172035401710006"</f>
        <v>3172035401710006</v>
      </c>
      <c r="C1280" s="7" t="s">
        <v>3665</v>
      </c>
      <c r="D1280" s="7" t="s">
        <v>17</v>
      </c>
      <c r="E1280" s="7" t="s">
        <v>11</v>
      </c>
      <c r="F1280" s="7" t="s">
        <v>18</v>
      </c>
      <c r="G1280" s="7" t="s">
        <v>19</v>
      </c>
      <c r="H1280" s="7" t="s">
        <v>348</v>
      </c>
      <c r="I1280" s="8" t="s">
        <v>3666</v>
      </c>
    </row>
    <row r="1281" spans="1:9" x14ac:dyDescent="0.35">
      <c r="A1281" s="6">
        <v>2552663</v>
      </c>
      <c r="B1281" s="7" t="str">
        <f>"3172036405920009"</f>
        <v>3172036405920009</v>
      </c>
      <c r="C1281" s="7" t="s">
        <v>3667</v>
      </c>
      <c r="D1281" s="7" t="s">
        <v>17</v>
      </c>
      <c r="E1281" s="7" t="s">
        <v>11</v>
      </c>
      <c r="F1281" s="7" t="s">
        <v>18</v>
      </c>
      <c r="G1281" s="7" t="s">
        <v>19</v>
      </c>
      <c r="H1281" s="7" t="s">
        <v>348</v>
      </c>
      <c r="I1281" s="8" t="s">
        <v>3668</v>
      </c>
    </row>
    <row r="1282" spans="1:9" x14ac:dyDescent="0.35">
      <c r="A1282" s="6">
        <v>2551476</v>
      </c>
      <c r="B1282" s="7" t="str">
        <f>"3174030212860001"</f>
        <v>3174030212860001</v>
      </c>
      <c r="C1282" s="7" t="s">
        <v>3669</v>
      </c>
      <c r="D1282" s="7" t="s">
        <v>17</v>
      </c>
      <c r="E1282" s="7" t="s">
        <v>11</v>
      </c>
      <c r="F1282" s="7" t="s">
        <v>18</v>
      </c>
      <c r="G1282" s="7" t="s">
        <v>19</v>
      </c>
      <c r="H1282" s="7" t="s">
        <v>348</v>
      </c>
      <c r="I1282" s="8" t="s">
        <v>3670</v>
      </c>
    </row>
    <row r="1283" spans="1:9" x14ac:dyDescent="0.35">
      <c r="A1283" s="6">
        <v>2553444</v>
      </c>
      <c r="B1283" s="7" t="str">
        <f>"3174102002860001"</f>
        <v>3174102002860001</v>
      </c>
      <c r="C1283" s="7" t="s">
        <v>3676</v>
      </c>
      <c r="D1283" s="7" t="s">
        <v>17</v>
      </c>
      <c r="E1283" s="7" t="s">
        <v>11</v>
      </c>
      <c r="F1283" s="7" t="s">
        <v>18</v>
      </c>
      <c r="G1283" s="7" t="s">
        <v>19</v>
      </c>
      <c r="H1283" s="7" t="s">
        <v>348</v>
      </c>
      <c r="I1283" s="8" t="s">
        <v>3677</v>
      </c>
    </row>
    <row r="1284" spans="1:9" x14ac:dyDescent="0.35">
      <c r="A1284" s="6">
        <v>2551727</v>
      </c>
      <c r="B1284" s="7" t="str">
        <f>"3175011103580004"</f>
        <v>3175011103580004</v>
      </c>
      <c r="C1284" s="7" t="s">
        <v>3678</v>
      </c>
      <c r="D1284" s="7" t="s">
        <v>17</v>
      </c>
      <c r="E1284" s="7" t="s">
        <v>11</v>
      </c>
      <c r="F1284" s="7" t="s">
        <v>18</v>
      </c>
      <c r="G1284" s="7" t="s">
        <v>19</v>
      </c>
      <c r="H1284" s="7" t="s">
        <v>348</v>
      </c>
      <c r="I1284" s="8" t="s">
        <v>3679</v>
      </c>
    </row>
    <row r="1285" spans="1:9" x14ac:dyDescent="0.35">
      <c r="A1285" s="6">
        <v>2553161</v>
      </c>
      <c r="B1285" s="7" t="str">
        <f>"3209224810900005"</f>
        <v>3209224810900005</v>
      </c>
      <c r="C1285" s="7" t="s">
        <v>3681</v>
      </c>
      <c r="D1285" s="7" t="s">
        <v>17</v>
      </c>
      <c r="E1285" s="7" t="s">
        <v>11</v>
      </c>
      <c r="F1285" s="7" t="s">
        <v>18</v>
      </c>
      <c r="G1285" s="7" t="s">
        <v>19</v>
      </c>
      <c r="H1285" s="7" t="s">
        <v>348</v>
      </c>
      <c r="I1285" s="8" t="s">
        <v>3683</v>
      </c>
    </row>
    <row r="1286" spans="1:9" x14ac:dyDescent="0.35">
      <c r="A1286" s="6">
        <v>2551821</v>
      </c>
      <c r="B1286" s="7" t="str">
        <f>"3210081411870081"</f>
        <v>3210081411870081</v>
      </c>
      <c r="C1286" s="7" t="s">
        <v>3687</v>
      </c>
      <c r="D1286" s="7" t="s">
        <v>17</v>
      </c>
      <c r="E1286" s="7" t="s">
        <v>11</v>
      </c>
      <c r="F1286" s="7" t="s">
        <v>18</v>
      </c>
      <c r="G1286" s="7" t="s">
        <v>19</v>
      </c>
      <c r="H1286" s="7" t="s">
        <v>348</v>
      </c>
      <c r="I1286" s="8" t="s">
        <v>3688</v>
      </c>
    </row>
    <row r="1287" spans="1:9" x14ac:dyDescent="0.35">
      <c r="A1287" s="6">
        <v>2552746</v>
      </c>
      <c r="B1287" s="7" t="str">
        <f>"3215043011970001"</f>
        <v>3215043011970001</v>
      </c>
      <c r="C1287" s="7" t="s">
        <v>3689</v>
      </c>
      <c r="D1287" s="7" t="s">
        <v>17</v>
      </c>
      <c r="E1287" s="7" t="s">
        <v>11</v>
      </c>
      <c r="F1287" s="7" t="s">
        <v>18</v>
      </c>
      <c r="G1287" s="7" t="s">
        <v>19</v>
      </c>
      <c r="H1287" s="7" t="s">
        <v>348</v>
      </c>
      <c r="I1287" s="8" t="s">
        <v>1777</v>
      </c>
    </row>
    <row r="1288" spans="1:9" x14ac:dyDescent="0.35">
      <c r="A1288" s="6">
        <v>2553229</v>
      </c>
      <c r="B1288" s="7" t="str">
        <f>"3216071109830007"</f>
        <v>3216071109830007</v>
      </c>
      <c r="C1288" s="7" t="s">
        <v>3692</v>
      </c>
      <c r="D1288" s="7" t="s">
        <v>17</v>
      </c>
      <c r="E1288" s="7" t="s">
        <v>11</v>
      </c>
      <c r="F1288" s="7" t="s">
        <v>18</v>
      </c>
      <c r="G1288" s="7" t="s">
        <v>19</v>
      </c>
      <c r="H1288" s="7" t="s">
        <v>348</v>
      </c>
      <c r="I1288" s="8" t="s">
        <v>3683</v>
      </c>
    </row>
    <row r="1289" spans="1:9" x14ac:dyDescent="0.35">
      <c r="A1289" s="6">
        <v>2551632</v>
      </c>
      <c r="B1289" s="7" t="str">
        <f>"3216082609790001"</f>
        <v>3216082609790001</v>
      </c>
      <c r="C1289" s="7" t="s">
        <v>3695</v>
      </c>
      <c r="D1289" s="7" t="s">
        <v>17</v>
      </c>
      <c r="E1289" s="7" t="s">
        <v>11</v>
      </c>
      <c r="F1289" s="7" t="s">
        <v>18</v>
      </c>
      <c r="G1289" s="7" t="s">
        <v>19</v>
      </c>
      <c r="H1289" s="7" t="s">
        <v>348</v>
      </c>
      <c r="I1289" s="8" t="s">
        <v>3696</v>
      </c>
    </row>
    <row r="1290" spans="1:9" x14ac:dyDescent="0.35">
      <c r="A1290" s="6">
        <v>2551633</v>
      </c>
      <c r="B1290" s="7" t="str">
        <f>"3216086210810003"</f>
        <v>3216086210810003</v>
      </c>
      <c r="C1290" s="7" t="s">
        <v>3698</v>
      </c>
      <c r="D1290" s="7" t="s">
        <v>17</v>
      </c>
      <c r="E1290" s="7" t="s">
        <v>11</v>
      </c>
      <c r="F1290" s="7" t="s">
        <v>18</v>
      </c>
      <c r="G1290" s="7" t="s">
        <v>19</v>
      </c>
      <c r="H1290" s="7" t="s">
        <v>348</v>
      </c>
      <c r="I1290" s="8" t="s">
        <v>3696</v>
      </c>
    </row>
    <row r="1291" spans="1:9" x14ac:dyDescent="0.35">
      <c r="A1291" s="6">
        <v>2552407</v>
      </c>
      <c r="B1291" s="7" t="str">
        <f>"3216160203950004"</f>
        <v>3216160203950004</v>
      </c>
      <c r="C1291" s="7" t="s">
        <v>3699</v>
      </c>
      <c r="D1291" s="7" t="s">
        <v>17</v>
      </c>
      <c r="E1291" s="7" t="s">
        <v>11</v>
      </c>
      <c r="F1291" s="7" t="s">
        <v>18</v>
      </c>
      <c r="G1291" s="7" t="s">
        <v>19</v>
      </c>
      <c r="H1291" s="7" t="s">
        <v>348</v>
      </c>
      <c r="I1291" s="8" t="s">
        <v>3660</v>
      </c>
    </row>
    <row r="1292" spans="1:9" x14ac:dyDescent="0.35">
      <c r="A1292" s="6">
        <v>2551820</v>
      </c>
      <c r="B1292" s="7" t="str">
        <f>"3216175207840005"</f>
        <v>3216175207840005</v>
      </c>
      <c r="C1292" s="7" t="s">
        <v>3705</v>
      </c>
      <c r="D1292" s="7" t="s">
        <v>17</v>
      </c>
      <c r="E1292" s="7" t="s">
        <v>11</v>
      </c>
      <c r="F1292" s="7" t="s">
        <v>18</v>
      </c>
      <c r="G1292" s="7" t="s">
        <v>19</v>
      </c>
      <c r="H1292" s="7" t="s">
        <v>348</v>
      </c>
      <c r="I1292" s="8" t="s">
        <v>3688</v>
      </c>
    </row>
    <row r="1293" spans="1:9" x14ac:dyDescent="0.35">
      <c r="A1293" s="6">
        <v>2551785</v>
      </c>
      <c r="B1293" s="7" t="str">
        <f>"3275031207820053"</f>
        <v>3275031207820053</v>
      </c>
      <c r="C1293" s="7" t="s">
        <v>3706</v>
      </c>
      <c r="D1293" s="7" t="s">
        <v>17</v>
      </c>
      <c r="E1293" s="7" t="s">
        <v>11</v>
      </c>
      <c r="F1293" s="7" t="s">
        <v>18</v>
      </c>
      <c r="G1293" s="7" t="s">
        <v>19</v>
      </c>
      <c r="H1293" s="7" t="s">
        <v>348</v>
      </c>
      <c r="I1293" s="8" t="s">
        <v>3679</v>
      </c>
    </row>
    <row r="1294" spans="1:9" x14ac:dyDescent="0.35">
      <c r="A1294" s="6">
        <v>1017573</v>
      </c>
      <c r="B1294" s="7" t="str">
        <f>"3275055909990014"</f>
        <v>3275055909990014</v>
      </c>
      <c r="C1294" s="7" t="s">
        <v>3709</v>
      </c>
      <c r="D1294" s="7" t="s">
        <v>17</v>
      </c>
      <c r="E1294" s="7" t="s">
        <v>11</v>
      </c>
      <c r="F1294" s="7" t="s">
        <v>18</v>
      </c>
      <c r="G1294" s="7" t="s">
        <v>385</v>
      </c>
      <c r="H1294" s="7" t="s">
        <v>2417</v>
      </c>
      <c r="I1294" s="8" t="s">
        <v>2417</v>
      </c>
    </row>
    <row r="1295" spans="1:9" x14ac:dyDescent="0.35">
      <c r="A1295" s="6">
        <v>2553378</v>
      </c>
      <c r="B1295" s="7" t="str">
        <f>"3276020306810021"</f>
        <v>3276020306810021</v>
      </c>
      <c r="C1295" s="7" t="s">
        <v>3711</v>
      </c>
      <c r="D1295" s="7" t="s">
        <v>17</v>
      </c>
      <c r="E1295" s="7" t="s">
        <v>11</v>
      </c>
      <c r="F1295" s="7" t="s">
        <v>18</v>
      </c>
      <c r="G1295" s="7" t="s">
        <v>19</v>
      </c>
      <c r="H1295" s="7" t="s">
        <v>348</v>
      </c>
      <c r="I1295" s="8" t="s">
        <v>3677</v>
      </c>
    </row>
    <row r="1296" spans="1:9" x14ac:dyDescent="0.35">
      <c r="A1296" s="6">
        <v>3122623</v>
      </c>
      <c r="B1296" s="7" t="str">
        <f>"3301102901880003"</f>
        <v>3301102901880003</v>
      </c>
      <c r="C1296" s="7" t="s">
        <v>3713</v>
      </c>
      <c r="D1296" s="7" t="s">
        <v>17</v>
      </c>
      <c r="E1296" s="7" t="s">
        <v>11</v>
      </c>
      <c r="F1296" s="7" t="s">
        <v>18</v>
      </c>
      <c r="G1296" s="7" t="s">
        <v>163</v>
      </c>
      <c r="H1296" s="7" t="s">
        <v>428</v>
      </c>
      <c r="I1296" s="8" t="s">
        <v>3714</v>
      </c>
    </row>
    <row r="1297" spans="1:9" x14ac:dyDescent="0.35">
      <c r="A1297" s="6">
        <v>2552747</v>
      </c>
      <c r="B1297" s="7" t="str">
        <f>"3305202312920001"</f>
        <v>3305202312920001</v>
      </c>
      <c r="C1297" s="7" t="s">
        <v>3715</v>
      </c>
      <c r="D1297" s="7" t="s">
        <v>17</v>
      </c>
      <c r="E1297" s="7" t="s">
        <v>11</v>
      </c>
      <c r="F1297" s="7" t="s">
        <v>18</v>
      </c>
      <c r="G1297" s="7" t="s">
        <v>19</v>
      </c>
      <c r="H1297" s="7" t="s">
        <v>348</v>
      </c>
      <c r="I1297" s="8" t="s">
        <v>1777</v>
      </c>
    </row>
    <row r="1298" spans="1:9" x14ac:dyDescent="0.35">
      <c r="A1298" s="6">
        <v>650365</v>
      </c>
      <c r="B1298" s="7" t="str">
        <f>"3325056604900001"</f>
        <v>3325056604900001</v>
      </c>
      <c r="C1298" s="7" t="s">
        <v>3117</v>
      </c>
      <c r="D1298" s="7" t="s">
        <v>17</v>
      </c>
      <c r="E1298" s="7" t="s">
        <v>11</v>
      </c>
      <c r="F1298" s="7" t="s">
        <v>18</v>
      </c>
      <c r="G1298" s="7" t="s">
        <v>190</v>
      </c>
      <c r="H1298" s="7" t="s">
        <v>2651</v>
      </c>
      <c r="I1298" s="8" t="s">
        <v>501</v>
      </c>
    </row>
    <row r="1299" spans="1:9" x14ac:dyDescent="0.35">
      <c r="A1299" s="6">
        <v>2551818</v>
      </c>
      <c r="B1299" s="7" t="str">
        <f>"3326115307990001"</f>
        <v>3326115307990001</v>
      </c>
      <c r="C1299" s="7" t="s">
        <v>3718</v>
      </c>
      <c r="D1299" s="7" t="s">
        <v>17</v>
      </c>
      <c r="E1299" s="7" t="s">
        <v>11</v>
      </c>
      <c r="F1299" s="7" t="s">
        <v>18</v>
      </c>
      <c r="G1299" s="7" t="s">
        <v>19</v>
      </c>
      <c r="H1299" s="7" t="s">
        <v>348</v>
      </c>
      <c r="I1299" s="8" t="s">
        <v>3688</v>
      </c>
    </row>
    <row r="1300" spans="1:9" x14ac:dyDescent="0.35">
      <c r="A1300" s="6">
        <v>2551609</v>
      </c>
      <c r="B1300" s="7" t="str">
        <f>"3327125505790009"</f>
        <v>3327125505790009</v>
      </c>
      <c r="C1300" s="7" t="s">
        <v>3719</v>
      </c>
      <c r="D1300" s="7" t="s">
        <v>17</v>
      </c>
      <c r="E1300" s="7" t="s">
        <v>11</v>
      </c>
      <c r="F1300" s="7" t="s">
        <v>18</v>
      </c>
      <c r="G1300" s="7" t="s">
        <v>19</v>
      </c>
      <c r="H1300" s="7" t="s">
        <v>348</v>
      </c>
      <c r="I1300" s="8" t="s">
        <v>3696</v>
      </c>
    </row>
    <row r="1301" spans="1:9" x14ac:dyDescent="0.35">
      <c r="A1301" s="6">
        <v>2551375</v>
      </c>
      <c r="B1301" s="7" t="str">
        <f>"3328040504880003"</f>
        <v>3328040504880003</v>
      </c>
      <c r="C1301" s="7" t="s">
        <v>3720</v>
      </c>
      <c r="D1301" s="7" t="s">
        <v>17</v>
      </c>
      <c r="E1301" s="7" t="s">
        <v>11</v>
      </c>
      <c r="F1301" s="7" t="s">
        <v>18</v>
      </c>
      <c r="G1301" s="7" t="s">
        <v>19</v>
      </c>
      <c r="H1301" s="7" t="s">
        <v>348</v>
      </c>
      <c r="I1301" s="8" t="s">
        <v>3721</v>
      </c>
    </row>
    <row r="1302" spans="1:9" x14ac:dyDescent="0.35">
      <c r="A1302" s="6">
        <v>2552288</v>
      </c>
      <c r="B1302" s="7" t="str">
        <f>"3328102802050002"</f>
        <v>3328102802050002</v>
      </c>
      <c r="C1302" s="7" t="s">
        <v>3722</v>
      </c>
      <c r="D1302" s="7" t="s">
        <v>17</v>
      </c>
      <c r="E1302" s="7" t="s">
        <v>11</v>
      </c>
      <c r="F1302" s="7" t="s">
        <v>18</v>
      </c>
      <c r="G1302" s="7" t="s">
        <v>19</v>
      </c>
      <c r="H1302" s="7" t="s">
        <v>348</v>
      </c>
      <c r="I1302" s="8" t="s">
        <v>3723</v>
      </c>
    </row>
    <row r="1303" spans="1:9" x14ac:dyDescent="0.35">
      <c r="A1303" s="6">
        <v>2552508</v>
      </c>
      <c r="B1303" s="7" t="str">
        <f>"3328110101660013"</f>
        <v>3328110101660013</v>
      </c>
      <c r="C1303" s="7" t="s">
        <v>3726</v>
      </c>
      <c r="D1303" s="7" t="s">
        <v>17</v>
      </c>
      <c r="E1303" s="7" t="s">
        <v>11</v>
      </c>
      <c r="F1303" s="7" t="s">
        <v>18</v>
      </c>
      <c r="G1303" s="7" t="s">
        <v>19</v>
      </c>
      <c r="H1303" s="7" t="s">
        <v>348</v>
      </c>
      <c r="I1303" s="8" t="s">
        <v>3727</v>
      </c>
    </row>
    <row r="1304" spans="1:9" x14ac:dyDescent="0.35">
      <c r="A1304" s="6">
        <v>2552800</v>
      </c>
      <c r="B1304" s="7" t="str">
        <f>"3328110502920003"</f>
        <v>3328110502920003</v>
      </c>
      <c r="C1304" s="7" t="s">
        <v>3734</v>
      </c>
      <c r="D1304" s="7" t="s">
        <v>17</v>
      </c>
      <c r="E1304" s="7" t="s">
        <v>11</v>
      </c>
      <c r="F1304" s="7" t="s">
        <v>18</v>
      </c>
      <c r="G1304" s="7" t="s">
        <v>19</v>
      </c>
      <c r="H1304" s="7" t="s">
        <v>348</v>
      </c>
      <c r="I1304" s="8" t="s">
        <v>1777</v>
      </c>
    </row>
    <row r="1305" spans="1:9" x14ac:dyDescent="0.35">
      <c r="A1305" s="6">
        <v>1677219</v>
      </c>
      <c r="B1305" s="7" t="str">
        <f>"3328110503910007"</f>
        <v>3328110503910007</v>
      </c>
      <c r="C1305" s="7" t="s">
        <v>3736</v>
      </c>
      <c r="D1305" s="7" t="s">
        <v>17</v>
      </c>
      <c r="E1305" s="7" t="s">
        <v>11</v>
      </c>
      <c r="F1305" s="7" t="s">
        <v>18</v>
      </c>
      <c r="G1305" s="7" t="s">
        <v>264</v>
      </c>
      <c r="H1305" s="7" t="s">
        <v>396</v>
      </c>
      <c r="I1305" s="8" t="s">
        <v>844</v>
      </c>
    </row>
    <row r="1306" spans="1:9" x14ac:dyDescent="0.35">
      <c r="A1306" s="6">
        <v>1880578</v>
      </c>
      <c r="B1306" s="7" t="str">
        <f>"3328110504860001"</f>
        <v>3328110504860001</v>
      </c>
      <c r="C1306" s="7" t="s">
        <v>3737</v>
      </c>
      <c r="D1306" s="7" t="s">
        <v>17</v>
      </c>
      <c r="E1306" s="7" t="s">
        <v>11</v>
      </c>
      <c r="F1306" s="7" t="s">
        <v>91</v>
      </c>
      <c r="G1306" s="7" t="s">
        <v>320</v>
      </c>
      <c r="H1306" s="7" t="s">
        <v>2523</v>
      </c>
      <c r="I1306" s="8" t="s">
        <v>2524</v>
      </c>
    </row>
    <row r="1307" spans="1:9" x14ac:dyDescent="0.35">
      <c r="A1307" s="6">
        <v>1678687</v>
      </c>
      <c r="B1307" s="7" t="str">
        <f>"3328110506950009"</f>
        <v>3328110506950009</v>
      </c>
      <c r="C1307" s="7" t="s">
        <v>3739</v>
      </c>
      <c r="D1307" s="7" t="s">
        <v>17</v>
      </c>
      <c r="E1307" s="7" t="s">
        <v>11</v>
      </c>
      <c r="F1307" s="7" t="s">
        <v>18</v>
      </c>
      <c r="G1307" s="7" t="s">
        <v>264</v>
      </c>
      <c r="H1307" s="7" t="s">
        <v>265</v>
      </c>
      <c r="I1307" s="8" t="s">
        <v>863</v>
      </c>
    </row>
    <row r="1308" spans="1:9" x14ac:dyDescent="0.35">
      <c r="A1308" s="6">
        <v>1803383</v>
      </c>
      <c r="B1308" s="7" t="str">
        <f>"3328110508760006"</f>
        <v>3328110508760006</v>
      </c>
      <c r="C1308" s="7" t="s">
        <v>3741</v>
      </c>
      <c r="D1308" s="7" t="s">
        <v>17</v>
      </c>
      <c r="E1308" s="7" t="s">
        <v>11</v>
      </c>
      <c r="F1308" s="7" t="s">
        <v>50</v>
      </c>
      <c r="G1308" s="7" t="s">
        <v>72</v>
      </c>
      <c r="H1308" s="7" t="s">
        <v>703</v>
      </c>
      <c r="I1308" s="8" t="s">
        <v>2222</v>
      </c>
    </row>
    <row r="1309" spans="1:9" x14ac:dyDescent="0.35">
      <c r="A1309" s="6">
        <v>2552672</v>
      </c>
      <c r="B1309" s="7" t="str">
        <f>"3328110712970006"</f>
        <v>3328110712970006</v>
      </c>
      <c r="C1309" s="7" t="s">
        <v>3744</v>
      </c>
      <c r="D1309" s="7" t="s">
        <v>17</v>
      </c>
      <c r="E1309" s="7" t="s">
        <v>11</v>
      </c>
      <c r="F1309" s="7" t="s">
        <v>18</v>
      </c>
      <c r="G1309" s="7" t="s">
        <v>19</v>
      </c>
      <c r="H1309" s="7" t="s">
        <v>348</v>
      </c>
      <c r="I1309" s="8" t="s">
        <v>3668</v>
      </c>
    </row>
    <row r="1310" spans="1:9" x14ac:dyDescent="0.35">
      <c r="A1310" s="6">
        <v>2551397</v>
      </c>
      <c r="B1310" s="7" t="str">
        <f>"3328110805860007"</f>
        <v>3328110805860007</v>
      </c>
      <c r="C1310" s="7" t="s">
        <v>3749</v>
      </c>
      <c r="D1310" s="7" t="s">
        <v>17</v>
      </c>
      <c r="E1310" s="7" t="s">
        <v>11</v>
      </c>
      <c r="F1310" s="7" t="s">
        <v>18</v>
      </c>
      <c r="G1310" s="7" t="s">
        <v>19</v>
      </c>
      <c r="H1310" s="7" t="s">
        <v>348</v>
      </c>
      <c r="I1310" s="8" t="s">
        <v>3721</v>
      </c>
    </row>
    <row r="1311" spans="1:9" x14ac:dyDescent="0.35">
      <c r="A1311" s="6">
        <v>2552272</v>
      </c>
      <c r="B1311" s="7" t="str">
        <f>"3328110806800017"</f>
        <v>3328110806800017</v>
      </c>
      <c r="C1311" s="7" t="s">
        <v>3750</v>
      </c>
      <c r="D1311" s="7" t="s">
        <v>17</v>
      </c>
      <c r="E1311" s="7" t="s">
        <v>11</v>
      </c>
      <c r="F1311" s="7" t="s">
        <v>18</v>
      </c>
      <c r="G1311" s="7" t="s">
        <v>19</v>
      </c>
      <c r="H1311" s="7" t="s">
        <v>348</v>
      </c>
      <c r="I1311" s="8" t="s">
        <v>3723</v>
      </c>
    </row>
    <row r="1312" spans="1:9" x14ac:dyDescent="0.35">
      <c r="A1312" s="6">
        <v>1693863</v>
      </c>
      <c r="B1312" s="7" t="str">
        <f>"3328110806890012"</f>
        <v>3328110806890012</v>
      </c>
      <c r="C1312" s="7" t="s">
        <v>3751</v>
      </c>
      <c r="D1312" s="7" t="s">
        <v>17</v>
      </c>
      <c r="E1312" s="7" t="s">
        <v>11</v>
      </c>
      <c r="F1312" s="7" t="s">
        <v>18</v>
      </c>
      <c r="G1312" s="7" t="s">
        <v>264</v>
      </c>
      <c r="H1312" s="7" t="s">
        <v>265</v>
      </c>
      <c r="I1312" s="8" t="s">
        <v>459</v>
      </c>
    </row>
    <row r="1313" spans="1:9" x14ac:dyDescent="0.35">
      <c r="A1313" s="6">
        <v>2553160</v>
      </c>
      <c r="B1313" s="7" t="str">
        <f>"3328110906870005"</f>
        <v>3328110906870005</v>
      </c>
      <c r="C1313" s="7" t="s">
        <v>3752</v>
      </c>
      <c r="D1313" s="7" t="s">
        <v>17</v>
      </c>
      <c r="E1313" s="7" t="s">
        <v>11</v>
      </c>
      <c r="F1313" s="7" t="s">
        <v>18</v>
      </c>
      <c r="G1313" s="7" t="s">
        <v>19</v>
      </c>
      <c r="H1313" s="7" t="s">
        <v>348</v>
      </c>
      <c r="I1313" s="8" t="s">
        <v>3683</v>
      </c>
    </row>
    <row r="1314" spans="1:9" x14ac:dyDescent="0.35">
      <c r="A1314" s="6">
        <v>2552505</v>
      </c>
      <c r="B1314" s="7" t="str">
        <f>"3328111002040004"</f>
        <v>3328111002040004</v>
      </c>
      <c r="C1314" s="7" t="s">
        <v>3753</v>
      </c>
      <c r="D1314" s="7" t="s">
        <v>17</v>
      </c>
      <c r="E1314" s="7" t="s">
        <v>11</v>
      </c>
      <c r="F1314" s="7" t="s">
        <v>18</v>
      </c>
      <c r="G1314" s="7" t="s">
        <v>19</v>
      </c>
      <c r="H1314" s="7" t="s">
        <v>348</v>
      </c>
      <c r="I1314" s="8" t="s">
        <v>3727</v>
      </c>
    </row>
    <row r="1315" spans="1:9" x14ac:dyDescent="0.35">
      <c r="A1315" s="6">
        <v>1934907</v>
      </c>
      <c r="B1315" s="7" t="str">
        <f>"3328111005880003"</f>
        <v>3328111005880003</v>
      </c>
      <c r="C1315" s="7" t="s">
        <v>3755</v>
      </c>
      <c r="D1315" s="7" t="s">
        <v>17</v>
      </c>
      <c r="E1315" s="7" t="s">
        <v>11</v>
      </c>
      <c r="F1315" s="7" t="s">
        <v>50</v>
      </c>
      <c r="G1315" s="7" t="s">
        <v>86</v>
      </c>
      <c r="H1315" s="7" t="s">
        <v>925</v>
      </c>
      <c r="I1315" s="8" t="s">
        <v>1929</v>
      </c>
    </row>
    <row r="1316" spans="1:9" x14ac:dyDescent="0.35">
      <c r="A1316" s="6">
        <v>2084836</v>
      </c>
      <c r="B1316" s="7" t="str">
        <f>"3328111006040002"</f>
        <v>3328111006040002</v>
      </c>
      <c r="C1316" s="7" t="s">
        <v>3757</v>
      </c>
      <c r="D1316" s="7" t="s">
        <v>17</v>
      </c>
      <c r="E1316" s="7" t="s">
        <v>57</v>
      </c>
      <c r="F1316" s="7" t="s">
        <v>18</v>
      </c>
      <c r="G1316" s="7" t="s">
        <v>962</v>
      </c>
      <c r="H1316" s="7" t="s">
        <v>1046</v>
      </c>
      <c r="I1316" s="8" t="s">
        <v>1046</v>
      </c>
    </row>
    <row r="1317" spans="1:9" x14ac:dyDescent="0.35">
      <c r="A1317" s="6">
        <v>2552213</v>
      </c>
      <c r="B1317" s="7" t="str">
        <f>"3328111006960008"</f>
        <v>3328111006960008</v>
      </c>
      <c r="C1317" s="7" t="s">
        <v>3758</v>
      </c>
      <c r="D1317" s="7" t="s">
        <v>17</v>
      </c>
      <c r="E1317" s="7" t="s">
        <v>11</v>
      </c>
      <c r="F1317" s="7" t="s">
        <v>18</v>
      </c>
      <c r="G1317" s="7" t="s">
        <v>19</v>
      </c>
      <c r="H1317" s="7" t="s">
        <v>348</v>
      </c>
      <c r="I1317" s="8" t="s">
        <v>3723</v>
      </c>
    </row>
    <row r="1318" spans="1:9" x14ac:dyDescent="0.35">
      <c r="A1318" s="6">
        <v>2553370</v>
      </c>
      <c r="B1318" s="7" t="str">
        <f>"3328111105940004"</f>
        <v>3328111105940004</v>
      </c>
      <c r="C1318" s="7" t="s">
        <v>3762</v>
      </c>
      <c r="D1318" s="7" t="s">
        <v>17</v>
      </c>
      <c r="E1318" s="7" t="s">
        <v>11</v>
      </c>
      <c r="F1318" s="7" t="s">
        <v>18</v>
      </c>
      <c r="G1318" s="7" t="s">
        <v>19</v>
      </c>
      <c r="H1318" s="7" t="s">
        <v>348</v>
      </c>
      <c r="I1318" s="8" t="s">
        <v>3677</v>
      </c>
    </row>
    <row r="1319" spans="1:9" x14ac:dyDescent="0.35">
      <c r="A1319" s="6">
        <v>1133217</v>
      </c>
      <c r="B1319" s="7" t="str">
        <f>"3328111109810006"</f>
        <v>3328111109810006</v>
      </c>
      <c r="C1319" s="7" t="s">
        <v>3764</v>
      </c>
      <c r="D1319" s="7" t="s">
        <v>17</v>
      </c>
      <c r="E1319" s="7" t="s">
        <v>11</v>
      </c>
      <c r="F1319" s="7" t="s">
        <v>303</v>
      </c>
      <c r="G1319" s="7" t="s">
        <v>1584</v>
      </c>
      <c r="H1319" s="7" t="s">
        <v>1584</v>
      </c>
      <c r="I1319" s="8" t="s">
        <v>3765</v>
      </c>
    </row>
    <row r="1320" spans="1:9" x14ac:dyDescent="0.35">
      <c r="A1320" s="6">
        <v>736407</v>
      </c>
      <c r="B1320" s="7" t="str">
        <f>"3328111208760008"</f>
        <v>3328111208760008</v>
      </c>
      <c r="C1320" s="7" t="s">
        <v>3769</v>
      </c>
      <c r="D1320" s="7" t="s">
        <v>17</v>
      </c>
      <c r="E1320" s="7" t="s">
        <v>11</v>
      </c>
      <c r="F1320" s="7" t="s">
        <v>18</v>
      </c>
      <c r="G1320" s="7" t="s">
        <v>1381</v>
      </c>
      <c r="H1320" s="7" t="s">
        <v>1381</v>
      </c>
      <c r="I1320" s="8" t="s">
        <v>3770</v>
      </c>
    </row>
    <row r="1321" spans="1:9" x14ac:dyDescent="0.35">
      <c r="A1321" s="6">
        <v>422267</v>
      </c>
      <c r="B1321" s="7" t="str">
        <f>"3328111303920003"</f>
        <v>3328111303920003</v>
      </c>
      <c r="C1321" s="7" t="s">
        <v>71</v>
      </c>
      <c r="D1321" s="7" t="s">
        <v>17</v>
      </c>
      <c r="E1321" s="7" t="s">
        <v>11</v>
      </c>
      <c r="F1321" s="7" t="s">
        <v>18</v>
      </c>
      <c r="G1321" s="7" t="s">
        <v>268</v>
      </c>
      <c r="H1321" s="7" t="s">
        <v>269</v>
      </c>
      <c r="I1321" s="8" t="s">
        <v>996</v>
      </c>
    </row>
    <row r="1322" spans="1:9" x14ac:dyDescent="0.35">
      <c r="A1322" s="6">
        <v>2553392</v>
      </c>
      <c r="B1322" s="7" t="str">
        <f>"3328111310910002"</f>
        <v>3328111310910002</v>
      </c>
      <c r="C1322" s="7" t="s">
        <v>3771</v>
      </c>
      <c r="D1322" s="7" t="s">
        <v>17</v>
      </c>
      <c r="E1322" s="7" t="s">
        <v>11</v>
      </c>
      <c r="F1322" s="7" t="s">
        <v>18</v>
      </c>
      <c r="G1322" s="7" t="s">
        <v>19</v>
      </c>
      <c r="H1322" s="7" t="s">
        <v>348</v>
      </c>
      <c r="I1322" s="8" t="s">
        <v>3677</v>
      </c>
    </row>
    <row r="1323" spans="1:9" x14ac:dyDescent="0.35">
      <c r="A1323" s="6">
        <v>2552164</v>
      </c>
      <c r="B1323" s="7" t="str">
        <f>"3328111405990006"</f>
        <v>3328111405990006</v>
      </c>
      <c r="C1323" s="7" t="s">
        <v>3779</v>
      </c>
      <c r="D1323" s="7" t="s">
        <v>17</v>
      </c>
      <c r="E1323" s="7" t="s">
        <v>11</v>
      </c>
      <c r="F1323" s="7" t="s">
        <v>18</v>
      </c>
      <c r="G1323" s="7" t="s">
        <v>19</v>
      </c>
      <c r="H1323" s="7" t="s">
        <v>348</v>
      </c>
      <c r="I1323" s="8" t="s">
        <v>349</v>
      </c>
    </row>
    <row r="1324" spans="1:9" x14ac:dyDescent="0.35">
      <c r="A1324" s="6">
        <v>2552212</v>
      </c>
      <c r="B1324" s="7" t="str">
        <f>"3328111410920003"</f>
        <v>3328111410920003</v>
      </c>
      <c r="C1324" s="7" t="s">
        <v>3782</v>
      </c>
      <c r="D1324" s="7" t="s">
        <v>17</v>
      </c>
      <c r="E1324" s="7" t="s">
        <v>11</v>
      </c>
      <c r="F1324" s="7" t="s">
        <v>18</v>
      </c>
      <c r="G1324" s="7" t="s">
        <v>19</v>
      </c>
      <c r="H1324" s="7" t="s">
        <v>348</v>
      </c>
      <c r="I1324" s="8" t="s">
        <v>3723</v>
      </c>
    </row>
    <row r="1325" spans="1:9" x14ac:dyDescent="0.35">
      <c r="A1325" s="6">
        <v>761825</v>
      </c>
      <c r="B1325" s="7" t="str">
        <f>"3328111410970003"</f>
        <v>3328111410970003</v>
      </c>
      <c r="C1325" s="7" t="s">
        <v>3783</v>
      </c>
      <c r="D1325" s="7" t="s">
        <v>17</v>
      </c>
      <c r="E1325" s="7" t="s">
        <v>11</v>
      </c>
      <c r="F1325" s="7" t="s">
        <v>379</v>
      </c>
      <c r="G1325" s="7" t="s">
        <v>711</v>
      </c>
      <c r="H1325" s="7" t="s">
        <v>3784</v>
      </c>
      <c r="I1325" s="8" t="s">
        <v>3785</v>
      </c>
    </row>
    <row r="1326" spans="1:9" x14ac:dyDescent="0.35">
      <c r="A1326" s="6">
        <v>1799164</v>
      </c>
      <c r="B1326" s="7" t="str">
        <f>"3328111412850001"</f>
        <v>3328111412850001</v>
      </c>
      <c r="C1326" s="7" t="s">
        <v>3786</v>
      </c>
      <c r="D1326" s="7" t="s">
        <v>17</v>
      </c>
      <c r="E1326" s="7" t="s">
        <v>11</v>
      </c>
      <c r="F1326" s="7" t="s">
        <v>50</v>
      </c>
      <c r="G1326" s="7" t="s">
        <v>72</v>
      </c>
      <c r="H1326" s="7" t="s">
        <v>1840</v>
      </c>
      <c r="I1326" s="8" t="s">
        <v>3787</v>
      </c>
    </row>
    <row r="1327" spans="1:9" x14ac:dyDescent="0.35">
      <c r="A1327" s="6">
        <v>1884360</v>
      </c>
      <c r="B1327" s="7" t="str">
        <f>"3328111504710011"</f>
        <v>3328111504710011</v>
      </c>
      <c r="C1327" s="7" t="s">
        <v>3790</v>
      </c>
      <c r="D1327" s="7" t="s">
        <v>17</v>
      </c>
      <c r="E1327" s="7" t="s">
        <v>57</v>
      </c>
      <c r="F1327" s="7" t="s">
        <v>91</v>
      </c>
      <c r="G1327" s="7" t="s">
        <v>159</v>
      </c>
      <c r="H1327" s="7" t="s">
        <v>685</v>
      </c>
      <c r="I1327" s="8" t="s">
        <v>686</v>
      </c>
    </row>
    <row r="1328" spans="1:9" x14ac:dyDescent="0.35">
      <c r="A1328" s="6">
        <v>2551792</v>
      </c>
      <c r="B1328" s="7" t="str">
        <f>"3328111601780009"</f>
        <v>3328111601780009</v>
      </c>
      <c r="C1328" s="7" t="s">
        <v>2314</v>
      </c>
      <c r="D1328" s="7" t="s">
        <v>17</v>
      </c>
      <c r="E1328" s="7" t="s">
        <v>11</v>
      </c>
      <c r="F1328" s="7" t="s">
        <v>18</v>
      </c>
      <c r="G1328" s="7" t="s">
        <v>19</v>
      </c>
      <c r="H1328" s="7" t="s">
        <v>348</v>
      </c>
      <c r="I1328" s="8" t="s">
        <v>3679</v>
      </c>
    </row>
    <row r="1329" spans="1:9" x14ac:dyDescent="0.35">
      <c r="A1329" s="6">
        <v>2429718</v>
      </c>
      <c r="B1329" s="7" t="str">
        <f>"3328111603870008"</f>
        <v>3328111603870008</v>
      </c>
      <c r="C1329" s="7" t="s">
        <v>3793</v>
      </c>
      <c r="D1329" s="7" t="s">
        <v>17</v>
      </c>
      <c r="E1329" s="7" t="s">
        <v>11</v>
      </c>
      <c r="F1329" s="7" t="s">
        <v>50</v>
      </c>
      <c r="G1329" s="7" t="s">
        <v>58</v>
      </c>
      <c r="H1329" s="7" t="s">
        <v>1283</v>
      </c>
      <c r="I1329" s="8" t="s">
        <v>2273</v>
      </c>
    </row>
    <row r="1330" spans="1:9" x14ac:dyDescent="0.35">
      <c r="A1330" s="6">
        <v>2553274</v>
      </c>
      <c r="B1330" s="7" t="str">
        <f>"3328111605820010"</f>
        <v>3328111605820010</v>
      </c>
      <c r="C1330" s="7" t="s">
        <v>3795</v>
      </c>
      <c r="D1330" s="7" t="s">
        <v>17</v>
      </c>
      <c r="E1330" s="7" t="s">
        <v>11</v>
      </c>
      <c r="F1330" s="7" t="s">
        <v>18</v>
      </c>
      <c r="G1330" s="7" t="s">
        <v>19</v>
      </c>
      <c r="H1330" s="7" t="s">
        <v>348</v>
      </c>
      <c r="I1330" s="8" t="s">
        <v>1644</v>
      </c>
    </row>
    <row r="1331" spans="1:9" x14ac:dyDescent="0.35">
      <c r="A1331" s="6">
        <v>361306</v>
      </c>
      <c r="B1331" s="7" t="str">
        <f>"3328111703760006"</f>
        <v>3328111703760006</v>
      </c>
      <c r="C1331" s="7" t="s">
        <v>3797</v>
      </c>
      <c r="D1331" s="7" t="s">
        <v>17</v>
      </c>
      <c r="E1331" s="7" t="s">
        <v>11</v>
      </c>
      <c r="F1331" s="7" t="s">
        <v>379</v>
      </c>
      <c r="G1331" s="7" t="s">
        <v>380</v>
      </c>
      <c r="H1331" s="7" t="s">
        <v>2015</v>
      </c>
      <c r="I1331" s="8" t="s">
        <v>3798</v>
      </c>
    </row>
    <row r="1332" spans="1:9" x14ac:dyDescent="0.35">
      <c r="A1332" s="6">
        <v>697586</v>
      </c>
      <c r="B1332" s="7" t="str">
        <f>"3328111710930004"</f>
        <v>3328111710930004</v>
      </c>
      <c r="C1332" s="7" t="s">
        <v>3800</v>
      </c>
      <c r="D1332" s="7" t="s">
        <v>17</v>
      </c>
      <c r="E1332" s="7" t="s">
        <v>11</v>
      </c>
      <c r="F1332" s="7" t="s">
        <v>18</v>
      </c>
      <c r="G1332" s="7" t="s">
        <v>190</v>
      </c>
      <c r="H1332" s="7" t="s">
        <v>3801</v>
      </c>
      <c r="I1332" s="8" t="s">
        <v>3802</v>
      </c>
    </row>
    <row r="1333" spans="1:9" x14ac:dyDescent="0.35">
      <c r="A1333" s="6">
        <v>2552402</v>
      </c>
      <c r="B1333" s="7" t="str">
        <f>"3328112002900004"</f>
        <v>3328112002900004</v>
      </c>
      <c r="C1333" s="7" t="s">
        <v>3804</v>
      </c>
      <c r="D1333" s="7" t="s">
        <v>17</v>
      </c>
      <c r="E1333" s="7" t="s">
        <v>11</v>
      </c>
      <c r="F1333" s="7" t="s">
        <v>18</v>
      </c>
      <c r="G1333" s="7" t="s">
        <v>19</v>
      </c>
      <c r="H1333" s="7" t="s">
        <v>348</v>
      </c>
      <c r="I1333" s="8" t="s">
        <v>3660</v>
      </c>
    </row>
    <row r="1334" spans="1:9" x14ac:dyDescent="0.35">
      <c r="A1334" s="6">
        <v>2552163</v>
      </c>
      <c r="B1334" s="7" t="str">
        <f>"3328112006040008"</f>
        <v>3328112006040008</v>
      </c>
      <c r="C1334" s="7" t="s">
        <v>3805</v>
      </c>
      <c r="D1334" s="7" t="s">
        <v>17</v>
      </c>
      <c r="E1334" s="7" t="s">
        <v>11</v>
      </c>
      <c r="F1334" s="7" t="s">
        <v>18</v>
      </c>
      <c r="G1334" s="7" t="s">
        <v>19</v>
      </c>
      <c r="H1334" s="7" t="s">
        <v>348</v>
      </c>
      <c r="I1334" s="8" t="s">
        <v>349</v>
      </c>
    </row>
    <row r="1335" spans="1:9" x14ac:dyDescent="0.35">
      <c r="A1335" s="6">
        <v>2553163</v>
      </c>
      <c r="B1335" s="7" t="str">
        <f>"3328112201060005"</f>
        <v>3328112201060005</v>
      </c>
      <c r="C1335" s="7" t="s">
        <v>3806</v>
      </c>
      <c r="D1335" s="7" t="s">
        <v>17</v>
      </c>
      <c r="E1335" s="7" t="s">
        <v>11</v>
      </c>
      <c r="F1335" s="7" t="s">
        <v>18</v>
      </c>
      <c r="G1335" s="7" t="s">
        <v>19</v>
      </c>
      <c r="H1335" s="7" t="s">
        <v>348</v>
      </c>
      <c r="I1335" s="8" t="s">
        <v>3683</v>
      </c>
    </row>
    <row r="1336" spans="1:9" x14ac:dyDescent="0.35">
      <c r="A1336" s="6">
        <v>1803336</v>
      </c>
      <c r="B1336" s="7" t="str">
        <f>"3328112201070002"</f>
        <v>3328112201070002</v>
      </c>
      <c r="C1336" s="7" t="s">
        <v>3808</v>
      </c>
      <c r="D1336" s="7" t="s">
        <v>17</v>
      </c>
      <c r="E1336" s="7" t="s">
        <v>11</v>
      </c>
      <c r="F1336" s="7" t="s">
        <v>50</v>
      </c>
      <c r="G1336" s="7" t="s">
        <v>72</v>
      </c>
      <c r="H1336" s="7" t="s">
        <v>703</v>
      </c>
      <c r="I1336" s="8" t="s">
        <v>2222</v>
      </c>
    </row>
    <row r="1337" spans="1:9" x14ac:dyDescent="0.35">
      <c r="A1337" s="6">
        <v>2553364</v>
      </c>
      <c r="B1337" s="7" t="str">
        <f>"3328112302040003"</f>
        <v>3328112302040003</v>
      </c>
      <c r="C1337" s="7" t="s">
        <v>3810</v>
      </c>
      <c r="D1337" s="7" t="s">
        <v>17</v>
      </c>
      <c r="E1337" s="7" t="s">
        <v>11</v>
      </c>
      <c r="F1337" s="7" t="s">
        <v>18</v>
      </c>
      <c r="G1337" s="7" t="s">
        <v>19</v>
      </c>
      <c r="H1337" s="7" t="s">
        <v>348</v>
      </c>
      <c r="I1337" s="8" t="s">
        <v>3730</v>
      </c>
    </row>
    <row r="1338" spans="1:9" x14ac:dyDescent="0.35">
      <c r="A1338" s="6">
        <v>1106074</v>
      </c>
      <c r="B1338" s="7" t="str">
        <f>"3328112308860006"</f>
        <v>3328112308860006</v>
      </c>
      <c r="C1338" s="7" t="s">
        <v>3811</v>
      </c>
      <c r="D1338" s="7" t="s">
        <v>17</v>
      </c>
      <c r="E1338" s="7" t="s">
        <v>11</v>
      </c>
      <c r="F1338" s="7" t="s">
        <v>18</v>
      </c>
      <c r="G1338" s="7" t="s">
        <v>171</v>
      </c>
      <c r="H1338" s="7" t="s">
        <v>3812</v>
      </c>
      <c r="I1338" s="8" t="s">
        <v>1619</v>
      </c>
    </row>
    <row r="1339" spans="1:9" x14ac:dyDescent="0.35">
      <c r="A1339" s="6">
        <v>636216</v>
      </c>
      <c r="B1339" s="7" t="str">
        <f>"3328112311060006"</f>
        <v>3328112311060006</v>
      </c>
      <c r="C1339" s="7" t="s">
        <v>3813</v>
      </c>
      <c r="D1339" s="7" t="s">
        <v>17</v>
      </c>
      <c r="E1339" s="7" t="s">
        <v>57</v>
      </c>
      <c r="F1339" s="7" t="s">
        <v>18</v>
      </c>
      <c r="G1339" s="7" t="s">
        <v>190</v>
      </c>
      <c r="H1339" s="7" t="s">
        <v>1497</v>
      </c>
      <c r="I1339" s="8" t="s">
        <v>1498</v>
      </c>
    </row>
    <row r="1340" spans="1:9" x14ac:dyDescent="0.35">
      <c r="A1340" s="6">
        <v>1562658</v>
      </c>
      <c r="B1340" s="7" t="str">
        <f>"3328112311900007"</f>
        <v>3328112311900007</v>
      </c>
      <c r="C1340" s="7" t="s">
        <v>3815</v>
      </c>
      <c r="D1340" s="7" t="s">
        <v>17</v>
      </c>
      <c r="E1340" s="7" t="s">
        <v>11</v>
      </c>
      <c r="F1340" s="7" t="s">
        <v>18</v>
      </c>
      <c r="G1340" s="7" t="s">
        <v>195</v>
      </c>
      <c r="H1340" s="7" t="s">
        <v>906</v>
      </c>
      <c r="I1340" s="8" t="s">
        <v>3816</v>
      </c>
    </row>
    <row r="1341" spans="1:9" x14ac:dyDescent="0.35">
      <c r="A1341" s="6">
        <v>2552414</v>
      </c>
      <c r="B1341" s="7" t="str">
        <f>"3328112405990005"</f>
        <v>3328112405990005</v>
      </c>
      <c r="C1341" s="7" t="s">
        <v>3819</v>
      </c>
      <c r="D1341" s="7" t="s">
        <v>17</v>
      </c>
      <c r="E1341" s="7" t="s">
        <v>11</v>
      </c>
      <c r="F1341" s="7" t="s">
        <v>18</v>
      </c>
      <c r="G1341" s="7" t="s">
        <v>19</v>
      </c>
      <c r="H1341" s="7" t="s">
        <v>348</v>
      </c>
      <c r="I1341" s="8" t="s">
        <v>3660</v>
      </c>
    </row>
    <row r="1342" spans="1:9" x14ac:dyDescent="0.35">
      <c r="A1342" s="6">
        <v>2551667</v>
      </c>
      <c r="B1342" s="7" t="str">
        <f>"3328112511830005"</f>
        <v>3328112511830005</v>
      </c>
      <c r="C1342" s="7" t="s">
        <v>3822</v>
      </c>
      <c r="D1342" s="7" t="s">
        <v>17</v>
      </c>
      <c r="E1342" s="7" t="s">
        <v>11</v>
      </c>
      <c r="F1342" s="7" t="s">
        <v>18</v>
      </c>
      <c r="G1342" s="7" t="s">
        <v>19</v>
      </c>
      <c r="H1342" s="7" t="s">
        <v>348</v>
      </c>
      <c r="I1342" s="8" t="s">
        <v>3679</v>
      </c>
    </row>
    <row r="1343" spans="1:9" x14ac:dyDescent="0.35">
      <c r="A1343" s="6">
        <v>422606</v>
      </c>
      <c r="B1343" s="7" t="str">
        <f>"3328112601030012"</f>
        <v>3328112601030012</v>
      </c>
      <c r="C1343" s="7" t="s">
        <v>3824</v>
      </c>
      <c r="D1343" s="7" t="s">
        <v>17</v>
      </c>
      <c r="E1343" s="7" t="s">
        <v>11</v>
      </c>
      <c r="F1343" s="7" t="s">
        <v>18</v>
      </c>
      <c r="G1343" s="7" t="s">
        <v>268</v>
      </c>
      <c r="H1343" s="7" t="s">
        <v>269</v>
      </c>
      <c r="I1343" s="8" t="s">
        <v>270</v>
      </c>
    </row>
    <row r="1344" spans="1:9" x14ac:dyDescent="0.35">
      <c r="A1344" s="6">
        <v>2551509</v>
      </c>
      <c r="B1344" s="7" t="str">
        <f>"3328112601030012"</f>
        <v>3328112601030012</v>
      </c>
      <c r="C1344" s="7" t="s">
        <v>3824</v>
      </c>
      <c r="D1344" s="7" t="s">
        <v>17</v>
      </c>
      <c r="E1344" s="7" t="s">
        <v>11</v>
      </c>
      <c r="F1344" s="7" t="s">
        <v>18</v>
      </c>
      <c r="G1344" s="7" t="s">
        <v>19</v>
      </c>
      <c r="H1344" s="7" t="s">
        <v>348</v>
      </c>
      <c r="I1344" s="8" t="s">
        <v>3670</v>
      </c>
    </row>
    <row r="1345" spans="1:9" x14ac:dyDescent="0.35">
      <c r="A1345" s="6">
        <v>2552742</v>
      </c>
      <c r="B1345" s="7" t="str">
        <f>"3328112606820007"</f>
        <v>3328112606820007</v>
      </c>
      <c r="C1345" s="7" t="s">
        <v>3826</v>
      </c>
      <c r="D1345" s="7" t="s">
        <v>17</v>
      </c>
      <c r="E1345" s="7" t="s">
        <v>11</v>
      </c>
      <c r="F1345" s="7" t="s">
        <v>18</v>
      </c>
      <c r="G1345" s="7" t="s">
        <v>19</v>
      </c>
      <c r="H1345" s="7" t="s">
        <v>348</v>
      </c>
      <c r="I1345" s="8" t="s">
        <v>1777</v>
      </c>
    </row>
    <row r="1346" spans="1:9" x14ac:dyDescent="0.35">
      <c r="A1346" s="6">
        <v>1693938</v>
      </c>
      <c r="B1346" s="7" t="str">
        <f>"3328112703990015"</f>
        <v>3328112703990015</v>
      </c>
      <c r="C1346" s="7" t="s">
        <v>3827</v>
      </c>
      <c r="D1346" s="7" t="s">
        <v>17</v>
      </c>
      <c r="E1346" s="7" t="s">
        <v>11</v>
      </c>
      <c r="F1346" s="7" t="s">
        <v>18</v>
      </c>
      <c r="G1346" s="7" t="s">
        <v>264</v>
      </c>
      <c r="H1346" s="7" t="s">
        <v>265</v>
      </c>
      <c r="I1346" s="8" t="s">
        <v>1576</v>
      </c>
    </row>
    <row r="1347" spans="1:9" x14ac:dyDescent="0.35">
      <c r="A1347" s="6">
        <v>2552217</v>
      </c>
      <c r="B1347" s="7" t="str">
        <f>"3328113008860002"</f>
        <v>3328113008860002</v>
      </c>
      <c r="C1347" s="7" t="s">
        <v>3835</v>
      </c>
      <c r="D1347" s="7" t="s">
        <v>17</v>
      </c>
      <c r="E1347" s="7" t="s">
        <v>11</v>
      </c>
      <c r="F1347" s="7" t="s">
        <v>18</v>
      </c>
      <c r="G1347" s="7" t="s">
        <v>19</v>
      </c>
      <c r="H1347" s="7" t="s">
        <v>348</v>
      </c>
      <c r="I1347" s="8" t="s">
        <v>3723</v>
      </c>
    </row>
    <row r="1348" spans="1:9" x14ac:dyDescent="0.35">
      <c r="A1348" s="6">
        <v>2551735</v>
      </c>
      <c r="B1348" s="7" t="str">
        <f>"3328113112760053"</f>
        <v>3328113112760053</v>
      </c>
      <c r="C1348" s="7" t="s">
        <v>3837</v>
      </c>
      <c r="D1348" s="7" t="s">
        <v>17</v>
      </c>
      <c r="E1348" s="7" t="s">
        <v>11</v>
      </c>
      <c r="F1348" s="7" t="s">
        <v>18</v>
      </c>
      <c r="G1348" s="7" t="s">
        <v>19</v>
      </c>
      <c r="H1348" s="7" t="s">
        <v>348</v>
      </c>
      <c r="I1348" s="8" t="s">
        <v>3679</v>
      </c>
    </row>
    <row r="1349" spans="1:9" x14ac:dyDescent="0.35">
      <c r="A1349" s="6">
        <v>2430440</v>
      </c>
      <c r="B1349" s="7" t="str">
        <f>"3328114207820004"</f>
        <v>3328114207820004</v>
      </c>
      <c r="C1349" s="7" t="s">
        <v>3843</v>
      </c>
      <c r="D1349" s="7" t="s">
        <v>17</v>
      </c>
      <c r="E1349" s="7" t="s">
        <v>11</v>
      </c>
      <c r="F1349" s="7" t="s">
        <v>50</v>
      </c>
      <c r="G1349" s="7" t="s">
        <v>58</v>
      </c>
      <c r="H1349" s="7" t="s">
        <v>417</v>
      </c>
      <c r="I1349" s="8" t="s">
        <v>2271</v>
      </c>
    </row>
    <row r="1350" spans="1:9" x14ac:dyDescent="0.35">
      <c r="A1350" s="6">
        <v>2553084</v>
      </c>
      <c r="B1350" s="7" t="str">
        <f>"3328114305880004"</f>
        <v>3328114305880004</v>
      </c>
      <c r="C1350" s="7" t="s">
        <v>3846</v>
      </c>
      <c r="D1350" s="7" t="s">
        <v>17</v>
      </c>
      <c r="E1350" s="7" t="s">
        <v>11</v>
      </c>
      <c r="F1350" s="7" t="s">
        <v>18</v>
      </c>
      <c r="G1350" s="7" t="s">
        <v>19</v>
      </c>
      <c r="H1350" s="7" t="s">
        <v>348</v>
      </c>
      <c r="I1350" s="8" t="s">
        <v>3666</v>
      </c>
    </row>
    <row r="1351" spans="1:9" x14ac:dyDescent="0.35">
      <c r="A1351" s="6">
        <v>2551997</v>
      </c>
      <c r="B1351" s="7" t="str">
        <f>"3328114401030003"</f>
        <v>3328114401030003</v>
      </c>
      <c r="C1351" s="7" t="s">
        <v>3850</v>
      </c>
      <c r="D1351" s="7" t="s">
        <v>17</v>
      </c>
      <c r="E1351" s="7" t="s">
        <v>11</v>
      </c>
      <c r="F1351" s="7" t="s">
        <v>18</v>
      </c>
      <c r="G1351" s="7" t="s">
        <v>19</v>
      </c>
      <c r="H1351" s="7" t="s">
        <v>348</v>
      </c>
      <c r="I1351" s="8" t="s">
        <v>3688</v>
      </c>
    </row>
    <row r="1352" spans="1:9" x14ac:dyDescent="0.35">
      <c r="A1352" s="6">
        <v>2429719</v>
      </c>
      <c r="B1352" s="7" t="str">
        <f>"3328114511880007"</f>
        <v>3328114511880007</v>
      </c>
      <c r="C1352" s="7" t="s">
        <v>3851</v>
      </c>
      <c r="D1352" s="7" t="s">
        <v>17</v>
      </c>
      <c r="E1352" s="7" t="s">
        <v>11</v>
      </c>
      <c r="F1352" s="7" t="s">
        <v>50</v>
      </c>
      <c r="G1352" s="7" t="s">
        <v>58</v>
      </c>
      <c r="H1352" s="7" t="s">
        <v>1283</v>
      </c>
      <c r="I1352" s="8" t="s">
        <v>2273</v>
      </c>
    </row>
    <row r="1353" spans="1:9" x14ac:dyDescent="0.35">
      <c r="A1353" s="6">
        <v>2553445</v>
      </c>
      <c r="B1353" s="7" t="str">
        <f>"3328114608950006"</f>
        <v>3328114608950006</v>
      </c>
      <c r="C1353" s="7" t="s">
        <v>3853</v>
      </c>
      <c r="D1353" s="7" t="s">
        <v>17</v>
      </c>
      <c r="E1353" s="7" t="s">
        <v>11</v>
      </c>
      <c r="F1353" s="7" t="s">
        <v>18</v>
      </c>
      <c r="G1353" s="7" t="s">
        <v>19</v>
      </c>
      <c r="H1353" s="7" t="s">
        <v>348</v>
      </c>
      <c r="I1353" s="8" t="s">
        <v>3677</v>
      </c>
    </row>
    <row r="1354" spans="1:9" x14ac:dyDescent="0.35">
      <c r="A1354" s="6">
        <v>1636583</v>
      </c>
      <c r="B1354" s="7" t="str">
        <f>"3328114612990003"</f>
        <v>3328114612990003</v>
      </c>
      <c r="C1354" s="7" t="s">
        <v>3854</v>
      </c>
      <c r="D1354" s="7" t="s">
        <v>17</v>
      </c>
      <c r="E1354" s="7" t="s">
        <v>11</v>
      </c>
      <c r="F1354" s="7" t="s">
        <v>18</v>
      </c>
      <c r="G1354" s="7" t="s">
        <v>264</v>
      </c>
      <c r="H1354" s="7" t="s">
        <v>477</v>
      </c>
      <c r="I1354" s="8" t="s">
        <v>3855</v>
      </c>
    </row>
    <row r="1355" spans="1:9" x14ac:dyDescent="0.35">
      <c r="A1355" s="6">
        <v>818152</v>
      </c>
      <c r="B1355" s="7" t="str">
        <f>"3328114612990007"</f>
        <v>3328114612990007</v>
      </c>
      <c r="C1355" s="7" t="s">
        <v>3857</v>
      </c>
      <c r="D1355" s="7" t="s">
        <v>17</v>
      </c>
      <c r="E1355" s="7" t="s">
        <v>11</v>
      </c>
      <c r="F1355" s="7" t="s">
        <v>18</v>
      </c>
      <c r="G1355" s="7" t="s">
        <v>951</v>
      </c>
      <c r="H1355" s="7" t="s">
        <v>3858</v>
      </c>
      <c r="I1355" s="8" t="s">
        <v>3859</v>
      </c>
    </row>
    <row r="1356" spans="1:9" x14ac:dyDescent="0.35">
      <c r="A1356" s="6">
        <v>1018611</v>
      </c>
      <c r="B1356" s="7" t="str">
        <f>"3328114701000003"</f>
        <v>3328114701000003</v>
      </c>
      <c r="C1356" s="7" t="s">
        <v>3860</v>
      </c>
      <c r="D1356" s="7" t="s">
        <v>17</v>
      </c>
      <c r="E1356" s="7" t="s">
        <v>11</v>
      </c>
      <c r="F1356" s="7" t="s">
        <v>18</v>
      </c>
      <c r="G1356" s="7" t="s">
        <v>385</v>
      </c>
      <c r="H1356" s="7" t="s">
        <v>3862</v>
      </c>
      <c r="I1356" s="8" t="s">
        <v>1127</v>
      </c>
    </row>
    <row r="1357" spans="1:9" x14ac:dyDescent="0.35">
      <c r="A1357" s="6">
        <v>873367</v>
      </c>
      <c r="B1357" s="7" t="str">
        <f>"3328114702940003"</f>
        <v>3328114702940003</v>
      </c>
      <c r="C1357" s="7" t="s">
        <v>3863</v>
      </c>
      <c r="D1357" s="7" t="s">
        <v>17</v>
      </c>
      <c r="E1357" s="7" t="s">
        <v>11</v>
      </c>
      <c r="F1357" s="7" t="s">
        <v>379</v>
      </c>
      <c r="G1357" s="7" t="s">
        <v>1206</v>
      </c>
      <c r="H1357" s="7" t="s">
        <v>3864</v>
      </c>
      <c r="I1357" s="8" t="s">
        <v>3865</v>
      </c>
    </row>
    <row r="1358" spans="1:9" x14ac:dyDescent="0.35">
      <c r="A1358" s="6">
        <v>1691115</v>
      </c>
      <c r="B1358" s="7" t="str">
        <f>"3328114911910005"</f>
        <v>3328114911910005</v>
      </c>
      <c r="C1358" s="7" t="s">
        <v>3866</v>
      </c>
      <c r="D1358" s="7" t="s">
        <v>17</v>
      </c>
      <c r="E1358" s="7" t="s">
        <v>11</v>
      </c>
      <c r="F1358" s="7" t="s">
        <v>18</v>
      </c>
      <c r="G1358" s="7" t="s">
        <v>264</v>
      </c>
      <c r="H1358" s="7" t="s">
        <v>265</v>
      </c>
      <c r="I1358" s="8" t="s">
        <v>266</v>
      </c>
    </row>
    <row r="1359" spans="1:9" x14ac:dyDescent="0.35">
      <c r="A1359" s="6">
        <v>3122624</v>
      </c>
      <c r="B1359" s="7" t="str">
        <f>"3328115103870004"</f>
        <v>3328115103870004</v>
      </c>
      <c r="C1359" s="7" t="s">
        <v>3867</v>
      </c>
      <c r="D1359" s="7" t="s">
        <v>17</v>
      </c>
      <c r="E1359" s="7" t="s">
        <v>11</v>
      </c>
      <c r="F1359" s="7" t="s">
        <v>18</v>
      </c>
      <c r="G1359" s="7" t="s">
        <v>163</v>
      </c>
      <c r="H1359" s="7" t="s">
        <v>428</v>
      </c>
      <c r="I1359" s="8" t="s">
        <v>3714</v>
      </c>
    </row>
    <row r="1360" spans="1:9" x14ac:dyDescent="0.35">
      <c r="A1360" s="6">
        <v>421560</v>
      </c>
      <c r="B1360" s="7" t="str">
        <f>"3328115204940004"</f>
        <v>3328115204940004</v>
      </c>
      <c r="C1360" s="7" t="s">
        <v>3868</v>
      </c>
      <c r="D1360" s="7" t="s">
        <v>17</v>
      </c>
      <c r="E1360" s="7" t="s">
        <v>11</v>
      </c>
      <c r="F1360" s="7" t="s">
        <v>18</v>
      </c>
      <c r="G1360" s="7" t="s">
        <v>268</v>
      </c>
      <c r="H1360" s="7" t="s">
        <v>371</v>
      </c>
      <c r="I1360" s="8" t="s">
        <v>2346</v>
      </c>
    </row>
    <row r="1361" spans="1:9" x14ac:dyDescent="0.35">
      <c r="A1361" s="6">
        <v>1880580</v>
      </c>
      <c r="B1361" s="7" t="str">
        <f>"3328115210870007"</f>
        <v>3328115210870007</v>
      </c>
      <c r="C1361" s="7" t="s">
        <v>3870</v>
      </c>
      <c r="D1361" s="7" t="s">
        <v>17</v>
      </c>
      <c r="E1361" s="7" t="s">
        <v>11</v>
      </c>
      <c r="F1361" s="7" t="s">
        <v>91</v>
      </c>
      <c r="G1361" s="7" t="s">
        <v>320</v>
      </c>
      <c r="H1361" s="7" t="s">
        <v>2523</v>
      </c>
      <c r="I1361" s="8" t="s">
        <v>2524</v>
      </c>
    </row>
    <row r="1362" spans="1:9" x14ac:dyDescent="0.35">
      <c r="A1362" s="6">
        <v>1692324</v>
      </c>
      <c r="B1362" s="7" t="str">
        <f>"3328115304780001"</f>
        <v>3328115304780001</v>
      </c>
      <c r="C1362" s="7" t="s">
        <v>3873</v>
      </c>
      <c r="D1362" s="7" t="s">
        <v>17</v>
      </c>
      <c r="E1362" s="7" t="s">
        <v>11</v>
      </c>
      <c r="F1362" s="7" t="s">
        <v>18</v>
      </c>
      <c r="G1362" s="7" t="s">
        <v>264</v>
      </c>
      <c r="H1362" s="7" t="s">
        <v>265</v>
      </c>
      <c r="I1362" s="8" t="s">
        <v>1869</v>
      </c>
    </row>
    <row r="1363" spans="1:9" x14ac:dyDescent="0.35">
      <c r="A1363" s="6">
        <v>421071</v>
      </c>
      <c r="B1363" s="7" t="str">
        <f>"3328115405980004"</f>
        <v>3328115405980004</v>
      </c>
      <c r="C1363" s="7" t="s">
        <v>3877</v>
      </c>
      <c r="D1363" s="7" t="s">
        <v>17</v>
      </c>
      <c r="E1363" s="7" t="s">
        <v>11</v>
      </c>
      <c r="F1363" s="7" t="s">
        <v>18</v>
      </c>
      <c r="G1363" s="7" t="s">
        <v>268</v>
      </c>
      <c r="H1363" s="7" t="s">
        <v>448</v>
      </c>
      <c r="I1363" s="8" t="s">
        <v>448</v>
      </c>
    </row>
    <row r="1364" spans="1:9" x14ac:dyDescent="0.35">
      <c r="A1364" s="6">
        <v>1236915</v>
      </c>
      <c r="B1364" s="7" t="str">
        <f>"3328115512960004"</f>
        <v>3328115512960004</v>
      </c>
      <c r="C1364" s="7" t="s">
        <v>3879</v>
      </c>
      <c r="D1364" s="7" t="s">
        <v>17</v>
      </c>
      <c r="E1364" s="7" t="s">
        <v>11</v>
      </c>
      <c r="F1364" s="7" t="s">
        <v>91</v>
      </c>
      <c r="G1364" s="7" t="s">
        <v>2364</v>
      </c>
      <c r="H1364" s="7" t="s">
        <v>3880</v>
      </c>
      <c r="I1364" s="8" t="s">
        <v>20</v>
      </c>
    </row>
    <row r="1365" spans="1:9" x14ac:dyDescent="0.35">
      <c r="A1365" s="6">
        <v>2553377</v>
      </c>
      <c r="B1365" s="7" t="str">
        <f>"3328115609870004"</f>
        <v>3328115609870004</v>
      </c>
      <c r="C1365" s="7" t="s">
        <v>3881</v>
      </c>
      <c r="D1365" s="7" t="s">
        <v>17</v>
      </c>
      <c r="E1365" s="7" t="s">
        <v>11</v>
      </c>
      <c r="F1365" s="7" t="s">
        <v>18</v>
      </c>
      <c r="G1365" s="7" t="s">
        <v>19</v>
      </c>
      <c r="H1365" s="7" t="s">
        <v>348</v>
      </c>
      <c r="I1365" s="8" t="s">
        <v>3677</v>
      </c>
    </row>
    <row r="1366" spans="1:9" x14ac:dyDescent="0.35">
      <c r="A1366" s="6">
        <v>2553147</v>
      </c>
      <c r="B1366" s="7" t="str">
        <f>"3328115703060002"</f>
        <v>3328115703060002</v>
      </c>
      <c r="C1366" s="7" t="s">
        <v>3882</v>
      </c>
      <c r="D1366" s="7" t="s">
        <v>17</v>
      </c>
      <c r="E1366" s="7" t="s">
        <v>11</v>
      </c>
      <c r="F1366" s="7" t="s">
        <v>18</v>
      </c>
      <c r="G1366" s="7" t="s">
        <v>19</v>
      </c>
      <c r="H1366" s="7" t="s">
        <v>348</v>
      </c>
      <c r="I1366" s="8" t="s">
        <v>3683</v>
      </c>
    </row>
    <row r="1367" spans="1:9" x14ac:dyDescent="0.35">
      <c r="A1367" s="6">
        <v>1796049</v>
      </c>
      <c r="B1367" s="7" t="str">
        <f>"3328116001000013"</f>
        <v>3328116001000013</v>
      </c>
      <c r="C1367" s="7" t="s">
        <v>3887</v>
      </c>
      <c r="D1367" s="7" t="s">
        <v>17</v>
      </c>
      <c r="E1367" s="7" t="s">
        <v>11</v>
      </c>
      <c r="F1367" s="7" t="s">
        <v>50</v>
      </c>
      <c r="G1367" s="7" t="s">
        <v>72</v>
      </c>
      <c r="H1367" s="7" t="s">
        <v>803</v>
      </c>
      <c r="I1367" s="8" t="s">
        <v>2244</v>
      </c>
    </row>
    <row r="1368" spans="1:9" x14ac:dyDescent="0.35">
      <c r="A1368" s="6">
        <v>2111611</v>
      </c>
      <c r="B1368" s="7" t="str">
        <f>"3328116009020006"</f>
        <v>3328116009020006</v>
      </c>
      <c r="C1368" s="7" t="s">
        <v>3888</v>
      </c>
      <c r="D1368" s="7" t="s">
        <v>17</v>
      </c>
      <c r="E1368" s="7" t="s">
        <v>11</v>
      </c>
      <c r="F1368" s="7" t="s">
        <v>67</v>
      </c>
      <c r="G1368" s="7" t="s">
        <v>638</v>
      </c>
      <c r="H1368" s="7" t="s">
        <v>3889</v>
      </c>
      <c r="I1368" s="8" t="s">
        <v>3890</v>
      </c>
    </row>
    <row r="1369" spans="1:9" x14ac:dyDescent="0.35">
      <c r="A1369" s="6">
        <v>1803381</v>
      </c>
      <c r="B1369" s="7" t="str">
        <f>"3328116010780009"</f>
        <v>3328116010780009</v>
      </c>
      <c r="C1369" s="7" t="s">
        <v>3892</v>
      </c>
      <c r="D1369" s="7" t="s">
        <v>17</v>
      </c>
      <c r="E1369" s="7" t="s">
        <v>11</v>
      </c>
      <c r="F1369" s="7" t="s">
        <v>50</v>
      </c>
      <c r="G1369" s="7" t="s">
        <v>72</v>
      </c>
      <c r="H1369" s="7" t="s">
        <v>703</v>
      </c>
      <c r="I1369" s="8" t="s">
        <v>2222</v>
      </c>
    </row>
    <row r="1370" spans="1:9" x14ac:dyDescent="0.35">
      <c r="A1370" s="6">
        <v>2553479</v>
      </c>
      <c r="B1370" s="7" t="str">
        <f>"3328116510050011"</f>
        <v>3328116510050011</v>
      </c>
      <c r="C1370" s="7" t="s">
        <v>3894</v>
      </c>
      <c r="D1370" s="7" t="s">
        <v>17</v>
      </c>
      <c r="E1370" s="7" t="s">
        <v>11</v>
      </c>
      <c r="F1370" s="7" t="s">
        <v>18</v>
      </c>
      <c r="G1370" s="7" t="s">
        <v>19</v>
      </c>
      <c r="H1370" s="7" t="s">
        <v>348</v>
      </c>
      <c r="I1370" s="8" t="s">
        <v>3658</v>
      </c>
    </row>
    <row r="1371" spans="1:9" x14ac:dyDescent="0.35">
      <c r="A1371" s="6">
        <v>2084633</v>
      </c>
      <c r="B1371" s="7" t="str">
        <f>"3328116701070010"</f>
        <v>3328116701070010</v>
      </c>
      <c r="C1371" s="7" t="s">
        <v>3895</v>
      </c>
      <c r="D1371" s="7" t="s">
        <v>17</v>
      </c>
      <c r="E1371" s="7" t="s">
        <v>57</v>
      </c>
      <c r="F1371" s="7" t="s">
        <v>18</v>
      </c>
      <c r="G1371" s="7" t="s">
        <v>962</v>
      </c>
      <c r="H1371" s="7" t="s">
        <v>1046</v>
      </c>
      <c r="I1371" s="8" t="s">
        <v>1146</v>
      </c>
    </row>
    <row r="1372" spans="1:9" x14ac:dyDescent="0.35">
      <c r="A1372" s="6">
        <v>2551984</v>
      </c>
      <c r="B1372" s="7" t="str">
        <f>"3328116705050008"</f>
        <v>3328116705050008</v>
      </c>
      <c r="C1372" s="7" t="s">
        <v>3898</v>
      </c>
      <c r="D1372" s="7" t="s">
        <v>17</v>
      </c>
      <c r="E1372" s="7" t="s">
        <v>11</v>
      </c>
      <c r="F1372" s="7" t="s">
        <v>18</v>
      </c>
      <c r="G1372" s="7" t="s">
        <v>19</v>
      </c>
      <c r="H1372" s="7" t="s">
        <v>348</v>
      </c>
      <c r="I1372" s="8" t="s">
        <v>3688</v>
      </c>
    </row>
    <row r="1373" spans="1:9" x14ac:dyDescent="0.35">
      <c r="A1373" s="6">
        <v>2553162</v>
      </c>
      <c r="B1373" s="7" t="str">
        <f>"3328116706820006"</f>
        <v>3328116706820006</v>
      </c>
      <c r="C1373" s="7" t="s">
        <v>3899</v>
      </c>
      <c r="D1373" s="7" t="s">
        <v>17</v>
      </c>
      <c r="E1373" s="7" t="s">
        <v>11</v>
      </c>
      <c r="F1373" s="7" t="s">
        <v>18</v>
      </c>
      <c r="G1373" s="7" t="s">
        <v>19</v>
      </c>
      <c r="H1373" s="7" t="s">
        <v>348</v>
      </c>
      <c r="I1373" s="8" t="s">
        <v>3683</v>
      </c>
    </row>
    <row r="1374" spans="1:9" x14ac:dyDescent="0.35">
      <c r="A1374" s="6">
        <v>735107</v>
      </c>
      <c r="B1374" s="7" t="str">
        <f>"3328116708990008"</f>
        <v>3328116708990008</v>
      </c>
      <c r="C1374" s="7" t="s">
        <v>3900</v>
      </c>
      <c r="D1374" s="7" t="s">
        <v>17</v>
      </c>
      <c r="E1374" s="7" t="s">
        <v>11</v>
      </c>
      <c r="F1374" s="7" t="s">
        <v>18</v>
      </c>
      <c r="G1374" s="7" t="s">
        <v>1381</v>
      </c>
      <c r="H1374" s="7" t="s">
        <v>3901</v>
      </c>
      <c r="I1374" s="8" t="s">
        <v>3902</v>
      </c>
    </row>
    <row r="1375" spans="1:9" x14ac:dyDescent="0.35">
      <c r="A1375" s="6">
        <v>1635490</v>
      </c>
      <c r="B1375" s="7" t="str">
        <f>"3328116809790001"</f>
        <v>3328116809790001</v>
      </c>
      <c r="C1375" s="7" t="s">
        <v>3905</v>
      </c>
      <c r="D1375" s="7" t="s">
        <v>17</v>
      </c>
      <c r="E1375" s="7" t="s">
        <v>11</v>
      </c>
      <c r="F1375" s="7" t="s">
        <v>18</v>
      </c>
      <c r="G1375" s="7" t="s">
        <v>167</v>
      </c>
      <c r="H1375" s="7" t="s">
        <v>352</v>
      </c>
      <c r="I1375" s="8" t="s">
        <v>3906</v>
      </c>
    </row>
    <row r="1376" spans="1:9" x14ac:dyDescent="0.35">
      <c r="A1376" s="6">
        <v>2553178</v>
      </c>
      <c r="B1376" s="7" t="str">
        <f>"3328116906980003"</f>
        <v>3328116906980003</v>
      </c>
      <c r="C1376" s="7" t="s">
        <v>3907</v>
      </c>
      <c r="D1376" s="7" t="s">
        <v>17</v>
      </c>
      <c r="E1376" s="7" t="s">
        <v>11</v>
      </c>
      <c r="F1376" s="7" t="s">
        <v>18</v>
      </c>
      <c r="G1376" s="7" t="s">
        <v>19</v>
      </c>
      <c r="H1376" s="7" t="s">
        <v>348</v>
      </c>
      <c r="I1376" s="8" t="s">
        <v>3683</v>
      </c>
    </row>
    <row r="1377" spans="1:9" x14ac:dyDescent="0.35">
      <c r="A1377" s="6">
        <v>736408</v>
      </c>
      <c r="B1377" s="7" t="str">
        <f>"3328117012850008"</f>
        <v>3328117012850008</v>
      </c>
      <c r="C1377" s="7" t="s">
        <v>3909</v>
      </c>
      <c r="D1377" s="7" t="s">
        <v>17</v>
      </c>
      <c r="E1377" s="7" t="s">
        <v>11</v>
      </c>
      <c r="F1377" s="7" t="s">
        <v>18</v>
      </c>
      <c r="G1377" s="7" t="s">
        <v>1381</v>
      </c>
      <c r="H1377" s="7" t="s">
        <v>1381</v>
      </c>
      <c r="I1377" s="8" t="s">
        <v>3770</v>
      </c>
    </row>
    <row r="1378" spans="1:9" x14ac:dyDescent="0.35">
      <c r="A1378" s="6">
        <v>1689177</v>
      </c>
      <c r="B1378" s="7" t="str">
        <f>"3328117103990007"</f>
        <v>3328117103990007</v>
      </c>
      <c r="C1378" s="7" t="s">
        <v>3911</v>
      </c>
      <c r="D1378" s="7" t="s">
        <v>17</v>
      </c>
      <c r="E1378" s="7" t="s">
        <v>11</v>
      </c>
      <c r="F1378" s="7" t="s">
        <v>18</v>
      </c>
      <c r="G1378" s="7" t="s">
        <v>264</v>
      </c>
      <c r="H1378" s="7" t="s">
        <v>273</v>
      </c>
      <c r="I1378" s="8" t="s">
        <v>1156</v>
      </c>
    </row>
    <row r="1379" spans="1:9" x14ac:dyDescent="0.35">
      <c r="A1379" s="6">
        <v>1952220</v>
      </c>
      <c r="B1379" s="7" t="str">
        <f>"3328130412010005"</f>
        <v>3328130412010005</v>
      </c>
      <c r="C1379" s="7" t="s">
        <v>3919</v>
      </c>
      <c r="D1379" s="7" t="s">
        <v>17</v>
      </c>
      <c r="E1379" s="7" t="s">
        <v>11</v>
      </c>
      <c r="F1379" s="7" t="s">
        <v>50</v>
      </c>
      <c r="G1379" s="7" t="s">
        <v>86</v>
      </c>
      <c r="H1379" s="7" t="s">
        <v>313</v>
      </c>
      <c r="I1379" s="8" t="s">
        <v>3920</v>
      </c>
    </row>
    <row r="1380" spans="1:9" x14ac:dyDescent="0.35">
      <c r="A1380" s="6">
        <v>1952224</v>
      </c>
      <c r="B1380" s="7" t="str">
        <f>"3328134810830003"</f>
        <v>3328134810830003</v>
      </c>
      <c r="C1380" s="7" t="s">
        <v>3922</v>
      </c>
      <c r="D1380" s="7" t="s">
        <v>17</v>
      </c>
      <c r="E1380" s="7" t="s">
        <v>11</v>
      </c>
      <c r="F1380" s="7" t="s">
        <v>50</v>
      </c>
      <c r="G1380" s="7" t="s">
        <v>86</v>
      </c>
      <c r="H1380" s="7" t="s">
        <v>313</v>
      </c>
      <c r="I1380" s="8" t="s">
        <v>3920</v>
      </c>
    </row>
    <row r="1381" spans="1:9" x14ac:dyDescent="0.35">
      <c r="A1381" s="6">
        <v>2552274</v>
      </c>
      <c r="B1381" s="7" t="str">
        <f>"3328137004840004"</f>
        <v>3328137004840004</v>
      </c>
      <c r="C1381" s="7" t="s">
        <v>3924</v>
      </c>
      <c r="D1381" s="7" t="s">
        <v>17</v>
      </c>
      <c r="E1381" s="7" t="s">
        <v>11</v>
      </c>
      <c r="F1381" s="7" t="s">
        <v>18</v>
      </c>
      <c r="G1381" s="7" t="s">
        <v>19</v>
      </c>
      <c r="H1381" s="7" t="s">
        <v>348</v>
      </c>
      <c r="I1381" s="8" t="s">
        <v>3723</v>
      </c>
    </row>
    <row r="1382" spans="1:9" x14ac:dyDescent="0.35">
      <c r="A1382" s="6">
        <v>2552326</v>
      </c>
      <c r="B1382" s="7" t="str">
        <f>"3329036308990002"</f>
        <v>3329036308990002</v>
      </c>
      <c r="C1382" s="7" t="s">
        <v>3926</v>
      </c>
      <c r="D1382" s="7" t="s">
        <v>17</v>
      </c>
      <c r="E1382" s="7" t="s">
        <v>11</v>
      </c>
      <c r="F1382" s="7" t="s">
        <v>18</v>
      </c>
      <c r="G1382" s="7" t="s">
        <v>19</v>
      </c>
      <c r="H1382" s="7" t="s">
        <v>348</v>
      </c>
      <c r="I1382" s="8" t="s">
        <v>3660</v>
      </c>
    </row>
    <row r="1383" spans="1:9" x14ac:dyDescent="0.35">
      <c r="A1383" s="6">
        <v>2552972</v>
      </c>
      <c r="B1383" s="7" t="str">
        <f>"3329055901880001"</f>
        <v>3329055901880001</v>
      </c>
      <c r="C1383" s="7" t="s">
        <v>3929</v>
      </c>
      <c r="D1383" s="7" t="s">
        <v>17</v>
      </c>
      <c r="E1383" s="7" t="s">
        <v>11</v>
      </c>
      <c r="F1383" s="7" t="s">
        <v>18</v>
      </c>
      <c r="G1383" s="7" t="s">
        <v>19</v>
      </c>
      <c r="H1383" s="7" t="s">
        <v>348</v>
      </c>
      <c r="I1383" s="8" t="s">
        <v>3666</v>
      </c>
    </row>
    <row r="1384" spans="1:9" x14ac:dyDescent="0.35">
      <c r="A1384" s="6">
        <v>2551340</v>
      </c>
      <c r="B1384" s="7" t="str">
        <f>"3329070805850004"</f>
        <v>3329070805850004</v>
      </c>
      <c r="C1384" s="7" t="s">
        <v>3931</v>
      </c>
      <c r="D1384" s="7" t="s">
        <v>17</v>
      </c>
      <c r="E1384" s="7" t="s">
        <v>11</v>
      </c>
      <c r="F1384" s="7" t="s">
        <v>18</v>
      </c>
      <c r="G1384" s="7" t="s">
        <v>19</v>
      </c>
      <c r="H1384" s="7" t="s">
        <v>348</v>
      </c>
      <c r="I1384" s="8" t="s">
        <v>459</v>
      </c>
    </row>
    <row r="1385" spans="1:9" x14ac:dyDescent="0.35">
      <c r="A1385" s="6">
        <v>1694850</v>
      </c>
      <c r="B1385" s="7" t="str">
        <f>"3329070809990002"</f>
        <v>3329070809990002</v>
      </c>
      <c r="C1385" s="7" t="s">
        <v>3933</v>
      </c>
      <c r="D1385" s="7" t="s">
        <v>17</v>
      </c>
      <c r="E1385" s="7" t="s">
        <v>11</v>
      </c>
      <c r="F1385" s="7" t="s">
        <v>18</v>
      </c>
      <c r="G1385" s="7" t="s">
        <v>264</v>
      </c>
      <c r="H1385" s="7" t="s">
        <v>265</v>
      </c>
      <c r="I1385" s="8" t="s">
        <v>1598</v>
      </c>
    </row>
    <row r="1386" spans="1:9" x14ac:dyDescent="0.35">
      <c r="A1386" s="6">
        <v>2551456</v>
      </c>
      <c r="B1386" s="7" t="str">
        <f>"3329071006640002"</f>
        <v>3329071006640002</v>
      </c>
      <c r="C1386" s="7" t="s">
        <v>3092</v>
      </c>
      <c r="D1386" s="7" t="s">
        <v>17</v>
      </c>
      <c r="E1386" s="7" t="s">
        <v>11</v>
      </c>
      <c r="F1386" s="7" t="s">
        <v>18</v>
      </c>
      <c r="G1386" s="7" t="s">
        <v>19</v>
      </c>
      <c r="H1386" s="7" t="s">
        <v>348</v>
      </c>
      <c r="I1386" s="8" t="s">
        <v>3721</v>
      </c>
    </row>
    <row r="1387" spans="1:9" x14ac:dyDescent="0.35">
      <c r="A1387" s="6">
        <v>1682393</v>
      </c>
      <c r="B1387" s="7" t="str">
        <f>"3329071306510001"</f>
        <v>3329071306510001</v>
      </c>
      <c r="C1387" s="7" t="s">
        <v>3934</v>
      </c>
      <c r="D1387" s="7" t="s">
        <v>17</v>
      </c>
      <c r="E1387" s="7" t="s">
        <v>11</v>
      </c>
      <c r="F1387" s="7" t="s">
        <v>18</v>
      </c>
      <c r="G1387" s="7" t="s">
        <v>264</v>
      </c>
      <c r="H1387" s="7" t="s">
        <v>265</v>
      </c>
      <c r="I1387" s="8" t="s">
        <v>3935</v>
      </c>
    </row>
    <row r="1388" spans="1:9" x14ac:dyDescent="0.35">
      <c r="A1388" s="6">
        <v>2551303</v>
      </c>
      <c r="B1388" s="7" t="str">
        <f>"3329072106840004"</f>
        <v>3329072106840004</v>
      </c>
      <c r="C1388" s="7" t="s">
        <v>3936</v>
      </c>
      <c r="D1388" s="7" t="s">
        <v>17</v>
      </c>
      <c r="E1388" s="7" t="s">
        <v>11</v>
      </c>
      <c r="F1388" s="7" t="s">
        <v>18</v>
      </c>
      <c r="G1388" s="7" t="s">
        <v>19</v>
      </c>
      <c r="H1388" s="7" t="s">
        <v>348</v>
      </c>
      <c r="I1388" s="8" t="s">
        <v>459</v>
      </c>
    </row>
    <row r="1389" spans="1:9" x14ac:dyDescent="0.35">
      <c r="A1389" s="6">
        <v>2551457</v>
      </c>
      <c r="B1389" s="7" t="str">
        <f>"3329074107670057"</f>
        <v>3329074107670057</v>
      </c>
      <c r="C1389" s="7" t="s">
        <v>1143</v>
      </c>
      <c r="D1389" s="7" t="s">
        <v>17</v>
      </c>
      <c r="E1389" s="7" t="s">
        <v>11</v>
      </c>
      <c r="F1389" s="7" t="s">
        <v>18</v>
      </c>
      <c r="G1389" s="7" t="s">
        <v>19</v>
      </c>
      <c r="H1389" s="7" t="s">
        <v>348</v>
      </c>
      <c r="I1389" s="8" t="s">
        <v>3721</v>
      </c>
    </row>
    <row r="1390" spans="1:9" x14ac:dyDescent="0.35">
      <c r="A1390" s="6">
        <v>1682138</v>
      </c>
      <c r="B1390" s="7" t="str">
        <f>"3329075405550002"</f>
        <v>3329075405550002</v>
      </c>
      <c r="C1390" s="7" t="s">
        <v>3937</v>
      </c>
      <c r="D1390" s="7" t="s">
        <v>17</v>
      </c>
      <c r="E1390" s="7" t="s">
        <v>11</v>
      </c>
      <c r="F1390" s="7" t="s">
        <v>18</v>
      </c>
      <c r="G1390" s="7" t="s">
        <v>264</v>
      </c>
      <c r="H1390" s="7" t="s">
        <v>265</v>
      </c>
      <c r="I1390" s="8" t="s">
        <v>3935</v>
      </c>
    </row>
    <row r="1391" spans="1:9" x14ac:dyDescent="0.35">
      <c r="A1391" s="6">
        <v>2551437</v>
      </c>
      <c r="B1391" s="7" t="str">
        <f>"3329076508870001"</f>
        <v>3329076508870001</v>
      </c>
      <c r="C1391" s="7" t="s">
        <v>3939</v>
      </c>
      <c r="D1391" s="7" t="s">
        <v>17</v>
      </c>
      <c r="E1391" s="7" t="s">
        <v>11</v>
      </c>
      <c r="F1391" s="7" t="s">
        <v>18</v>
      </c>
      <c r="G1391" s="7" t="s">
        <v>19</v>
      </c>
      <c r="H1391" s="7" t="s">
        <v>348</v>
      </c>
      <c r="I1391" s="8" t="s">
        <v>3721</v>
      </c>
    </row>
    <row r="1392" spans="1:9" x14ac:dyDescent="0.35">
      <c r="A1392" s="6">
        <v>1625408</v>
      </c>
      <c r="B1392" s="7" t="str">
        <f>"3329083012790006"</f>
        <v>3329083012790006</v>
      </c>
      <c r="C1392" s="7" t="s">
        <v>3940</v>
      </c>
      <c r="D1392" s="7" t="s">
        <v>17</v>
      </c>
      <c r="E1392" s="7" t="s">
        <v>11</v>
      </c>
      <c r="F1392" s="7" t="s">
        <v>18</v>
      </c>
      <c r="G1392" s="7" t="s">
        <v>264</v>
      </c>
      <c r="H1392" s="7" t="s">
        <v>248</v>
      </c>
      <c r="I1392" s="8" t="s">
        <v>3941</v>
      </c>
    </row>
    <row r="1393" spans="1:9" x14ac:dyDescent="0.35">
      <c r="A1393" s="6">
        <v>2553749</v>
      </c>
      <c r="B1393" s="7" t="str">
        <f>"3329090108030003"</f>
        <v>3329090108030003</v>
      </c>
      <c r="C1393" s="7" t="s">
        <v>3942</v>
      </c>
      <c r="D1393" s="7" t="s">
        <v>17</v>
      </c>
      <c r="E1393" s="7" t="s">
        <v>11</v>
      </c>
      <c r="F1393" s="7" t="s">
        <v>18</v>
      </c>
      <c r="G1393" s="7" t="s">
        <v>19</v>
      </c>
      <c r="H1393" s="7" t="s">
        <v>348</v>
      </c>
      <c r="I1393" s="8" t="s">
        <v>3861</v>
      </c>
    </row>
    <row r="1394" spans="1:9" x14ac:dyDescent="0.35">
      <c r="A1394" s="6">
        <v>1684623</v>
      </c>
      <c r="B1394" s="7" t="str">
        <f>"3329090108030003"</f>
        <v>3329090108030003</v>
      </c>
      <c r="C1394" s="7" t="s">
        <v>3943</v>
      </c>
      <c r="D1394" s="7" t="s">
        <v>17</v>
      </c>
      <c r="E1394" s="7" t="s">
        <v>11</v>
      </c>
      <c r="F1394" s="7" t="s">
        <v>18</v>
      </c>
      <c r="G1394" s="7" t="s">
        <v>264</v>
      </c>
      <c r="H1394" s="7" t="s">
        <v>265</v>
      </c>
      <c r="I1394" s="8" t="s">
        <v>3944</v>
      </c>
    </row>
    <row r="1395" spans="1:9" x14ac:dyDescent="0.35">
      <c r="A1395" s="6">
        <v>2553449</v>
      </c>
      <c r="B1395" s="7" t="str">
        <f>"3329093112810008"</f>
        <v>3329093112810008</v>
      </c>
      <c r="C1395" s="7" t="s">
        <v>3945</v>
      </c>
      <c r="D1395" s="7" t="s">
        <v>17</v>
      </c>
      <c r="E1395" s="7" t="s">
        <v>11</v>
      </c>
      <c r="F1395" s="7" t="s">
        <v>18</v>
      </c>
      <c r="G1395" s="7" t="s">
        <v>19</v>
      </c>
      <c r="H1395" s="7" t="s">
        <v>348</v>
      </c>
      <c r="I1395" s="8" t="s">
        <v>3677</v>
      </c>
    </row>
    <row r="1396" spans="1:9" x14ac:dyDescent="0.35">
      <c r="A1396" s="6">
        <v>1606854</v>
      </c>
      <c r="B1396" s="7" t="str">
        <f>"3329094107480265"</f>
        <v>3329094107480265</v>
      </c>
      <c r="C1396" s="7" t="s">
        <v>3946</v>
      </c>
      <c r="D1396" s="7" t="s">
        <v>17</v>
      </c>
      <c r="E1396" s="7" t="s">
        <v>11</v>
      </c>
      <c r="F1396" s="7" t="s">
        <v>18</v>
      </c>
      <c r="G1396" s="7" t="s">
        <v>264</v>
      </c>
      <c r="H1396" s="7" t="s">
        <v>264</v>
      </c>
      <c r="I1396" s="8" t="s">
        <v>3727</v>
      </c>
    </row>
    <row r="1397" spans="1:9" x14ac:dyDescent="0.35">
      <c r="A1397" s="6">
        <v>2552080</v>
      </c>
      <c r="B1397" s="7" t="str">
        <f>"3329094603980001"</f>
        <v>3329094603980001</v>
      </c>
      <c r="C1397" s="7" t="s">
        <v>3947</v>
      </c>
      <c r="D1397" s="7" t="s">
        <v>17</v>
      </c>
      <c r="E1397" s="7" t="s">
        <v>11</v>
      </c>
      <c r="F1397" s="7" t="s">
        <v>18</v>
      </c>
      <c r="G1397" s="7" t="s">
        <v>19</v>
      </c>
      <c r="H1397" s="7" t="s">
        <v>348</v>
      </c>
      <c r="I1397" s="8" t="s">
        <v>349</v>
      </c>
    </row>
    <row r="1398" spans="1:9" x14ac:dyDescent="0.35">
      <c r="A1398" s="6">
        <v>1695426</v>
      </c>
      <c r="B1398" s="7" t="str">
        <f>"3329106106950003"</f>
        <v>3329106106950003</v>
      </c>
      <c r="C1398" s="7" t="s">
        <v>3948</v>
      </c>
      <c r="D1398" s="7" t="s">
        <v>17</v>
      </c>
      <c r="E1398" s="7" t="s">
        <v>11</v>
      </c>
      <c r="F1398" s="7" t="s">
        <v>18</v>
      </c>
      <c r="G1398" s="7" t="s">
        <v>264</v>
      </c>
      <c r="H1398" s="7" t="s">
        <v>273</v>
      </c>
      <c r="I1398" s="8" t="s">
        <v>875</v>
      </c>
    </row>
    <row r="1399" spans="1:9" x14ac:dyDescent="0.35">
      <c r="A1399" s="6">
        <v>2551670</v>
      </c>
      <c r="B1399" s="7" t="str">
        <f>"3329120702810008"</f>
        <v>3329120702810008</v>
      </c>
      <c r="C1399" s="7" t="s">
        <v>3951</v>
      </c>
      <c r="D1399" s="7" t="s">
        <v>17</v>
      </c>
      <c r="E1399" s="7" t="s">
        <v>11</v>
      </c>
      <c r="F1399" s="7" t="s">
        <v>18</v>
      </c>
      <c r="G1399" s="7" t="s">
        <v>19</v>
      </c>
      <c r="H1399" s="7" t="s">
        <v>348</v>
      </c>
      <c r="I1399" s="8" t="s">
        <v>3679</v>
      </c>
    </row>
    <row r="1400" spans="1:9" x14ac:dyDescent="0.35">
      <c r="A1400" s="6">
        <v>1633227</v>
      </c>
      <c r="B1400" s="7" t="str">
        <f>"3329142808930001"</f>
        <v>3329142808930001</v>
      </c>
      <c r="C1400" s="7" t="s">
        <v>3952</v>
      </c>
      <c r="D1400" s="7" t="s">
        <v>17</v>
      </c>
      <c r="E1400" s="7" t="s">
        <v>11</v>
      </c>
      <c r="F1400" s="7" t="s">
        <v>18</v>
      </c>
      <c r="G1400" s="7" t="s">
        <v>264</v>
      </c>
      <c r="H1400" s="7" t="s">
        <v>477</v>
      </c>
      <c r="I1400" s="8" t="s">
        <v>3953</v>
      </c>
    </row>
    <row r="1401" spans="1:9" x14ac:dyDescent="0.35">
      <c r="A1401" s="6">
        <v>2570054</v>
      </c>
      <c r="B1401" s="7" t="str">
        <f>"3329145410980005"</f>
        <v>3329145410980005</v>
      </c>
      <c r="C1401" s="7" t="s">
        <v>3954</v>
      </c>
      <c r="D1401" s="7" t="s">
        <v>17</v>
      </c>
      <c r="E1401" s="7" t="s">
        <v>11</v>
      </c>
      <c r="F1401" s="7" t="s">
        <v>18</v>
      </c>
      <c r="G1401" s="7" t="s">
        <v>19</v>
      </c>
      <c r="H1401" s="7" t="s">
        <v>348</v>
      </c>
      <c r="I1401" s="8" t="s">
        <v>348</v>
      </c>
    </row>
    <row r="1402" spans="1:9" x14ac:dyDescent="0.35">
      <c r="A1402" s="6">
        <v>1156181</v>
      </c>
      <c r="B1402" s="7" t="str">
        <f>"3329145906840004"</f>
        <v>3329145906840004</v>
      </c>
      <c r="C1402" s="7" t="s">
        <v>3957</v>
      </c>
      <c r="D1402" s="7" t="s">
        <v>17</v>
      </c>
      <c r="E1402" s="7" t="s">
        <v>11</v>
      </c>
      <c r="F1402" s="7" t="s">
        <v>18</v>
      </c>
      <c r="G1402" s="7" t="s">
        <v>180</v>
      </c>
      <c r="H1402" s="7" t="s">
        <v>3958</v>
      </c>
      <c r="I1402" s="8" t="s">
        <v>3959</v>
      </c>
    </row>
    <row r="1403" spans="1:9" x14ac:dyDescent="0.35">
      <c r="A1403" s="6">
        <v>2553411</v>
      </c>
      <c r="B1403" s="7" t="str">
        <f>"3329150603950003"</f>
        <v>3329150603950003</v>
      </c>
      <c r="C1403" s="7" t="s">
        <v>3960</v>
      </c>
      <c r="D1403" s="7" t="s">
        <v>17</v>
      </c>
      <c r="E1403" s="7" t="s">
        <v>11</v>
      </c>
      <c r="F1403" s="7" t="s">
        <v>18</v>
      </c>
      <c r="G1403" s="7" t="s">
        <v>19</v>
      </c>
      <c r="H1403" s="7" t="s">
        <v>348</v>
      </c>
      <c r="I1403" s="8" t="s">
        <v>3677</v>
      </c>
    </row>
    <row r="1404" spans="1:9" x14ac:dyDescent="0.35">
      <c r="A1404" s="6">
        <v>2551812</v>
      </c>
      <c r="B1404" s="7" t="str">
        <f>"3329151105940002"</f>
        <v>3329151105940002</v>
      </c>
      <c r="C1404" s="7" t="s">
        <v>3964</v>
      </c>
      <c r="D1404" s="7" t="s">
        <v>17</v>
      </c>
      <c r="E1404" s="7" t="s">
        <v>11</v>
      </c>
      <c r="F1404" s="7" t="s">
        <v>18</v>
      </c>
      <c r="G1404" s="7" t="s">
        <v>19</v>
      </c>
      <c r="H1404" s="7" t="s">
        <v>348</v>
      </c>
      <c r="I1404" s="8" t="s">
        <v>3688</v>
      </c>
    </row>
    <row r="1405" spans="1:9" x14ac:dyDescent="0.35">
      <c r="A1405" s="6">
        <v>2551783</v>
      </c>
      <c r="B1405" s="7" t="str">
        <f>"3329155407860009"</f>
        <v>3329155407860009</v>
      </c>
      <c r="C1405" s="7" t="s">
        <v>3965</v>
      </c>
      <c r="D1405" s="7" t="s">
        <v>17</v>
      </c>
      <c r="E1405" s="7" t="s">
        <v>11</v>
      </c>
      <c r="F1405" s="7" t="s">
        <v>18</v>
      </c>
      <c r="G1405" s="7" t="s">
        <v>19</v>
      </c>
      <c r="H1405" s="7" t="s">
        <v>348</v>
      </c>
      <c r="I1405" s="8" t="s">
        <v>3679</v>
      </c>
    </row>
    <row r="1406" spans="1:9" x14ac:dyDescent="0.35">
      <c r="A1406" s="6">
        <v>2552461</v>
      </c>
      <c r="B1406" s="7" t="str">
        <f>"3376010705950001"</f>
        <v>3376010705950001</v>
      </c>
      <c r="C1406" s="7" t="s">
        <v>3967</v>
      </c>
      <c r="D1406" s="7" t="s">
        <v>17</v>
      </c>
      <c r="E1406" s="7" t="s">
        <v>11</v>
      </c>
      <c r="F1406" s="7" t="s">
        <v>18</v>
      </c>
      <c r="G1406" s="7" t="s">
        <v>19</v>
      </c>
      <c r="H1406" s="7" t="s">
        <v>348</v>
      </c>
      <c r="I1406" s="8" t="s">
        <v>3660</v>
      </c>
    </row>
    <row r="1407" spans="1:9" x14ac:dyDescent="0.35">
      <c r="A1407" s="6">
        <v>2551608</v>
      </c>
      <c r="B1407" s="7" t="str">
        <f>"3376011410810002"</f>
        <v>3376011410810002</v>
      </c>
      <c r="C1407" s="7" t="s">
        <v>1370</v>
      </c>
      <c r="D1407" s="7" t="s">
        <v>17</v>
      </c>
      <c r="E1407" s="7" t="s">
        <v>11</v>
      </c>
      <c r="F1407" s="7" t="s">
        <v>18</v>
      </c>
      <c r="G1407" s="7" t="s">
        <v>19</v>
      </c>
      <c r="H1407" s="7" t="s">
        <v>348</v>
      </c>
      <c r="I1407" s="8" t="s">
        <v>3696</v>
      </c>
    </row>
    <row r="1408" spans="1:9" x14ac:dyDescent="0.35">
      <c r="A1408" s="6">
        <v>2553059</v>
      </c>
      <c r="B1408" s="7" t="str">
        <f>"3376011602740001"</f>
        <v>3376011602740001</v>
      </c>
      <c r="C1408" s="7" t="s">
        <v>3968</v>
      </c>
      <c r="D1408" s="7" t="s">
        <v>17</v>
      </c>
      <c r="E1408" s="7" t="s">
        <v>11</v>
      </c>
      <c r="F1408" s="7" t="s">
        <v>18</v>
      </c>
      <c r="G1408" s="7" t="s">
        <v>19</v>
      </c>
      <c r="H1408" s="7" t="s">
        <v>348</v>
      </c>
      <c r="I1408" s="8" t="s">
        <v>3666</v>
      </c>
    </row>
    <row r="1409" spans="1:9" x14ac:dyDescent="0.35">
      <c r="A1409" s="6">
        <v>2553371</v>
      </c>
      <c r="B1409" s="7" t="str">
        <f>"3376016005930002"</f>
        <v>3376016005930002</v>
      </c>
      <c r="C1409" s="7" t="s">
        <v>3970</v>
      </c>
      <c r="D1409" s="7" t="s">
        <v>17</v>
      </c>
      <c r="E1409" s="7" t="s">
        <v>11</v>
      </c>
      <c r="F1409" s="7" t="s">
        <v>18</v>
      </c>
      <c r="G1409" s="7" t="s">
        <v>19</v>
      </c>
      <c r="H1409" s="7" t="s">
        <v>348</v>
      </c>
      <c r="I1409" s="8" t="s">
        <v>3677</v>
      </c>
    </row>
    <row r="1410" spans="1:9" x14ac:dyDescent="0.35">
      <c r="A1410" s="6">
        <v>2553060</v>
      </c>
      <c r="B1410" s="7" t="str">
        <f>"3376016512750001"</f>
        <v>3376016512750001</v>
      </c>
      <c r="C1410" s="7" t="s">
        <v>3971</v>
      </c>
      <c r="D1410" s="7" t="s">
        <v>17</v>
      </c>
      <c r="E1410" s="7" t="s">
        <v>11</v>
      </c>
      <c r="F1410" s="7" t="s">
        <v>18</v>
      </c>
      <c r="G1410" s="7" t="s">
        <v>19</v>
      </c>
      <c r="H1410" s="7" t="s">
        <v>348</v>
      </c>
      <c r="I1410" s="8" t="s">
        <v>3666</v>
      </c>
    </row>
    <row r="1411" spans="1:9" x14ac:dyDescent="0.35">
      <c r="A1411" s="6">
        <v>2553211</v>
      </c>
      <c r="B1411" s="7" t="str">
        <f>"3376021905980001"</f>
        <v>3376021905980001</v>
      </c>
      <c r="C1411" s="7" t="s">
        <v>3973</v>
      </c>
      <c r="D1411" s="7" t="s">
        <v>17</v>
      </c>
      <c r="E1411" s="7" t="s">
        <v>11</v>
      </c>
      <c r="F1411" s="7" t="s">
        <v>18</v>
      </c>
      <c r="G1411" s="7" t="s">
        <v>19</v>
      </c>
      <c r="H1411" s="7" t="s">
        <v>348</v>
      </c>
      <c r="I1411" s="8" t="s">
        <v>3683</v>
      </c>
    </row>
    <row r="1412" spans="1:9" x14ac:dyDescent="0.35">
      <c r="A1412" s="6">
        <v>2570035</v>
      </c>
      <c r="B1412" s="7" t="str">
        <f>"3376022206900002"</f>
        <v>3376022206900002</v>
      </c>
      <c r="C1412" s="7" t="s">
        <v>3974</v>
      </c>
      <c r="D1412" s="7" t="s">
        <v>17</v>
      </c>
      <c r="E1412" s="7" t="s">
        <v>11</v>
      </c>
      <c r="F1412" s="7" t="s">
        <v>18</v>
      </c>
      <c r="G1412" s="7" t="s">
        <v>19</v>
      </c>
      <c r="H1412" s="7" t="s">
        <v>348</v>
      </c>
      <c r="I1412" s="8" t="s">
        <v>348</v>
      </c>
    </row>
    <row r="1413" spans="1:9" x14ac:dyDescent="0.35">
      <c r="A1413" s="6">
        <v>2553086</v>
      </c>
      <c r="B1413" s="7" t="str">
        <f>"3376025507000003"</f>
        <v>3376025507000003</v>
      </c>
      <c r="C1413" s="7" t="s">
        <v>3975</v>
      </c>
      <c r="D1413" s="7" t="s">
        <v>17</v>
      </c>
      <c r="E1413" s="7" t="s">
        <v>11</v>
      </c>
      <c r="F1413" s="7" t="s">
        <v>18</v>
      </c>
      <c r="G1413" s="7" t="s">
        <v>19</v>
      </c>
      <c r="H1413" s="7" t="s">
        <v>348</v>
      </c>
      <c r="I1413" s="8" t="s">
        <v>3666</v>
      </c>
    </row>
    <row r="1414" spans="1:9" x14ac:dyDescent="0.35">
      <c r="A1414" s="6">
        <v>2551390</v>
      </c>
      <c r="B1414" s="7" t="str">
        <f>"3376030510940001"</f>
        <v>3376030510940001</v>
      </c>
      <c r="C1414" s="7" t="s">
        <v>3976</v>
      </c>
      <c r="D1414" s="7" t="s">
        <v>17</v>
      </c>
      <c r="E1414" s="7" t="s">
        <v>11</v>
      </c>
      <c r="F1414" s="7" t="s">
        <v>18</v>
      </c>
      <c r="G1414" s="7" t="s">
        <v>19</v>
      </c>
      <c r="H1414" s="7" t="s">
        <v>348</v>
      </c>
      <c r="I1414" s="8" t="s">
        <v>3721</v>
      </c>
    </row>
    <row r="1415" spans="1:9" x14ac:dyDescent="0.35">
      <c r="A1415" s="6">
        <v>2553399</v>
      </c>
      <c r="B1415" s="7" t="str">
        <f>"3376031202910001"</f>
        <v>3376031202910001</v>
      </c>
      <c r="C1415" s="7" t="s">
        <v>3977</v>
      </c>
      <c r="D1415" s="7" t="s">
        <v>17</v>
      </c>
      <c r="E1415" s="7" t="s">
        <v>11</v>
      </c>
      <c r="F1415" s="7" t="s">
        <v>18</v>
      </c>
      <c r="G1415" s="7" t="s">
        <v>19</v>
      </c>
      <c r="H1415" s="7" t="s">
        <v>348</v>
      </c>
      <c r="I1415" s="8" t="s">
        <v>3677</v>
      </c>
    </row>
    <row r="1416" spans="1:9" x14ac:dyDescent="0.35">
      <c r="A1416" s="6">
        <v>2551515</v>
      </c>
      <c r="B1416" s="7" t="str">
        <f>"3376041804940001"</f>
        <v>3376041804940001</v>
      </c>
      <c r="C1416" s="7" t="s">
        <v>3979</v>
      </c>
      <c r="D1416" s="7" t="s">
        <v>17</v>
      </c>
      <c r="E1416" s="7" t="s">
        <v>11</v>
      </c>
      <c r="F1416" s="7" t="s">
        <v>18</v>
      </c>
      <c r="G1416" s="7" t="s">
        <v>19</v>
      </c>
      <c r="H1416" s="7" t="s">
        <v>348</v>
      </c>
      <c r="I1416" s="8" t="s">
        <v>3670</v>
      </c>
    </row>
    <row r="1417" spans="1:9" x14ac:dyDescent="0.35">
      <c r="A1417" s="6">
        <v>2551516</v>
      </c>
      <c r="B1417" s="7" t="str">
        <f>"3376044712950001"</f>
        <v>3376044712950001</v>
      </c>
      <c r="C1417" s="7" t="s">
        <v>3980</v>
      </c>
      <c r="D1417" s="7" t="s">
        <v>17</v>
      </c>
      <c r="E1417" s="7" t="s">
        <v>11</v>
      </c>
      <c r="F1417" s="7" t="s">
        <v>18</v>
      </c>
      <c r="G1417" s="7" t="s">
        <v>19</v>
      </c>
      <c r="H1417" s="7" t="s">
        <v>348</v>
      </c>
      <c r="I1417" s="8" t="s">
        <v>3670</v>
      </c>
    </row>
    <row r="1418" spans="1:9" x14ac:dyDescent="0.35">
      <c r="A1418" s="6">
        <v>2552797</v>
      </c>
      <c r="B1418" s="7" t="str">
        <f>"3526184205970002"</f>
        <v>3526184205970002</v>
      </c>
      <c r="C1418" s="7" t="s">
        <v>3981</v>
      </c>
      <c r="D1418" s="7" t="s">
        <v>17</v>
      </c>
      <c r="E1418" s="7" t="s">
        <v>11</v>
      </c>
      <c r="F1418" s="7" t="s">
        <v>18</v>
      </c>
      <c r="G1418" s="7" t="s">
        <v>19</v>
      </c>
      <c r="H1418" s="7" t="s">
        <v>348</v>
      </c>
      <c r="I1418" s="8" t="s">
        <v>1777</v>
      </c>
    </row>
    <row r="1419" spans="1:9" x14ac:dyDescent="0.35">
      <c r="A1419" s="6">
        <v>2551443</v>
      </c>
      <c r="B1419" s="7" t="str">
        <f>"3603121203660003"</f>
        <v>3603121203660003</v>
      </c>
      <c r="C1419" s="7" t="s">
        <v>3985</v>
      </c>
      <c r="D1419" s="7" t="s">
        <v>17</v>
      </c>
      <c r="E1419" s="7" t="s">
        <v>11</v>
      </c>
      <c r="F1419" s="7" t="s">
        <v>18</v>
      </c>
      <c r="G1419" s="7" t="s">
        <v>19</v>
      </c>
      <c r="H1419" s="7" t="s">
        <v>348</v>
      </c>
      <c r="I1419" s="8" t="s">
        <v>3721</v>
      </c>
    </row>
    <row r="1420" spans="1:9" x14ac:dyDescent="0.35">
      <c r="A1420" s="6">
        <v>2551445</v>
      </c>
      <c r="B1420" s="7" t="str">
        <f>"3603122801880006"</f>
        <v>3603122801880006</v>
      </c>
      <c r="C1420" s="7" t="s">
        <v>3987</v>
      </c>
      <c r="D1420" s="7" t="s">
        <v>17</v>
      </c>
      <c r="E1420" s="7" t="s">
        <v>11</v>
      </c>
      <c r="F1420" s="7" t="s">
        <v>18</v>
      </c>
      <c r="G1420" s="7" t="s">
        <v>19</v>
      </c>
      <c r="H1420" s="7" t="s">
        <v>348</v>
      </c>
      <c r="I1420" s="8" t="s">
        <v>3721</v>
      </c>
    </row>
    <row r="1421" spans="1:9" x14ac:dyDescent="0.35">
      <c r="A1421" s="6">
        <v>2551444</v>
      </c>
      <c r="B1421" s="7" t="str">
        <f>"3603124904710003"</f>
        <v>3603124904710003</v>
      </c>
      <c r="C1421" s="7" t="s">
        <v>3988</v>
      </c>
      <c r="D1421" s="7" t="s">
        <v>17</v>
      </c>
      <c r="E1421" s="7" t="s">
        <v>11</v>
      </c>
      <c r="F1421" s="7" t="s">
        <v>18</v>
      </c>
      <c r="G1421" s="7" t="s">
        <v>19</v>
      </c>
      <c r="H1421" s="7" t="s">
        <v>348</v>
      </c>
      <c r="I1421" s="8" t="s">
        <v>3721</v>
      </c>
    </row>
    <row r="1422" spans="1:9" x14ac:dyDescent="0.35">
      <c r="A1422" s="6">
        <v>2553294</v>
      </c>
      <c r="B1422" s="7" t="str">
        <f>"3671060708910010"</f>
        <v>3671060708910010</v>
      </c>
      <c r="C1422" s="7" t="s">
        <v>3991</v>
      </c>
      <c r="D1422" s="7" t="s">
        <v>17</v>
      </c>
      <c r="E1422" s="7" t="s">
        <v>11</v>
      </c>
      <c r="F1422" s="7" t="s">
        <v>18</v>
      </c>
      <c r="G1422" s="7" t="s">
        <v>19</v>
      </c>
      <c r="H1422" s="7" t="s">
        <v>348</v>
      </c>
      <c r="I1422" s="8" t="s">
        <v>1644</v>
      </c>
    </row>
    <row r="1423" spans="1:9" x14ac:dyDescent="0.35">
      <c r="A1423" s="6">
        <v>2552367</v>
      </c>
      <c r="B1423" s="7" t="str">
        <f>"3674040112030006"</f>
        <v>3674040112030006</v>
      </c>
      <c r="C1423" s="7" t="s">
        <v>3992</v>
      </c>
      <c r="D1423" s="7" t="s">
        <v>17</v>
      </c>
      <c r="E1423" s="7" t="s">
        <v>11</v>
      </c>
      <c r="F1423" s="7" t="s">
        <v>18</v>
      </c>
      <c r="G1423" s="7" t="s">
        <v>19</v>
      </c>
      <c r="H1423" s="7" t="s">
        <v>348</v>
      </c>
      <c r="I1423" s="8" t="s">
        <v>3660</v>
      </c>
    </row>
    <row r="1424" spans="1:9" x14ac:dyDescent="0.35">
      <c r="A1424" s="6">
        <v>2553759</v>
      </c>
      <c r="B1424" s="7" t="str">
        <f>"6207082308810001"</f>
        <v>6207082308810001</v>
      </c>
      <c r="C1424" s="7" t="s">
        <v>3997</v>
      </c>
      <c r="D1424" s="7" t="s">
        <v>17</v>
      </c>
      <c r="E1424" s="7" t="s">
        <v>11</v>
      </c>
      <c r="F1424" s="7" t="s">
        <v>18</v>
      </c>
      <c r="G1424" s="7" t="s">
        <v>19</v>
      </c>
      <c r="H1424" s="7" t="s">
        <v>348</v>
      </c>
      <c r="I1424" s="8" t="s">
        <v>3861</v>
      </c>
    </row>
    <row r="1425" spans="1:9" x14ac:dyDescent="0.35">
      <c r="A1425" s="6">
        <v>2554447</v>
      </c>
      <c r="B1425" s="7" t="str">
        <f>"1611033008900002"</f>
        <v>1611033008900002</v>
      </c>
      <c r="C1425" s="7" t="s">
        <v>3998</v>
      </c>
      <c r="D1425" s="7" t="s">
        <v>17</v>
      </c>
      <c r="E1425" s="7" t="s">
        <v>11</v>
      </c>
      <c r="F1425" s="7" t="s">
        <v>18</v>
      </c>
      <c r="G1425" s="7" t="s">
        <v>19</v>
      </c>
      <c r="H1425" s="7" t="s">
        <v>3354</v>
      </c>
      <c r="I1425" s="8" t="s">
        <v>3999</v>
      </c>
    </row>
    <row r="1426" spans="1:9" x14ac:dyDescent="0.35">
      <c r="A1426" s="6">
        <v>2554675</v>
      </c>
      <c r="B1426" s="7" t="str">
        <f>"1871074601700001"</f>
        <v>1871074601700001</v>
      </c>
      <c r="C1426" s="7" t="s">
        <v>4000</v>
      </c>
      <c r="D1426" s="7" t="s">
        <v>17</v>
      </c>
      <c r="E1426" s="7" t="s">
        <v>11</v>
      </c>
      <c r="F1426" s="7" t="s">
        <v>18</v>
      </c>
      <c r="G1426" s="7" t="s">
        <v>19</v>
      </c>
      <c r="H1426" s="7" t="s">
        <v>3354</v>
      </c>
      <c r="I1426" s="8" t="s">
        <v>4003</v>
      </c>
    </row>
    <row r="1427" spans="1:9" x14ac:dyDescent="0.35">
      <c r="A1427" s="6">
        <v>2554876</v>
      </c>
      <c r="B1427" s="7" t="str">
        <f>"3171025009830006"</f>
        <v>3171025009830006</v>
      </c>
      <c r="C1427" s="7" t="s">
        <v>4004</v>
      </c>
      <c r="D1427" s="7" t="s">
        <v>17</v>
      </c>
      <c r="E1427" s="7" t="s">
        <v>11</v>
      </c>
      <c r="F1427" s="7" t="s">
        <v>18</v>
      </c>
      <c r="G1427" s="7" t="s">
        <v>19</v>
      </c>
      <c r="H1427" s="7" t="s">
        <v>3354</v>
      </c>
      <c r="I1427" s="8" t="s">
        <v>1954</v>
      </c>
    </row>
    <row r="1428" spans="1:9" x14ac:dyDescent="0.35">
      <c r="A1428" s="6">
        <v>2554877</v>
      </c>
      <c r="B1428" s="7" t="str">
        <f>"3171025410060002"</f>
        <v>3171025410060002</v>
      </c>
      <c r="C1428" s="7" t="s">
        <v>4006</v>
      </c>
      <c r="D1428" s="7" t="s">
        <v>17</v>
      </c>
      <c r="E1428" s="7" t="s">
        <v>11</v>
      </c>
      <c r="F1428" s="7" t="s">
        <v>18</v>
      </c>
      <c r="G1428" s="7" t="s">
        <v>19</v>
      </c>
      <c r="H1428" s="7" t="s">
        <v>3354</v>
      </c>
      <c r="I1428" s="8" t="s">
        <v>1954</v>
      </c>
    </row>
    <row r="1429" spans="1:9" x14ac:dyDescent="0.35">
      <c r="A1429" s="6">
        <v>2554231</v>
      </c>
      <c r="B1429" s="7" t="str">
        <f>"3172046810760021"</f>
        <v>3172046810760021</v>
      </c>
      <c r="C1429" s="7" t="s">
        <v>2870</v>
      </c>
      <c r="D1429" s="7" t="s">
        <v>17</v>
      </c>
      <c r="E1429" s="7" t="s">
        <v>11</v>
      </c>
      <c r="F1429" s="7" t="s">
        <v>18</v>
      </c>
      <c r="G1429" s="7" t="s">
        <v>19</v>
      </c>
      <c r="H1429" s="7" t="s">
        <v>3354</v>
      </c>
      <c r="I1429" s="8" t="s">
        <v>4012</v>
      </c>
    </row>
    <row r="1430" spans="1:9" x14ac:dyDescent="0.35">
      <c r="A1430" s="6">
        <v>2555251</v>
      </c>
      <c r="B1430" s="7" t="str">
        <f>"3173021111780005"</f>
        <v>3173021111780005</v>
      </c>
      <c r="C1430" s="7" t="s">
        <v>4013</v>
      </c>
      <c r="D1430" s="7" t="s">
        <v>17</v>
      </c>
      <c r="E1430" s="7" t="s">
        <v>11</v>
      </c>
      <c r="F1430" s="7" t="s">
        <v>18</v>
      </c>
      <c r="G1430" s="7" t="s">
        <v>19</v>
      </c>
      <c r="H1430" s="7" t="s">
        <v>3354</v>
      </c>
      <c r="I1430" s="8" t="s">
        <v>4014</v>
      </c>
    </row>
    <row r="1431" spans="1:9" x14ac:dyDescent="0.35">
      <c r="A1431" s="6">
        <v>2555253</v>
      </c>
      <c r="B1431" s="7" t="str">
        <f>"3173024501061001"</f>
        <v>3173024501061001</v>
      </c>
      <c r="C1431" s="7" t="s">
        <v>4015</v>
      </c>
      <c r="D1431" s="7" t="s">
        <v>17</v>
      </c>
      <c r="E1431" s="7" t="s">
        <v>11</v>
      </c>
      <c r="F1431" s="7" t="s">
        <v>18</v>
      </c>
      <c r="G1431" s="7" t="s">
        <v>19</v>
      </c>
      <c r="H1431" s="7" t="s">
        <v>3354</v>
      </c>
      <c r="I1431" s="8" t="s">
        <v>4014</v>
      </c>
    </row>
    <row r="1432" spans="1:9" x14ac:dyDescent="0.35">
      <c r="A1432" s="6">
        <v>2555252</v>
      </c>
      <c r="B1432" s="7" t="str">
        <f>"3173025101820008"</f>
        <v>3173025101820008</v>
      </c>
      <c r="C1432" s="7" t="s">
        <v>4016</v>
      </c>
      <c r="D1432" s="7" t="s">
        <v>17</v>
      </c>
      <c r="E1432" s="7" t="s">
        <v>11</v>
      </c>
      <c r="F1432" s="7" t="s">
        <v>18</v>
      </c>
      <c r="G1432" s="7" t="s">
        <v>19</v>
      </c>
      <c r="H1432" s="7" t="s">
        <v>3354</v>
      </c>
      <c r="I1432" s="8" t="s">
        <v>4014</v>
      </c>
    </row>
    <row r="1433" spans="1:9" x14ac:dyDescent="0.35">
      <c r="A1433" s="6">
        <v>2555161</v>
      </c>
      <c r="B1433" s="7" t="str">
        <f>"3173040708820012"</f>
        <v>3173040708820012</v>
      </c>
      <c r="C1433" s="7" t="s">
        <v>4017</v>
      </c>
      <c r="D1433" s="7" t="s">
        <v>17</v>
      </c>
      <c r="E1433" s="7" t="s">
        <v>11</v>
      </c>
      <c r="F1433" s="7" t="s">
        <v>18</v>
      </c>
      <c r="G1433" s="7" t="s">
        <v>19</v>
      </c>
      <c r="H1433" s="7" t="s">
        <v>3354</v>
      </c>
      <c r="I1433" s="8" t="s">
        <v>3354</v>
      </c>
    </row>
    <row r="1434" spans="1:9" x14ac:dyDescent="0.35">
      <c r="A1434" s="6">
        <v>2553862</v>
      </c>
      <c r="B1434" s="7" t="str">
        <f>"3174041605690010"</f>
        <v>3174041605690010</v>
      </c>
      <c r="C1434" s="7" t="s">
        <v>4021</v>
      </c>
      <c r="D1434" s="7" t="s">
        <v>17</v>
      </c>
      <c r="E1434" s="7" t="s">
        <v>11</v>
      </c>
      <c r="F1434" s="7" t="s">
        <v>18</v>
      </c>
      <c r="G1434" s="7" t="s">
        <v>19</v>
      </c>
      <c r="H1434" s="7" t="s">
        <v>3354</v>
      </c>
      <c r="I1434" s="8" t="s">
        <v>4022</v>
      </c>
    </row>
    <row r="1435" spans="1:9" x14ac:dyDescent="0.35">
      <c r="A1435" s="6">
        <v>2555406</v>
      </c>
      <c r="B1435" s="7" t="str">
        <f>"3174051211640007"</f>
        <v>3174051211640007</v>
      </c>
      <c r="C1435" s="7" t="s">
        <v>4023</v>
      </c>
      <c r="D1435" s="7" t="s">
        <v>17</v>
      </c>
      <c r="E1435" s="7" t="s">
        <v>11</v>
      </c>
      <c r="F1435" s="7" t="s">
        <v>18</v>
      </c>
      <c r="G1435" s="7" t="s">
        <v>19</v>
      </c>
      <c r="H1435" s="7" t="s">
        <v>3354</v>
      </c>
      <c r="I1435" s="8" t="s">
        <v>4014</v>
      </c>
    </row>
    <row r="1436" spans="1:9" x14ac:dyDescent="0.35">
      <c r="A1436" s="6">
        <v>2555928</v>
      </c>
      <c r="B1436" s="7" t="str">
        <f>"3216020806820018"</f>
        <v>3216020806820018</v>
      </c>
      <c r="C1436" s="7" t="s">
        <v>4024</v>
      </c>
      <c r="D1436" s="7" t="s">
        <v>17</v>
      </c>
      <c r="E1436" s="7" t="s">
        <v>11</v>
      </c>
      <c r="F1436" s="7" t="s">
        <v>18</v>
      </c>
      <c r="G1436" s="7" t="s">
        <v>19</v>
      </c>
      <c r="H1436" s="7" t="s">
        <v>3354</v>
      </c>
      <c r="I1436" s="8" t="s">
        <v>4026</v>
      </c>
    </row>
    <row r="1437" spans="1:9" x14ac:dyDescent="0.35">
      <c r="A1437" s="6">
        <v>2555929</v>
      </c>
      <c r="B1437" s="7" t="str">
        <f>"3216025910840005"</f>
        <v>3216025910840005</v>
      </c>
      <c r="C1437" s="7" t="s">
        <v>4027</v>
      </c>
      <c r="D1437" s="7" t="s">
        <v>17</v>
      </c>
      <c r="E1437" s="7" t="s">
        <v>11</v>
      </c>
      <c r="F1437" s="7" t="s">
        <v>18</v>
      </c>
      <c r="G1437" s="7" t="s">
        <v>19</v>
      </c>
      <c r="H1437" s="7" t="s">
        <v>3354</v>
      </c>
      <c r="I1437" s="8" t="s">
        <v>4026</v>
      </c>
    </row>
    <row r="1438" spans="1:9" x14ac:dyDescent="0.35">
      <c r="A1438" s="6">
        <v>2554444</v>
      </c>
      <c r="B1438" s="7" t="str">
        <f>"3216081206710016"</f>
        <v>3216081206710016</v>
      </c>
      <c r="C1438" s="7" t="s">
        <v>4028</v>
      </c>
      <c r="D1438" s="7" t="s">
        <v>17</v>
      </c>
      <c r="E1438" s="7" t="s">
        <v>11</v>
      </c>
      <c r="F1438" s="7" t="s">
        <v>18</v>
      </c>
      <c r="G1438" s="7" t="s">
        <v>19</v>
      </c>
      <c r="H1438" s="7" t="s">
        <v>3354</v>
      </c>
      <c r="I1438" s="8" t="s">
        <v>3999</v>
      </c>
    </row>
    <row r="1439" spans="1:9" x14ac:dyDescent="0.35">
      <c r="A1439" s="6">
        <v>2555265</v>
      </c>
      <c r="B1439" s="7" t="str">
        <f>"3216094206690006"</f>
        <v>3216094206690006</v>
      </c>
      <c r="C1439" s="7" t="s">
        <v>4033</v>
      </c>
      <c r="D1439" s="7" t="s">
        <v>17</v>
      </c>
      <c r="E1439" s="7" t="s">
        <v>11</v>
      </c>
      <c r="F1439" s="7" t="s">
        <v>18</v>
      </c>
      <c r="G1439" s="7" t="s">
        <v>19</v>
      </c>
      <c r="H1439" s="7" t="s">
        <v>3354</v>
      </c>
      <c r="I1439" s="8" t="s">
        <v>4014</v>
      </c>
    </row>
    <row r="1440" spans="1:9" x14ac:dyDescent="0.35">
      <c r="A1440" s="6">
        <v>2553766</v>
      </c>
      <c r="B1440" s="7" t="str">
        <f>"3216221112930004"</f>
        <v>3216221112930004</v>
      </c>
      <c r="C1440" s="7" t="s">
        <v>4034</v>
      </c>
      <c r="D1440" s="7" t="s">
        <v>17</v>
      </c>
      <c r="E1440" s="7" t="s">
        <v>11</v>
      </c>
      <c r="F1440" s="7" t="s">
        <v>18</v>
      </c>
      <c r="G1440" s="7" t="s">
        <v>19</v>
      </c>
      <c r="H1440" s="7" t="s">
        <v>3354</v>
      </c>
      <c r="I1440" s="8" t="s">
        <v>4022</v>
      </c>
    </row>
    <row r="1441" spans="1:9" x14ac:dyDescent="0.35">
      <c r="A1441" s="6">
        <v>2554098</v>
      </c>
      <c r="B1441" s="7" t="str">
        <f>"3217070606650019"</f>
        <v>3217070606650019</v>
      </c>
      <c r="C1441" s="7" t="s">
        <v>4037</v>
      </c>
      <c r="D1441" s="7" t="s">
        <v>17</v>
      </c>
      <c r="E1441" s="7" t="s">
        <v>11</v>
      </c>
      <c r="F1441" s="7" t="s">
        <v>18</v>
      </c>
      <c r="G1441" s="7" t="s">
        <v>19</v>
      </c>
      <c r="H1441" s="7" t="s">
        <v>3354</v>
      </c>
      <c r="I1441" s="8" t="s">
        <v>4040</v>
      </c>
    </row>
    <row r="1442" spans="1:9" x14ac:dyDescent="0.35">
      <c r="A1442" s="6">
        <v>2555628</v>
      </c>
      <c r="B1442" s="7" t="str">
        <f>"3273151006600005"</f>
        <v>3273151006600005</v>
      </c>
      <c r="C1442" s="7" t="s">
        <v>4044</v>
      </c>
      <c r="D1442" s="7" t="s">
        <v>17</v>
      </c>
      <c r="E1442" s="7" t="s">
        <v>11</v>
      </c>
      <c r="F1442" s="7" t="s">
        <v>18</v>
      </c>
      <c r="G1442" s="7" t="s">
        <v>19</v>
      </c>
      <c r="H1442" s="7" t="s">
        <v>3354</v>
      </c>
      <c r="I1442" s="8" t="s">
        <v>613</v>
      </c>
    </row>
    <row r="1443" spans="1:9" x14ac:dyDescent="0.35">
      <c r="A1443" s="6">
        <v>2553881</v>
      </c>
      <c r="B1443" s="7" t="str">
        <f>"3275041902780013"</f>
        <v>3275041902780013</v>
      </c>
      <c r="C1443" s="7" t="s">
        <v>4046</v>
      </c>
      <c r="D1443" s="7" t="s">
        <v>17</v>
      </c>
      <c r="E1443" s="7" t="s">
        <v>11</v>
      </c>
      <c r="F1443" s="7" t="s">
        <v>18</v>
      </c>
      <c r="G1443" s="7" t="s">
        <v>19</v>
      </c>
      <c r="H1443" s="7" t="s">
        <v>3354</v>
      </c>
      <c r="I1443" s="8" t="s">
        <v>4022</v>
      </c>
    </row>
    <row r="1444" spans="1:9" x14ac:dyDescent="0.35">
      <c r="A1444" s="6">
        <v>2555734</v>
      </c>
      <c r="B1444" s="7" t="str">
        <f>"3276101104730005"</f>
        <v>3276101104730005</v>
      </c>
      <c r="C1444" s="7" t="s">
        <v>4047</v>
      </c>
      <c r="D1444" s="7" t="s">
        <v>17</v>
      </c>
      <c r="E1444" s="7" t="s">
        <v>11</v>
      </c>
      <c r="F1444" s="7" t="s">
        <v>18</v>
      </c>
      <c r="G1444" s="7" t="s">
        <v>19</v>
      </c>
      <c r="H1444" s="7" t="s">
        <v>3354</v>
      </c>
      <c r="I1444" s="8" t="s">
        <v>4049</v>
      </c>
    </row>
    <row r="1445" spans="1:9" x14ac:dyDescent="0.35">
      <c r="A1445" s="6">
        <v>2555736</v>
      </c>
      <c r="B1445" s="7" t="str">
        <f>"3276101208960002"</f>
        <v>3276101208960002</v>
      </c>
      <c r="C1445" s="7" t="s">
        <v>4050</v>
      </c>
      <c r="D1445" s="7" t="s">
        <v>17</v>
      </c>
      <c r="E1445" s="7" t="s">
        <v>11</v>
      </c>
      <c r="F1445" s="7" t="s">
        <v>18</v>
      </c>
      <c r="G1445" s="7" t="s">
        <v>19</v>
      </c>
      <c r="H1445" s="7" t="s">
        <v>3354</v>
      </c>
      <c r="I1445" s="8" t="s">
        <v>4049</v>
      </c>
    </row>
    <row r="1446" spans="1:9" x14ac:dyDescent="0.35">
      <c r="A1446" s="6">
        <v>2555737</v>
      </c>
      <c r="B1446" s="7" t="str">
        <f>"3276102311020004"</f>
        <v>3276102311020004</v>
      </c>
      <c r="C1446" s="7" t="s">
        <v>4051</v>
      </c>
      <c r="D1446" s="7" t="s">
        <v>17</v>
      </c>
      <c r="E1446" s="7" t="s">
        <v>11</v>
      </c>
      <c r="F1446" s="7" t="s">
        <v>18</v>
      </c>
      <c r="G1446" s="7" t="s">
        <v>19</v>
      </c>
      <c r="H1446" s="7" t="s">
        <v>3354</v>
      </c>
      <c r="I1446" s="8" t="s">
        <v>4049</v>
      </c>
    </row>
    <row r="1447" spans="1:9" x14ac:dyDescent="0.35">
      <c r="A1447" s="6">
        <v>2555735</v>
      </c>
      <c r="B1447" s="7" t="str">
        <f>"3276106209670001"</f>
        <v>3276106209670001</v>
      </c>
      <c r="C1447" s="7" t="s">
        <v>4052</v>
      </c>
      <c r="D1447" s="7" t="s">
        <v>17</v>
      </c>
      <c r="E1447" s="7" t="s">
        <v>11</v>
      </c>
      <c r="F1447" s="7" t="s">
        <v>18</v>
      </c>
      <c r="G1447" s="7" t="s">
        <v>19</v>
      </c>
      <c r="H1447" s="7" t="s">
        <v>3354</v>
      </c>
      <c r="I1447" s="8" t="s">
        <v>4049</v>
      </c>
    </row>
    <row r="1448" spans="1:9" x14ac:dyDescent="0.35">
      <c r="A1448" s="6">
        <v>2554913</v>
      </c>
      <c r="B1448" s="7" t="str">
        <f>"3303087008860002"</f>
        <v>3303087008860002</v>
      </c>
      <c r="C1448" s="7" t="s">
        <v>4055</v>
      </c>
      <c r="D1448" s="7" t="s">
        <v>17</v>
      </c>
      <c r="E1448" s="7" t="s">
        <v>11</v>
      </c>
      <c r="F1448" s="7" t="s">
        <v>18</v>
      </c>
      <c r="G1448" s="7" t="s">
        <v>19</v>
      </c>
      <c r="H1448" s="7" t="s">
        <v>3354</v>
      </c>
      <c r="I1448" s="8" t="s">
        <v>1309</v>
      </c>
    </row>
    <row r="1449" spans="1:9" x14ac:dyDescent="0.35">
      <c r="A1449" s="6">
        <v>2555990</v>
      </c>
      <c r="B1449" s="7" t="str">
        <f>"3307130107980008"</f>
        <v>3307130107980008</v>
      </c>
      <c r="C1449" s="7" t="s">
        <v>4056</v>
      </c>
      <c r="D1449" s="7" t="s">
        <v>17</v>
      </c>
      <c r="E1449" s="7" t="s">
        <v>11</v>
      </c>
      <c r="F1449" s="7" t="s">
        <v>18</v>
      </c>
      <c r="G1449" s="7" t="s">
        <v>19</v>
      </c>
      <c r="H1449" s="7" t="s">
        <v>3354</v>
      </c>
      <c r="I1449" s="8" t="s">
        <v>4057</v>
      </c>
    </row>
    <row r="1450" spans="1:9" x14ac:dyDescent="0.35">
      <c r="A1450" s="6">
        <v>730943</v>
      </c>
      <c r="B1450" s="7" t="str">
        <f>"3307130107980008"</f>
        <v>3307130107980008</v>
      </c>
      <c r="C1450" s="7" t="s">
        <v>4058</v>
      </c>
      <c r="D1450" s="7" t="s">
        <v>17</v>
      </c>
      <c r="E1450" s="7" t="s">
        <v>11</v>
      </c>
      <c r="F1450" s="7" t="s">
        <v>18</v>
      </c>
      <c r="G1450" s="7" t="s">
        <v>392</v>
      </c>
      <c r="H1450" s="7" t="s">
        <v>4059</v>
      </c>
      <c r="I1450" s="8" t="s">
        <v>4060</v>
      </c>
    </row>
    <row r="1451" spans="1:9" x14ac:dyDescent="0.35">
      <c r="A1451" s="6">
        <v>645202</v>
      </c>
      <c r="B1451" s="7" t="str">
        <f>"3325035010870003"</f>
        <v>3325035010870003</v>
      </c>
      <c r="C1451" s="7" t="s">
        <v>4062</v>
      </c>
      <c r="D1451" s="7" t="s">
        <v>17</v>
      </c>
      <c r="E1451" s="7" t="s">
        <v>11</v>
      </c>
      <c r="F1451" s="7" t="s">
        <v>18</v>
      </c>
      <c r="G1451" s="7" t="s">
        <v>190</v>
      </c>
      <c r="H1451" s="7" t="s">
        <v>4063</v>
      </c>
      <c r="I1451" s="8" t="s">
        <v>4064</v>
      </c>
    </row>
    <row r="1452" spans="1:9" x14ac:dyDescent="0.35">
      <c r="A1452" s="6">
        <v>2554631</v>
      </c>
      <c r="B1452" s="7" t="str">
        <f>"3325131404890003"</f>
        <v>3325131404890003</v>
      </c>
      <c r="C1452" s="7" t="s">
        <v>4067</v>
      </c>
      <c r="D1452" s="7" t="s">
        <v>17</v>
      </c>
      <c r="E1452" s="7" t="s">
        <v>11</v>
      </c>
      <c r="F1452" s="7" t="s">
        <v>18</v>
      </c>
      <c r="G1452" s="7" t="s">
        <v>19</v>
      </c>
      <c r="H1452" s="7" t="s">
        <v>3354</v>
      </c>
      <c r="I1452" s="8" t="s">
        <v>4003</v>
      </c>
    </row>
    <row r="1453" spans="1:9" x14ac:dyDescent="0.35">
      <c r="A1453" s="6">
        <v>1566264</v>
      </c>
      <c r="B1453" s="7" t="str">
        <f>"3326120708790001"</f>
        <v>3326120708790001</v>
      </c>
      <c r="C1453" s="7" t="s">
        <v>4068</v>
      </c>
      <c r="D1453" s="7" t="s">
        <v>17</v>
      </c>
      <c r="E1453" s="7" t="s">
        <v>11</v>
      </c>
      <c r="F1453" s="7" t="s">
        <v>18</v>
      </c>
      <c r="G1453" s="7" t="s">
        <v>195</v>
      </c>
      <c r="H1453" s="7" t="s">
        <v>2604</v>
      </c>
      <c r="I1453" s="8" t="s">
        <v>4069</v>
      </c>
    </row>
    <row r="1454" spans="1:9" x14ac:dyDescent="0.35">
      <c r="A1454" s="6">
        <v>1566270</v>
      </c>
      <c r="B1454" s="7" t="str">
        <f>"3327015712870001"</f>
        <v>3327015712870001</v>
      </c>
      <c r="C1454" s="7" t="s">
        <v>4070</v>
      </c>
      <c r="D1454" s="7" t="s">
        <v>17</v>
      </c>
      <c r="E1454" s="7" t="s">
        <v>11</v>
      </c>
      <c r="F1454" s="7" t="s">
        <v>18</v>
      </c>
      <c r="G1454" s="7" t="s">
        <v>195</v>
      </c>
      <c r="H1454" s="7" t="s">
        <v>2604</v>
      </c>
      <c r="I1454" s="8" t="s">
        <v>4069</v>
      </c>
    </row>
    <row r="1455" spans="1:9" x14ac:dyDescent="0.35">
      <c r="A1455" s="6">
        <v>2642828</v>
      </c>
      <c r="B1455" s="7" t="str">
        <f>"3327022506960001"</f>
        <v>3327022506960001</v>
      </c>
      <c r="C1455" s="7" t="s">
        <v>2920</v>
      </c>
      <c r="D1455" s="7" t="s">
        <v>17</v>
      </c>
      <c r="E1455" s="7" t="s">
        <v>11</v>
      </c>
      <c r="F1455" s="7" t="s">
        <v>18</v>
      </c>
      <c r="G1455" s="7" t="s">
        <v>199</v>
      </c>
      <c r="H1455" s="7" t="s">
        <v>595</v>
      </c>
      <c r="I1455" s="8" t="s">
        <v>4071</v>
      </c>
    </row>
    <row r="1456" spans="1:9" x14ac:dyDescent="0.35">
      <c r="A1456" s="6">
        <v>2638935</v>
      </c>
      <c r="B1456" s="7" t="str">
        <f>"3327065506730009"</f>
        <v>3327065506730009</v>
      </c>
      <c r="C1456" s="7" t="s">
        <v>4072</v>
      </c>
      <c r="D1456" s="7" t="s">
        <v>17</v>
      </c>
      <c r="E1456" s="7" t="s">
        <v>11</v>
      </c>
      <c r="F1456" s="7" t="s">
        <v>18</v>
      </c>
      <c r="G1456" s="7" t="s">
        <v>199</v>
      </c>
      <c r="H1456" s="7" t="s">
        <v>1860</v>
      </c>
      <c r="I1456" s="8" t="s">
        <v>1860</v>
      </c>
    </row>
    <row r="1457" spans="1:9" x14ac:dyDescent="0.35">
      <c r="A1457" s="6">
        <v>2570532</v>
      </c>
      <c r="B1457" s="7" t="str">
        <f>"3327065506730009"</f>
        <v>3327065506730009</v>
      </c>
      <c r="C1457" s="7" t="s">
        <v>4072</v>
      </c>
      <c r="D1457" s="7" t="s">
        <v>17</v>
      </c>
      <c r="E1457" s="7" t="s">
        <v>11</v>
      </c>
      <c r="F1457" s="7" t="s">
        <v>18</v>
      </c>
      <c r="G1457" s="7" t="s">
        <v>19</v>
      </c>
      <c r="H1457" s="7" t="s">
        <v>3354</v>
      </c>
      <c r="I1457" s="8" t="s">
        <v>613</v>
      </c>
    </row>
    <row r="1458" spans="1:9" x14ac:dyDescent="0.35">
      <c r="A1458" s="6">
        <v>2554044</v>
      </c>
      <c r="B1458" s="7" t="str">
        <f>"3327104612950001"</f>
        <v>3327104612950001</v>
      </c>
      <c r="C1458" s="7" t="s">
        <v>4075</v>
      </c>
      <c r="D1458" s="7" t="s">
        <v>17</v>
      </c>
      <c r="E1458" s="7" t="s">
        <v>11</v>
      </c>
      <c r="F1458" s="7" t="s">
        <v>18</v>
      </c>
      <c r="G1458" s="7" t="s">
        <v>19</v>
      </c>
      <c r="H1458" s="7" t="s">
        <v>3354</v>
      </c>
      <c r="I1458" s="8" t="s">
        <v>4076</v>
      </c>
    </row>
    <row r="1459" spans="1:9" x14ac:dyDescent="0.35">
      <c r="A1459" s="6">
        <v>2553846</v>
      </c>
      <c r="B1459" s="7" t="str">
        <f>"3328095109980001"</f>
        <v>3328095109980001</v>
      </c>
      <c r="C1459" s="7" t="s">
        <v>4077</v>
      </c>
      <c r="D1459" s="7" t="s">
        <v>17</v>
      </c>
      <c r="E1459" s="7" t="s">
        <v>11</v>
      </c>
      <c r="F1459" s="7" t="s">
        <v>18</v>
      </c>
      <c r="G1459" s="7" t="s">
        <v>19</v>
      </c>
      <c r="H1459" s="7" t="s">
        <v>3354</v>
      </c>
      <c r="I1459" s="8" t="s">
        <v>4022</v>
      </c>
    </row>
    <row r="1460" spans="1:9" x14ac:dyDescent="0.35">
      <c r="A1460" s="6">
        <v>1620218</v>
      </c>
      <c r="B1460" s="7" t="str">
        <f>"3328095109980001"</f>
        <v>3328095109980001</v>
      </c>
      <c r="C1460" s="7" t="s">
        <v>4078</v>
      </c>
      <c r="D1460" s="7" t="s">
        <v>17</v>
      </c>
      <c r="E1460" s="7" t="s">
        <v>11</v>
      </c>
      <c r="F1460" s="7" t="s">
        <v>18</v>
      </c>
      <c r="G1460" s="7" t="s">
        <v>264</v>
      </c>
      <c r="H1460" s="7" t="s">
        <v>773</v>
      </c>
      <c r="I1460" s="8" t="s">
        <v>4079</v>
      </c>
    </row>
    <row r="1461" spans="1:9" x14ac:dyDescent="0.35">
      <c r="A1461" s="6">
        <v>2556022</v>
      </c>
      <c r="B1461" s="7" t="str">
        <f>"3328120107940086"</f>
        <v>3328120107940086</v>
      </c>
      <c r="C1461" s="7" t="s">
        <v>4083</v>
      </c>
      <c r="D1461" s="7" t="s">
        <v>17</v>
      </c>
      <c r="E1461" s="7" t="s">
        <v>11</v>
      </c>
      <c r="F1461" s="7" t="s">
        <v>18</v>
      </c>
      <c r="G1461" s="7" t="s">
        <v>19</v>
      </c>
      <c r="H1461" s="7" t="s">
        <v>3354</v>
      </c>
      <c r="I1461" s="8" t="s">
        <v>4057</v>
      </c>
    </row>
    <row r="1462" spans="1:9" x14ac:dyDescent="0.35">
      <c r="A1462" s="6">
        <v>421318</v>
      </c>
      <c r="B1462" s="7" t="str">
        <f>"3328120211770003"</f>
        <v>3328120211770003</v>
      </c>
      <c r="C1462" s="7" t="s">
        <v>4087</v>
      </c>
      <c r="D1462" s="7" t="s">
        <v>17</v>
      </c>
      <c r="E1462" s="7" t="s">
        <v>11</v>
      </c>
      <c r="F1462" s="7" t="s">
        <v>18</v>
      </c>
      <c r="G1462" s="7" t="s">
        <v>268</v>
      </c>
      <c r="H1462" s="7" t="s">
        <v>371</v>
      </c>
      <c r="I1462" s="8" t="s">
        <v>2769</v>
      </c>
    </row>
    <row r="1463" spans="1:9" x14ac:dyDescent="0.35">
      <c r="A1463" s="6">
        <v>2555683</v>
      </c>
      <c r="B1463" s="7" t="str">
        <f>"3328120307920006"</f>
        <v>3328120307920006</v>
      </c>
      <c r="C1463" s="7" t="s">
        <v>4088</v>
      </c>
      <c r="D1463" s="7" t="s">
        <v>17</v>
      </c>
      <c r="E1463" s="7" t="s">
        <v>11</v>
      </c>
      <c r="F1463" s="7" t="s">
        <v>18</v>
      </c>
      <c r="G1463" s="7" t="s">
        <v>19</v>
      </c>
      <c r="H1463" s="7" t="s">
        <v>3354</v>
      </c>
      <c r="I1463" s="8" t="s">
        <v>613</v>
      </c>
    </row>
    <row r="1464" spans="1:9" x14ac:dyDescent="0.35">
      <c r="A1464" s="6">
        <v>1377712</v>
      </c>
      <c r="B1464" s="7" t="str">
        <f>"3328120402480001"</f>
        <v>3328120402480001</v>
      </c>
      <c r="C1464" s="7" t="s">
        <v>4094</v>
      </c>
      <c r="D1464" s="7" t="s">
        <v>17</v>
      </c>
      <c r="E1464" s="7" t="s">
        <v>11</v>
      </c>
      <c r="F1464" s="7" t="s">
        <v>50</v>
      </c>
      <c r="G1464" s="7" t="s">
        <v>51</v>
      </c>
      <c r="H1464" s="7" t="s">
        <v>62</v>
      </c>
      <c r="I1464" s="8" t="s">
        <v>62</v>
      </c>
    </row>
    <row r="1465" spans="1:9" x14ac:dyDescent="0.35">
      <c r="A1465" s="6">
        <v>2554026</v>
      </c>
      <c r="B1465" s="7" t="str">
        <f>"3328120407040001"</f>
        <v>3328120407040001</v>
      </c>
      <c r="C1465" s="7" t="s">
        <v>4095</v>
      </c>
      <c r="D1465" s="7" t="s">
        <v>17</v>
      </c>
      <c r="E1465" s="7" t="s">
        <v>11</v>
      </c>
      <c r="F1465" s="7" t="s">
        <v>18</v>
      </c>
      <c r="G1465" s="7" t="s">
        <v>19</v>
      </c>
      <c r="H1465" s="7" t="s">
        <v>3354</v>
      </c>
      <c r="I1465" s="8" t="s">
        <v>4076</v>
      </c>
    </row>
    <row r="1466" spans="1:9" x14ac:dyDescent="0.35">
      <c r="A1466" s="6">
        <v>2084839</v>
      </c>
      <c r="B1466" s="7" t="str">
        <f>"3328120407040001"</f>
        <v>3328120407040001</v>
      </c>
      <c r="C1466" s="7" t="s">
        <v>4096</v>
      </c>
      <c r="D1466" s="7" t="s">
        <v>17</v>
      </c>
      <c r="E1466" s="7" t="s">
        <v>57</v>
      </c>
      <c r="F1466" s="7" t="s">
        <v>18</v>
      </c>
      <c r="G1466" s="7" t="s">
        <v>962</v>
      </c>
      <c r="H1466" s="7" t="s">
        <v>1046</v>
      </c>
      <c r="I1466" s="8" t="s">
        <v>1046</v>
      </c>
    </row>
    <row r="1467" spans="1:9" x14ac:dyDescent="0.35">
      <c r="A1467" s="6">
        <v>1638084</v>
      </c>
      <c r="B1467" s="7" t="str">
        <f>"3328120410830002"</f>
        <v>3328120410830002</v>
      </c>
      <c r="C1467" s="7" t="s">
        <v>4097</v>
      </c>
      <c r="D1467" s="7" t="s">
        <v>17</v>
      </c>
      <c r="E1467" s="7" t="s">
        <v>11</v>
      </c>
      <c r="F1467" s="7" t="s">
        <v>18</v>
      </c>
      <c r="G1467" s="7" t="s">
        <v>264</v>
      </c>
      <c r="H1467" s="7" t="s">
        <v>264</v>
      </c>
      <c r="I1467" s="8" t="s">
        <v>1637</v>
      </c>
    </row>
    <row r="1468" spans="1:9" x14ac:dyDescent="0.35">
      <c r="A1468" s="6">
        <v>2556048</v>
      </c>
      <c r="B1468" s="7" t="str">
        <f>"3328120503940003"</f>
        <v>3328120503940003</v>
      </c>
      <c r="C1468" s="7" t="s">
        <v>4099</v>
      </c>
      <c r="D1468" s="7" t="s">
        <v>17</v>
      </c>
      <c r="E1468" s="7" t="s">
        <v>11</v>
      </c>
      <c r="F1468" s="7" t="s">
        <v>18</v>
      </c>
      <c r="G1468" s="7" t="s">
        <v>19</v>
      </c>
      <c r="H1468" s="7" t="s">
        <v>3354</v>
      </c>
      <c r="I1468" s="8" t="s">
        <v>4057</v>
      </c>
    </row>
    <row r="1469" spans="1:9" x14ac:dyDescent="0.35">
      <c r="A1469" s="6">
        <v>2554686</v>
      </c>
      <c r="B1469" s="7" t="str">
        <f>"3328120511920008"</f>
        <v>3328120511920008</v>
      </c>
      <c r="C1469" s="7" t="s">
        <v>4101</v>
      </c>
      <c r="D1469" s="7" t="s">
        <v>17</v>
      </c>
      <c r="E1469" s="7" t="s">
        <v>11</v>
      </c>
      <c r="F1469" s="7" t="s">
        <v>18</v>
      </c>
      <c r="G1469" s="7" t="s">
        <v>19</v>
      </c>
      <c r="H1469" s="7" t="s">
        <v>3354</v>
      </c>
      <c r="I1469" s="8" t="s">
        <v>4003</v>
      </c>
    </row>
    <row r="1470" spans="1:9" x14ac:dyDescent="0.35">
      <c r="A1470" s="6">
        <v>2554917</v>
      </c>
      <c r="B1470" s="7" t="str">
        <f>"3328120610870001"</f>
        <v>3328120610870001</v>
      </c>
      <c r="C1470" s="7" t="s">
        <v>4102</v>
      </c>
      <c r="D1470" s="7" t="s">
        <v>17</v>
      </c>
      <c r="E1470" s="7" t="s">
        <v>11</v>
      </c>
      <c r="F1470" s="7" t="s">
        <v>18</v>
      </c>
      <c r="G1470" s="7" t="s">
        <v>19</v>
      </c>
      <c r="H1470" s="7" t="s">
        <v>3354</v>
      </c>
      <c r="I1470" s="8" t="s">
        <v>1309</v>
      </c>
    </row>
    <row r="1471" spans="1:9" x14ac:dyDescent="0.35">
      <c r="A1471" s="6">
        <v>497526</v>
      </c>
      <c r="B1471" s="7" t="str">
        <f>"3328120705950001"</f>
        <v>3328120705950001</v>
      </c>
      <c r="C1471" s="7" t="s">
        <v>4106</v>
      </c>
      <c r="D1471" s="7" t="s">
        <v>17</v>
      </c>
      <c r="E1471" s="7" t="s">
        <v>57</v>
      </c>
      <c r="F1471" s="7" t="s">
        <v>18</v>
      </c>
      <c r="G1471" s="7" t="s">
        <v>2753</v>
      </c>
      <c r="H1471" s="7" t="s">
        <v>4107</v>
      </c>
      <c r="I1471" s="8" t="s">
        <v>4108</v>
      </c>
    </row>
    <row r="1472" spans="1:9" x14ac:dyDescent="0.35">
      <c r="A1472" s="6">
        <v>2555394</v>
      </c>
      <c r="B1472" s="7" t="str">
        <f>"3328120710840002"</f>
        <v>3328120710840002</v>
      </c>
      <c r="C1472" s="7" t="s">
        <v>4111</v>
      </c>
      <c r="D1472" s="7" t="s">
        <v>17</v>
      </c>
      <c r="E1472" s="7" t="s">
        <v>11</v>
      </c>
      <c r="F1472" s="7" t="s">
        <v>18</v>
      </c>
      <c r="G1472" s="7" t="s">
        <v>19</v>
      </c>
      <c r="H1472" s="7" t="s">
        <v>3354</v>
      </c>
      <c r="I1472" s="8" t="s">
        <v>4014</v>
      </c>
    </row>
    <row r="1473" spans="1:9" x14ac:dyDescent="0.35">
      <c r="A1473" s="6">
        <v>2554550</v>
      </c>
      <c r="B1473" s="7" t="str">
        <f>"3328120909040002"</f>
        <v>3328120909040002</v>
      </c>
      <c r="C1473" s="7" t="s">
        <v>4112</v>
      </c>
      <c r="D1473" s="7" t="s">
        <v>17</v>
      </c>
      <c r="E1473" s="7" t="s">
        <v>11</v>
      </c>
      <c r="F1473" s="7" t="s">
        <v>18</v>
      </c>
      <c r="G1473" s="7" t="s">
        <v>19</v>
      </c>
      <c r="H1473" s="7" t="s">
        <v>3354</v>
      </c>
      <c r="I1473" s="8" t="s">
        <v>4098</v>
      </c>
    </row>
    <row r="1474" spans="1:9" x14ac:dyDescent="0.35">
      <c r="A1474" s="6">
        <v>421072</v>
      </c>
      <c r="B1474" s="7" t="str">
        <f>"3328121103990005"</f>
        <v>3328121103990005</v>
      </c>
      <c r="C1474" s="7" t="s">
        <v>4114</v>
      </c>
      <c r="D1474" s="7" t="s">
        <v>17</v>
      </c>
      <c r="E1474" s="7" t="s">
        <v>11</v>
      </c>
      <c r="F1474" s="7" t="s">
        <v>18</v>
      </c>
      <c r="G1474" s="7" t="s">
        <v>268</v>
      </c>
      <c r="H1474" s="7" t="s">
        <v>448</v>
      </c>
      <c r="I1474" s="8" t="s">
        <v>448</v>
      </c>
    </row>
    <row r="1475" spans="1:9" x14ac:dyDescent="0.35">
      <c r="A1475" s="6">
        <v>2612047</v>
      </c>
      <c r="B1475" s="7" t="str">
        <f>"3328121109950004"</f>
        <v>3328121109950004</v>
      </c>
      <c r="C1475" s="7" t="s">
        <v>4116</v>
      </c>
      <c r="D1475" s="7" t="s">
        <v>17</v>
      </c>
      <c r="E1475" s="7" t="s">
        <v>11</v>
      </c>
      <c r="F1475" s="7" t="s">
        <v>18</v>
      </c>
      <c r="G1475" s="7" t="s">
        <v>1438</v>
      </c>
      <c r="H1475" s="7" t="s">
        <v>2738</v>
      </c>
      <c r="I1475" s="8" t="s">
        <v>4117</v>
      </c>
    </row>
    <row r="1476" spans="1:9" x14ac:dyDescent="0.35">
      <c r="A1476" s="6">
        <v>422312</v>
      </c>
      <c r="B1476" s="7" t="str">
        <f>"3328121110940007"</f>
        <v>3328121110940007</v>
      </c>
      <c r="C1476" s="7" t="s">
        <v>4119</v>
      </c>
      <c r="D1476" s="7" t="s">
        <v>17</v>
      </c>
      <c r="E1476" s="7" t="s">
        <v>11</v>
      </c>
      <c r="F1476" s="7" t="s">
        <v>18</v>
      </c>
      <c r="G1476" s="7" t="s">
        <v>268</v>
      </c>
      <c r="H1476" s="7" t="s">
        <v>269</v>
      </c>
      <c r="I1476" s="8" t="s">
        <v>996</v>
      </c>
    </row>
    <row r="1477" spans="1:9" x14ac:dyDescent="0.35">
      <c r="A1477" s="6">
        <v>2570429</v>
      </c>
      <c r="B1477" s="7" t="str">
        <f>"3328121111990001"</f>
        <v>3328121111990001</v>
      </c>
      <c r="C1477" s="7" t="s">
        <v>4120</v>
      </c>
      <c r="D1477" s="7" t="s">
        <v>17</v>
      </c>
      <c r="E1477" s="7" t="s">
        <v>11</v>
      </c>
      <c r="F1477" s="7" t="s">
        <v>18</v>
      </c>
      <c r="G1477" s="7" t="s">
        <v>19</v>
      </c>
      <c r="H1477" s="7" t="s">
        <v>3354</v>
      </c>
      <c r="I1477" s="8" t="s">
        <v>4098</v>
      </c>
    </row>
    <row r="1478" spans="1:9" x14ac:dyDescent="0.35">
      <c r="A1478" s="6">
        <v>2554142</v>
      </c>
      <c r="B1478" s="7" t="str">
        <f>"3328121205790004"</f>
        <v>3328121205790004</v>
      </c>
      <c r="C1478" s="7" t="s">
        <v>4126</v>
      </c>
      <c r="D1478" s="7" t="s">
        <v>17</v>
      </c>
      <c r="E1478" s="7" t="s">
        <v>11</v>
      </c>
      <c r="F1478" s="7" t="s">
        <v>18</v>
      </c>
      <c r="G1478" s="7" t="s">
        <v>19</v>
      </c>
      <c r="H1478" s="7" t="s">
        <v>3354</v>
      </c>
      <c r="I1478" s="8" t="s">
        <v>4040</v>
      </c>
    </row>
    <row r="1479" spans="1:9" x14ac:dyDescent="0.35">
      <c r="A1479" s="6">
        <v>2555861</v>
      </c>
      <c r="B1479" s="7" t="str">
        <f>"3328121511970003"</f>
        <v>3328121511970003</v>
      </c>
      <c r="C1479" s="7" t="s">
        <v>4130</v>
      </c>
      <c r="D1479" s="7" t="s">
        <v>17</v>
      </c>
      <c r="E1479" s="7" t="s">
        <v>11</v>
      </c>
      <c r="F1479" s="7" t="s">
        <v>18</v>
      </c>
      <c r="G1479" s="7" t="s">
        <v>19</v>
      </c>
      <c r="H1479" s="7" t="s">
        <v>3354</v>
      </c>
      <c r="I1479" s="8" t="s">
        <v>4026</v>
      </c>
    </row>
    <row r="1480" spans="1:9" x14ac:dyDescent="0.35">
      <c r="A1480" s="6">
        <v>1546097</v>
      </c>
      <c r="B1480" s="7" t="str">
        <f>"3328121906760005"</f>
        <v>3328121906760005</v>
      </c>
      <c r="C1480" s="7" t="s">
        <v>4131</v>
      </c>
      <c r="D1480" s="7" t="s">
        <v>17</v>
      </c>
      <c r="E1480" s="7" t="s">
        <v>11</v>
      </c>
      <c r="F1480" s="7" t="s">
        <v>18</v>
      </c>
      <c r="G1480" s="7" t="s">
        <v>195</v>
      </c>
      <c r="H1480" s="7" t="s">
        <v>4132</v>
      </c>
      <c r="I1480" s="8" t="s">
        <v>1090</v>
      </c>
    </row>
    <row r="1481" spans="1:9" x14ac:dyDescent="0.35">
      <c r="A1481" s="6">
        <v>2555102</v>
      </c>
      <c r="B1481" s="7" t="str">
        <f>"3328121911950002"</f>
        <v>3328121911950002</v>
      </c>
      <c r="C1481" s="7" t="s">
        <v>4138</v>
      </c>
      <c r="D1481" s="7" t="s">
        <v>17</v>
      </c>
      <c r="E1481" s="7" t="s">
        <v>11</v>
      </c>
      <c r="F1481" s="7" t="s">
        <v>18</v>
      </c>
      <c r="G1481" s="7" t="s">
        <v>19</v>
      </c>
      <c r="H1481" s="7" t="s">
        <v>3354</v>
      </c>
      <c r="I1481" s="8" t="s">
        <v>3354</v>
      </c>
    </row>
    <row r="1482" spans="1:9" x14ac:dyDescent="0.35">
      <c r="A1482" s="6">
        <v>2423668</v>
      </c>
      <c r="B1482" s="7" t="str">
        <f>"3328122006940008"</f>
        <v>3328122006940008</v>
      </c>
      <c r="C1482" s="7" t="s">
        <v>4141</v>
      </c>
      <c r="D1482" s="7" t="s">
        <v>17</v>
      </c>
      <c r="E1482" s="7" t="s">
        <v>11</v>
      </c>
      <c r="F1482" s="7" t="s">
        <v>50</v>
      </c>
      <c r="G1482" s="7" t="s">
        <v>58</v>
      </c>
      <c r="H1482" s="7" t="s">
        <v>59</v>
      </c>
      <c r="I1482" s="8" t="s">
        <v>60</v>
      </c>
    </row>
    <row r="1483" spans="1:9" x14ac:dyDescent="0.35">
      <c r="A1483" s="6">
        <v>2553812</v>
      </c>
      <c r="B1483" s="7" t="str">
        <f>"3328122303050001"</f>
        <v>3328122303050001</v>
      </c>
      <c r="C1483" s="7" t="s">
        <v>4148</v>
      </c>
      <c r="D1483" s="7" t="s">
        <v>17</v>
      </c>
      <c r="E1483" s="7" t="s">
        <v>11</v>
      </c>
      <c r="F1483" s="7" t="s">
        <v>18</v>
      </c>
      <c r="G1483" s="7" t="s">
        <v>19</v>
      </c>
      <c r="H1483" s="7" t="s">
        <v>3354</v>
      </c>
      <c r="I1483" s="8" t="s">
        <v>4022</v>
      </c>
    </row>
    <row r="1484" spans="1:9" x14ac:dyDescent="0.35">
      <c r="A1484" s="6">
        <v>2554395</v>
      </c>
      <c r="B1484" s="7" t="str">
        <f>"3328122407980002"</f>
        <v>3328122407980002</v>
      </c>
      <c r="C1484" s="7" t="s">
        <v>4152</v>
      </c>
      <c r="D1484" s="7" t="s">
        <v>17</v>
      </c>
      <c r="E1484" s="7" t="s">
        <v>11</v>
      </c>
      <c r="F1484" s="7" t="s">
        <v>18</v>
      </c>
      <c r="G1484" s="7" t="s">
        <v>19</v>
      </c>
      <c r="H1484" s="7" t="s">
        <v>3354</v>
      </c>
      <c r="I1484" s="8" t="s">
        <v>3999</v>
      </c>
    </row>
    <row r="1485" spans="1:9" x14ac:dyDescent="0.35">
      <c r="A1485" s="6">
        <v>1638085</v>
      </c>
      <c r="B1485" s="7" t="str">
        <f>"3328122809060004"</f>
        <v>3328122809060004</v>
      </c>
      <c r="C1485" s="7" t="s">
        <v>4155</v>
      </c>
      <c r="D1485" s="7" t="s">
        <v>17</v>
      </c>
      <c r="E1485" s="7" t="s">
        <v>11</v>
      </c>
      <c r="F1485" s="7" t="s">
        <v>18</v>
      </c>
      <c r="G1485" s="7" t="s">
        <v>264</v>
      </c>
      <c r="H1485" s="7" t="s">
        <v>264</v>
      </c>
      <c r="I1485" s="8" t="s">
        <v>1637</v>
      </c>
    </row>
    <row r="1486" spans="1:9" x14ac:dyDescent="0.35">
      <c r="A1486" s="6">
        <v>2571965</v>
      </c>
      <c r="B1486" s="7" t="str">
        <f>"3328122812990003"</f>
        <v>3328122812990003</v>
      </c>
      <c r="C1486" s="7" t="s">
        <v>1049</v>
      </c>
      <c r="D1486" s="7" t="s">
        <v>17</v>
      </c>
      <c r="E1486" s="7" t="s">
        <v>11</v>
      </c>
      <c r="F1486" s="7" t="s">
        <v>18</v>
      </c>
      <c r="G1486" s="7" t="s">
        <v>19</v>
      </c>
      <c r="H1486" s="7" t="s">
        <v>3565</v>
      </c>
      <c r="I1486" s="8" t="s">
        <v>4156</v>
      </c>
    </row>
    <row r="1487" spans="1:9" x14ac:dyDescent="0.35">
      <c r="A1487" s="6">
        <v>2554043</v>
      </c>
      <c r="B1487" s="7" t="str">
        <f>"3328123101840001"</f>
        <v>3328123101840001</v>
      </c>
      <c r="C1487" s="7" t="s">
        <v>4160</v>
      </c>
      <c r="D1487" s="7" t="s">
        <v>17</v>
      </c>
      <c r="E1487" s="7" t="s">
        <v>11</v>
      </c>
      <c r="F1487" s="7" t="s">
        <v>18</v>
      </c>
      <c r="G1487" s="7" t="s">
        <v>19</v>
      </c>
      <c r="H1487" s="7" t="s">
        <v>3354</v>
      </c>
      <c r="I1487" s="8" t="s">
        <v>4076</v>
      </c>
    </row>
    <row r="1488" spans="1:9" x14ac:dyDescent="0.35">
      <c r="A1488" s="6">
        <v>2084147</v>
      </c>
      <c r="B1488" s="7" t="str">
        <f>"3328124212050001"</f>
        <v>3328124212050001</v>
      </c>
      <c r="C1488" s="7" t="s">
        <v>4161</v>
      </c>
      <c r="D1488" s="7" t="s">
        <v>17</v>
      </c>
      <c r="E1488" s="7" t="s">
        <v>57</v>
      </c>
      <c r="F1488" s="7" t="s">
        <v>18</v>
      </c>
      <c r="G1488" s="7" t="s">
        <v>962</v>
      </c>
      <c r="H1488" s="7" t="s">
        <v>1899</v>
      </c>
      <c r="I1488" s="8" t="s">
        <v>3317</v>
      </c>
    </row>
    <row r="1489" spans="1:9" x14ac:dyDescent="0.35">
      <c r="A1489" s="6">
        <v>2554729</v>
      </c>
      <c r="B1489" s="7" t="str">
        <f>"3328124404940010"</f>
        <v>3328124404940010</v>
      </c>
      <c r="C1489" s="7" t="s">
        <v>4162</v>
      </c>
      <c r="D1489" s="7" t="s">
        <v>17</v>
      </c>
      <c r="E1489" s="7" t="s">
        <v>11</v>
      </c>
      <c r="F1489" s="7" t="s">
        <v>18</v>
      </c>
      <c r="G1489" s="7" t="s">
        <v>19</v>
      </c>
      <c r="H1489" s="7" t="s">
        <v>3354</v>
      </c>
      <c r="I1489" s="8" t="s">
        <v>307</v>
      </c>
    </row>
    <row r="1490" spans="1:9" x14ac:dyDescent="0.35">
      <c r="A1490" s="6">
        <v>2084145</v>
      </c>
      <c r="B1490" s="7" t="str">
        <f>"3328124406060003"</f>
        <v>3328124406060003</v>
      </c>
      <c r="C1490" s="7" t="s">
        <v>4166</v>
      </c>
      <c r="D1490" s="7" t="s">
        <v>17</v>
      </c>
      <c r="E1490" s="7" t="s">
        <v>57</v>
      </c>
      <c r="F1490" s="7" t="s">
        <v>18</v>
      </c>
      <c r="G1490" s="7" t="s">
        <v>962</v>
      </c>
      <c r="H1490" s="7" t="s">
        <v>1899</v>
      </c>
      <c r="I1490" s="8" t="s">
        <v>3317</v>
      </c>
    </row>
    <row r="1491" spans="1:9" x14ac:dyDescent="0.35">
      <c r="A1491" s="6">
        <v>2555131</v>
      </c>
      <c r="B1491" s="7" t="str">
        <f>"3328125008040003"</f>
        <v>3328125008040003</v>
      </c>
      <c r="C1491" s="7" t="s">
        <v>4170</v>
      </c>
      <c r="D1491" s="7" t="s">
        <v>17</v>
      </c>
      <c r="E1491" s="7" t="s">
        <v>11</v>
      </c>
      <c r="F1491" s="7" t="s">
        <v>18</v>
      </c>
      <c r="G1491" s="7" t="s">
        <v>19</v>
      </c>
      <c r="H1491" s="7" t="s">
        <v>3354</v>
      </c>
      <c r="I1491" s="8" t="s">
        <v>3354</v>
      </c>
    </row>
    <row r="1492" spans="1:9" x14ac:dyDescent="0.35">
      <c r="A1492" s="6">
        <v>2553861</v>
      </c>
      <c r="B1492" s="7" t="str">
        <f>"3328125303800001"</f>
        <v>3328125303800001</v>
      </c>
      <c r="C1492" s="7" t="s">
        <v>4174</v>
      </c>
      <c r="D1492" s="7" t="s">
        <v>17</v>
      </c>
      <c r="E1492" s="7" t="s">
        <v>11</v>
      </c>
      <c r="F1492" s="7" t="s">
        <v>18</v>
      </c>
      <c r="G1492" s="7" t="s">
        <v>19</v>
      </c>
      <c r="H1492" s="7" t="s">
        <v>3354</v>
      </c>
      <c r="I1492" s="8" t="s">
        <v>4022</v>
      </c>
    </row>
    <row r="1493" spans="1:9" x14ac:dyDescent="0.35">
      <c r="A1493" s="6">
        <v>2554408</v>
      </c>
      <c r="B1493" s="7" t="str">
        <f>"3328125505930004"</f>
        <v>3328125505930004</v>
      </c>
      <c r="C1493" s="7" t="s">
        <v>4177</v>
      </c>
      <c r="D1493" s="7" t="s">
        <v>17</v>
      </c>
      <c r="E1493" s="7" t="s">
        <v>11</v>
      </c>
      <c r="F1493" s="7" t="s">
        <v>18</v>
      </c>
      <c r="G1493" s="7" t="s">
        <v>19</v>
      </c>
      <c r="H1493" s="7" t="s">
        <v>3354</v>
      </c>
      <c r="I1493" s="8" t="s">
        <v>3999</v>
      </c>
    </row>
    <row r="1494" spans="1:9" x14ac:dyDescent="0.35">
      <c r="A1494" s="6">
        <v>421656</v>
      </c>
      <c r="B1494" s="7" t="str">
        <f>"3328125506920006"</f>
        <v>3328125506920006</v>
      </c>
      <c r="C1494" s="7" t="s">
        <v>4179</v>
      </c>
      <c r="D1494" s="7" t="s">
        <v>17</v>
      </c>
      <c r="E1494" s="7" t="s">
        <v>11</v>
      </c>
      <c r="F1494" s="7" t="s">
        <v>18</v>
      </c>
      <c r="G1494" s="7" t="s">
        <v>268</v>
      </c>
      <c r="H1494" s="7" t="s">
        <v>371</v>
      </c>
      <c r="I1494" s="8" t="s">
        <v>2772</v>
      </c>
    </row>
    <row r="1495" spans="1:9" x14ac:dyDescent="0.35">
      <c r="A1495" s="6">
        <v>743028</v>
      </c>
      <c r="B1495" s="7" t="str">
        <f>"3328125507020003"</f>
        <v>3328125507020003</v>
      </c>
      <c r="C1495" s="7" t="s">
        <v>4180</v>
      </c>
      <c r="D1495" s="7" t="s">
        <v>17</v>
      </c>
      <c r="E1495" s="7" t="s">
        <v>11</v>
      </c>
      <c r="F1495" s="7" t="s">
        <v>18</v>
      </c>
      <c r="G1495" s="7" t="s">
        <v>1381</v>
      </c>
      <c r="H1495" s="7" t="s">
        <v>4181</v>
      </c>
      <c r="I1495" s="8" t="s">
        <v>4182</v>
      </c>
    </row>
    <row r="1496" spans="1:9" x14ac:dyDescent="0.35">
      <c r="A1496" s="6">
        <v>2571657</v>
      </c>
      <c r="B1496" s="7" t="str">
        <f>"3328125803000003"</f>
        <v>3328125803000003</v>
      </c>
      <c r="C1496" s="7" t="s">
        <v>4186</v>
      </c>
      <c r="D1496" s="7" t="s">
        <v>17</v>
      </c>
      <c r="E1496" s="7" t="s">
        <v>11</v>
      </c>
      <c r="F1496" s="7" t="s">
        <v>18</v>
      </c>
      <c r="G1496" s="7" t="s">
        <v>19</v>
      </c>
      <c r="H1496" s="7" t="s">
        <v>3565</v>
      </c>
      <c r="I1496" s="8" t="s">
        <v>678</v>
      </c>
    </row>
    <row r="1497" spans="1:9" x14ac:dyDescent="0.35">
      <c r="A1497" s="6">
        <v>2051385</v>
      </c>
      <c r="B1497" s="7" t="str">
        <f>"3328126001860001"</f>
        <v>3328126001860001</v>
      </c>
      <c r="C1497" s="7" t="s">
        <v>4188</v>
      </c>
      <c r="D1497" s="7" t="s">
        <v>17</v>
      </c>
      <c r="E1497" s="7" t="s">
        <v>11</v>
      </c>
      <c r="F1497" s="7" t="s">
        <v>18</v>
      </c>
      <c r="G1497" s="7" t="s">
        <v>962</v>
      </c>
      <c r="H1497" s="7" t="s">
        <v>4189</v>
      </c>
      <c r="I1497" s="8" t="s">
        <v>4190</v>
      </c>
    </row>
    <row r="1498" spans="1:9" x14ac:dyDescent="0.35">
      <c r="A1498" s="6">
        <v>2554483</v>
      </c>
      <c r="B1498" s="7" t="str">
        <f>"3328126012910013"</f>
        <v>3328126012910013</v>
      </c>
      <c r="C1498" s="7" t="s">
        <v>4191</v>
      </c>
      <c r="D1498" s="7" t="s">
        <v>17</v>
      </c>
      <c r="E1498" s="7" t="s">
        <v>11</v>
      </c>
      <c r="F1498" s="7" t="s">
        <v>18</v>
      </c>
      <c r="G1498" s="7" t="s">
        <v>19</v>
      </c>
      <c r="H1498" s="7" t="s">
        <v>3354</v>
      </c>
      <c r="I1498" s="8" t="s">
        <v>3999</v>
      </c>
    </row>
    <row r="1499" spans="1:9" x14ac:dyDescent="0.35">
      <c r="A1499" s="6">
        <v>2553841</v>
      </c>
      <c r="B1499" s="7" t="str">
        <f>"3328126106520001"</f>
        <v>3328126106520001</v>
      </c>
      <c r="C1499" s="7" t="s">
        <v>4196</v>
      </c>
      <c r="D1499" s="7" t="s">
        <v>17</v>
      </c>
      <c r="E1499" s="7" t="s">
        <v>11</v>
      </c>
      <c r="F1499" s="7" t="s">
        <v>18</v>
      </c>
      <c r="G1499" s="7" t="s">
        <v>19</v>
      </c>
      <c r="H1499" s="7" t="s">
        <v>3354</v>
      </c>
      <c r="I1499" s="8" t="s">
        <v>4022</v>
      </c>
    </row>
    <row r="1500" spans="1:9" x14ac:dyDescent="0.35">
      <c r="A1500" s="6">
        <v>2084146</v>
      </c>
      <c r="B1500" s="7" t="str">
        <f>"3328126108060002"</f>
        <v>3328126108060002</v>
      </c>
      <c r="C1500" s="7" t="s">
        <v>4197</v>
      </c>
      <c r="D1500" s="7" t="s">
        <v>17</v>
      </c>
      <c r="E1500" s="7" t="s">
        <v>57</v>
      </c>
      <c r="F1500" s="7" t="s">
        <v>18</v>
      </c>
      <c r="G1500" s="7" t="s">
        <v>962</v>
      </c>
      <c r="H1500" s="7" t="s">
        <v>1899</v>
      </c>
      <c r="I1500" s="8" t="s">
        <v>3317</v>
      </c>
    </row>
    <row r="1501" spans="1:9" x14ac:dyDescent="0.35">
      <c r="A1501" s="6">
        <v>421852</v>
      </c>
      <c r="B1501" s="7" t="str">
        <f>"3328126412960002"</f>
        <v>3328126412960002</v>
      </c>
      <c r="C1501" s="7" t="s">
        <v>4199</v>
      </c>
      <c r="D1501" s="7" t="s">
        <v>17</v>
      </c>
      <c r="E1501" s="7" t="s">
        <v>11</v>
      </c>
      <c r="F1501" s="7" t="s">
        <v>18</v>
      </c>
      <c r="G1501" s="7" t="s">
        <v>268</v>
      </c>
      <c r="H1501" s="7" t="s">
        <v>269</v>
      </c>
      <c r="I1501" s="8" t="s">
        <v>3140</v>
      </c>
    </row>
    <row r="1502" spans="1:9" x14ac:dyDescent="0.35">
      <c r="A1502" s="6">
        <v>1862296</v>
      </c>
      <c r="B1502" s="7" t="str">
        <f>"3328126510940002"</f>
        <v>3328126510940002</v>
      </c>
      <c r="C1502" s="7" t="s">
        <v>4202</v>
      </c>
      <c r="D1502" s="7" t="s">
        <v>17</v>
      </c>
      <c r="E1502" s="7" t="s">
        <v>11</v>
      </c>
      <c r="F1502" s="7" t="s">
        <v>91</v>
      </c>
      <c r="G1502" s="7" t="s">
        <v>320</v>
      </c>
      <c r="H1502" s="7" t="s">
        <v>368</v>
      </c>
      <c r="I1502" s="8" t="s">
        <v>368</v>
      </c>
    </row>
    <row r="1503" spans="1:9" x14ac:dyDescent="0.35">
      <c r="A1503" s="6">
        <v>1638086</v>
      </c>
      <c r="B1503" s="7" t="str">
        <f>"3328126709860001"</f>
        <v>3328126709860001</v>
      </c>
      <c r="C1503" s="7" t="s">
        <v>4203</v>
      </c>
      <c r="D1503" s="7" t="s">
        <v>17</v>
      </c>
      <c r="E1503" s="7" t="s">
        <v>11</v>
      </c>
      <c r="F1503" s="7" t="s">
        <v>18</v>
      </c>
      <c r="G1503" s="7" t="s">
        <v>264</v>
      </c>
      <c r="H1503" s="7" t="s">
        <v>264</v>
      </c>
      <c r="I1503" s="8" t="s">
        <v>1637</v>
      </c>
    </row>
    <row r="1504" spans="1:9" x14ac:dyDescent="0.35">
      <c r="A1504" s="6">
        <v>135260</v>
      </c>
      <c r="B1504" s="7" t="str">
        <f>"3328126709940004"</f>
        <v>3328126709940004</v>
      </c>
      <c r="C1504" s="7" t="s">
        <v>4205</v>
      </c>
      <c r="D1504" s="7" t="s">
        <v>17</v>
      </c>
      <c r="E1504" s="7" t="s">
        <v>57</v>
      </c>
      <c r="F1504" s="7" t="s">
        <v>303</v>
      </c>
      <c r="G1504" s="7" t="s">
        <v>4206</v>
      </c>
      <c r="H1504" s="7" t="s">
        <v>4207</v>
      </c>
      <c r="I1504" s="8" t="s">
        <v>4208</v>
      </c>
    </row>
    <row r="1505" spans="1:9" x14ac:dyDescent="0.35">
      <c r="A1505" s="6">
        <v>1801957</v>
      </c>
      <c r="B1505" s="7" t="str">
        <f>"3328126810980007"</f>
        <v>3328126810980007</v>
      </c>
      <c r="C1505" s="7" t="s">
        <v>4209</v>
      </c>
      <c r="D1505" s="7" t="s">
        <v>17</v>
      </c>
      <c r="E1505" s="7" t="s">
        <v>11</v>
      </c>
      <c r="F1505" s="7" t="s">
        <v>50</v>
      </c>
      <c r="G1505" s="7" t="s">
        <v>72</v>
      </c>
      <c r="H1505" s="7" t="s">
        <v>541</v>
      </c>
      <c r="I1505" s="8" t="s">
        <v>4210</v>
      </c>
    </row>
    <row r="1506" spans="1:9" x14ac:dyDescent="0.35">
      <c r="A1506" s="6">
        <v>423256</v>
      </c>
      <c r="B1506" s="7" t="str">
        <f>"3328126901970002"</f>
        <v>3328126901970002</v>
      </c>
      <c r="C1506" s="7" t="s">
        <v>4211</v>
      </c>
      <c r="D1506" s="7" t="s">
        <v>17</v>
      </c>
      <c r="E1506" s="7" t="s">
        <v>11</v>
      </c>
      <c r="F1506" s="7" t="s">
        <v>18</v>
      </c>
      <c r="G1506" s="7" t="s">
        <v>268</v>
      </c>
      <c r="H1506" s="7" t="s">
        <v>269</v>
      </c>
      <c r="I1506" s="8" t="s">
        <v>1662</v>
      </c>
    </row>
    <row r="1507" spans="1:9" x14ac:dyDescent="0.35">
      <c r="A1507" s="6">
        <v>1625539</v>
      </c>
      <c r="B1507" s="7" t="str">
        <f>"3328126912000002"</f>
        <v>3328126912000002</v>
      </c>
      <c r="C1507" s="7" t="s">
        <v>4213</v>
      </c>
      <c r="D1507" s="7" t="s">
        <v>17</v>
      </c>
      <c r="E1507" s="7" t="s">
        <v>11</v>
      </c>
      <c r="F1507" s="7" t="s">
        <v>18</v>
      </c>
      <c r="G1507" s="7" t="s">
        <v>264</v>
      </c>
      <c r="H1507" s="7" t="s">
        <v>248</v>
      </c>
      <c r="I1507" s="8" t="s">
        <v>1712</v>
      </c>
    </row>
    <row r="1508" spans="1:9" x14ac:dyDescent="0.35">
      <c r="A1508" s="6">
        <v>2555731</v>
      </c>
      <c r="B1508" s="7" t="str">
        <f>"3328127003010006"</f>
        <v>3328127003010006</v>
      </c>
      <c r="C1508" s="7" t="s">
        <v>4215</v>
      </c>
      <c r="D1508" s="7" t="s">
        <v>17</v>
      </c>
      <c r="E1508" s="7" t="s">
        <v>11</v>
      </c>
      <c r="F1508" s="7" t="s">
        <v>18</v>
      </c>
      <c r="G1508" s="7" t="s">
        <v>19</v>
      </c>
      <c r="H1508" s="7" t="s">
        <v>3354</v>
      </c>
      <c r="I1508" s="8" t="s">
        <v>4049</v>
      </c>
    </row>
    <row r="1509" spans="1:9" x14ac:dyDescent="0.35">
      <c r="A1509" s="6">
        <v>421319</v>
      </c>
      <c r="B1509" s="7" t="str">
        <f>"3328134410970003"</f>
        <v>3328134410970003</v>
      </c>
      <c r="C1509" s="7" t="s">
        <v>4220</v>
      </c>
      <c r="D1509" s="7" t="s">
        <v>17</v>
      </c>
      <c r="E1509" s="7" t="s">
        <v>11</v>
      </c>
      <c r="F1509" s="7" t="s">
        <v>18</v>
      </c>
      <c r="G1509" s="7" t="s">
        <v>268</v>
      </c>
      <c r="H1509" s="7" t="s">
        <v>371</v>
      </c>
      <c r="I1509" s="8" t="s">
        <v>2769</v>
      </c>
    </row>
    <row r="1510" spans="1:9" x14ac:dyDescent="0.35">
      <c r="A1510" s="6">
        <v>2554882</v>
      </c>
      <c r="B1510" s="7" t="str">
        <f>"3329065308950004"</f>
        <v>3329065308950004</v>
      </c>
      <c r="C1510" s="7" t="s">
        <v>4222</v>
      </c>
      <c r="D1510" s="7" t="s">
        <v>17</v>
      </c>
      <c r="E1510" s="7" t="s">
        <v>11</v>
      </c>
      <c r="F1510" s="7" t="s">
        <v>18</v>
      </c>
      <c r="G1510" s="7" t="s">
        <v>19</v>
      </c>
      <c r="H1510" s="7" t="s">
        <v>3354</v>
      </c>
      <c r="I1510" s="8" t="s">
        <v>1954</v>
      </c>
    </row>
    <row r="1511" spans="1:9" x14ac:dyDescent="0.35">
      <c r="A1511" s="6">
        <v>2556129</v>
      </c>
      <c r="B1511" s="7" t="str">
        <f>"3329071704940002"</f>
        <v>3329071704940002</v>
      </c>
      <c r="C1511" s="7" t="s">
        <v>4224</v>
      </c>
      <c r="D1511" s="7" t="s">
        <v>17</v>
      </c>
      <c r="E1511" s="7" t="s">
        <v>11</v>
      </c>
      <c r="F1511" s="7" t="s">
        <v>18</v>
      </c>
      <c r="G1511" s="7" t="s">
        <v>19</v>
      </c>
      <c r="H1511" s="7" t="s">
        <v>3354</v>
      </c>
      <c r="I1511" s="8" t="s">
        <v>4057</v>
      </c>
    </row>
    <row r="1512" spans="1:9" x14ac:dyDescent="0.35">
      <c r="A1512" s="6">
        <v>2554331</v>
      </c>
      <c r="B1512" s="7" t="str">
        <f>"3329072912930004"</f>
        <v>3329072912930004</v>
      </c>
      <c r="C1512" s="7" t="s">
        <v>4225</v>
      </c>
      <c r="D1512" s="7" t="s">
        <v>17</v>
      </c>
      <c r="E1512" s="7" t="s">
        <v>11</v>
      </c>
      <c r="F1512" s="7" t="s">
        <v>18</v>
      </c>
      <c r="G1512" s="7" t="s">
        <v>19</v>
      </c>
      <c r="H1512" s="7" t="s">
        <v>3354</v>
      </c>
      <c r="I1512" s="8" t="s">
        <v>3999</v>
      </c>
    </row>
    <row r="1513" spans="1:9" x14ac:dyDescent="0.35">
      <c r="A1513" s="6">
        <v>2555868</v>
      </c>
      <c r="B1513" s="7" t="str">
        <f>"3329074411890007"</f>
        <v>3329074411890007</v>
      </c>
      <c r="C1513" s="7" t="s">
        <v>4226</v>
      </c>
      <c r="D1513" s="7" t="s">
        <v>17</v>
      </c>
      <c r="E1513" s="7" t="s">
        <v>11</v>
      </c>
      <c r="F1513" s="7" t="s">
        <v>18</v>
      </c>
      <c r="G1513" s="7" t="s">
        <v>19</v>
      </c>
      <c r="H1513" s="7" t="s">
        <v>3354</v>
      </c>
      <c r="I1513" s="8" t="s">
        <v>4026</v>
      </c>
    </row>
    <row r="1514" spans="1:9" x14ac:dyDescent="0.35">
      <c r="A1514" s="6">
        <v>2555982</v>
      </c>
      <c r="B1514" s="7" t="str">
        <f>"3329081912040003"</f>
        <v>3329081912040003</v>
      </c>
      <c r="C1514" s="7" t="s">
        <v>4228</v>
      </c>
      <c r="D1514" s="7" t="s">
        <v>17</v>
      </c>
      <c r="E1514" s="7" t="s">
        <v>11</v>
      </c>
      <c r="F1514" s="7" t="s">
        <v>18</v>
      </c>
      <c r="G1514" s="7" t="s">
        <v>19</v>
      </c>
      <c r="H1514" s="7" t="s">
        <v>3354</v>
      </c>
      <c r="I1514" s="8" t="s">
        <v>4026</v>
      </c>
    </row>
    <row r="1515" spans="1:9" x14ac:dyDescent="0.35">
      <c r="A1515" s="6">
        <v>2554555</v>
      </c>
      <c r="B1515" s="7" t="str">
        <f>"3329090608900001"</f>
        <v>3329090608900001</v>
      </c>
      <c r="C1515" s="7" t="s">
        <v>4230</v>
      </c>
      <c r="D1515" s="7" t="s">
        <v>17</v>
      </c>
      <c r="E1515" s="7" t="s">
        <v>11</v>
      </c>
      <c r="F1515" s="7" t="s">
        <v>18</v>
      </c>
      <c r="G1515" s="7" t="s">
        <v>19</v>
      </c>
      <c r="H1515" s="7" t="s">
        <v>3354</v>
      </c>
      <c r="I1515" s="8" t="s">
        <v>4098</v>
      </c>
    </row>
    <row r="1516" spans="1:9" x14ac:dyDescent="0.35">
      <c r="A1516" s="6">
        <v>2555011</v>
      </c>
      <c r="B1516" s="7" t="str">
        <f>"3329090909960007"</f>
        <v>3329090909960007</v>
      </c>
      <c r="C1516" s="7" t="s">
        <v>4231</v>
      </c>
      <c r="D1516" s="7" t="s">
        <v>17</v>
      </c>
      <c r="E1516" s="7" t="s">
        <v>11</v>
      </c>
      <c r="F1516" s="7" t="s">
        <v>18</v>
      </c>
      <c r="G1516" s="7" t="s">
        <v>19</v>
      </c>
      <c r="H1516" s="7" t="s">
        <v>3354</v>
      </c>
      <c r="I1516" s="8" t="s">
        <v>131</v>
      </c>
    </row>
    <row r="1517" spans="1:9" x14ac:dyDescent="0.35">
      <c r="A1517" s="6">
        <v>2555028</v>
      </c>
      <c r="B1517" s="7" t="str">
        <f>"3329091101940004"</f>
        <v>3329091101940004</v>
      </c>
      <c r="C1517" s="7" t="s">
        <v>4233</v>
      </c>
      <c r="D1517" s="7" t="s">
        <v>17</v>
      </c>
      <c r="E1517" s="7" t="s">
        <v>11</v>
      </c>
      <c r="F1517" s="7" t="s">
        <v>18</v>
      </c>
      <c r="G1517" s="7" t="s">
        <v>19</v>
      </c>
      <c r="H1517" s="7" t="s">
        <v>3354</v>
      </c>
      <c r="I1517" s="8" t="s">
        <v>131</v>
      </c>
    </row>
    <row r="1518" spans="1:9" x14ac:dyDescent="0.35">
      <c r="A1518" s="6">
        <v>2554139</v>
      </c>
      <c r="B1518" s="7" t="str">
        <f>"3329096711850007"</f>
        <v>3329096711850007</v>
      </c>
      <c r="C1518" s="7" t="s">
        <v>4234</v>
      </c>
      <c r="D1518" s="7" t="s">
        <v>17</v>
      </c>
      <c r="E1518" s="7" t="s">
        <v>11</v>
      </c>
      <c r="F1518" s="7" t="s">
        <v>18</v>
      </c>
      <c r="G1518" s="7" t="s">
        <v>19</v>
      </c>
      <c r="H1518" s="7" t="s">
        <v>3354</v>
      </c>
      <c r="I1518" s="8" t="s">
        <v>4040</v>
      </c>
    </row>
    <row r="1519" spans="1:9" x14ac:dyDescent="0.35">
      <c r="A1519" s="6">
        <v>2554107</v>
      </c>
      <c r="B1519" s="7" t="str">
        <f>"3329102503970002"</f>
        <v>3329102503970002</v>
      </c>
      <c r="C1519" s="7" t="s">
        <v>4236</v>
      </c>
      <c r="D1519" s="7" t="s">
        <v>17</v>
      </c>
      <c r="E1519" s="7" t="s">
        <v>11</v>
      </c>
      <c r="F1519" s="7" t="s">
        <v>18</v>
      </c>
      <c r="G1519" s="7" t="s">
        <v>19</v>
      </c>
      <c r="H1519" s="7" t="s">
        <v>3354</v>
      </c>
      <c r="I1519" s="8" t="s">
        <v>4040</v>
      </c>
    </row>
    <row r="1520" spans="1:9" x14ac:dyDescent="0.35">
      <c r="A1520" s="6">
        <v>2554767</v>
      </c>
      <c r="B1520" s="7" t="str">
        <f>"3329104607890010"</f>
        <v>3329104607890010</v>
      </c>
      <c r="C1520" s="7" t="s">
        <v>4237</v>
      </c>
      <c r="D1520" s="7" t="s">
        <v>17</v>
      </c>
      <c r="E1520" s="7" t="s">
        <v>11</v>
      </c>
      <c r="F1520" s="7" t="s">
        <v>18</v>
      </c>
      <c r="G1520" s="7" t="s">
        <v>19</v>
      </c>
      <c r="H1520" s="7" t="s">
        <v>3354</v>
      </c>
      <c r="I1520" s="8" t="s">
        <v>307</v>
      </c>
    </row>
    <row r="1521" spans="1:9" x14ac:dyDescent="0.35">
      <c r="A1521" s="6">
        <v>2553845</v>
      </c>
      <c r="B1521" s="7" t="str">
        <f>"3329130405930008"</f>
        <v>3329130405930008</v>
      </c>
      <c r="C1521" s="7" t="s">
        <v>4238</v>
      </c>
      <c r="D1521" s="7" t="s">
        <v>17</v>
      </c>
      <c r="E1521" s="7" t="s">
        <v>11</v>
      </c>
      <c r="F1521" s="7" t="s">
        <v>18</v>
      </c>
      <c r="G1521" s="7" t="s">
        <v>19</v>
      </c>
      <c r="H1521" s="7" t="s">
        <v>3354</v>
      </c>
      <c r="I1521" s="8" t="s">
        <v>4022</v>
      </c>
    </row>
    <row r="1522" spans="1:9" x14ac:dyDescent="0.35">
      <c r="A1522" s="6">
        <v>1620219</v>
      </c>
      <c r="B1522" s="7" t="str">
        <f>"3329130405930008"</f>
        <v>3329130405930008</v>
      </c>
      <c r="C1522" s="7" t="s">
        <v>4239</v>
      </c>
      <c r="D1522" s="7" t="s">
        <v>17</v>
      </c>
      <c r="E1522" s="7" t="s">
        <v>11</v>
      </c>
      <c r="F1522" s="7" t="s">
        <v>18</v>
      </c>
      <c r="G1522" s="7" t="s">
        <v>264</v>
      </c>
      <c r="H1522" s="7" t="s">
        <v>773</v>
      </c>
      <c r="I1522" s="8" t="s">
        <v>4079</v>
      </c>
    </row>
    <row r="1523" spans="1:9" x14ac:dyDescent="0.35">
      <c r="A1523" s="6">
        <v>2555272</v>
      </c>
      <c r="B1523" s="7" t="str">
        <f>"3329141006800009"</f>
        <v>3329141006800009</v>
      </c>
      <c r="C1523" s="7" t="s">
        <v>2736</v>
      </c>
      <c r="D1523" s="7" t="s">
        <v>17</v>
      </c>
      <c r="E1523" s="7" t="s">
        <v>11</v>
      </c>
      <c r="F1523" s="7" t="s">
        <v>18</v>
      </c>
      <c r="G1523" s="7" t="s">
        <v>19</v>
      </c>
      <c r="H1523" s="7" t="s">
        <v>3354</v>
      </c>
      <c r="I1523" s="8" t="s">
        <v>4014</v>
      </c>
    </row>
    <row r="1524" spans="1:9" x14ac:dyDescent="0.35">
      <c r="A1524" s="6">
        <v>2554424</v>
      </c>
      <c r="B1524" s="7" t="str">
        <f>"3329141105860013"</f>
        <v>3329141105860013</v>
      </c>
      <c r="C1524" s="7" t="s">
        <v>4241</v>
      </c>
      <c r="D1524" s="7" t="s">
        <v>17</v>
      </c>
      <c r="E1524" s="7" t="s">
        <v>11</v>
      </c>
      <c r="F1524" s="7" t="s">
        <v>18</v>
      </c>
      <c r="G1524" s="7" t="s">
        <v>19</v>
      </c>
      <c r="H1524" s="7" t="s">
        <v>3354</v>
      </c>
      <c r="I1524" s="8" t="s">
        <v>3999</v>
      </c>
    </row>
    <row r="1525" spans="1:9" x14ac:dyDescent="0.35">
      <c r="A1525" s="6">
        <v>2554957</v>
      </c>
      <c r="B1525" s="7" t="str">
        <f>"3329141508880006"</f>
        <v>3329141508880006</v>
      </c>
      <c r="C1525" s="7" t="s">
        <v>4243</v>
      </c>
      <c r="D1525" s="7" t="s">
        <v>17</v>
      </c>
      <c r="E1525" s="7" t="s">
        <v>11</v>
      </c>
      <c r="F1525" s="7" t="s">
        <v>18</v>
      </c>
      <c r="G1525" s="7" t="s">
        <v>19</v>
      </c>
      <c r="H1525" s="7" t="s">
        <v>3354</v>
      </c>
      <c r="I1525" s="8" t="s">
        <v>1309</v>
      </c>
    </row>
    <row r="1526" spans="1:9" x14ac:dyDescent="0.35">
      <c r="A1526" s="6">
        <v>2555267</v>
      </c>
      <c r="B1526" s="7" t="str">
        <f>"3329144501850005"</f>
        <v>3329144501850005</v>
      </c>
      <c r="C1526" s="7" t="s">
        <v>4245</v>
      </c>
      <c r="D1526" s="7" t="s">
        <v>17</v>
      </c>
      <c r="E1526" s="7" t="s">
        <v>11</v>
      </c>
      <c r="F1526" s="7" t="s">
        <v>18</v>
      </c>
      <c r="G1526" s="7" t="s">
        <v>19</v>
      </c>
      <c r="H1526" s="7" t="s">
        <v>3354</v>
      </c>
      <c r="I1526" s="8" t="s">
        <v>4014</v>
      </c>
    </row>
    <row r="1527" spans="1:9" x14ac:dyDescent="0.35">
      <c r="A1527" s="6">
        <v>2554425</v>
      </c>
      <c r="B1527" s="7" t="str">
        <f>"3329144905870015"</f>
        <v>3329144905870015</v>
      </c>
      <c r="C1527" s="7" t="s">
        <v>4246</v>
      </c>
      <c r="D1527" s="7" t="s">
        <v>17</v>
      </c>
      <c r="E1527" s="7" t="s">
        <v>11</v>
      </c>
      <c r="F1527" s="7" t="s">
        <v>18</v>
      </c>
      <c r="G1527" s="7" t="s">
        <v>19</v>
      </c>
      <c r="H1527" s="7" t="s">
        <v>3354</v>
      </c>
      <c r="I1527" s="8" t="s">
        <v>3999</v>
      </c>
    </row>
    <row r="1528" spans="1:9" x14ac:dyDescent="0.35">
      <c r="A1528" s="6">
        <v>2554916</v>
      </c>
      <c r="B1528" s="7" t="str">
        <f>"3329146201920001"</f>
        <v>3329146201920001</v>
      </c>
      <c r="C1528" s="7" t="s">
        <v>4247</v>
      </c>
      <c r="D1528" s="7" t="s">
        <v>17</v>
      </c>
      <c r="E1528" s="7" t="s">
        <v>11</v>
      </c>
      <c r="F1528" s="7" t="s">
        <v>18</v>
      </c>
      <c r="G1528" s="7" t="s">
        <v>19</v>
      </c>
      <c r="H1528" s="7" t="s">
        <v>3354</v>
      </c>
      <c r="I1528" s="8" t="s">
        <v>1309</v>
      </c>
    </row>
    <row r="1529" spans="1:9" x14ac:dyDescent="0.35">
      <c r="A1529" s="6">
        <v>2555009</v>
      </c>
      <c r="B1529" s="7" t="str">
        <f>"3329155112950005"</f>
        <v>3329155112950005</v>
      </c>
      <c r="C1529" s="7" t="s">
        <v>4248</v>
      </c>
      <c r="D1529" s="7" t="s">
        <v>17</v>
      </c>
      <c r="E1529" s="7" t="s">
        <v>11</v>
      </c>
      <c r="F1529" s="7" t="s">
        <v>18</v>
      </c>
      <c r="G1529" s="7" t="s">
        <v>19</v>
      </c>
      <c r="H1529" s="7" t="s">
        <v>3354</v>
      </c>
      <c r="I1529" s="8" t="s">
        <v>131</v>
      </c>
    </row>
    <row r="1530" spans="1:9" x14ac:dyDescent="0.35">
      <c r="A1530" s="6">
        <v>2555357</v>
      </c>
      <c r="B1530" s="7" t="str">
        <f>"3376011408940001"</f>
        <v>3376011408940001</v>
      </c>
      <c r="C1530" s="7" t="s">
        <v>4251</v>
      </c>
      <c r="D1530" s="7" t="s">
        <v>17</v>
      </c>
      <c r="E1530" s="7" t="s">
        <v>11</v>
      </c>
      <c r="F1530" s="7" t="s">
        <v>18</v>
      </c>
      <c r="G1530" s="7" t="s">
        <v>19</v>
      </c>
      <c r="H1530" s="7" t="s">
        <v>3354</v>
      </c>
      <c r="I1530" s="8" t="s">
        <v>4014</v>
      </c>
    </row>
    <row r="1531" spans="1:9" x14ac:dyDescent="0.35">
      <c r="A1531" s="6">
        <v>2555764</v>
      </c>
      <c r="B1531" s="7" t="str">
        <f>"3376011709950001"</f>
        <v>3376011709950001</v>
      </c>
      <c r="C1531" s="7" t="s">
        <v>4252</v>
      </c>
      <c r="D1531" s="7" t="s">
        <v>17</v>
      </c>
      <c r="E1531" s="7" t="s">
        <v>11</v>
      </c>
      <c r="F1531" s="7" t="s">
        <v>18</v>
      </c>
      <c r="G1531" s="7" t="s">
        <v>19</v>
      </c>
      <c r="H1531" s="7" t="s">
        <v>3354</v>
      </c>
      <c r="I1531" s="8" t="s">
        <v>4049</v>
      </c>
    </row>
    <row r="1532" spans="1:9" x14ac:dyDescent="0.35">
      <c r="A1532" s="6">
        <v>2556044</v>
      </c>
      <c r="B1532" s="7" t="str">
        <f>"3376012006980001"</f>
        <v>3376012006980001</v>
      </c>
      <c r="C1532" s="7" t="s">
        <v>4253</v>
      </c>
      <c r="D1532" s="7" t="s">
        <v>17</v>
      </c>
      <c r="E1532" s="7" t="s">
        <v>11</v>
      </c>
      <c r="F1532" s="7" t="s">
        <v>18</v>
      </c>
      <c r="G1532" s="7" t="s">
        <v>19</v>
      </c>
      <c r="H1532" s="7" t="s">
        <v>3354</v>
      </c>
      <c r="I1532" s="8" t="s">
        <v>4057</v>
      </c>
    </row>
    <row r="1533" spans="1:9" x14ac:dyDescent="0.35">
      <c r="A1533" s="6">
        <v>2555299</v>
      </c>
      <c r="B1533" s="7" t="str">
        <f>"3376015911020001"</f>
        <v>3376015911020001</v>
      </c>
      <c r="C1533" s="7" t="s">
        <v>4254</v>
      </c>
      <c r="D1533" s="7" t="s">
        <v>17</v>
      </c>
      <c r="E1533" s="7" t="s">
        <v>11</v>
      </c>
      <c r="F1533" s="7" t="s">
        <v>18</v>
      </c>
      <c r="G1533" s="7" t="s">
        <v>19</v>
      </c>
      <c r="H1533" s="7" t="s">
        <v>3354</v>
      </c>
      <c r="I1533" s="8" t="s">
        <v>4014</v>
      </c>
    </row>
    <row r="1534" spans="1:9" x14ac:dyDescent="0.35">
      <c r="A1534" s="6">
        <v>2554366</v>
      </c>
      <c r="B1534" s="7" t="str">
        <f>"3376016208930002"</f>
        <v>3376016208930002</v>
      </c>
      <c r="C1534" s="7" t="s">
        <v>4255</v>
      </c>
      <c r="D1534" s="7" t="s">
        <v>17</v>
      </c>
      <c r="E1534" s="7" t="s">
        <v>11</v>
      </c>
      <c r="F1534" s="7" t="s">
        <v>18</v>
      </c>
      <c r="G1534" s="7" t="s">
        <v>19</v>
      </c>
      <c r="H1534" s="7" t="s">
        <v>3354</v>
      </c>
      <c r="I1534" s="8" t="s">
        <v>3999</v>
      </c>
    </row>
    <row r="1535" spans="1:9" x14ac:dyDescent="0.35">
      <c r="A1535" s="6">
        <v>2554969</v>
      </c>
      <c r="B1535" s="7" t="str">
        <f>"3376022010980002"</f>
        <v>3376022010980002</v>
      </c>
      <c r="C1535" s="7" t="s">
        <v>4256</v>
      </c>
      <c r="D1535" s="7" t="s">
        <v>17</v>
      </c>
      <c r="E1535" s="7" t="s">
        <v>11</v>
      </c>
      <c r="F1535" s="7" t="s">
        <v>18</v>
      </c>
      <c r="G1535" s="7" t="s">
        <v>19</v>
      </c>
      <c r="H1535" s="7" t="s">
        <v>3354</v>
      </c>
      <c r="I1535" s="8" t="s">
        <v>1309</v>
      </c>
    </row>
    <row r="1536" spans="1:9" x14ac:dyDescent="0.35">
      <c r="A1536" s="6">
        <v>2554754</v>
      </c>
      <c r="B1536" s="7" t="str">
        <f>"3376026712920002"</f>
        <v>3376026712920002</v>
      </c>
      <c r="C1536" s="7" t="s">
        <v>4258</v>
      </c>
      <c r="D1536" s="7" t="s">
        <v>17</v>
      </c>
      <c r="E1536" s="7" t="s">
        <v>11</v>
      </c>
      <c r="F1536" s="7" t="s">
        <v>18</v>
      </c>
      <c r="G1536" s="7" t="s">
        <v>19</v>
      </c>
      <c r="H1536" s="7" t="s">
        <v>3354</v>
      </c>
      <c r="I1536" s="8" t="s">
        <v>307</v>
      </c>
    </row>
    <row r="1537" spans="1:9" x14ac:dyDescent="0.35">
      <c r="A1537" s="6">
        <v>2556106</v>
      </c>
      <c r="B1537" s="7" t="str">
        <f>"3376036104060001"</f>
        <v>3376036104060001</v>
      </c>
      <c r="C1537" s="7" t="s">
        <v>4262</v>
      </c>
      <c r="D1537" s="7" t="s">
        <v>17</v>
      </c>
      <c r="E1537" s="7" t="s">
        <v>11</v>
      </c>
      <c r="F1537" s="7" t="s">
        <v>18</v>
      </c>
      <c r="G1537" s="7" t="s">
        <v>19</v>
      </c>
      <c r="H1537" s="7" t="s">
        <v>3354</v>
      </c>
      <c r="I1537" s="8" t="s">
        <v>4057</v>
      </c>
    </row>
    <row r="1538" spans="1:9" x14ac:dyDescent="0.35">
      <c r="A1538" s="6">
        <v>2556103</v>
      </c>
      <c r="B1538" s="7" t="str">
        <f>"3376040808930002"</f>
        <v>3376040808930002</v>
      </c>
      <c r="C1538" s="7" t="s">
        <v>4263</v>
      </c>
      <c r="D1538" s="7" t="s">
        <v>17</v>
      </c>
      <c r="E1538" s="7" t="s">
        <v>11</v>
      </c>
      <c r="F1538" s="7" t="s">
        <v>18</v>
      </c>
      <c r="G1538" s="7" t="s">
        <v>19</v>
      </c>
      <c r="H1538" s="7" t="s">
        <v>3354</v>
      </c>
      <c r="I1538" s="8" t="s">
        <v>4057</v>
      </c>
    </row>
    <row r="1539" spans="1:9" x14ac:dyDescent="0.35">
      <c r="A1539" s="6">
        <v>2554365</v>
      </c>
      <c r="B1539" s="7" t="str">
        <f>"3376041112940001"</f>
        <v>3376041112940001</v>
      </c>
      <c r="C1539" s="7" t="s">
        <v>4264</v>
      </c>
      <c r="D1539" s="7" t="s">
        <v>17</v>
      </c>
      <c r="E1539" s="7" t="s">
        <v>11</v>
      </c>
      <c r="F1539" s="7" t="s">
        <v>18</v>
      </c>
      <c r="G1539" s="7" t="s">
        <v>19</v>
      </c>
      <c r="H1539" s="7" t="s">
        <v>3354</v>
      </c>
      <c r="I1539" s="8" t="s">
        <v>3999</v>
      </c>
    </row>
    <row r="1540" spans="1:9" x14ac:dyDescent="0.35">
      <c r="A1540" s="6">
        <v>2553998</v>
      </c>
      <c r="B1540" s="7" t="str">
        <f>"3376041208750003"</f>
        <v>3376041208750003</v>
      </c>
      <c r="C1540" s="7" t="s">
        <v>4265</v>
      </c>
      <c r="D1540" s="7" t="s">
        <v>17</v>
      </c>
      <c r="E1540" s="7" t="s">
        <v>11</v>
      </c>
      <c r="F1540" s="7" t="s">
        <v>18</v>
      </c>
      <c r="G1540" s="7" t="s">
        <v>19</v>
      </c>
      <c r="H1540" s="7" t="s">
        <v>3354</v>
      </c>
      <c r="I1540" s="8" t="s">
        <v>4076</v>
      </c>
    </row>
    <row r="1541" spans="1:9" x14ac:dyDescent="0.35">
      <c r="A1541" s="6">
        <v>2553996</v>
      </c>
      <c r="B1541" s="7" t="str">
        <f>"3376044711970001"</f>
        <v>3376044711970001</v>
      </c>
      <c r="C1541" s="7" t="s">
        <v>4266</v>
      </c>
      <c r="D1541" s="7" t="s">
        <v>17</v>
      </c>
      <c r="E1541" s="7" t="s">
        <v>11</v>
      </c>
      <c r="F1541" s="7" t="s">
        <v>18</v>
      </c>
      <c r="G1541" s="7" t="s">
        <v>19</v>
      </c>
      <c r="H1541" s="7" t="s">
        <v>3354</v>
      </c>
      <c r="I1541" s="8" t="s">
        <v>4076</v>
      </c>
    </row>
    <row r="1542" spans="1:9" x14ac:dyDescent="0.35">
      <c r="A1542" s="6">
        <v>2553997</v>
      </c>
      <c r="B1542" s="7" t="str">
        <f>"3376045202750001"</f>
        <v>3376045202750001</v>
      </c>
      <c r="C1542" s="7" t="s">
        <v>4268</v>
      </c>
      <c r="D1542" s="7" t="s">
        <v>17</v>
      </c>
      <c r="E1542" s="7" t="s">
        <v>11</v>
      </c>
      <c r="F1542" s="7" t="s">
        <v>18</v>
      </c>
      <c r="G1542" s="7" t="s">
        <v>19</v>
      </c>
      <c r="H1542" s="7" t="s">
        <v>3354</v>
      </c>
      <c r="I1542" s="8" t="s">
        <v>4076</v>
      </c>
    </row>
    <row r="1543" spans="1:9" x14ac:dyDescent="0.35">
      <c r="A1543" s="6">
        <v>2553995</v>
      </c>
      <c r="B1543" s="7" t="str">
        <f>"3376046006020001"</f>
        <v>3376046006020001</v>
      </c>
      <c r="C1543" s="7" t="s">
        <v>4269</v>
      </c>
      <c r="D1543" s="7" t="s">
        <v>17</v>
      </c>
      <c r="E1543" s="7" t="s">
        <v>11</v>
      </c>
      <c r="F1543" s="7" t="s">
        <v>18</v>
      </c>
      <c r="G1543" s="7" t="s">
        <v>19</v>
      </c>
      <c r="H1543" s="7" t="s">
        <v>3354</v>
      </c>
      <c r="I1543" s="8" t="s">
        <v>4076</v>
      </c>
    </row>
    <row r="1544" spans="1:9" x14ac:dyDescent="0.35">
      <c r="A1544" s="6">
        <v>2554482</v>
      </c>
      <c r="B1544" s="7" t="str">
        <f>"3501100609800005"</f>
        <v>3501100609800005</v>
      </c>
      <c r="C1544" s="7" t="s">
        <v>4270</v>
      </c>
      <c r="D1544" s="7" t="s">
        <v>17</v>
      </c>
      <c r="E1544" s="7" t="s">
        <v>11</v>
      </c>
      <c r="F1544" s="7" t="s">
        <v>18</v>
      </c>
      <c r="G1544" s="7" t="s">
        <v>19</v>
      </c>
      <c r="H1544" s="7" t="s">
        <v>3354</v>
      </c>
      <c r="I1544" s="8" t="s">
        <v>3999</v>
      </c>
    </row>
    <row r="1545" spans="1:9" x14ac:dyDescent="0.35">
      <c r="A1545" s="6">
        <v>2555152</v>
      </c>
      <c r="B1545" s="7" t="str">
        <f>"3604244112910003"</f>
        <v>3604244112910003</v>
      </c>
      <c r="C1545" s="7" t="s">
        <v>4275</v>
      </c>
      <c r="D1545" s="7" t="s">
        <v>17</v>
      </c>
      <c r="E1545" s="7" t="s">
        <v>11</v>
      </c>
      <c r="F1545" s="7" t="s">
        <v>18</v>
      </c>
      <c r="G1545" s="7" t="s">
        <v>19</v>
      </c>
      <c r="H1545" s="7" t="s">
        <v>3354</v>
      </c>
      <c r="I1545" s="8" t="s">
        <v>3354</v>
      </c>
    </row>
    <row r="1546" spans="1:9" x14ac:dyDescent="0.35">
      <c r="A1546" s="6">
        <v>2555677</v>
      </c>
      <c r="B1546" s="7" t="str">
        <f>"6172010509900002"</f>
        <v>6172010509900002</v>
      </c>
      <c r="C1546" s="7" t="s">
        <v>4276</v>
      </c>
      <c r="D1546" s="7" t="s">
        <v>17</v>
      </c>
      <c r="E1546" s="7" t="s">
        <v>11</v>
      </c>
      <c r="F1546" s="7" t="s">
        <v>18</v>
      </c>
      <c r="G1546" s="7" t="s">
        <v>19</v>
      </c>
      <c r="H1546" s="7" t="s">
        <v>3354</v>
      </c>
      <c r="I1546" s="8" t="s">
        <v>613</v>
      </c>
    </row>
    <row r="1547" spans="1:9" x14ac:dyDescent="0.35">
      <c r="A1547" s="6">
        <v>2426009</v>
      </c>
      <c r="B1547" s="7" t="str">
        <f>"6473016306030001"</f>
        <v>6473016306030001</v>
      </c>
      <c r="C1547" s="7" t="s">
        <v>4280</v>
      </c>
      <c r="D1547" s="7" t="s">
        <v>17</v>
      </c>
      <c r="E1547" s="7" t="s">
        <v>11</v>
      </c>
      <c r="F1547" s="7" t="s">
        <v>50</v>
      </c>
      <c r="G1547" s="7" t="s">
        <v>58</v>
      </c>
      <c r="H1547" s="7" t="s">
        <v>406</v>
      </c>
      <c r="I1547" s="8" t="s">
        <v>3434</v>
      </c>
    </row>
    <row r="1548" spans="1:9" x14ac:dyDescent="0.35">
      <c r="A1548" s="6">
        <v>2555656</v>
      </c>
      <c r="B1548" s="7" t="str">
        <f>"7571030305520001"</f>
        <v>7571030305520001</v>
      </c>
      <c r="C1548" s="7" t="s">
        <v>2537</v>
      </c>
      <c r="D1548" s="7" t="s">
        <v>17</v>
      </c>
      <c r="E1548" s="7" t="s">
        <v>11</v>
      </c>
      <c r="F1548" s="7" t="s">
        <v>18</v>
      </c>
      <c r="G1548" s="7" t="s">
        <v>19</v>
      </c>
      <c r="H1548" s="7" t="s">
        <v>3354</v>
      </c>
      <c r="I1548" s="8" t="s">
        <v>613</v>
      </c>
    </row>
    <row r="1549" spans="1:9" x14ac:dyDescent="0.35">
      <c r="A1549" s="6">
        <v>2557578</v>
      </c>
      <c r="B1549" s="7" t="str">
        <f>"1810076003980002"</f>
        <v>1810076003980002</v>
      </c>
      <c r="C1549" s="7" t="s">
        <v>4289</v>
      </c>
      <c r="D1549" s="7" t="s">
        <v>17</v>
      </c>
      <c r="E1549" s="7" t="s">
        <v>11</v>
      </c>
      <c r="F1549" s="7" t="s">
        <v>18</v>
      </c>
      <c r="G1549" s="7" t="s">
        <v>19</v>
      </c>
      <c r="H1549" s="7" t="s">
        <v>4290</v>
      </c>
      <c r="I1549" s="8" t="s">
        <v>878</v>
      </c>
    </row>
    <row r="1550" spans="1:9" x14ac:dyDescent="0.35">
      <c r="A1550" s="6">
        <v>2556749</v>
      </c>
      <c r="B1550" s="7" t="str">
        <f>"3171071711900006"</f>
        <v>3171071711900006</v>
      </c>
      <c r="C1550" s="7" t="s">
        <v>4294</v>
      </c>
      <c r="D1550" s="7" t="s">
        <v>17</v>
      </c>
      <c r="E1550" s="7" t="s">
        <v>11</v>
      </c>
      <c r="F1550" s="7" t="s">
        <v>18</v>
      </c>
      <c r="G1550" s="7" t="s">
        <v>19</v>
      </c>
      <c r="H1550" s="7" t="s">
        <v>4290</v>
      </c>
      <c r="I1550" s="8" t="s">
        <v>4290</v>
      </c>
    </row>
    <row r="1551" spans="1:9" x14ac:dyDescent="0.35">
      <c r="A1551" s="6">
        <v>2556176</v>
      </c>
      <c r="B1551" s="7" t="str">
        <f>"3171075207620001"</f>
        <v>3171075207620001</v>
      </c>
      <c r="C1551" s="7" t="s">
        <v>4295</v>
      </c>
      <c r="D1551" s="7" t="s">
        <v>17</v>
      </c>
      <c r="E1551" s="7" t="s">
        <v>11</v>
      </c>
      <c r="F1551" s="7" t="s">
        <v>18</v>
      </c>
      <c r="G1551" s="7" t="s">
        <v>19</v>
      </c>
      <c r="H1551" s="7" t="s">
        <v>4290</v>
      </c>
      <c r="I1551" s="8" t="s">
        <v>344</v>
      </c>
    </row>
    <row r="1552" spans="1:9" x14ac:dyDescent="0.35">
      <c r="A1552" s="6">
        <v>2557489</v>
      </c>
      <c r="B1552" s="7" t="str">
        <f>"3172012801740004"</f>
        <v>3172012801740004</v>
      </c>
      <c r="C1552" s="7" t="s">
        <v>979</v>
      </c>
      <c r="D1552" s="7" t="s">
        <v>17</v>
      </c>
      <c r="E1552" s="7" t="s">
        <v>11</v>
      </c>
      <c r="F1552" s="7" t="s">
        <v>18</v>
      </c>
      <c r="G1552" s="7" t="s">
        <v>19</v>
      </c>
      <c r="H1552" s="7" t="s">
        <v>4290</v>
      </c>
      <c r="I1552" s="8" t="s">
        <v>1381</v>
      </c>
    </row>
    <row r="1553" spans="1:9" x14ac:dyDescent="0.35">
      <c r="A1553" s="6">
        <v>1385127</v>
      </c>
      <c r="B1553" s="7" t="str">
        <f>"3172014907951001"</f>
        <v>3172014907951001</v>
      </c>
      <c r="C1553" s="7" t="s">
        <v>4297</v>
      </c>
      <c r="D1553" s="7" t="s">
        <v>17</v>
      </c>
      <c r="E1553" s="7" t="s">
        <v>11</v>
      </c>
      <c r="F1553" s="7" t="s">
        <v>50</v>
      </c>
      <c r="G1553" s="7" t="s">
        <v>51</v>
      </c>
      <c r="H1553" s="7" t="s">
        <v>52</v>
      </c>
      <c r="I1553" s="8" t="s">
        <v>52</v>
      </c>
    </row>
    <row r="1554" spans="1:9" x14ac:dyDescent="0.35">
      <c r="A1554" s="6">
        <v>2557488</v>
      </c>
      <c r="B1554" s="7" t="str">
        <f>"3172016410010004"</f>
        <v>3172016410010004</v>
      </c>
      <c r="C1554" s="7" t="s">
        <v>4300</v>
      </c>
      <c r="D1554" s="7" t="s">
        <v>17</v>
      </c>
      <c r="E1554" s="7" t="s">
        <v>11</v>
      </c>
      <c r="F1554" s="7" t="s">
        <v>18</v>
      </c>
      <c r="G1554" s="7" t="s">
        <v>19</v>
      </c>
      <c r="H1554" s="7" t="s">
        <v>4290</v>
      </c>
      <c r="I1554" s="8" t="s">
        <v>1381</v>
      </c>
    </row>
    <row r="1555" spans="1:9" x14ac:dyDescent="0.35">
      <c r="A1555" s="6">
        <v>2557490</v>
      </c>
      <c r="B1555" s="7" t="str">
        <f>"3172017005760004"</f>
        <v>3172017005760004</v>
      </c>
      <c r="C1555" s="7" t="s">
        <v>4301</v>
      </c>
      <c r="D1555" s="7" t="s">
        <v>17</v>
      </c>
      <c r="E1555" s="7" t="s">
        <v>11</v>
      </c>
      <c r="F1555" s="7" t="s">
        <v>18</v>
      </c>
      <c r="G1555" s="7" t="s">
        <v>19</v>
      </c>
      <c r="H1555" s="7" t="s">
        <v>4290</v>
      </c>
      <c r="I1555" s="8" t="s">
        <v>1381</v>
      </c>
    </row>
    <row r="1556" spans="1:9" x14ac:dyDescent="0.35">
      <c r="A1556" s="6">
        <v>1500858</v>
      </c>
      <c r="B1556" s="7" t="str">
        <f>"3173012202920001"</f>
        <v>3173012202920001</v>
      </c>
      <c r="C1556" s="7" t="s">
        <v>4302</v>
      </c>
      <c r="D1556" s="7" t="s">
        <v>17</v>
      </c>
      <c r="E1556" s="7" t="s">
        <v>11</v>
      </c>
      <c r="F1556" s="7" t="s">
        <v>18</v>
      </c>
      <c r="G1556" s="7" t="s">
        <v>195</v>
      </c>
      <c r="H1556" s="7" t="s">
        <v>4304</v>
      </c>
      <c r="I1556" s="8" t="s">
        <v>4305</v>
      </c>
    </row>
    <row r="1557" spans="1:9" x14ac:dyDescent="0.35">
      <c r="A1557" s="6">
        <v>2557169</v>
      </c>
      <c r="B1557" s="7" t="str">
        <f>"3174060708050003"</f>
        <v>3174060708050003</v>
      </c>
      <c r="C1557" s="7" t="s">
        <v>4308</v>
      </c>
      <c r="D1557" s="7" t="s">
        <v>17</v>
      </c>
      <c r="E1557" s="7" t="s">
        <v>11</v>
      </c>
      <c r="F1557" s="7" t="s">
        <v>18</v>
      </c>
      <c r="G1557" s="7" t="s">
        <v>19</v>
      </c>
      <c r="H1557" s="7" t="s">
        <v>4290</v>
      </c>
      <c r="I1557" s="8" t="s">
        <v>4309</v>
      </c>
    </row>
    <row r="1558" spans="1:9" x14ac:dyDescent="0.35">
      <c r="A1558" s="6">
        <v>2557168</v>
      </c>
      <c r="B1558" s="7" t="str">
        <f>"3174062205690010"</f>
        <v>3174062205690010</v>
      </c>
      <c r="C1558" s="7" t="s">
        <v>4311</v>
      </c>
      <c r="D1558" s="7" t="s">
        <v>17</v>
      </c>
      <c r="E1558" s="7" t="s">
        <v>11</v>
      </c>
      <c r="F1558" s="7" t="s">
        <v>18</v>
      </c>
      <c r="G1558" s="7" t="s">
        <v>19</v>
      </c>
      <c r="H1558" s="7" t="s">
        <v>4290</v>
      </c>
      <c r="I1558" s="8" t="s">
        <v>4309</v>
      </c>
    </row>
    <row r="1559" spans="1:9" x14ac:dyDescent="0.35">
      <c r="A1559" s="6">
        <v>2557163</v>
      </c>
      <c r="B1559" s="7" t="str">
        <f>"3174065605800005"</f>
        <v>3174065605800005</v>
      </c>
      <c r="C1559" s="7" t="s">
        <v>4313</v>
      </c>
      <c r="D1559" s="7" t="s">
        <v>17</v>
      </c>
      <c r="E1559" s="7" t="s">
        <v>11</v>
      </c>
      <c r="F1559" s="7" t="s">
        <v>18</v>
      </c>
      <c r="G1559" s="7" t="s">
        <v>19</v>
      </c>
      <c r="H1559" s="7" t="s">
        <v>4290</v>
      </c>
      <c r="I1559" s="8" t="s">
        <v>4309</v>
      </c>
    </row>
    <row r="1560" spans="1:9" x14ac:dyDescent="0.35">
      <c r="A1560" s="6">
        <v>2428321</v>
      </c>
      <c r="B1560" s="7" t="str">
        <f>"3175072507750007"</f>
        <v>3175072507750007</v>
      </c>
      <c r="C1560" s="7" t="s">
        <v>4316</v>
      </c>
      <c r="D1560" s="7" t="s">
        <v>17</v>
      </c>
      <c r="E1560" s="7" t="s">
        <v>11</v>
      </c>
      <c r="F1560" s="7" t="s">
        <v>50</v>
      </c>
      <c r="G1560" s="7" t="s">
        <v>58</v>
      </c>
      <c r="H1560" s="7" t="s">
        <v>1283</v>
      </c>
      <c r="I1560" s="8" t="s">
        <v>1291</v>
      </c>
    </row>
    <row r="1561" spans="1:9" x14ac:dyDescent="0.35">
      <c r="A1561" s="6">
        <v>2556699</v>
      </c>
      <c r="B1561" s="7" t="str">
        <f>"3175090407800019"</f>
        <v>3175090407800019</v>
      </c>
      <c r="C1561" s="7" t="s">
        <v>4317</v>
      </c>
      <c r="D1561" s="7" t="s">
        <v>17</v>
      </c>
      <c r="E1561" s="7" t="s">
        <v>11</v>
      </c>
      <c r="F1561" s="7" t="s">
        <v>18</v>
      </c>
      <c r="G1561" s="7" t="s">
        <v>19</v>
      </c>
      <c r="H1561" s="7" t="s">
        <v>4290</v>
      </c>
      <c r="I1561" s="8" t="s">
        <v>4318</v>
      </c>
    </row>
    <row r="1562" spans="1:9" x14ac:dyDescent="0.35">
      <c r="A1562" s="6">
        <v>887160</v>
      </c>
      <c r="B1562" s="7" t="str">
        <f>"3201150304670012"</f>
        <v>3201150304670012</v>
      </c>
      <c r="C1562" s="7" t="s">
        <v>4320</v>
      </c>
      <c r="D1562" s="7" t="s">
        <v>17</v>
      </c>
      <c r="E1562" s="7" t="s">
        <v>57</v>
      </c>
      <c r="F1562" s="7" t="s">
        <v>516</v>
      </c>
      <c r="G1562" s="7" t="s">
        <v>4321</v>
      </c>
      <c r="H1562" s="7" t="s">
        <v>4322</v>
      </c>
      <c r="I1562" s="8" t="s">
        <v>4322</v>
      </c>
    </row>
    <row r="1563" spans="1:9" x14ac:dyDescent="0.35">
      <c r="A1563" s="6">
        <v>2557223</v>
      </c>
      <c r="B1563" s="7" t="str">
        <f>"3209195605980005"</f>
        <v>3209195605980005</v>
      </c>
      <c r="C1563" s="7" t="s">
        <v>4323</v>
      </c>
      <c r="D1563" s="7" t="s">
        <v>17</v>
      </c>
      <c r="E1563" s="7" t="s">
        <v>11</v>
      </c>
      <c r="F1563" s="7" t="s">
        <v>18</v>
      </c>
      <c r="G1563" s="7" t="s">
        <v>19</v>
      </c>
      <c r="H1563" s="7" t="s">
        <v>4290</v>
      </c>
      <c r="I1563" s="8" t="s">
        <v>4309</v>
      </c>
    </row>
    <row r="1564" spans="1:9" x14ac:dyDescent="0.35">
      <c r="A1564" s="6">
        <v>2556565</v>
      </c>
      <c r="B1564" s="7" t="str">
        <f>"3211264111930001"</f>
        <v>3211264111930001</v>
      </c>
      <c r="C1564" s="7" t="s">
        <v>4328</v>
      </c>
      <c r="D1564" s="7" t="s">
        <v>17</v>
      </c>
      <c r="E1564" s="7" t="s">
        <v>11</v>
      </c>
      <c r="F1564" s="7" t="s">
        <v>18</v>
      </c>
      <c r="G1564" s="7" t="s">
        <v>19</v>
      </c>
      <c r="H1564" s="7" t="s">
        <v>4290</v>
      </c>
      <c r="I1564" s="8" t="s">
        <v>4329</v>
      </c>
    </row>
    <row r="1565" spans="1:9" x14ac:dyDescent="0.35">
      <c r="A1565" s="6">
        <v>2557553</v>
      </c>
      <c r="B1565" s="7" t="str">
        <f>"3212055308010001"</f>
        <v>3212055308010001</v>
      </c>
      <c r="C1565" s="7" t="s">
        <v>4330</v>
      </c>
      <c r="D1565" s="7" t="s">
        <v>17</v>
      </c>
      <c r="E1565" s="7" t="s">
        <v>11</v>
      </c>
      <c r="F1565" s="7" t="s">
        <v>18</v>
      </c>
      <c r="G1565" s="7" t="s">
        <v>19</v>
      </c>
      <c r="H1565" s="7" t="s">
        <v>4290</v>
      </c>
      <c r="I1565" s="8" t="s">
        <v>878</v>
      </c>
    </row>
    <row r="1566" spans="1:9" x14ac:dyDescent="0.35">
      <c r="A1566" s="6">
        <v>1841197</v>
      </c>
      <c r="B1566" s="7" t="str">
        <f>"3213091011810014"</f>
        <v>3213091011810014</v>
      </c>
      <c r="C1566" s="7" t="s">
        <v>4333</v>
      </c>
      <c r="D1566" s="7" t="s">
        <v>17</v>
      </c>
      <c r="E1566" s="7" t="s">
        <v>11</v>
      </c>
      <c r="F1566" s="7" t="s">
        <v>91</v>
      </c>
      <c r="G1566" s="7" t="s">
        <v>320</v>
      </c>
      <c r="H1566" s="7" t="s">
        <v>4334</v>
      </c>
      <c r="I1566" s="8" t="s">
        <v>4335</v>
      </c>
    </row>
    <row r="1567" spans="1:9" x14ac:dyDescent="0.35">
      <c r="A1567" s="6">
        <v>2556212</v>
      </c>
      <c r="B1567" s="7" t="str">
        <f>"3215255606960005"</f>
        <v>3215255606960005</v>
      </c>
      <c r="C1567" s="7" t="s">
        <v>4336</v>
      </c>
      <c r="D1567" s="7" t="s">
        <v>17</v>
      </c>
      <c r="E1567" s="7" t="s">
        <v>11</v>
      </c>
      <c r="F1567" s="7" t="s">
        <v>18</v>
      </c>
      <c r="G1567" s="7" t="s">
        <v>19</v>
      </c>
      <c r="H1567" s="7" t="s">
        <v>4290</v>
      </c>
      <c r="I1567" s="8" t="s">
        <v>4303</v>
      </c>
    </row>
    <row r="1568" spans="1:9" x14ac:dyDescent="0.35">
      <c r="A1568" s="6">
        <v>2556256</v>
      </c>
      <c r="B1568" s="7" t="str">
        <f>"3271050304800025"</f>
        <v>3271050304800025</v>
      </c>
      <c r="C1568" s="7" t="s">
        <v>4340</v>
      </c>
      <c r="D1568" s="7" t="s">
        <v>17</v>
      </c>
      <c r="E1568" s="7" t="s">
        <v>11</v>
      </c>
      <c r="F1568" s="7" t="s">
        <v>18</v>
      </c>
      <c r="G1568" s="7" t="s">
        <v>19</v>
      </c>
      <c r="H1568" s="7" t="s">
        <v>4290</v>
      </c>
      <c r="I1568" s="8" t="s">
        <v>4303</v>
      </c>
    </row>
    <row r="1569" spans="1:9" x14ac:dyDescent="0.35">
      <c r="A1569" s="6">
        <v>2556257</v>
      </c>
      <c r="B1569" s="7" t="str">
        <f>"3271054802830010"</f>
        <v>3271054802830010</v>
      </c>
      <c r="C1569" s="7" t="s">
        <v>4342</v>
      </c>
      <c r="D1569" s="7" t="s">
        <v>17</v>
      </c>
      <c r="E1569" s="7" t="s">
        <v>11</v>
      </c>
      <c r="F1569" s="7" t="s">
        <v>18</v>
      </c>
      <c r="G1569" s="7" t="s">
        <v>19</v>
      </c>
      <c r="H1569" s="7" t="s">
        <v>4290</v>
      </c>
      <c r="I1569" s="8" t="s">
        <v>4303</v>
      </c>
    </row>
    <row r="1570" spans="1:9" x14ac:dyDescent="0.35">
      <c r="A1570" s="6">
        <v>2556255</v>
      </c>
      <c r="B1570" s="7" t="str">
        <f>"3271057001070003"</f>
        <v>3271057001070003</v>
      </c>
      <c r="C1570" s="7" t="s">
        <v>4344</v>
      </c>
      <c r="D1570" s="7" t="s">
        <v>17</v>
      </c>
      <c r="E1570" s="7" t="s">
        <v>11</v>
      </c>
      <c r="F1570" s="7" t="s">
        <v>18</v>
      </c>
      <c r="G1570" s="7" t="s">
        <v>19</v>
      </c>
      <c r="H1570" s="7" t="s">
        <v>4290</v>
      </c>
      <c r="I1570" s="8" t="s">
        <v>4303</v>
      </c>
    </row>
    <row r="1571" spans="1:9" x14ac:dyDescent="0.35">
      <c r="A1571" s="6">
        <v>2557082</v>
      </c>
      <c r="B1571" s="7" t="str">
        <f>"3274041904690004"</f>
        <v>3274041904690004</v>
      </c>
      <c r="C1571" s="7" t="s">
        <v>4345</v>
      </c>
      <c r="D1571" s="7" t="s">
        <v>17</v>
      </c>
      <c r="E1571" s="7" t="s">
        <v>11</v>
      </c>
      <c r="F1571" s="7" t="s">
        <v>18</v>
      </c>
      <c r="G1571" s="7" t="s">
        <v>19</v>
      </c>
      <c r="H1571" s="7" t="s">
        <v>4290</v>
      </c>
      <c r="I1571" s="8" t="s">
        <v>4347</v>
      </c>
    </row>
    <row r="1572" spans="1:9" x14ac:dyDescent="0.35">
      <c r="A1572" s="6">
        <v>2557083</v>
      </c>
      <c r="B1572" s="7" t="str">
        <f>"3274046311740006"</f>
        <v>3274046311740006</v>
      </c>
      <c r="C1572" s="7" t="s">
        <v>4348</v>
      </c>
      <c r="D1572" s="7" t="s">
        <v>17</v>
      </c>
      <c r="E1572" s="7" t="s">
        <v>11</v>
      </c>
      <c r="F1572" s="7" t="s">
        <v>18</v>
      </c>
      <c r="G1572" s="7" t="s">
        <v>19</v>
      </c>
      <c r="H1572" s="7" t="s">
        <v>4290</v>
      </c>
      <c r="I1572" s="8" t="s">
        <v>4347</v>
      </c>
    </row>
    <row r="1573" spans="1:9" x14ac:dyDescent="0.35">
      <c r="A1573" s="6">
        <v>2556444</v>
      </c>
      <c r="B1573" s="7" t="str">
        <f>"3275014512690023"</f>
        <v>3275014512690023</v>
      </c>
      <c r="C1573" s="7" t="s">
        <v>4350</v>
      </c>
      <c r="D1573" s="7" t="s">
        <v>17</v>
      </c>
      <c r="E1573" s="7" t="s">
        <v>11</v>
      </c>
      <c r="F1573" s="7" t="s">
        <v>18</v>
      </c>
      <c r="G1573" s="7" t="s">
        <v>19</v>
      </c>
      <c r="H1573" s="7" t="s">
        <v>4290</v>
      </c>
      <c r="I1573" s="8" t="s">
        <v>4315</v>
      </c>
    </row>
    <row r="1574" spans="1:9" x14ac:dyDescent="0.35">
      <c r="A1574" s="6">
        <v>2556435</v>
      </c>
      <c r="B1574" s="7" t="str">
        <f>"3275016104990029"</f>
        <v>3275016104990029</v>
      </c>
      <c r="C1574" s="7" t="s">
        <v>4352</v>
      </c>
      <c r="D1574" s="7" t="s">
        <v>17</v>
      </c>
      <c r="E1574" s="7" t="s">
        <v>11</v>
      </c>
      <c r="F1574" s="7" t="s">
        <v>18</v>
      </c>
      <c r="G1574" s="7" t="s">
        <v>19</v>
      </c>
      <c r="H1574" s="7" t="s">
        <v>4290</v>
      </c>
      <c r="I1574" s="8" t="s">
        <v>4315</v>
      </c>
    </row>
    <row r="1575" spans="1:9" x14ac:dyDescent="0.35">
      <c r="A1575" s="6">
        <v>2556230</v>
      </c>
      <c r="B1575" s="7" t="str">
        <f>"3275020404520025"</f>
        <v>3275020404520025</v>
      </c>
      <c r="C1575" s="7" t="s">
        <v>4355</v>
      </c>
      <c r="D1575" s="7" t="s">
        <v>17</v>
      </c>
      <c r="E1575" s="7" t="s">
        <v>11</v>
      </c>
      <c r="F1575" s="7" t="s">
        <v>18</v>
      </c>
      <c r="G1575" s="7" t="s">
        <v>19</v>
      </c>
      <c r="H1575" s="7" t="s">
        <v>4290</v>
      </c>
      <c r="I1575" s="8" t="s">
        <v>4303</v>
      </c>
    </row>
    <row r="1576" spans="1:9" x14ac:dyDescent="0.35">
      <c r="A1576" s="6">
        <v>2556811</v>
      </c>
      <c r="B1576" s="7" t="str">
        <f>"3275042309870019"</f>
        <v>3275042309870019</v>
      </c>
      <c r="C1576" s="7" t="s">
        <v>4357</v>
      </c>
      <c r="D1576" s="7" t="s">
        <v>17</v>
      </c>
      <c r="E1576" s="7" t="s">
        <v>11</v>
      </c>
      <c r="F1576" s="7" t="s">
        <v>18</v>
      </c>
      <c r="G1576" s="7" t="s">
        <v>19</v>
      </c>
      <c r="H1576" s="7" t="s">
        <v>4290</v>
      </c>
      <c r="I1576" s="8" t="s">
        <v>4358</v>
      </c>
    </row>
    <row r="1577" spans="1:9" x14ac:dyDescent="0.35">
      <c r="A1577" s="6">
        <v>2556812</v>
      </c>
      <c r="B1577" s="7" t="str">
        <f>"3275045610860014"</f>
        <v>3275045610860014</v>
      </c>
      <c r="C1577" s="7" t="s">
        <v>4361</v>
      </c>
      <c r="D1577" s="7" t="s">
        <v>17</v>
      </c>
      <c r="E1577" s="7" t="s">
        <v>11</v>
      </c>
      <c r="F1577" s="7" t="s">
        <v>18</v>
      </c>
      <c r="G1577" s="7" t="s">
        <v>19</v>
      </c>
      <c r="H1577" s="7" t="s">
        <v>4290</v>
      </c>
      <c r="I1577" s="8" t="s">
        <v>4358</v>
      </c>
    </row>
    <row r="1578" spans="1:9" x14ac:dyDescent="0.35">
      <c r="A1578" s="6">
        <v>1359148</v>
      </c>
      <c r="B1578" s="7" t="str">
        <f>"3276026909810012"</f>
        <v>3276026909810012</v>
      </c>
      <c r="C1578" s="7" t="s">
        <v>4363</v>
      </c>
      <c r="D1578" s="7" t="s">
        <v>17</v>
      </c>
      <c r="E1578" s="7" t="s">
        <v>11</v>
      </c>
      <c r="F1578" s="7" t="s">
        <v>303</v>
      </c>
      <c r="G1578" s="7" t="s">
        <v>608</v>
      </c>
      <c r="H1578" s="7" t="s">
        <v>4364</v>
      </c>
      <c r="I1578" s="8" t="s">
        <v>4365</v>
      </c>
    </row>
    <row r="1579" spans="1:9" x14ac:dyDescent="0.35">
      <c r="A1579" s="6">
        <v>2556286</v>
      </c>
      <c r="B1579" s="7" t="str">
        <f>"3308106109820006"</f>
        <v>3308106109820006</v>
      </c>
      <c r="C1579" s="7" t="s">
        <v>4366</v>
      </c>
      <c r="D1579" s="7" t="s">
        <v>17</v>
      </c>
      <c r="E1579" s="7" t="s">
        <v>11</v>
      </c>
      <c r="F1579" s="7" t="s">
        <v>18</v>
      </c>
      <c r="G1579" s="7" t="s">
        <v>19</v>
      </c>
      <c r="H1579" s="7" t="s">
        <v>4290</v>
      </c>
      <c r="I1579" s="8" t="s">
        <v>4303</v>
      </c>
    </row>
    <row r="1580" spans="1:9" x14ac:dyDescent="0.35">
      <c r="A1580" s="6">
        <v>2557138</v>
      </c>
      <c r="B1580" s="7" t="str">
        <f>"3315104707040001"</f>
        <v>3315104707040001</v>
      </c>
      <c r="C1580" s="7" t="s">
        <v>4371</v>
      </c>
      <c r="D1580" s="7" t="s">
        <v>17</v>
      </c>
      <c r="E1580" s="7" t="s">
        <v>11</v>
      </c>
      <c r="F1580" s="7" t="s">
        <v>18</v>
      </c>
      <c r="G1580" s="7" t="s">
        <v>19</v>
      </c>
      <c r="H1580" s="7" t="s">
        <v>4290</v>
      </c>
      <c r="I1580" s="8" t="s">
        <v>4347</v>
      </c>
    </row>
    <row r="1581" spans="1:9" x14ac:dyDescent="0.35">
      <c r="A1581" s="6">
        <v>2557156</v>
      </c>
      <c r="B1581" s="7" t="str">
        <f>"3317146602980001"</f>
        <v>3317146602980001</v>
      </c>
      <c r="C1581" s="7" t="s">
        <v>4372</v>
      </c>
      <c r="D1581" s="7" t="s">
        <v>17</v>
      </c>
      <c r="E1581" s="7" t="s">
        <v>11</v>
      </c>
      <c r="F1581" s="7" t="s">
        <v>18</v>
      </c>
      <c r="G1581" s="7" t="s">
        <v>19</v>
      </c>
      <c r="H1581" s="7" t="s">
        <v>4290</v>
      </c>
      <c r="I1581" s="8" t="s">
        <v>4347</v>
      </c>
    </row>
    <row r="1582" spans="1:9" x14ac:dyDescent="0.35">
      <c r="A1582" s="6">
        <v>2556627</v>
      </c>
      <c r="B1582" s="7" t="str">
        <f>"3323190507940001"</f>
        <v>3323190507940001</v>
      </c>
      <c r="C1582" s="7" t="s">
        <v>4376</v>
      </c>
      <c r="D1582" s="7" t="s">
        <v>17</v>
      </c>
      <c r="E1582" s="7" t="s">
        <v>11</v>
      </c>
      <c r="F1582" s="7" t="s">
        <v>18</v>
      </c>
      <c r="G1582" s="7" t="s">
        <v>19</v>
      </c>
      <c r="H1582" s="7" t="s">
        <v>4290</v>
      </c>
      <c r="I1582" s="8" t="s">
        <v>4318</v>
      </c>
    </row>
    <row r="1583" spans="1:9" x14ac:dyDescent="0.35">
      <c r="A1583" s="6">
        <v>1500859</v>
      </c>
      <c r="B1583" s="7" t="str">
        <f>"3326045902020001"</f>
        <v>3326045902020001</v>
      </c>
      <c r="C1583" s="7" t="s">
        <v>4378</v>
      </c>
      <c r="D1583" s="7" t="s">
        <v>17</v>
      </c>
      <c r="E1583" s="7" t="s">
        <v>11</v>
      </c>
      <c r="F1583" s="7" t="s">
        <v>18</v>
      </c>
      <c r="G1583" s="7" t="s">
        <v>195</v>
      </c>
      <c r="H1583" s="7" t="s">
        <v>4304</v>
      </c>
      <c r="I1583" s="8" t="s">
        <v>4305</v>
      </c>
    </row>
    <row r="1584" spans="1:9" x14ac:dyDescent="0.35">
      <c r="A1584" s="6">
        <v>2557634</v>
      </c>
      <c r="B1584" s="7" t="str">
        <f>"3327031602860008"</f>
        <v>3327031602860008</v>
      </c>
      <c r="C1584" s="7" t="s">
        <v>4384</v>
      </c>
      <c r="D1584" s="7" t="s">
        <v>17</v>
      </c>
      <c r="E1584" s="7" t="s">
        <v>11</v>
      </c>
      <c r="F1584" s="7" t="s">
        <v>18</v>
      </c>
      <c r="G1584" s="7" t="s">
        <v>19</v>
      </c>
      <c r="H1584" s="7" t="s">
        <v>4290</v>
      </c>
      <c r="I1584" s="8" t="s">
        <v>878</v>
      </c>
    </row>
    <row r="1585" spans="1:9" x14ac:dyDescent="0.35">
      <c r="A1585" s="6">
        <v>2646652</v>
      </c>
      <c r="B1585" s="7" t="str">
        <f>"3327081201820073"</f>
        <v>3327081201820073</v>
      </c>
      <c r="C1585" s="7" t="s">
        <v>4385</v>
      </c>
      <c r="D1585" s="7" t="s">
        <v>17</v>
      </c>
      <c r="E1585" s="7" t="s">
        <v>11</v>
      </c>
      <c r="F1585" s="7" t="s">
        <v>18</v>
      </c>
      <c r="G1585" s="7" t="s">
        <v>199</v>
      </c>
      <c r="H1585" s="7" t="s">
        <v>199</v>
      </c>
      <c r="I1585" s="8" t="s">
        <v>4386</v>
      </c>
    </row>
    <row r="1586" spans="1:9" x14ac:dyDescent="0.35">
      <c r="A1586" s="6">
        <v>2645150</v>
      </c>
      <c r="B1586" s="7" t="str">
        <f>"3327116005980004"</f>
        <v>3327116005980004</v>
      </c>
      <c r="C1586" s="7" t="s">
        <v>4387</v>
      </c>
      <c r="D1586" s="7" t="s">
        <v>17</v>
      </c>
      <c r="E1586" s="7" t="s">
        <v>11</v>
      </c>
      <c r="F1586" s="7" t="s">
        <v>18</v>
      </c>
      <c r="G1586" s="7" t="s">
        <v>199</v>
      </c>
      <c r="H1586" s="7" t="s">
        <v>208</v>
      </c>
      <c r="I1586" s="8" t="s">
        <v>209</v>
      </c>
    </row>
    <row r="1587" spans="1:9" x14ac:dyDescent="0.35">
      <c r="A1587" s="6">
        <v>941967</v>
      </c>
      <c r="B1587" s="7" t="str">
        <f>"3328121107960009"</f>
        <v>3328121107960009</v>
      </c>
      <c r="C1587" s="7" t="s">
        <v>4389</v>
      </c>
      <c r="D1587" s="7" t="s">
        <v>17</v>
      </c>
      <c r="E1587" s="7" t="s">
        <v>11</v>
      </c>
      <c r="F1587" s="7" t="s">
        <v>91</v>
      </c>
      <c r="G1587" s="7" t="s">
        <v>109</v>
      </c>
      <c r="H1587" s="7" t="s">
        <v>110</v>
      </c>
      <c r="I1587" s="8" t="s">
        <v>4390</v>
      </c>
    </row>
    <row r="1588" spans="1:9" x14ac:dyDescent="0.35">
      <c r="A1588" s="6">
        <v>2556200</v>
      </c>
      <c r="B1588" s="7" t="str">
        <f>"3328130101670011"</f>
        <v>3328130101670011</v>
      </c>
      <c r="C1588" s="7" t="s">
        <v>4392</v>
      </c>
      <c r="D1588" s="7" t="s">
        <v>17</v>
      </c>
      <c r="E1588" s="7" t="s">
        <v>11</v>
      </c>
      <c r="F1588" s="7" t="s">
        <v>18</v>
      </c>
      <c r="G1588" s="7" t="s">
        <v>19</v>
      </c>
      <c r="H1588" s="7" t="s">
        <v>4290</v>
      </c>
      <c r="I1588" s="8" t="s">
        <v>4303</v>
      </c>
    </row>
    <row r="1589" spans="1:9" x14ac:dyDescent="0.35">
      <c r="A1589" s="6">
        <v>2556519</v>
      </c>
      <c r="B1589" s="7" t="str">
        <f>"3328130107890060"</f>
        <v>3328130107890060</v>
      </c>
      <c r="C1589" s="7" t="s">
        <v>4394</v>
      </c>
      <c r="D1589" s="7" t="s">
        <v>17</v>
      </c>
      <c r="E1589" s="7" t="s">
        <v>11</v>
      </c>
      <c r="F1589" s="7" t="s">
        <v>18</v>
      </c>
      <c r="G1589" s="7" t="s">
        <v>19</v>
      </c>
      <c r="H1589" s="7" t="s">
        <v>4290</v>
      </c>
      <c r="I1589" s="8" t="s">
        <v>4329</v>
      </c>
    </row>
    <row r="1590" spans="1:9" x14ac:dyDescent="0.35">
      <c r="A1590" s="6">
        <v>423165</v>
      </c>
      <c r="B1590" s="7" t="str">
        <f>"3328130107930069"</f>
        <v>3328130107930069</v>
      </c>
      <c r="C1590" s="7" t="s">
        <v>4396</v>
      </c>
      <c r="D1590" s="7" t="s">
        <v>17</v>
      </c>
      <c r="E1590" s="7" t="s">
        <v>11</v>
      </c>
      <c r="F1590" s="7" t="s">
        <v>18</v>
      </c>
      <c r="G1590" s="7" t="s">
        <v>268</v>
      </c>
      <c r="H1590" s="7" t="s">
        <v>269</v>
      </c>
      <c r="I1590" s="8" t="s">
        <v>1398</v>
      </c>
    </row>
    <row r="1591" spans="1:9" x14ac:dyDescent="0.35">
      <c r="A1591" s="6">
        <v>421783</v>
      </c>
      <c r="B1591" s="7" t="str">
        <f>"3328130209940003"</f>
        <v>3328130209940003</v>
      </c>
      <c r="C1591" s="7" t="s">
        <v>4398</v>
      </c>
      <c r="D1591" s="7" t="s">
        <v>17</v>
      </c>
      <c r="E1591" s="7" t="s">
        <v>11</v>
      </c>
      <c r="F1591" s="7" t="s">
        <v>18</v>
      </c>
      <c r="G1591" s="7" t="s">
        <v>268</v>
      </c>
      <c r="H1591" s="7" t="s">
        <v>371</v>
      </c>
      <c r="I1591" s="8" t="s">
        <v>372</v>
      </c>
    </row>
    <row r="1592" spans="1:9" x14ac:dyDescent="0.35">
      <c r="A1592" s="6">
        <v>2660737</v>
      </c>
      <c r="B1592" s="7" t="str">
        <f>"3328130307860007"</f>
        <v>3328130307860007</v>
      </c>
      <c r="C1592" s="7" t="s">
        <v>4399</v>
      </c>
      <c r="D1592" s="7" t="s">
        <v>17</v>
      </c>
      <c r="E1592" s="7" t="s">
        <v>11</v>
      </c>
      <c r="F1592" s="7" t="s">
        <v>18</v>
      </c>
      <c r="G1592" s="7" t="s">
        <v>199</v>
      </c>
      <c r="H1592" s="7" t="s">
        <v>4400</v>
      </c>
      <c r="I1592" s="8" t="s">
        <v>2805</v>
      </c>
    </row>
    <row r="1593" spans="1:9" x14ac:dyDescent="0.35">
      <c r="A1593" s="6">
        <v>2556729</v>
      </c>
      <c r="B1593" s="7" t="str">
        <f>"3328130404610003"</f>
        <v>3328130404610003</v>
      </c>
      <c r="C1593" s="7" t="s">
        <v>4403</v>
      </c>
      <c r="D1593" s="7" t="s">
        <v>17</v>
      </c>
      <c r="E1593" s="7" t="s">
        <v>11</v>
      </c>
      <c r="F1593" s="7" t="s">
        <v>18</v>
      </c>
      <c r="G1593" s="7" t="s">
        <v>19</v>
      </c>
      <c r="H1593" s="7" t="s">
        <v>4290</v>
      </c>
      <c r="I1593" s="8" t="s">
        <v>4290</v>
      </c>
    </row>
    <row r="1594" spans="1:9" x14ac:dyDescent="0.35">
      <c r="A1594" s="6">
        <v>2557478</v>
      </c>
      <c r="B1594" s="7" t="str">
        <f>"3328130406900006"</f>
        <v>3328130406900006</v>
      </c>
      <c r="C1594" s="7" t="s">
        <v>4404</v>
      </c>
      <c r="D1594" s="7" t="s">
        <v>17</v>
      </c>
      <c r="E1594" s="7" t="s">
        <v>11</v>
      </c>
      <c r="F1594" s="7" t="s">
        <v>18</v>
      </c>
      <c r="G1594" s="7" t="s">
        <v>19</v>
      </c>
      <c r="H1594" s="7" t="s">
        <v>4290</v>
      </c>
      <c r="I1594" s="8" t="s">
        <v>1381</v>
      </c>
    </row>
    <row r="1595" spans="1:9" x14ac:dyDescent="0.35">
      <c r="A1595" s="6">
        <v>2557546</v>
      </c>
      <c r="B1595" s="7" t="str">
        <f>"3328130408920001"</f>
        <v>3328130408920001</v>
      </c>
      <c r="C1595" s="7" t="s">
        <v>4406</v>
      </c>
      <c r="D1595" s="7" t="s">
        <v>17</v>
      </c>
      <c r="E1595" s="7" t="s">
        <v>11</v>
      </c>
      <c r="F1595" s="7" t="s">
        <v>18</v>
      </c>
      <c r="G1595" s="7" t="s">
        <v>19</v>
      </c>
      <c r="H1595" s="7" t="s">
        <v>4290</v>
      </c>
      <c r="I1595" s="8" t="s">
        <v>878</v>
      </c>
    </row>
    <row r="1596" spans="1:9" x14ac:dyDescent="0.35">
      <c r="A1596" s="6">
        <v>423203</v>
      </c>
      <c r="B1596" s="7" t="str">
        <f>"3328130503960005"</f>
        <v>3328130503960005</v>
      </c>
      <c r="C1596" s="7" t="s">
        <v>4407</v>
      </c>
      <c r="D1596" s="7" t="s">
        <v>17</v>
      </c>
      <c r="E1596" s="7" t="s">
        <v>11</v>
      </c>
      <c r="F1596" s="7" t="s">
        <v>18</v>
      </c>
      <c r="G1596" s="7" t="s">
        <v>268</v>
      </c>
      <c r="H1596" s="7" t="s">
        <v>269</v>
      </c>
      <c r="I1596" s="8" t="s">
        <v>4408</v>
      </c>
    </row>
    <row r="1597" spans="1:9" x14ac:dyDescent="0.35">
      <c r="A1597" s="6">
        <v>2579372</v>
      </c>
      <c r="B1597" s="7" t="str">
        <f>"3328130504790006"</f>
        <v>3328130504790006</v>
      </c>
      <c r="C1597" s="7" t="s">
        <v>4410</v>
      </c>
      <c r="D1597" s="7" t="s">
        <v>17</v>
      </c>
      <c r="E1597" s="7" t="s">
        <v>11</v>
      </c>
      <c r="F1597" s="7" t="s">
        <v>67</v>
      </c>
      <c r="G1597" s="7" t="s">
        <v>375</v>
      </c>
      <c r="H1597" s="7" t="s">
        <v>4411</v>
      </c>
      <c r="I1597" s="8" t="s">
        <v>4412</v>
      </c>
    </row>
    <row r="1598" spans="1:9" x14ac:dyDescent="0.35">
      <c r="A1598" s="6">
        <v>423156</v>
      </c>
      <c r="B1598" s="7" t="str">
        <f>"3328130505640005"</f>
        <v>3328130505640005</v>
      </c>
      <c r="C1598" s="7" t="s">
        <v>4413</v>
      </c>
      <c r="D1598" s="7" t="s">
        <v>17</v>
      </c>
      <c r="E1598" s="7" t="s">
        <v>11</v>
      </c>
      <c r="F1598" s="7" t="s">
        <v>18</v>
      </c>
      <c r="G1598" s="7" t="s">
        <v>268</v>
      </c>
      <c r="H1598" s="7" t="s">
        <v>269</v>
      </c>
      <c r="I1598" s="8" t="s">
        <v>1398</v>
      </c>
    </row>
    <row r="1599" spans="1:9" x14ac:dyDescent="0.35">
      <c r="A1599" s="6">
        <v>2556153</v>
      </c>
      <c r="B1599" s="7" t="str">
        <f>"3328130509610003"</f>
        <v>3328130509610003</v>
      </c>
      <c r="C1599" s="7" t="s">
        <v>4417</v>
      </c>
      <c r="D1599" s="7" t="s">
        <v>17</v>
      </c>
      <c r="E1599" s="7" t="s">
        <v>11</v>
      </c>
      <c r="F1599" s="7" t="s">
        <v>18</v>
      </c>
      <c r="G1599" s="7" t="s">
        <v>19</v>
      </c>
      <c r="H1599" s="7" t="s">
        <v>4290</v>
      </c>
      <c r="I1599" s="8" t="s">
        <v>344</v>
      </c>
    </row>
    <row r="1600" spans="1:9" x14ac:dyDescent="0.35">
      <c r="A1600" s="6">
        <v>423577</v>
      </c>
      <c r="B1600" s="7" t="str">
        <f>"3328130510880001"</f>
        <v>3328130510880001</v>
      </c>
      <c r="C1600" s="7" t="s">
        <v>4419</v>
      </c>
      <c r="D1600" s="7" t="s">
        <v>17</v>
      </c>
      <c r="E1600" s="7" t="s">
        <v>11</v>
      </c>
      <c r="F1600" s="7" t="s">
        <v>18</v>
      </c>
      <c r="G1600" s="7" t="s">
        <v>268</v>
      </c>
      <c r="H1600" s="7" t="s">
        <v>277</v>
      </c>
      <c r="I1600" s="8" t="s">
        <v>3326</v>
      </c>
    </row>
    <row r="1601" spans="1:9" x14ac:dyDescent="0.35">
      <c r="A1601" s="6">
        <v>2556654</v>
      </c>
      <c r="B1601" s="7" t="str">
        <f>"3328130609020004"</f>
        <v>3328130609020004</v>
      </c>
      <c r="C1601" s="7" t="s">
        <v>4420</v>
      </c>
      <c r="D1601" s="7" t="s">
        <v>17</v>
      </c>
      <c r="E1601" s="7" t="s">
        <v>11</v>
      </c>
      <c r="F1601" s="7" t="s">
        <v>18</v>
      </c>
      <c r="G1601" s="7" t="s">
        <v>19</v>
      </c>
      <c r="H1601" s="7" t="s">
        <v>4290</v>
      </c>
      <c r="I1601" s="8" t="s">
        <v>4318</v>
      </c>
    </row>
    <row r="1602" spans="1:9" x14ac:dyDescent="0.35">
      <c r="A1602" s="6">
        <v>2605849</v>
      </c>
      <c r="B1602" s="7" t="str">
        <f>"3328130705960003"</f>
        <v>3328130705960003</v>
      </c>
      <c r="C1602" s="7" t="s">
        <v>4427</v>
      </c>
      <c r="D1602" s="7" t="s">
        <v>17</v>
      </c>
      <c r="E1602" s="7" t="s">
        <v>11</v>
      </c>
      <c r="F1602" s="7" t="s">
        <v>18</v>
      </c>
      <c r="G1602" s="7" t="s">
        <v>1438</v>
      </c>
      <c r="H1602" s="7" t="s">
        <v>4428</v>
      </c>
      <c r="I1602" s="8" t="s">
        <v>4429</v>
      </c>
    </row>
    <row r="1603" spans="1:9" x14ac:dyDescent="0.35">
      <c r="A1603" s="6">
        <v>2556456</v>
      </c>
      <c r="B1603" s="7" t="str">
        <f>"3328130706940003"</f>
        <v>3328130706940003</v>
      </c>
      <c r="C1603" s="7" t="s">
        <v>4430</v>
      </c>
      <c r="D1603" s="7" t="s">
        <v>17</v>
      </c>
      <c r="E1603" s="7" t="s">
        <v>11</v>
      </c>
      <c r="F1603" s="7" t="s">
        <v>18</v>
      </c>
      <c r="G1603" s="7" t="s">
        <v>19</v>
      </c>
      <c r="H1603" s="7" t="s">
        <v>4290</v>
      </c>
      <c r="I1603" s="8" t="s">
        <v>4315</v>
      </c>
    </row>
    <row r="1604" spans="1:9" x14ac:dyDescent="0.35">
      <c r="A1604" s="6">
        <v>1616324</v>
      </c>
      <c r="B1604" s="7" t="str">
        <f>"3328130707940004"</f>
        <v>3328130707940004</v>
      </c>
      <c r="C1604" s="7" t="s">
        <v>4432</v>
      </c>
      <c r="D1604" s="7" t="s">
        <v>17</v>
      </c>
      <c r="E1604" s="7" t="s">
        <v>11</v>
      </c>
      <c r="F1604" s="7" t="s">
        <v>18</v>
      </c>
      <c r="G1604" s="7" t="s">
        <v>264</v>
      </c>
      <c r="H1604" s="7" t="s">
        <v>773</v>
      </c>
      <c r="I1604" s="8" t="s">
        <v>4433</v>
      </c>
    </row>
    <row r="1605" spans="1:9" x14ac:dyDescent="0.35">
      <c r="A1605" s="6">
        <v>2557232</v>
      </c>
      <c r="B1605" s="7" t="str">
        <f>"3328130708840007"</f>
        <v>3328130708840007</v>
      </c>
      <c r="C1605" s="7" t="s">
        <v>4434</v>
      </c>
      <c r="D1605" s="7" t="s">
        <v>17</v>
      </c>
      <c r="E1605" s="7" t="s">
        <v>11</v>
      </c>
      <c r="F1605" s="7" t="s">
        <v>18</v>
      </c>
      <c r="G1605" s="7" t="s">
        <v>19</v>
      </c>
      <c r="H1605" s="7" t="s">
        <v>4290</v>
      </c>
      <c r="I1605" s="8" t="s">
        <v>4309</v>
      </c>
    </row>
    <row r="1606" spans="1:9" x14ac:dyDescent="0.35">
      <c r="A1606" s="6">
        <v>2557362</v>
      </c>
      <c r="B1606" s="7" t="str">
        <f>"3328130709950006"</f>
        <v>3328130709950006</v>
      </c>
      <c r="C1606" s="7" t="s">
        <v>4435</v>
      </c>
      <c r="D1606" s="7" t="s">
        <v>17</v>
      </c>
      <c r="E1606" s="7" t="s">
        <v>11</v>
      </c>
      <c r="F1606" s="7" t="s">
        <v>18</v>
      </c>
      <c r="G1606" s="7" t="s">
        <v>19</v>
      </c>
      <c r="H1606" s="7" t="s">
        <v>4290</v>
      </c>
      <c r="I1606" s="8" t="s">
        <v>4436</v>
      </c>
    </row>
    <row r="1607" spans="1:9" x14ac:dyDescent="0.35">
      <c r="A1607" s="6">
        <v>2556317</v>
      </c>
      <c r="B1607" s="7" t="str">
        <f>"3328130710680005"</f>
        <v>3328130710680005</v>
      </c>
      <c r="C1607" s="7" t="s">
        <v>4437</v>
      </c>
      <c r="D1607" s="7" t="s">
        <v>17</v>
      </c>
      <c r="E1607" s="7" t="s">
        <v>11</v>
      </c>
      <c r="F1607" s="7" t="s">
        <v>18</v>
      </c>
      <c r="G1607" s="7" t="s">
        <v>19</v>
      </c>
      <c r="H1607" s="7" t="s">
        <v>4290</v>
      </c>
      <c r="I1607" s="8" t="s">
        <v>4303</v>
      </c>
    </row>
    <row r="1608" spans="1:9" x14ac:dyDescent="0.35">
      <c r="A1608" s="6">
        <v>2556211</v>
      </c>
      <c r="B1608" s="7" t="str">
        <f>"3328130803930008"</f>
        <v>3328130803930008</v>
      </c>
      <c r="C1608" s="7" t="s">
        <v>4438</v>
      </c>
      <c r="D1608" s="7" t="s">
        <v>17</v>
      </c>
      <c r="E1608" s="7" t="s">
        <v>11</v>
      </c>
      <c r="F1608" s="7" t="s">
        <v>18</v>
      </c>
      <c r="G1608" s="7" t="s">
        <v>19</v>
      </c>
      <c r="H1608" s="7" t="s">
        <v>4290</v>
      </c>
      <c r="I1608" s="8" t="s">
        <v>4303</v>
      </c>
    </row>
    <row r="1609" spans="1:9" x14ac:dyDescent="0.35">
      <c r="A1609" s="6">
        <v>421569</v>
      </c>
      <c r="B1609" s="7" t="str">
        <f>"3328130805970003"</f>
        <v>3328130805970003</v>
      </c>
      <c r="C1609" s="7" t="s">
        <v>4440</v>
      </c>
      <c r="D1609" s="7" t="s">
        <v>17</v>
      </c>
      <c r="E1609" s="7" t="s">
        <v>11</v>
      </c>
      <c r="F1609" s="7" t="s">
        <v>18</v>
      </c>
      <c r="G1609" s="7" t="s">
        <v>268</v>
      </c>
      <c r="H1609" s="7" t="s">
        <v>371</v>
      </c>
      <c r="I1609" s="8" t="s">
        <v>2346</v>
      </c>
    </row>
    <row r="1610" spans="1:9" x14ac:dyDescent="0.35">
      <c r="A1610" s="6">
        <v>2556455</v>
      </c>
      <c r="B1610" s="7" t="str">
        <f>"3328130809880010"</f>
        <v>3328130809880010</v>
      </c>
      <c r="C1610" s="7" t="s">
        <v>3431</v>
      </c>
      <c r="D1610" s="7" t="s">
        <v>17</v>
      </c>
      <c r="E1610" s="7" t="s">
        <v>11</v>
      </c>
      <c r="F1610" s="7" t="s">
        <v>18</v>
      </c>
      <c r="G1610" s="7" t="s">
        <v>19</v>
      </c>
      <c r="H1610" s="7" t="s">
        <v>4290</v>
      </c>
      <c r="I1610" s="8" t="s">
        <v>4315</v>
      </c>
    </row>
    <row r="1611" spans="1:9" x14ac:dyDescent="0.35">
      <c r="A1611" s="6">
        <v>422207</v>
      </c>
      <c r="B1611" s="7" t="str">
        <f>"3328131011960003"</f>
        <v>3328131011960003</v>
      </c>
      <c r="C1611" s="7" t="s">
        <v>4441</v>
      </c>
      <c r="D1611" s="7" t="s">
        <v>17</v>
      </c>
      <c r="E1611" s="7" t="s">
        <v>11</v>
      </c>
      <c r="F1611" s="7" t="s">
        <v>18</v>
      </c>
      <c r="G1611" s="7" t="s">
        <v>268</v>
      </c>
      <c r="H1611" s="7" t="s">
        <v>269</v>
      </c>
      <c r="I1611" s="8" t="s">
        <v>996</v>
      </c>
    </row>
    <row r="1612" spans="1:9" x14ac:dyDescent="0.35">
      <c r="A1612" s="6">
        <v>421590</v>
      </c>
      <c r="B1612" s="7" t="str">
        <f>"3328131102960003"</f>
        <v>3328131102960003</v>
      </c>
      <c r="C1612" s="7" t="s">
        <v>4442</v>
      </c>
      <c r="D1612" s="7" t="s">
        <v>17</v>
      </c>
      <c r="E1612" s="7" t="s">
        <v>11</v>
      </c>
      <c r="F1612" s="7" t="s">
        <v>18</v>
      </c>
      <c r="G1612" s="7" t="s">
        <v>268</v>
      </c>
      <c r="H1612" s="7" t="s">
        <v>371</v>
      </c>
      <c r="I1612" s="8" t="s">
        <v>2346</v>
      </c>
    </row>
    <row r="1613" spans="1:9" x14ac:dyDescent="0.35">
      <c r="A1613" s="6">
        <v>2556761</v>
      </c>
      <c r="B1613" s="7" t="str">
        <f>"3328131103830009"</f>
        <v>3328131103830009</v>
      </c>
      <c r="C1613" s="7" t="s">
        <v>4443</v>
      </c>
      <c r="D1613" s="7" t="s">
        <v>17</v>
      </c>
      <c r="E1613" s="7" t="s">
        <v>11</v>
      </c>
      <c r="F1613" s="7" t="s">
        <v>18</v>
      </c>
      <c r="G1613" s="7" t="s">
        <v>19</v>
      </c>
      <c r="H1613" s="7" t="s">
        <v>4290</v>
      </c>
      <c r="I1613" s="8" t="s">
        <v>4358</v>
      </c>
    </row>
    <row r="1614" spans="1:9" x14ac:dyDescent="0.35">
      <c r="A1614" s="6">
        <v>421300</v>
      </c>
      <c r="B1614" s="7" t="str">
        <f>"3328131106960007"</f>
        <v>3328131106960007</v>
      </c>
      <c r="C1614" s="7" t="s">
        <v>4445</v>
      </c>
      <c r="D1614" s="7" t="s">
        <v>17</v>
      </c>
      <c r="E1614" s="7" t="s">
        <v>11</v>
      </c>
      <c r="F1614" s="7" t="s">
        <v>18</v>
      </c>
      <c r="G1614" s="7" t="s">
        <v>268</v>
      </c>
      <c r="H1614" s="7" t="s">
        <v>371</v>
      </c>
      <c r="I1614" s="8" t="s">
        <v>2769</v>
      </c>
    </row>
    <row r="1615" spans="1:9" x14ac:dyDescent="0.35">
      <c r="A1615" s="6">
        <v>2556191</v>
      </c>
      <c r="B1615" s="7" t="str">
        <f>"3328131110860007"</f>
        <v>3328131110860007</v>
      </c>
      <c r="C1615" s="7" t="s">
        <v>4447</v>
      </c>
      <c r="D1615" s="7" t="s">
        <v>17</v>
      </c>
      <c r="E1615" s="7" t="s">
        <v>11</v>
      </c>
      <c r="F1615" s="7" t="s">
        <v>18</v>
      </c>
      <c r="G1615" s="7" t="s">
        <v>19</v>
      </c>
      <c r="H1615" s="7" t="s">
        <v>4290</v>
      </c>
      <c r="I1615" s="8" t="s">
        <v>344</v>
      </c>
    </row>
    <row r="1616" spans="1:9" x14ac:dyDescent="0.35">
      <c r="A1616" s="6">
        <v>2556375</v>
      </c>
      <c r="B1616" s="7" t="str">
        <f>"3328131205860007"</f>
        <v>3328131205860007</v>
      </c>
      <c r="C1616" s="7" t="s">
        <v>4449</v>
      </c>
      <c r="D1616" s="7" t="s">
        <v>17</v>
      </c>
      <c r="E1616" s="7" t="s">
        <v>11</v>
      </c>
      <c r="F1616" s="7" t="s">
        <v>18</v>
      </c>
      <c r="G1616" s="7" t="s">
        <v>19</v>
      </c>
      <c r="H1616" s="7" t="s">
        <v>4290</v>
      </c>
      <c r="I1616" s="8" t="s">
        <v>4315</v>
      </c>
    </row>
    <row r="1617" spans="1:9" x14ac:dyDescent="0.35">
      <c r="A1617" s="6">
        <v>423382</v>
      </c>
      <c r="B1617" s="7" t="str">
        <f>"3328131210970001"</f>
        <v>3328131210970001</v>
      </c>
      <c r="C1617" s="7" t="s">
        <v>4452</v>
      </c>
      <c r="D1617" s="7" t="s">
        <v>17</v>
      </c>
      <c r="E1617" s="7" t="s">
        <v>11</v>
      </c>
      <c r="F1617" s="7" t="s">
        <v>18</v>
      </c>
      <c r="G1617" s="7" t="s">
        <v>268</v>
      </c>
      <c r="H1617" s="7" t="s">
        <v>277</v>
      </c>
      <c r="I1617" s="8" t="s">
        <v>278</v>
      </c>
    </row>
    <row r="1618" spans="1:9" x14ac:dyDescent="0.35">
      <c r="A1618" s="6">
        <v>421697</v>
      </c>
      <c r="B1618" s="7" t="str">
        <f>"3328131310950007"</f>
        <v>3328131310950007</v>
      </c>
      <c r="C1618" s="7" t="s">
        <v>4454</v>
      </c>
      <c r="D1618" s="7" t="s">
        <v>17</v>
      </c>
      <c r="E1618" s="7" t="s">
        <v>11</v>
      </c>
      <c r="F1618" s="7" t="s">
        <v>18</v>
      </c>
      <c r="G1618" s="7" t="s">
        <v>268</v>
      </c>
      <c r="H1618" s="7" t="s">
        <v>371</v>
      </c>
      <c r="I1618" s="8" t="s">
        <v>2772</v>
      </c>
    </row>
    <row r="1619" spans="1:9" x14ac:dyDescent="0.35">
      <c r="A1619" s="6">
        <v>2556700</v>
      </c>
      <c r="B1619" s="7" t="str">
        <f>"3328131405050002"</f>
        <v>3328131405050002</v>
      </c>
      <c r="C1619" s="7" t="s">
        <v>4457</v>
      </c>
      <c r="D1619" s="7" t="s">
        <v>17</v>
      </c>
      <c r="E1619" s="7" t="s">
        <v>11</v>
      </c>
      <c r="F1619" s="7" t="s">
        <v>18</v>
      </c>
      <c r="G1619" s="7" t="s">
        <v>19</v>
      </c>
      <c r="H1619" s="7" t="s">
        <v>4290</v>
      </c>
      <c r="I1619" s="8" t="s">
        <v>4318</v>
      </c>
    </row>
    <row r="1620" spans="1:9" x14ac:dyDescent="0.35">
      <c r="A1620" s="6">
        <v>2556410</v>
      </c>
      <c r="B1620" s="7" t="str">
        <f>"3328131407930005"</f>
        <v>3328131407930005</v>
      </c>
      <c r="C1620" s="7" t="s">
        <v>4458</v>
      </c>
      <c r="D1620" s="7" t="s">
        <v>17</v>
      </c>
      <c r="E1620" s="7" t="s">
        <v>11</v>
      </c>
      <c r="F1620" s="7" t="s">
        <v>18</v>
      </c>
      <c r="G1620" s="7" t="s">
        <v>19</v>
      </c>
      <c r="H1620" s="7" t="s">
        <v>4290</v>
      </c>
      <c r="I1620" s="8" t="s">
        <v>4315</v>
      </c>
    </row>
    <row r="1621" spans="1:9" x14ac:dyDescent="0.35">
      <c r="A1621" s="6">
        <v>940159</v>
      </c>
      <c r="B1621" s="7" t="str">
        <f>"3328131409010003"</f>
        <v>3328131409010003</v>
      </c>
      <c r="C1621" s="7" t="s">
        <v>4460</v>
      </c>
      <c r="D1621" s="7" t="s">
        <v>17</v>
      </c>
      <c r="E1621" s="7" t="s">
        <v>11</v>
      </c>
      <c r="F1621" s="7" t="s">
        <v>91</v>
      </c>
      <c r="G1621" s="7" t="s">
        <v>109</v>
      </c>
      <c r="H1621" s="7" t="s">
        <v>4461</v>
      </c>
      <c r="I1621" s="8" t="s">
        <v>4462</v>
      </c>
    </row>
    <row r="1622" spans="1:9" x14ac:dyDescent="0.35">
      <c r="A1622" s="6">
        <v>1634438</v>
      </c>
      <c r="B1622" s="7" t="str">
        <f>"3328131503910007"</f>
        <v>3328131503910007</v>
      </c>
      <c r="C1622" s="7" t="s">
        <v>4463</v>
      </c>
      <c r="D1622" s="7" t="s">
        <v>17</v>
      </c>
      <c r="E1622" s="7" t="s">
        <v>11</v>
      </c>
      <c r="F1622" s="7" t="s">
        <v>18</v>
      </c>
      <c r="G1622" s="7" t="s">
        <v>167</v>
      </c>
      <c r="H1622" s="7" t="s">
        <v>352</v>
      </c>
      <c r="I1622" s="8" t="s">
        <v>4464</v>
      </c>
    </row>
    <row r="1623" spans="1:9" x14ac:dyDescent="0.35">
      <c r="A1623" s="6">
        <v>1693889</v>
      </c>
      <c r="B1623" s="7" t="str">
        <f>"3328131506940003"</f>
        <v>3328131506940003</v>
      </c>
      <c r="C1623" s="7" t="s">
        <v>4465</v>
      </c>
      <c r="D1623" s="7" t="s">
        <v>17</v>
      </c>
      <c r="E1623" s="7" t="s">
        <v>11</v>
      </c>
      <c r="F1623" s="7" t="s">
        <v>18</v>
      </c>
      <c r="G1623" s="7" t="s">
        <v>264</v>
      </c>
      <c r="H1623" s="7" t="s">
        <v>265</v>
      </c>
      <c r="I1623" s="8" t="s">
        <v>459</v>
      </c>
    </row>
    <row r="1624" spans="1:9" x14ac:dyDescent="0.35">
      <c r="A1624" s="6">
        <v>421100</v>
      </c>
      <c r="B1624" s="7" t="str">
        <f>"3328131509890004"</f>
        <v>3328131509890004</v>
      </c>
      <c r="C1624" s="7" t="s">
        <v>4466</v>
      </c>
      <c r="D1624" s="7" t="s">
        <v>17</v>
      </c>
      <c r="E1624" s="7" t="s">
        <v>11</v>
      </c>
      <c r="F1624" s="7" t="s">
        <v>18</v>
      </c>
      <c r="G1624" s="7" t="s">
        <v>268</v>
      </c>
      <c r="H1624" s="7" t="s">
        <v>448</v>
      </c>
      <c r="I1624" s="8" t="s">
        <v>448</v>
      </c>
    </row>
    <row r="1625" spans="1:9" x14ac:dyDescent="0.35">
      <c r="A1625" s="6">
        <v>422470</v>
      </c>
      <c r="B1625" s="7" t="str">
        <f>"3328131510950002"</f>
        <v>3328131510950002</v>
      </c>
      <c r="C1625" s="7" t="s">
        <v>4467</v>
      </c>
      <c r="D1625" s="7" t="s">
        <v>17</v>
      </c>
      <c r="E1625" s="7" t="s">
        <v>11</v>
      </c>
      <c r="F1625" s="7" t="s">
        <v>18</v>
      </c>
      <c r="G1625" s="7" t="s">
        <v>268</v>
      </c>
      <c r="H1625" s="7" t="s">
        <v>269</v>
      </c>
      <c r="I1625" s="8" t="s">
        <v>996</v>
      </c>
    </row>
    <row r="1626" spans="1:9" x14ac:dyDescent="0.35">
      <c r="A1626" s="6">
        <v>421625</v>
      </c>
      <c r="B1626" s="7" t="str">
        <f>"3328131511840007"</f>
        <v>3328131511840007</v>
      </c>
      <c r="C1626" s="7" t="s">
        <v>4470</v>
      </c>
      <c r="D1626" s="7" t="s">
        <v>17</v>
      </c>
      <c r="E1626" s="7" t="s">
        <v>11</v>
      </c>
      <c r="F1626" s="7" t="s">
        <v>18</v>
      </c>
      <c r="G1626" s="7" t="s">
        <v>268</v>
      </c>
      <c r="H1626" s="7" t="s">
        <v>371</v>
      </c>
      <c r="I1626" s="8" t="s">
        <v>2772</v>
      </c>
    </row>
    <row r="1627" spans="1:9" x14ac:dyDescent="0.35">
      <c r="A1627" s="6">
        <v>423183</v>
      </c>
      <c r="B1627" s="7" t="str">
        <f>"3328131607670001"</f>
        <v>3328131607670001</v>
      </c>
      <c r="C1627" s="7" t="s">
        <v>4472</v>
      </c>
      <c r="D1627" s="7" t="s">
        <v>17</v>
      </c>
      <c r="E1627" s="7" t="s">
        <v>11</v>
      </c>
      <c r="F1627" s="7" t="s">
        <v>18</v>
      </c>
      <c r="G1627" s="7" t="s">
        <v>268</v>
      </c>
      <c r="H1627" s="7" t="s">
        <v>269</v>
      </c>
      <c r="I1627" s="8" t="s">
        <v>4408</v>
      </c>
    </row>
    <row r="1628" spans="1:9" x14ac:dyDescent="0.35">
      <c r="A1628" s="6">
        <v>423272</v>
      </c>
      <c r="B1628" s="7" t="str">
        <f>"3328131607860002"</f>
        <v>3328131607860002</v>
      </c>
      <c r="C1628" s="7" t="s">
        <v>4473</v>
      </c>
      <c r="D1628" s="7" t="s">
        <v>17</v>
      </c>
      <c r="E1628" s="7" t="s">
        <v>11</v>
      </c>
      <c r="F1628" s="7" t="s">
        <v>18</v>
      </c>
      <c r="G1628" s="7" t="s">
        <v>268</v>
      </c>
      <c r="H1628" s="7" t="s">
        <v>269</v>
      </c>
      <c r="I1628" s="8" t="s">
        <v>1662</v>
      </c>
    </row>
    <row r="1629" spans="1:9" x14ac:dyDescent="0.35">
      <c r="A1629" s="6">
        <v>2655872</v>
      </c>
      <c r="B1629" s="7" t="str">
        <f>"3328131701850004"</f>
        <v>3328131701850004</v>
      </c>
      <c r="C1629" s="7" t="s">
        <v>4474</v>
      </c>
      <c r="D1629" s="7" t="s">
        <v>17</v>
      </c>
      <c r="E1629" s="7" t="s">
        <v>11</v>
      </c>
      <c r="F1629" s="7" t="s">
        <v>18</v>
      </c>
      <c r="G1629" s="7" t="s">
        <v>199</v>
      </c>
      <c r="H1629" s="7" t="s">
        <v>4476</v>
      </c>
      <c r="I1629" s="8" t="s">
        <v>4477</v>
      </c>
    </row>
    <row r="1630" spans="1:9" x14ac:dyDescent="0.35">
      <c r="A1630" s="6">
        <v>423231</v>
      </c>
      <c r="B1630" s="7" t="str">
        <f>"3328131708940011"</f>
        <v>3328131708940011</v>
      </c>
      <c r="C1630" s="7" t="s">
        <v>4478</v>
      </c>
      <c r="D1630" s="7" t="s">
        <v>17</v>
      </c>
      <c r="E1630" s="7" t="s">
        <v>11</v>
      </c>
      <c r="F1630" s="7" t="s">
        <v>18</v>
      </c>
      <c r="G1630" s="7" t="s">
        <v>268</v>
      </c>
      <c r="H1630" s="7" t="s">
        <v>269</v>
      </c>
      <c r="I1630" s="8" t="s">
        <v>3978</v>
      </c>
    </row>
    <row r="1631" spans="1:9" x14ac:dyDescent="0.35">
      <c r="A1631" s="6">
        <v>636293</v>
      </c>
      <c r="B1631" s="7" t="str">
        <f>"3328131805050005"</f>
        <v>3328131805050005</v>
      </c>
      <c r="C1631" s="7" t="s">
        <v>4481</v>
      </c>
      <c r="D1631" s="7" t="s">
        <v>17</v>
      </c>
      <c r="E1631" s="7" t="s">
        <v>57</v>
      </c>
      <c r="F1631" s="7" t="s">
        <v>18</v>
      </c>
      <c r="G1631" s="7" t="s">
        <v>190</v>
      </c>
      <c r="H1631" s="7" t="s">
        <v>1497</v>
      </c>
      <c r="I1631" s="8" t="s">
        <v>1498</v>
      </c>
    </row>
    <row r="1632" spans="1:9" x14ac:dyDescent="0.35">
      <c r="A1632" s="6">
        <v>1808107</v>
      </c>
      <c r="B1632" s="7" t="str">
        <f>"3328131810920004"</f>
        <v>3328131810920004</v>
      </c>
      <c r="C1632" s="7" t="s">
        <v>4483</v>
      </c>
      <c r="D1632" s="7" t="s">
        <v>17</v>
      </c>
      <c r="E1632" s="7" t="s">
        <v>11</v>
      </c>
      <c r="F1632" s="7" t="s">
        <v>50</v>
      </c>
      <c r="G1632" s="7" t="s">
        <v>72</v>
      </c>
      <c r="H1632" s="7" t="s">
        <v>738</v>
      </c>
      <c r="I1632" s="8" t="s">
        <v>4484</v>
      </c>
    </row>
    <row r="1633" spans="1:9" x14ac:dyDescent="0.35">
      <c r="A1633" s="6">
        <v>1222030</v>
      </c>
      <c r="B1633" s="7" t="str">
        <f>"3328132005860009"</f>
        <v>3328132005860009</v>
      </c>
      <c r="C1633" s="7" t="s">
        <v>4485</v>
      </c>
      <c r="D1633" s="7" t="s">
        <v>17</v>
      </c>
      <c r="E1633" s="7" t="s">
        <v>11</v>
      </c>
      <c r="F1633" s="7" t="s">
        <v>303</v>
      </c>
      <c r="G1633" s="7" t="s">
        <v>4486</v>
      </c>
      <c r="H1633" s="7" t="s">
        <v>4487</v>
      </c>
      <c r="I1633" s="8" t="s">
        <v>4488</v>
      </c>
    </row>
    <row r="1634" spans="1:9" x14ac:dyDescent="0.35">
      <c r="A1634" s="6">
        <v>423008</v>
      </c>
      <c r="B1634" s="7" t="str">
        <f>"3328132101930002"</f>
        <v>3328132101930002</v>
      </c>
      <c r="C1634" s="7" t="s">
        <v>4489</v>
      </c>
      <c r="D1634" s="7" t="s">
        <v>17</v>
      </c>
      <c r="E1634" s="7" t="s">
        <v>11</v>
      </c>
      <c r="F1634" s="7" t="s">
        <v>18</v>
      </c>
      <c r="G1634" s="7" t="s">
        <v>268</v>
      </c>
      <c r="H1634" s="7" t="s">
        <v>277</v>
      </c>
      <c r="I1634" s="8" t="s">
        <v>2665</v>
      </c>
    </row>
    <row r="1635" spans="1:9" x14ac:dyDescent="0.35">
      <c r="A1635" s="6">
        <v>2556622</v>
      </c>
      <c r="B1635" s="7" t="str">
        <f>"3328132105900001"</f>
        <v>3328132105900001</v>
      </c>
      <c r="C1635" s="7" t="s">
        <v>4490</v>
      </c>
      <c r="D1635" s="7" t="s">
        <v>17</v>
      </c>
      <c r="E1635" s="7" t="s">
        <v>11</v>
      </c>
      <c r="F1635" s="7" t="s">
        <v>18</v>
      </c>
      <c r="G1635" s="7" t="s">
        <v>19</v>
      </c>
      <c r="H1635" s="7" t="s">
        <v>4290</v>
      </c>
      <c r="I1635" s="8" t="s">
        <v>4318</v>
      </c>
    </row>
    <row r="1636" spans="1:9" x14ac:dyDescent="0.35">
      <c r="A1636" s="6">
        <v>421740</v>
      </c>
      <c r="B1636" s="7" t="str">
        <f>"3328132107970005"</f>
        <v>3328132107970005</v>
      </c>
      <c r="C1636" s="7" t="s">
        <v>4493</v>
      </c>
      <c r="D1636" s="7" t="s">
        <v>17</v>
      </c>
      <c r="E1636" s="7" t="s">
        <v>11</v>
      </c>
      <c r="F1636" s="7" t="s">
        <v>18</v>
      </c>
      <c r="G1636" s="7" t="s">
        <v>268</v>
      </c>
      <c r="H1636" s="7" t="s">
        <v>371</v>
      </c>
      <c r="I1636" s="8" t="s">
        <v>372</v>
      </c>
    </row>
    <row r="1637" spans="1:9" x14ac:dyDescent="0.35">
      <c r="A1637" s="6">
        <v>421685</v>
      </c>
      <c r="B1637" s="7" t="str">
        <f>"3328132203000001"</f>
        <v>3328132203000001</v>
      </c>
      <c r="C1637" s="7" t="s">
        <v>4494</v>
      </c>
      <c r="D1637" s="7" t="s">
        <v>17</v>
      </c>
      <c r="E1637" s="7" t="s">
        <v>11</v>
      </c>
      <c r="F1637" s="7" t="s">
        <v>18</v>
      </c>
      <c r="G1637" s="7" t="s">
        <v>268</v>
      </c>
      <c r="H1637" s="7" t="s">
        <v>371</v>
      </c>
      <c r="I1637" s="8" t="s">
        <v>2772</v>
      </c>
    </row>
    <row r="1638" spans="1:9" x14ac:dyDescent="0.35">
      <c r="A1638" s="6">
        <v>1941349</v>
      </c>
      <c r="B1638" s="7" t="str">
        <f>"3328132210950005"</f>
        <v>3328132210950005</v>
      </c>
      <c r="C1638" s="7" t="s">
        <v>4496</v>
      </c>
      <c r="D1638" s="7" t="s">
        <v>17</v>
      </c>
      <c r="E1638" s="7" t="s">
        <v>11</v>
      </c>
      <c r="F1638" s="7" t="s">
        <v>50</v>
      </c>
      <c r="G1638" s="7" t="s">
        <v>86</v>
      </c>
      <c r="H1638" s="7" t="s">
        <v>445</v>
      </c>
      <c r="I1638" s="8" t="s">
        <v>1947</v>
      </c>
    </row>
    <row r="1639" spans="1:9" x14ac:dyDescent="0.35">
      <c r="A1639" s="6">
        <v>2556289</v>
      </c>
      <c r="B1639" s="7" t="str">
        <f>"3328132307890002"</f>
        <v>3328132307890002</v>
      </c>
      <c r="C1639" s="7" t="s">
        <v>4497</v>
      </c>
      <c r="D1639" s="7" t="s">
        <v>17</v>
      </c>
      <c r="E1639" s="7" t="s">
        <v>11</v>
      </c>
      <c r="F1639" s="7" t="s">
        <v>18</v>
      </c>
      <c r="G1639" s="7" t="s">
        <v>19</v>
      </c>
      <c r="H1639" s="7" t="s">
        <v>4290</v>
      </c>
      <c r="I1639" s="8" t="s">
        <v>4303</v>
      </c>
    </row>
    <row r="1640" spans="1:9" x14ac:dyDescent="0.35">
      <c r="A1640" s="6">
        <v>1359147</v>
      </c>
      <c r="B1640" s="7" t="str">
        <f>"3328132405890001"</f>
        <v>3328132405890001</v>
      </c>
      <c r="C1640" s="7" t="s">
        <v>4500</v>
      </c>
      <c r="D1640" s="7" t="s">
        <v>17</v>
      </c>
      <c r="E1640" s="7" t="s">
        <v>11</v>
      </c>
      <c r="F1640" s="7" t="s">
        <v>303</v>
      </c>
      <c r="G1640" s="7" t="s">
        <v>608</v>
      </c>
      <c r="H1640" s="7" t="s">
        <v>4364</v>
      </c>
      <c r="I1640" s="8" t="s">
        <v>4365</v>
      </c>
    </row>
    <row r="1641" spans="1:9" x14ac:dyDescent="0.35">
      <c r="A1641" s="6">
        <v>1692001</v>
      </c>
      <c r="B1641" s="7" t="str">
        <f>"3328132409960003"</f>
        <v>3328132409960003</v>
      </c>
      <c r="C1641" s="7" t="s">
        <v>4502</v>
      </c>
      <c r="D1641" s="7" t="s">
        <v>17</v>
      </c>
      <c r="E1641" s="7" t="s">
        <v>11</v>
      </c>
      <c r="F1641" s="7" t="s">
        <v>18</v>
      </c>
      <c r="G1641" s="7" t="s">
        <v>264</v>
      </c>
      <c r="H1641" s="7" t="s">
        <v>273</v>
      </c>
      <c r="I1641" s="8" t="s">
        <v>2083</v>
      </c>
    </row>
    <row r="1642" spans="1:9" x14ac:dyDescent="0.35">
      <c r="A1642" s="6">
        <v>1797001</v>
      </c>
      <c r="B1642" s="7" t="str">
        <f>"3328132503850003"</f>
        <v>3328132503850003</v>
      </c>
      <c r="C1642" s="7" t="s">
        <v>4503</v>
      </c>
      <c r="D1642" s="7" t="s">
        <v>17</v>
      </c>
      <c r="E1642" s="7" t="s">
        <v>11</v>
      </c>
      <c r="F1642" s="7" t="s">
        <v>50</v>
      </c>
      <c r="G1642" s="7" t="s">
        <v>72</v>
      </c>
      <c r="H1642" s="7" t="s">
        <v>803</v>
      </c>
      <c r="I1642" s="8" t="s">
        <v>3030</v>
      </c>
    </row>
    <row r="1643" spans="1:9" x14ac:dyDescent="0.35">
      <c r="A1643" s="6">
        <v>421133</v>
      </c>
      <c r="B1643" s="7" t="str">
        <f>"3328132506960003"</f>
        <v>3328132506960003</v>
      </c>
      <c r="C1643" s="7" t="s">
        <v>4505</v>
      </c>
      <c r="D1643" s="7" t="s">
        <v>17</v>
      </c>
      <c r="E1643" s="7" t="s">
        <v>11</v>
      </c>
      <c r="F1643" s="7" t="s">
        <v>18</v>
      </c>
      <c r="G1643" s="7" t="s">
        <v>268</v>
      </c>
      <c r="H1643" s="7" t="s">
        <v>448</v>
      </c>
      <c r="I1643" s="8" t="s">
        <v>448</v>
      </c>
    </row>
    <row r="1644" spans="1:9" x14ac:dyDescent="0.35">
      <c r="A1644" s="6">
        <v>423167</v>
      </c>
      <c r="B1644" s="7" t="str">
        <f>"3328132510800003"</f>
        <v>3328132510800003</v>
      </c>
      <c r="C1644" s="7" t="s">
        <v>4506</v>
      </c>
      <c r="D1644" s="7" t="s">
        <v>17</v>
      </c>
      <c r="E1644" s="7" t="s">
        <v>11</v>
      </c>
      <c r="F1644" s="7" t="s">
        <v>18</v>
      </c>
      <c r="G1644" s="7" t="s">
        <v>268</v>
      </c>
      <c r="H1644" s="7" t="s">
        <v>269</v>
      </c>
      <c r="I1644" s="8" t="s">
        <v>1398</v>
      </c>
    </row>
    <row r="1645" spans="1:9" x14ac:dyDescent="0.35">
      <c r="A1645" s="6">
        <v>1673155</v>
      </c>
      <c r="B1645" s="7" t="str">
        <f>"3328132601930002"</f>
        <v>3328132601930002</v>
      </c>
      <c r="C1645" s="7" t="s">
        <v>4507</v>
      </c>
      <c r="D1645" s="7" t="s">
        <v>17</v>
      </c>
      <c r="E1645" s="7" t="s">
        <v>11</v>
      </c>
      <c r="F1645" s="7" t="s">
        <v>18</v>
      </c>
      <c r="G1645" s="7" t="s">
        <v>184</v>
      </c>
      <c r="H1645" s="7" t="s">
        <v>4508</v>
      </c>
      <c r="I1645" s="8" t="s">
        <v>4509</v>
      </c>
    </row>
    <row r="1646" spans="1:9" x14ac:dyDescent="0.35">
      <c r="A1646" s="6">
        <v>1584972</v>
      </c>
      <c r="B1646" s="7" t="str">
        <f>"3328132603690002"</f>
        <v>3328132603690002</v>
      </c>
      <c r="C1646" s="7" t="s">
        <v>4510</v>
      </c>
      <c r="D1646" s="7" t="s">
        <v>17</v>
      </c>
      <c r="E1646" s="7" t="s">
        <v>11</v>
      </c>
      <c r="F1646" s="7" t="s">
        <v>18</v>
      </c>
      <c r="G1646" s="7" t="s">
        <v>264</v>
      </c>
      <c r="H1646" s="7" t="s">
        <v>881</v>
      </c>
      <c r="I1646" s="8" t="s">
        <v>881</v>
      </c>
    </row>
    <row r="1647" spans="1:9" x14ac:dyDescent="0.35">
      <c r="A1647" s="6">
        <v>2556995</v>
      </c>
      <c r="B1647" s="7" t="str">
        <f>"3328132705880001"</f>
        <v>3328132705880001</v>
      </c>
      <c r="C1647" s="7" t="s">
        <v>4512</v>
      </c>
      <c r="D1647" s="7" t="s">
        <v>17</v>
      </c>
      <c r="E1647" s="7" t="s">
        <v>11</v>
      </c>
      <c r="F1647" s="7" t="s">
        <v>18</v>
      </c>
      <c r="G1647" s="7" t="s">
        <v>19</v>
      </c>
      <c r="H1647" s="7" t="s">
        <v>4290</v>
      </c>
      <c r="I1647" s="8" t="s">
        <v>4513</v>
      </c>
    </row>
    <row r="1648" spans="1:9" x14ac:dyDescent="0.35">
      <c r="A1648" s="6">
        <v>421091</v>
      </c>
      <c r="B1648" s="7" t="str">
        <f>"3328132707990005"</f>
        <v>3328132707990005</v>
      </c>
      <c r="C1648" s="7" t="s">
        <v>4516</v>
      </c>
      <c r="D1648" s="7" t="s">
        <v>17</v>
      </c>
      <c r="E1648" s="7" t="s">
        <v>11</v>
      </c>
      <c r="F1648" s="7" t="s">
        <v>18</v>
      </c>
      <c r="G1648" s="7" t="s">
        <v>268</v>
      </c>
      <c r="H1648" s="7" t="s">
        <v>448</v>
      </c>
      <c r="I1648" s="8" t="s">
        <v>448</v>
      </c>
    </row>
    <row r="1649" spans="1:9" x14ac:dyDescent="0.35">
      <c r="A1649" s="6">
        <v>423264</v>
      </c>
      <c r="B1649" s="7" t="str">
        <f>"3328132708730005"</f>
        <v>3328132708730005</v>
      </c>
      <c r="C1649" s="7" t="s">
        <v>4518</v>
      </c>
      <c r="D1649" s="7" t="s">
        <v>17</v>
      </c>
      <c r="E1649" s="7" t="s">
        <v>11</v>
      </c>
      <c r="F1649" s="7" t="s">
        <v>18</v>
      </c>
      <c r="G1649" s="7" t="s">
        <v>268</v>
      </c>
      <c r="H1649" s="7" t="s">
        <v>269</v>
      </c>
      <c r="I1649" s="8" t="s">
        <v>1662</v>
      </c>
    </row>
    <row r="1650" spans="1:9" x14ac:dyDescent="0.35">
      <c r="A1650" s="6">
        <v>497428</v>
      </c>
      <c r="B1650" s="7" t="str">
        <f>"3328132708890005"</f>
        <v>3328132708890005</v>
      </c>
      <c r="C1650" s="7" t="s">
        <v>4520</v>
      </c>
      <c r="D1650" s="7" t="s">
        <v>17</v>
      </c>
      <c r="E1650" s="7" t="s">
        <v>57</v>
      </c>
      <c r="F1650" s="7" t="s">
        <v>18</v>
      </c>
      <c r="G1650" s="7" t="s">
        <v>2753</v>
      </c>
      <c r="H1650" s="7" t="s">
        <v>4107</v>
      </c>
      <c r="I1650" s="8" t="s">
        <v>4108</v>
      </c>
    </row>
    <row r="1651" spans="1:9" x14ac:dyDescent="0.35">
      <c r="A1651" s="6">
        <v>2642363</v>
      </c>
      <c r="B1651" s="7" t="str">
        <f>"3328132801740005"</f>
        <v>3328132801740005</v>
      </c>
      <c r="C1651" s="7" t="s">
        <v>4521</v>
      </c>
      <c r="D1651" s="7" t="s">
        <v>17</v>
      </c>
      <c r="E1651" s="7" t="s">
        <v>11</v>
      </c>
      <c r="F1651" s="7" t="s">
        <v>18</v>
      </c>
      <c r="G1651" s="7" t="s">
        <v>199</v>
      </c>
      <c r="H1651" s="7" t="s">
        <v>595</v>
      </c>
      <c r="I1651" s="8" t="s">
        <v>4522</v>
      </c>
    </row>
    <row r="1652" spans="1:9" x14ac:dyDescent="0.35">
      <c r="A1652" s="6">
        <v>1584930</v>
      </c>
      <c r="B1652" s="7" t="str">
        <f>"3328132806020005"</f>
        <v>3328132806020005</v>
      </c>
      <c r="C1652" s="7" t="s">
        <v>4524</v>
      </c>
      <c r="D1652" s="7" t="s">
        <v>17</v>
      </c>
      <c r="E1652" s="7" t="s">
        <v>11</v>
      </c>
      <c r="F1652" s="7" t="s">
        <v>18</v>
      </c>
      <c r="G1652" s="7" t="s">
        <v>264</v>
      </c>
      <c r="H1652" s="7" t="s">
        <v>881</v>
      </c>
      <c r="I1652" s="8" t="s">
        <v>881</v>
      </c>
    </row>
    <row r="1653" spans="1:9" x14ac:dyDescent="0.35">
      <c r="A1653" s="6">
        <v>1156540</v>
      </c>
      <c r="B1653" s="7" t="str">
        <f>"3328133005960006"</f>
        <v>3328133005960006</v>
      </c>
      <c r="C1653" s="7" t="s">
        <v>4527</v>
      </c>
      <c r="D1653" s="7" t="s">
        <v>17</v>
      </c>
      <c r="E1653" s="7" t="s">
        <v>11</v>
      </c>
      <c r="F1653" s="7" t="s">
        <v>18</v>
      </c>
      <c r="G1653" s="7" t="s">
        <v>180</v>
      </c>
      <c r="H1653" s="7" t="s">
        <v>3958</v>
      </c>
      <c r="I1653" s="8" t="s">
        <v>4528</v>
      </c>
    </row>
    <row r="1654" spans="1:9" x14ac:dyDescent="0.35">
      <c r="A1654" s="6">
        <v>851016</v>
      </c>
      <c r="B1654" s="7" t="str">
        <f>"3328133006830005"</f>
        <v>3328133006830005</v>
      </c>
      <c r="C1654" s="7" t="s">
        <v>2757</v>
      </c>
      <c r="D1654" s="7" t="s">
        <v>17</v>
      </c>
      <c r="E1654" s="7" t="s">
        <v>11</v>
      </c>
      <c r="F1654" s="7" t="s">
        <v>50</v>
      </c>
      <c r="G1654" s="7" t="s">
        <v>280</v>
      </c>
      <c r="H1654" s="7" t="s">
        <v>440</v>
      </c>
      <c r="I1654" s="8" t="s">
        <v>440</v>
      </c>
    </row>
    <row r="1655" spans="1:9" x14ac:dyDescent="0.35">
      <c r="A1655" s="6">
        <v>2645149</v>
      </c>
      <c r="B1655" s="7" t="str">
        <f>"3328133101890004"</f>
        <v>3328133101890004</v>
      </c>
      <c r="C1655" s="7" t="s">
        <v>4529</v>
      </c>
      <c r="D1655" s="7" t="s">
        <v>17</v>
      </c>
      <c r="E1655" s="7" t="s">
        <v>11</v>
      </c>
      <c r="F1655" s="7" t="s">
        <v>18</v>
      </c>
      <c r="G1655" s="7" t="s">
        <v>199</v>
      </c>
      <c r="H1655" s="7" t="s">
        <v>208</v>
      </c>
      <c r="I1655" s="8" t="s">
        <v>209</v>
      </c>
    </row>
    <row r="1656" spans="1:9" x14ac:dyDescent="0.35">
      <c r="A1656" s="6">
        <v>422269</v>
      </c>
      <c r="B1656" s="7" t="str">
        <f>"3328133108930004"</f>
        <v>3328133108930004</v>
      </c>
      <c r="C1656" s="7" t="s">
        <v>4531</v>
      </c>
      <c r="D1656" s="7" t="s">
        <v>17</v>
      </c>
      <c r="E1656" s="7" t="s">
        <v>11</v>
      </c>
      <c r="F1656" s="7" t="s">
        <v>18</v>
      </c>
      <c r="G1656" s="7" t="s">
        <v>268</v>
      </c>
      <c r="H1656" s="7" t="s">
        <v>269</v>
      </c>
      <c r="I1656" s="8" t="s">
        <v>996</v>
      </c>
    </row>
    <row r="1657" spans="1:9" x14ac:dyDescent="0.35">
      <c r="A1657" s="6">
        <v>322693</v>
      </c>
      <c r="B1657" s="7" t="str">
        <f>"3328133112750041"</f>
        <v>3328133112750041</v>
      </c>
      <c r="C1657" s="7" t="s">
        <v>4532</v>
      </c>
      <c r="D1657" s="7" t="s">
        <v>17</v>
      </c>
      <c r="E1657" s="7" t="s">
        <v>11</v>
      </c>
      <c r="F1657" s="7" t="s">
        <v>18</v>
      </c>
      <c r="G1657" s="7" t="s">
        <v>4533</v>
      </c>
      <c r="H1657" s="7" t="s">
        <v>4534</v>
      </c>
      <c r="I1657" s="8" t="s">
        <v>98</v>
      </c>
    </row>
    <row r="1658" spans="1:9" x14ac:dyDescent="0.35">
      <c r="A1658" s="6">
        <v>1858480</v>
      </c>
      <c r="B1658" s="7" t="str">
        <f>"3328134110840007"</f>
        <v>3328134110840007</v>
      </c>
      <c r="C1658" s="7" t="s">
        <v>4536</v>
      </c>
      <c r="D1658" s="7" t="s">
        <v>17</v>
      </c>
      <c r="E1658" s="7" t="s">
        <v>11</v>
      </c>
      <c r="F1658" s="7" t="s">
        <v>18</v>
      </c>
      <c r="G1658" s="7" t="s">
        <v>733</v>
      </c>
      <c r="H1658" s="7" t="s">
        <v>1127</v>
      </c>
      <c r="I1658" s="8" t="s">
        <v>4537</v>
      </c>
    </row>
    <row r="1659" spans="1:9" x14ac:dyDescent="0.35">
      <c r="A1659" s="6">
        <v>1924399</v>
      </c>
      <c r="B1659" s="7" t="str">
        <f>"3328134201900005"</f>
        <v>3328134201900005</v>
      </c>
      <c r="C1659" s="7" t="s">
        <v>4538</v>
      </c>
      <c r="D1659" s="7" t="s">
        <v>17</v>
      </c>
      <c r="E1659" s="7" t="s">
        <v>11</v>
      </c>
      <c r="F1659" s="7" t="s">
        <v>91</v>
      </c>
      <c r="G1659" s="7" t="s">
        <v>320</v>
      </c>
      <c r="H1659" s="7" t="s">
        <v>4539</v>
      </c>
      <c r="I1659" s="8" t="s">
        <v>4540</v>
      </c>
    </row>
    <row r="1660" spans="1:9" x14ac:dyDescent="0.35">
      <c r="A1660" s="6">
        <v>2556714</v>
      </c>
      <c r="B1660" s="7" t="str">
        <f>"3328134302980003"</f>
        <v>3328134302980003</v>
      </c>
      <c r="C1660" s="7" t="s">
        <v>4542</v>
      </c>
      <c r="D1660" s="7" t="s">
        <v>17</v>
      </c>
      <c r="E1660" s="7" t="s">
        <v>11</v>
      </c>
      <c r="F1660" s="7" t="s">
        <v>18</v>
      </c>
      <c r="G1660" s="7" t="s">
        <v>19</v>
      </c>
      <c r="H1660" s="7" t="s">
        <v>4290</v>
      </c>
      <c r="I1660" s="8" t="s">
        <v>4318</v>
      </c>
    </row>
    <row r="1661" spans="1:9" x14ac:dyDescent="0.35">
      <c r="A1661" s="6">
        <v>1637687</v>
      </c>
      <c r="B1661" s="7" t="str">
        <f>"3328134401030002"</f>
        <v>3328134401030002</v>
      </c>
      <c r="C1661" s="7" t="s">
        <v>4543</v>
      </c>
      <c r="D1661" s="7" t="s">
        <v>17</v>
      </c>
      <c r="E1661" s="7" t="s">
        <v>11</v>
      </c>
      <c r="F1661" s="7" t="s">
        <v>18</v>
      </c>
      <c r="G1661" s="7" t="s">
        <v>264</v>
      </c>
      <c r="H1661" s="7" t="s">
        <v>264</v>
      </c>
      <c r="I1661" s="8" t="s">
        <v>1637</v>
      </c>
    </row>
    <row r="1662" spans="1:9" x14ac:dyDescent="0.35">
      <c r="A1662" s="6">
        <v>2557274</v>
      </c>
      <c r="B1662" s="7" t="str">
        <f>"3328134402060003"</f>
        <v>3328134402060003</v>
      </c>
      <c r="C1662" s="7" t="s">
        <v>4545</v>
      </c>
      <c r="D1662" s="7" t="s">
        <v>17</v>
      </c>
      <c r="E1662" s="7" t="s">
        <v>11</v>
      </c>
      <c r="F1662" s="7" t="s">
        <v>18</v>
      </c>
      <c r="G1662" s="7" t="s">
        <v>19</v>
      </c>
      <c r="H1662" s="7" t="s">
        <v>4290</v>
      </c>
      <c r="I1662" s="8" t="s">
        <v>4436</v>
      </c>
    </row>
    <row r="1663" spans="1:9" x14ac:dyDescent="0.35">
      <c r="A1663" s="6">
        <v>2556192</v>
      </c>
      <c r="B1663" s="7" t="str">
        <f>"3328134504890005"</f>
        <v>3328134504890005</v>
      </c>
      <c r="C1663" s="7" t="s">
        <v>4546</v>
      </c>
      <c r="D1663" s="7" t="s">
        <v>17</v>
      </c>
      <c r="E1663" s="7" t="s">
        <v>11</v>
      </c>
      <c r="F1663" s="7" t="s">
        <v>18</v>
      </c>
      <c r="G1663" s="7" t="s">
        <v>19</v>
      </c>
      <c r="H1663" s="7" t="s">
        <v>4290</v>
      </c>
      <c r="I1663" s="8" t="s">
        <v>344</v>
      </c>
    </row>
    <row r="1664" spans="1:9" x14ac:dyDescent="0.35">
      <c r="A1664" s="6">
        <v>1584932</v>
      </c>
      <c r="B1664" s="7" t="str">
        <f>"3328134510970002"</f>
        <v>3328134510970002</v>
      </c>
      <c r="C1664" s="7" t="s">
        <v>4547</v>
      </c>
      <c r="D1664" s="7" t="s">
        <v>17</v>
      </c>
      <c r="E1664" s="7" t="s">
        <v>11</v>
      </c>
      <c r="F1664" s="7" t="s">
        <v>18</v>
      </c>
      <c r="G1664" s="7" t="s">
        <v>264</v>
      </c>
      <c r="H1664" s="7" t="s">
        <v>881</v>
      </c>
      <c r="I1664" s="8" t="s">
        <v>881</v>
      </c>
    </row>
    <row r="1665" spans="1:9" x14ac:dyDescent="0.35">
      <c r="A1665" s="6">
        <v>1797002</v>
      </c>
      <c r="B1665" s="7" t="str">
        <f>"3328134605900003"</f>
        <v>3328134605900003</v>
      </c>
      <c r="C1665" s="7" t="s">
        <v>2973</v>
      </c>
      <c r="D1665" s="7" t="s">
        <v>17</v>
      </c>
      <c r="E1665" s="7" t="s">
        <v>11</v>
      </c>
      <c r="F1665" s="7" t="s">
        <v>50</v>
      </c>
      <c r="G1665" s="7" t="s">
        <v>72</v>
      </c>
      <c r="H1665" s="7" t="s">
        <v>803</v>
      </c>
      <c r="I1665" s="8" t="s">
        <v>3030</v>
      </c>
    </row>
    <row r="1666" spans="1:9" x14ac:dyDescent="0.35">
      <c r="A1666" s="6">
        <v>2556730</v>
      </c>
      <c r="B1666" s="7" t="str">
        <f>"3328134606610003"</f>
        <v>3328134606610003</v>
      </c>
      <c r="C1666" s="7" t="s">
        <v>4549</v>
      </c>
      <c r="D1666" s="7" t="s">
        <v>17</v>
      </c>
      <c r="E1666" s="7" t="s">
        <v>11</v>
      </c>
      <c r="F1666" s="7" t="s">
        <v>18</v>
      </c>
      <c r="G1666" s="7" t="s">
        <v>19</v>
      </c>
      <c r="H1666" s="7" t="s">
        <v>4290</v>
      </c>
      <c r="I1666" s="8" t="s">
        <v>4290</v>
      </c>
    </row>
    <row r="1667" spans="1:9" x14ac:dyDescent="0.35">
      <c r="A1667" s="6">
        <v>2557108</v>
      </c>
      <c r="B1667" s="7" t="str">
        <f>"3328134702010001"</f>
        <v>3328134702010001</v>
      </c>
      <c r="C1667" s="7" t="s">
        <v>4550</v>
      </c>
      <c r="D1667" s="7" t="s">
        <v>17</v>
      </c>
      <c r="E1667" s="7" t="s">
        <v>11</v>
      </c>
      <c r="F1667" s="7" t="s">
        <v>18</v>
      </c>
      <c r="G1667" s="7" t="s">
        <v>19</v>
      </c>
      <c r="H1667" s="7" t="s">
        <v>4290</v>
      </c>
      <c r="I1667" s="8" t="s">
        <v>4347</v>
      </c>
    </row>
    <row r="1668" spans="1:9" x14ac:dyDescent="0.35">
      <c r="A1668" s="6">
        <v>421181</v>
      </c>
      <c r="B1668" s="7" t="str">
        <f>"3328134705010003"</f>
        <v>3328134705010003</v>
      </c>
      <c r="C1668" s="7" t="s">
        <v>4551</v>
      </c>
      <c r="D1668" s="7" t="s">
        <v>17</v>
      </c>
      <c r="E1668" s="7" t="s">
        <v>11</v>
      </c>
      <c r="F1668" s="7" t="s">
        <v>18</v>
      </c>
      <c r="G1668" s="7" t="s">
        <v>268</v>
      </c>
      <c r="H1668" s="7" t="s">
        <v>448</v>
      </c>
      <c r="I1668" s="8" t="s">
        <v>1508</v>
      </c>
    </row>
    <row r="1669" spans="1:9" x14ac:dyDescent="0.35">
      <c r="A1669" s="6">
        <v>2556585</v>
      </c>
      <c r="B1669" s="7" t="str">
        <f>"3328134706030003"</f>
        <v>3328134706030003</v>
      </c>
      <c r="C1669" s="7" t="s">
        <v>4553</v>
      </c>
      <c r="D1669" s="7" t="s">
        <v>17</v>
      </c>
      <c r="E1669" s="7" t="s">
        <v>11</v>
      </c>
      <c r="F1669" s="7" t="s">
        <v>18</v>
      </c>
      <c r="G1669" s="7" t="s">
        <v>19</v>
      </c>
      <c r="H1669" s="7" t="s">
        <v>4290</v>
      </c>
      <c r="I1669" s="8" t="s">
        <v>4329</v>
      </c>
    </row>
    <row r="1670" spans="1:9" x14ac:dyDescent="0.35">
      <c r="A1670" s="6">
        <v>2556159</v>
      </c>
      <c r="B1670" s="7" t="str">
        <f>"3328134711000002"</f>
        <v>3328134711000002</v>
      </c>
      <c r="C1670" s="7" t="s">
        <v>4554</v>
      </c>
      <c r="D1670" s="7" t="s">
        <v>17</v>
      </c>
      <c r="E1670" s="7" t="s">
        <v>11</v>
      </c>
      <c r="F1670" s="7" t="s">
        <v>18</v>
      </c>
      <c r="G1670" s="7" t="s">
        <v>19</v>
      </c>
      <c r="H1670" s="7" t="s">
        <v>4290</v>
      </c>
      <c r="I1670" s="8" t="s">
        <v>344</v>
      </c>
    </row>
    <row r="1671" spans="1:9" x14ac:dyDescent="0.35">
      <c r="A1671" s="6">
        <v>2557479</v>
      </c>
      <c r="B1671" s="7" t="str">
        <f>"3328134905910004"</f>
        <v>3328134905910004</v>
      </c>
      <c r="C1671" s="7" t="s">
        <v>4561</v>
      </c>
      <c r="D1671" s="7" t="s">
        <v>17</v>
      </c>
      <c r="E1671" s="7" t="s">
        <v>11</v>
      </c>
      <c r="F1671" s="7" t="s">
        <v>18</v>
      </c>
      <c r="G1671" s="7" t="s">
        <v>19</v>
      </c>
      <c r="H1671" s="7" t="s">
        <v>4290</v>
      </c>
      <c r="I1671" s="8" t="s">
        <v>1381</v>
      </c>
    </row>
    <row r="1672" spans="1:9" x14ac:dyDescent="0.35">
      <c r="A1672" s="6">
        <v>2556180</v>
      </c>
      <c r="B1672" s="7" t="str">
        <f>"3328134908010006"</f>
        <v>3328134908010006</v>
      </c>
      <c r="C1672" s="7" t="s">
        <v>4562</v>
      </c>
      <c r="D1672" s="7" t="s">
        <v>17</v>
      </c>
      <c r="E1672" s="7" t="s">
        <v>11</v>
      </c>
      <c r="F1672" s="7" t="s">
        <v>18</v>
      </c>
      <c r="G1672" s="7" t="s">
        <v>19</v>
      </c>
      <c r="H1672" s="7" t="s">
        <v>4290</v>
      </c>
      <c r="I1672" s="8" t="s">
        <v>344</v>
      </c>
    </row>
    <row r="1673" spans="1:9" x14ac:dyDescent="0.35">
      <c r="A1673" s="6">
        <v>422081</v>
      </c>
      <c r="B1673" s="7" t="str">
        <f>"3328134912960001"</f>
        <v>3328134912960001</v>
      </c>
      <c r="C1673" s="7" t="s">
        <v>4564</v>
      </c>
      <c r="D1673" s="7" t="s">
        <v>17</v>
      </c>
      <c r="E1673" s="7" t="s">
        <v>11</v>
      </c>
      <c r="F1673" s="7" t="s">
        <v>18</v>
      </c>
      <c r="G1673" s="7" t="s">
        <v>268</v>
      </c>
      <c r="H1673" s="7" t="s">
        <v>269</v>
      </c>
      <c r="I1673" s="8" t="s">
        <v>996</v>
      </c>
    </row>
    <row r="1674" spans="1:9" x14ac:dyDescent="0.35">
      <c r="A1674" s="6">
        <v>1403086</v>
      </c>
      <c r="B1674" s="7" t="str">
        <f>"3328135012830003"</f>
        <v>3328135012830003</v>
      </c>
      <c r="C1674" s="7" t="s">
        <v>4565</v>
      </c>
      <c r="D1674" s="7" t="s">
        <v>17</v>
      </c>
      <c r="E1674" s="7" t="s">
        <v>11</v>
      </c>
      <c r="F1674" s="7" t="s">
        <v>303</v>
      </c>
      <c r="G1674" s="7" t="s">
        <v>3472</v>
      </c>
      <c r="H1674" s="7" t="s">
        <v>4566</v>
      </c>
      <c r="I1674" s="8" t="s">
        <v>4567</v>
      </c>
    </row>
    <row r="1675" spans="1:9" x14ac:dyDescent="0.35">
      <c r="A1675" s="6">
        <v>2556493</v>
      </c>
      <c r="B1675" s="7" t="str">
        <f>"3328135104850001"</f>
        <v>3328135104850001</v>
      </c>
      <c r="C1675" s="7" t="s">
        <v>4568</v>
      </c>
      <c r="D1675" s="7" t="s">
        <v>17</v>
      </c>
      <c r="E1675" s="7" t="s">
        <v>11</v>
      </c>
      <c r="F1675" s="7" t="s">
        <v>18</v>
      </c>
      <c r="G1675" s="7" t="s">
        <v>19</v>
      </c>
      <c r="H1675" s="7" t="s">
        <v>4290</v>
      </c>
      <c r="I1675" s="8" t="s">
        <v>4315</v>
      </c>
    </row>
    <row r="1676" spans="1:9" x14ac:dyDescent="0.35">
      <c r="A1676" s="6">
        <v>421025</v>
      </c>
      <c r="B1676" s="7" t="str">
        <f>"3328135110950004"</f>
        <v>3328135110950004</v>
      </c>
      <c r="C1676" s="7" t="s">
        <v>4571</v>
      </c>
      <c r="D1676" s="7" t="s">
        <v>17</v>
      </c>
      <c r="E1676" s="7" t="s">
        <v>11</v>
      </c>
      <c r="F1676" s="7" t="s">
        <v>18</v>
      </c>
      <c r="G1676" s="7" t="s">
        <v>268</v>
      </c>
      <c r="H1676" s="7" t="s">
        <v>448</v>
      </c>
      <c r="I1676" s="8" t="s">
        <v>3897</v>
      </c>
    </row>
    <row r="1677" spans="1:9" x14ac:dyDescent="0.35">
      <c r="A1677" s="6">
        <v>1936092</v>
      </c>
      <c r="B1677" s="7" t="str">
        <f>"3328135305970002"</f>
        <v>3328135305970002</v>
      </c>
      <c r="C1677" s="7" t="s">
        <v>4572</v>
      </c>
      <c r="D1677" s="7" t="s">
        <v>17</v>
      </c>
      <c r="E1677" s="7" t="s">
        <v>11</v>
      </c>
      <c r="F1677" s="7" t="s">
        <v>50</v>
      </c>
      <c r="G1677" s="7" t="s">
        <v>86</v>
      </c>
      <c r="H1677" s="7" t="s">
        <v>925</v>
      </c>
      <c r="I1677" s="8" t="s">
        <v>4573</v>
      </c>
    </row>
    <row r="1678" spans="1:9" x14ac:dyDescent="0.35">
      <c r="A1678" s="6">
        <v>1268687</v>
      </c>
      <c r="B1678" s="7" t="str">
        <f>"3328135402850004"</f>
        <v>3328135402850004</v>
      </c>
      <c r="C1678" s="7" t="s">
        <v>4574</v>
      </c>
      <c r="D1678" s="7" t="s">
        <v>17</v>
      </c>
      <c r="E1678" s="7" t="s">
        <v>11</v>
      </c>
      <c r="F1678" s="7" t="s">
        <v>18</v>
      </c>
      <c r="G1678" s="7" t="s">
        <v>1920</v>
      </c>
      <c r="H1678" s="7" t="s">
        <v>4575</v>
      </c>
      <c r="I1678" s="8" t="s">
        <v>4576</v>
      </c>
    </row>
    <row r="1679" spans="1:9" x14ac:dyDescent="0.35">
      <c r="A1679" s="6">
        <v>421676</v>
      </c>
      <c r="B1679" s="7" t="str">
        <f>"3328135411940009"</f>
        <v>3328135411940009</v>
      </c>
      <c r="C1679" s="7" t="s">
        <v>4577</v>
      </c>
      <c r="D1679" s="7" t="s">
        <v>17</v>
      </c>
      <c r="E1679" s="7" t="s">
        <v>11</v>
      </c>
      <c r="F1679" s="7" t="s">
        <v>18</v>
      </c>
      <c r="G1679" s="7" t="s">
        <v>268</v>
      </c>
      <c r="H1679" s="7" t="s">
        <v>371</v>
      </c>
      <c r="I1679" s="8" t="s">
        <v>2772</v>
      </c>
    </row>
    <row r="1680" spans="1:9" x14ac:dyDescent="0.35">
      <c r="A1680" s="6">
        <v>2557603</v>
      </c>
      <c r="B1680" s="7" t="str">
        <f>"3328135505700001"</f>
        <v>3328135505700001</v>
      </c>
      <c r="C1680" s="7" t="s">
        <v>4578</v>
      </c>
      <c r="D1680" s="7" t="s">
        <v>17</v>
      </c>
      <c r="E1680" s="7" t="s">
        <v>11</v>
      </c>
      <c r="F1680" s="7" t="s">
        <v>18</v>
      </c>
      <c r="G1680" s="7" t="s">
        <v>19</v>
      </c>
      <c r="H1680" s="7" t="s">
        <v>4290</v>
      </c>
      <c r="I1680" s="8" t="s">
        <v>878</v>
      </c>
    </row>
    <row r="1681" spans="1:9" x14ac:dyDescent="0.35">
      <c r="A1681" s="6">
        <v>423168</v>
      </c>
      <c r="B1681" s="7" t="str">
        <f>"3328135506880006"</f>
        <v>3328135506880006</v>
      </c>
      <c r="C1681" s="7" t="s">
        <v>4581</v>
      </c>
      <c r="D1681" s="7" t="s">
        <v>17</v>
      </c>
      <c r="E1681" s="7" t="s">
        <v>11</v>
      </c>
      <c r="F1681" s="7" t="s">
        <v>18</v>
      </c>
      <c r="G1681" s="7" t="s">
        <v>268</v>
      </c>
      <c r="H1681" s="7" t="s">
        <v>269</v>
      </c>
      <c r="I1681" s="8" t="s">
        <v>1398</v>
      </c>
    </row>
    <row r="1682" spans="1:9" x14ac:dyDescent="0.35">
      <c r="A1682" s="6">
        <v>1272388</v>
      </c>
      <c r="B1682" s="7" t="str">
        <f>"3328135507920005"</f>
        <v>3328135507920005</v>
      </c>
      <c r="C1682" s="7" t="s">
        <v>4582</v>
      </c>
      <c r="D1682" s="7" t="s">
        <v>17</v>
      </c>
      <c r="E1682" s="7" t="s">
        <v>11</v>
      </c>
      <c r="F1682" s="7" t="s">
        <v>18</v>
      </c>
      <c r="G1682" s="7" t="s">
        <v>1920</v>
      </c>
      <c r="H1682" s="7" t="s">
        <v>4583</v>
      </c>
      <c r="I1682" s="8" t="s">
        <v>839</v>
      </c>
    </row>
    <row r="1683" spans="1:9" x14ac:dyDescent="0.35">
      <c r="A1683" s="6">
        <v>421182</v>
      </c>
      <c r="B1683" s="7" t="str">
        <f>"3328135604980003"</f>
        <v>3328135604980003</v>
      </c>
      <c r="C1683" s="7" t="s">
        <v>4584</v>
      </c>
      <c r="D1683" s="7" t="s">
        <v>17</v>
      </c>
      <c r="E1683" s="7" t="s">
        <v>11</v>
      </c>
      <c r="F1683" s="7" t="s">
        <v>18</v>
      </c>
      <c r="G1683" s="7" t="s">
        <v>268</v>
      </c>
      <c r="H1683" s="7" t="s">
        <v>448</v>
      </c>
      <c r="I1683" s="8" t="s">
        <v>1508</v>
      </c>
    </row>
    <row r="1684" spans="1:9" x14ac:dyDescent="0.35">
      <c r="A1684" s="6">
        <v>423282</v>
      </c>
      <c r="B1684" s="7" t="str">
        <f>"3328135608970001"</f>
        <v>3328135608970001</v>
      </c>
      <c r="C1684" s="7" t="s">
        <v>4585</v>
      </c>
      <c r="D1684" s="7" t="s">
        <v>17</v>
      </c>
      <c r="E1684" s="7" t="s">
        <v>11</v>
      </c>
      <c r="F1684" s="7" t="s">
        <v>18</v>
      </c>
      <c r="G1684" s="7" t="s">
        <v>268</v>
      </c>
      <c r="H1684" s="7" t="s">
        <v>269</v>
      </c>
      <c r="I1684" s="8" t="s">
        <v>1662</v>
      </c>
    </row>
    <row r="1685" spans="1:9" x14ac:dyDescent="0.35">
      <c r="A1685" s="6">
        <v>2556152</v>
      </c>
      <c r="B1685" s="7" t="str">
        <f>"3328135701670002"</f>
        <v>3328135701670002</v>
      </c>
      <c r="C1685" s="7" t="s">
        <v>4587</v>
      </c>
      <c r="D1685" s="7" t="s">
        <v>17</v>
      </c>
      <c r="E1685" s="7" t="s">
        <v>11</v>
      </c>
      <c r="F1685" s="7" t="s">
        <v>18</v>
      </c>
      <c r="G1685" s="7" t="s">
        <v>19</v>
      </c>
      <c r="H1685" s="7" t="s">
        <v>4290</v>
      </c>
      <c r="I1685" s="8" t="s">
        <v>344</v>
      </c>
    </row>
    <row r="1686" spans="1:9" x14ac:dyDescent="0.35">
      <c r="A1686" s="6">
        <v>2556639</v>
      </c>
      <c r="B1686" s="7" t="str">
        <f>"3328135702910003"</f>
        <v>3328135702910003</v>
      </c>
      <c r="C1686" s="7" t="s">
        <v>4588</v>
      </c>
      <c r="D1686" s="7" t="s">
        <v>17</v>
      </c>
      <c r="E1686" s="7" t="s">
        <v>11</v>
      </c>
      <c r="F1686" s="7" t="s">
        <v>18</v>
      </c>
      <c r="G1686" s="7" t="s">
        <v>19</v>
      </c>
      <c r="H1686" s="7" t="s">
        <v>4290</v>
      </c>
      <c r="I1686" s="8" t="s">
        <v>4318</v>
      </c>
    </row>
    <row r="1687" spans="1:9" x14ac:dyDescent="0.35">
      <c r="A1687" s="6">
        <v>2556442</v>
      </c>
      <c r="B1687" s="7" t="str">
        <f>"3328135705970005"</f>
        <v>3328135705970005</v>
      </c>
      <c r="C1687" s="7" t="s">
        <v>4591</v>
      </c>
      <c r="D1687" s="7" t="s">
        <v>17</v>
      </c>
      <c r="E1687" s="7" t="s">
        <v>11</v>
      </c>
      <c r="F1687" s="7" t="s">
        <v>18</v>
      </c>
      <c r="G1687" s="7" t="s">
        <v>19</v>
      </c>
      <c r="H1687" s="7" t="s">
        <v>4290</v>
      </c>
      <c r="I1687" s="8" t="s">
        <v>4315</v>
      </c>
    </row>
    <row r="1688" spans="1:9" x14ac:dyDescent="0.35">
      <c r="A1688" s="6">
        <v>1627738</v>
      </c>
      <c r="B1688" s="7" t="str">
        <f>"3328135707840003"</f>
        <v>3328135707840003</v>
      </c>
      <c r="C1688" s="7" t="s">
        <v>4593</v>
      </c>
      <c r="D1688" s="7" t="s">
        <v>17</v>
      </c>
      <c r="E1688" s="7" t="s">
        <v>11</v>
      </c>
      <c r="F1688" s="7" t="s">
        <v>18</v>
      </c>
      <c r="G1688" s="7" t="s">
        <v>264</v>
      </c>
      <c r="H1688" s="7" t="s">
        <v>248</v>
      </c>
      <c r="I1688" s="8" t="s">
        <v>868</v>
      </c>
    </row>
    <row r="1689" spans="1:9" x14ac:dyDescent="0.35">
      <c r="A1689" s="6">
        <v>2427405</v>
      </c>
      <c r="B1689" s="7" t="str">
        <f>"3328135709640002"</f>
        <v>3328135709640002</v>
      </c>
      <c r="C1689" s="7" t="s">
        <v>4594</v>
      </c>
      <c r="D1689" s="7" t="s">
        <v>17</v>
      </c>
      <c r="E1689" s="7" t="s">
        <v>11</v>
      </c>
      <c r="F1689" s="7" t="s">
        <v>50</v>
      </c>
      <c r="G1689" s="7" t="s">
        <v>58</v>
      </c>
      <c r="H1689" s="7" t="s">
        <v>2527</v>
      </c>
      <c r="I1689" s="8" t="s">
        <v>2435</v>
      </c>
    </row>
    <row r="1690" spans="1:9" x14ac:dyDescent="0.35">
      <c r="A1690" s="6">
        <v>3067109</v>
      </c>
      <c r="B1690" s="7" t="str">
        <f>"3328135710880003"</f>
        <v>3328135710880003</v>
      </c>
      <c r="C1690" s="7" t="s">
        <v>4596</v>
      </c>
      <c r="D1690" s="7" t="s">
        <v>17</v>
      </c>
      <c r="E1690" s="7" t="s">
        <v>11</v>
      </c>
      <c r="F1690" s="7" t="s">
        <v>18</v>
      </c>
      <c r="G1690" s="7" t="s">
        <v>163</v>
      </c>
      <c r="H1690" s="7" t="s">
        <v>4597</v>
      </c>
      <c r="I1690" s="8" t="s">
        <v>4598</v>
      </c>
    </row>
    <row r="1691" spans="1:9" x14ac:dyDescent="0.35">
      <c r="A1691" s="6">
        <v>1796519</v>
      </c>
      <c r="B1691" s="7" t="str">
        <f>"3328135906030002"</f>
        <v>3328135906030002</v>
      </c>
      <c r="C1691" s="7" t="s">
        <v>4601</v>
      </c>
      <c r="D1691" s="7" t="s">
        <v>17</v>
      </c>
      <c r="E1691" s="7" t="s">
        <v>11</v>
      </c>
      <c r="F1691" s="7" t="s">
        <v>50</v>
      </c>
      <c r="G1691" s="7" t="s">
        <v>72</v>
      </c>
      <c r="H1691" s="7" t="s">
        <v>803</v>
      </c>
      <c r="I1691" s="8" t="s">
        <v>2246</v>
      </c>
    </row>
    <row r="1692" spans="1:9" x14ac:dyDescent="0.35">
      <c r="A1692" s="6">
        <v>1400821</v>
      </c>
      <c r="B1692" s="7" t="str">
        <f>"3328135911860009"</f>
        <v>3328135911860009</v>
      </c>
      <c r="C1692" s="7" t="s">
        <v>4602</v>
      </c>
      <c r="D1692" s="7" t="s">
        <v>17</v>
      </c>
      <c r="E1692" s="7" t="s">
        <v>11</v>
      </c>
      <c r="F1692" s="7" t="s">
        <v>303</v>
      </c>
      <c r="G1692" s="7" t="s">
        <v>3472</v>
      </c>
      <c r="H1692" s="7" t="s">
        <v>4603</v>
      </c>
      <c r="I1692" s="8" t="s">
        <v>4604</v>
      </c>
    </row>
    <row r="1693" spans="1:9" x14ac:dyDescent="0.35">
      <c r="A1693" s="6">
        <v>695539</v>
      </c>
      <c r="B1693" s="7" t="str">
        <f>"3328136011910002"</f>
        <v>3328136011910002</v>
      </c>
      <c r="C1693" s="7" t="s">
        <v>4605</v>
      </c>
      <c r="D1693" s="7" t="s">
        <v>17</v>
      </c>
      <c r="E1693" s="7" t="s">
        <v>11</v>
      </c>
      <c r="F1693" s="7" t="s">
        <v>18</v>
      </c>
      <c r="G1693" s="7" t="s">
        <v>190</v>
      </c>
      <c r="H1693" s="7" t="s">
        <v>4607</v>
      </c>
      <c r="I1693" s="8" t="s">
        <v>4608</v>
      </c>
    </row>
    <row r="1694" spans="1:9" x14ac:dyDescent="0.35">
      <c r="A1694" s="6">
        <v>421583</v>
      </c>
      <c r="B1694" s="7" t="str">
        <f>"3328136104970003"</f>
        <v>3328136104970003</v>
      </c>
      <c r="C1694" s="7" t="s">
        <v>4609</v>
      </c>
      <c r="D1694" s="7" t="s">
        <v>17</v>
      </c>
      <c r="E1694" s="7" t="s">
        <v>11</v>
      </c>
      <c r="F1694" s="7" t="s">
        <v>18</v>
      </c>
      <c r="G1694" s="7" t="s">
        <v>268</v>
      </c>
      <c r="H1694" s="7" t="s">
        <v>371</v>
      </c>
      <c r="I1694" s="8" t="s">
        <v>2346</v>
      </c>
    </row>
    <row r="1695" spans="1:9" x14ac:dyDescent="0.35">
      <c r="A1695" s="6">
        <v>264542</v>
      </c>
      <c r="B1695" s="7" t="str">
        <f>"3328136205850001"</f>
        <v>3328136205850001</v>
      </c>
      <c r="C1695" s="7" t="s">
        <v>4611</v>
      </c>
      <c r="D1695" s="7" t="s">
        <v>17</v>
      </c>
      <c r="E1695" s="7" t="s">
        <v>11</v>
      </c>
      <c r="F1695" s="7" t="s">
        <v>4380</v>
      </c>
      <c r="G1695" s="7" t="s">
        <v>4612</v>
      </c>
      <c r="H1695" s="7" t="s">
        <v>4613</v>
      </c>
      <c r="I1695" s="8" t="s">
        <v>4614</v>
      </c>
    </row>
    <row r="1696" spans="1:9" x14ac:dyDescent="0.35">
      <c r="A1696" s="6">
        <v>2556404</v>
      </c>
      <c r="B1696" s="7" t="str">
        <f>"3328136302020006"</f>
        <v>3328136302020006</v>
      </c>
      <c r="C1696" s="7" t="s">
        <v>4615</v>
      </c>
      <c r="D1696" s="7" t="s">
        <v>17</v>
      </c>
      <c r="E1696" s="7" t="s">
        <v>11</v>
      </c>
      <c r="F1696" s="7" t="s">
        <v>18</v>
      </c>
      <c r="G1696" s="7" t="s">
        <v>19</v>
      </c>
      <c r="H1696" s="7" t="s">
        <v>4290</v>
      </c>
      <c r="I1696" s="8" t="s">
        <v>4315</v>
      </c>
    </row>
    <row r="1697" spans="1:9" x14ac:dyDescent="0.35">
      <c r="A1697" s="6">
        <v>2556227</v>
      </c>
      <c r="B1697" s="7" t="str">
        <f>"3328136302910002"</f>
        <v>3328136302910002</v>
      </c>
      <c r="C1697" s="7" t="s">
        <v>4617</v>
      </c>
      <c r="D1697" s="7" t="s">
        <v>17</v>
      </c>
      <c r="E1697" s="7" t="s">
        <v>11</v>
      </c>
      <c r="F1697" s="7" t="s">
        <v>18</v>
      </c>
      <c r="G1697" s="7" t="s">
        <v>19</v>
      </c>
      <c r="H1697" s="7" t="s">
        <v>4290</v>
      </c>
      <c r="I1697" s="8" t="s">
        <v>4303</v>
      </c>
    </row>
    <row r="1698" spans="1:9" x14ac:dyDescent="0.35">
      <c r="A1698" s="6">
        <v>2556661</v>
      </c>
      <c r="B1698" s="7" t="str">
        <f>"3328136307890001"</f>
        <v>3328136307890001</v>
      </c>
      <c r="C1698" s="7" t="s">
        <v>4618</v>
      </c>
      <c r="D1698" s="7" t="s">
        <v>17</v>
      </c>
      <c r="E1698" s="7" t="s">
        <v>11</v>
      </c>
      <c r="F1698" s="7" t="s">
        <v>18</v>
      </c>
      <c r="G1698" s="7" t="s">
        <v>19</v>
      </c>
      <c r="H1698" s="7" t="s">
        <v>4290</v>
      </c>
      <c r="I1698" s="8" t="s">
        <v>4318</v>
      </c>
    </row>
    <row r="1699" spans="1:9" x14ac:dyDescent="0.35">
      <c r="A1699" s="6">
        <v>2557604</v>
      </c>
      <c r="B1699" s="7" t="str">
        <f>"3328136309010003"</f>
        <v>3328136309010003</v>
      </c>
      <c r="C1699" s="7" t="s">
        <v>4620</v>
      </c>
      <c r="D1699" s="7" t="s">
        <v>17</v>
      </c>
      <c r="E1699" s="7" t="s">
        <v>11</v>
      </c>
      <c r="F1699" s="7" t="s">
        <v>18</v>
      </c>
      <c r="G1699" s="7" t="s">
        <v>19</v>
      </c>
      <c r="H1699" s="7" t="s">
        <v>4290</v>
      </c>
      <c r="I1699" s="8" t="s">
        <v>878</v>
      </c>
    </row>
    <row r="1700" spans="1:9" x14ac:dyDescent="0.35">
      <c r="A1700" s="6">
        <v>1117581</v>
      </c>
      <c r="B1700" s="7" t="str">
        <f>"3328136309960004"</f>
        <v>3328136309960004</v>
      </c>
      <c r="C1700" s="7" t="s">
        <v>4621</v>
      </c>
      <c r="D1700" s="7" t="s">
        <v>17</v>
      </c>
      <c r="E1700" s="7" t="s">
        <v>11</v>
      </c>
      <c r="F1700" s="7" t="s">
        <v>18</v>
      </c>
      <c r="G1700" s="7" t="s">
        <v>171</v>
      </c>
      <c r="H1700" s="7" t="s">
        <v>171</v>
      </c>
      <c r="I1700" s="8" t="s">
        <v>4365</v>
      </c>
    </row>
    <row r="1701" spans="1:9" x14ac:dyDescent="0.35">
      <c r="A1701" s="6">
        <v>2557109</v>
      </c>
      <c r="B1701" s="7" t="str">
        <f>"3328136312770002"</f>
        <v>3328136312770002</v>
      </c>
      <c r="C1701" s="7" t="s">
        <v>4622</v>
      </c>
      <c r="D1701" s="7" t="s">
        <v>17</v>
      </c>
      <c r="E1701" s="7" t="s">
        <v>11</v>
      </c>
      <c r="F1701" s="7" t="s">
        <v>18</v>
      </c>
      <c r="G1701" s="7" t="s">
        <v>19</v>
      </c>
      <c r="H1701" s="7" t="s">
        <v>4290</v>
      </c>
      <c r="I1701" s="8" t="s">
        <v>4347</v>
      </c>
    </row>
    <row r="1702" spans="1:9" x14ac:dyDescent="0.35">
      <c r="A1702" s="6">
        <v>2556996</v>
      </c>
      <c r="B1702" s="7" t="str">
        <f>"3328136404880004"</f>
        <v>3328136404880004</v>
      </c>
      <c r="C1702" s="7" t="s">
        <v>4574</v>
      </c>
      <c r="D1702" s="7" t="s">
        <v>17</v>
      </c>
      <c r="E1702" s="7" t="s">
        <v>11</v>
      </c>
      <c r="F1702" s="7" t="s">
        <v>18</v>
      </c>
      <c r="G1702" s="7" t="s">
        <v>19</v>
      </c>
      <c r="H1702" s="7" t="s">
        <v>4290</v>
      </c>
      <c r="I1702" s="8" t="s">
        <v>4513</v>
      </c>
    </row>
    <row r="1703" spans="1:9" x14ac:dyDescent="0.35">
      <c r="A1703" s="6">
        <v>423175</v>
      </c>
      <c r="B1703" s="7" t="str">
        <f>"3328136606940002"</f>
        <v>3328136606940002</v>
      </c>
      <c r="C1703" s="7" t="s">
        <v>4625</v>
      </c>
      <c r="D1703" s="7" t="s">
        <v>17</v>
      </c>
      <c r="E1703" s="7" t="s">
        <v>11</v>
      </c>
      <c r="F1703" s="7" t="s">
        <v>18</v>
      </c>
      <c r="G1703" s="7" t="s">
        <v>268</v>
      </c>
      <c r="H1703" s="7" t="s">
        <v>269</v>
      </c>
      <c r="I1703" s="8" t="s">
        <v>4408</v>
      </c>
    </row>
    <row r="1704" spans="1:9" x14ac:dyDescent="0.35">
      <c r="A1704" s="6">
        <v>1959536</v>
      </c>
      <c r="B1704" s="7" t="str">
        <f>"3328136612850001"</f>
        <v>3328136612850001</v>
      </c>
      <c r="C1704" s="7" t="s">
        <v>4626</v>
      </c>
      <c r="D1704" s="7" t="s">
        <v>17</v>
      </c>
      <c r="E1704" s="7" t="s">
        <v>11</v>
      </c>
      <c r="F1704" s="7" t="s">
        <v>50</v>
      </c>
      <c r="G1704" s="7" t="s">
        <v>86</v>
      </c>
      <c r="H1704" s="7" t="s">
        <v>1268</v>
      </c>
      <c r="I1704" s="8" t="s">
        <v>2503</v>
      </c>
    </row>
    <row r="1705" spans="1:9" x14ac:dyDescent="0.35">
      <c r="A1705" s="6">
        <v>2431550</v>
      </c>
      <c r="B1705" s="7" t="str">
        <f>"3328136805920003"</f>
        <v>3328136805920003</v>
      </c>
      <c r="C1705" s="7" t="s">
        <v>4628</v>
      </c>
      <c r="D1705" s="7" t="s">
        <v>17</v>
      </c>
      <c r="E1705" s="7" t="s">
        <v>11</v>
      </c>
      <c r="F1705" s="7" t="s">
        <v>50</v>
      </c>
      <c r="G1705" s="7" t="s">
        <v>58</v>
      </c>
      <c r="H1705" s="7" t="s">
        <v>1283</v>
      </c>
      <c r="I1705" s="8" t="s">
        <v>2971</v>
      </c>
    </row>
    <row r="1706" spans="1:9" x14ac:dyDescent="0.35">
      <c r="A1706" s="6">
        <v>1636274</v>
      </c>
      <c r="B1706" s="7" t="str">
        <f>"3328136812960004"</f>
        <v>3328136812960004</v>
      </c>
      <c r="C1706" s="7" t="s">
        <v>4629</v>
      </c>
      <c r="D1706" s="7" t="s">
        <v>17</v>
      </c>
      <c r="E1706" s="7" t="s">
        <v>11</v>
      </c>
      <c r="F1706" s="7" t="s">
        <v>18</v>
      </c>
      <c r="G1706" s="7" t="s">
        <v>264</v>
      </c>
      <c r="H1706" s="7" t="s">
        <v>477</v>
      </c>
      <c r="I1706" s="8" t="s">
        <v>4630</v>
      </c>
    </row>
    <row r="1707" spans="1:9" x14ac:dyDescent="0.35">
      <c r="A1707" s="6">
        <v>2556759</v>
      </c>
      <c r="B1707" s="7" t="str">
        <f>"3328136906840006"</f>
        <v>3328136906840006</v>
      </c>
      <c r="C1707" s="7" t="s">
        <v>153</v>
      </c>
      <c r="D1707" s="7" t="s">
        <v>17</v>
      </c>
      <c r="E1707" s="7" t="s">
        <v>11</v>
      </c>
      <c r="F1707" s="7" t="s">
        <v>18</v>
      </c>
      <c r="G1707" s="7" t="s">
        <v>19</v>
      </c>
      <c r="H1707" s="7" t="s">
        <v>4290</v>
      </c>
      <c r="I1707" s="8" t="s">
        <v>4358</v>
      </c>
    </row>
    <row r="1708" spans="1:9" x14ac:dyDescent="0.35">
      <c r="A1708" s="6">
        <v>2557467</v>
      </c>
      <c r="B1708" s="7" t="str">
        <f>"3328137011920004"</f>
        <v>3328137011920004</v>
      </c>
      <c r="C1708" s="7" t="s">
        <v>4631</v>
      </c>
      <c r="D1708" s="7" t="s">
        <v>17</v>
      </c>
      <c r="E1708" s="7" t="s">
        <v>11</v>
      </c>
      <c r="F1708" s="7" t="s">
        <v>18</v>
      </c>
      <c r="G1708" s="7" t="s">
        <v>19</v>
      </c>
      <c r="H1708" s="7" t="s">
        <v>4290</v>
      </c>
      <c r="I1708" s="8" t="s">
        <v>1381</v>
      </c>
    </row>
    <row r="1709" spans="1:9" x14ac:dyDescent="0.35">
      <c r="A1709" s="6">
        <v>1652944</v>
      </c>
      <c r="B1709" s="7" t="str">
        <f>"3329034505870007"</f>
        <v>3329034505870007</v>
      </c>
      <c r="C1709" s="7" t="s">
        <v>4635</v>
      </c>
      <c r="D1709" s="7" t="s">
        <v>17</v>
      </c>
      <c r="E1709" s="7" t="s">
        <v>11</v>
      </c>
      <c r="F1709" s="7" t="s">
        <v>18</v>
      </c>
      <c r="G1709" s="7" t="s">
        <v>264</v>
      </c>
      <c r="H1709" s="7" t="s">
        <v>461</v>
      </c>
      <c r="I1709" s="8" t="s">
        <v>842</v>
      </c>
    </row>
    <row r="1710" spans="1:9" x14ac:dyDescent="0.35">
      <c r="A1710" s="6">
        <v>2557174</v>
      </c>
      <c r="B1710" s="7" t="str">
        <f>"3329040712840001"</f>
        <v>3329040712840001</v>
      </c>
      <c r="C1710" s="7" t="s">
        <v>4636</v>
      </c>
      <c r="D1710" s="7" t="s">
        <v>17</v>
      </c>
      <c r="E1710" s="7" t="s">
        <v>11</v>
      </c>
      <c r="F1710" s="7" t="s">
        <v>18</v>
      </c>
      <c r="G1710" s="7" t="s">
        <v>19</v>
      </c>
      <c r="H1710" s="7" t="s">
        <v>4290</v>
      </c>
      <c r="I1710" s="8" t="s">
        <v>4309</v>
      </c>
    </row>
    <row r="1711" spans="1:9" x14ac:dyDescent="0.35">
      <c r="A1711" s="6">
        <v>2556421</v>
      </c>
      <c r="B1711" s="7" t="str">
        <f>"3329051001930001"</f>
        <v>3329051001930001</v>
      </c>
      <c r="C1711" s="7" t="s">
        <v>4637</v>
      </c>
      <c r="D1711" s="7" t="s">
        <v>17</v>
      </c>
      <c r="E1711" s="7" t="s">
        <v>11</v>
      </c>
      <c r="F1711" s="7" t="s">
        <v>18</v>
      </c>
      <c r="G1711" s="7" t="s">
        <v>19</v>
      </c>
      <c r="H1711" s="7" t="s">
        <v>4290</v>
      </c>
      <c r="I1711" s="8" t="s">
        <v>4315</v>
      </c>
    </row>
    <row r="1712" spans="1:9" x14ac:dyDescent="0.35">
      <c r="A1712" s="6">
        <v>2556740</v>
      </c>
      <c r="B1712" s="7" t="str">
        <f>"3329081208890017"</f>
        <v>3329081208890017</v>
      </c>
      <c r="C1712" s="7" t="s">
        <v>4638</v>
      </c>
      <c r="D1712" s="7" t="s">
        <v>17</v>
      </c>
      <c r="E1712" s="7" t="s">
        <v>11</v>
      </c>
      <c r="F1712" s="7" t="s">
        <v>18</v>
      </c>
      <c r="G1712" s="7" t="s">
        <v>19</v>
      </c>
      <c r="H1712" s="7" t="s">
        <v>4290</v>
      </c>
      <c r="I1712" s="8" t="s">
        <v>4290</v>
      </c>
    </row>
    <row r="1713" spans="1:9" x14ac:dyDescent="0.35">
      <c r="A1713" s="6">
        <v>1627274</v>
      </c>
      <c r="B1713" s="7" t="str">
        <f>"3329081507650002"</f>
        <v>3329081507650002</v>
      </c>
      <c r="C1713" s="7" t="s">
        <v>4640</v>
      </c>
      <c r="D1713" s="7" t="s">
        <v>17</v>
      </c>
      <c r="E1713" s="7" t="s">
        <v>11</v>
      </c>
      <c r="F1713" s="7" t="s">
        <v>18</v>
      </c>
      <c r="G1713" s="7" t="s">
        <v>264</v>
      </c>
      <c r="H1713" s="7" t="s">
        <v>248</v>
      </c>
      <c r="I1713" s="8" t="s">
        <v>2689</v>
      </c>
    </row>
    <row r="1714" spans="1:9" x14ac:dyDescent="0.35">
      <c r="A1714" s="6">
        <v>1627611</v>
      </c>
      <c r="B1714" s="7" t="str">
        <f>"3329082804840013"</f>
        <v>3329082804840013</v>
      </c>
      <c r="C1714" s="7" t="s">
        <v>4642</v>
      </c>
      <c r="D1714" s="7" t="s">
        <v>17</v>
      </c>
      <c r="E1714" s="7" t="s">
        <v>11</v>
      </c>
      <c r="F1714" s="7" t="s">
        <v>18</v>
      </c>
      <c r="G1714" s="7" t="s">
        <v>264</v>
      </c>
      <c r="H1714" s="7" t="s">
        <v>248</v>
      </c>
      <c r="I1714" s="8" t="s">
        <v>868</v>
      </c>
    </row>
    <row r="1715" spans="1:9" x14ac:dyDescent="0.35">
      <c r="A1715" s="6">
        <v>2557493</v>
      </c>
      <c r="B1715" s="7" t="str">
        <f>"3329086610020004"</f>
        <v>3329086610020004</v>
      </c>
      <c r="C1715" s="7" t="s">
        <v>4644</v>
      </c>
      <c r="D1715" s="7" t="s">
        <v>17</v>
      </c>
      <c r="E1715" s="7" t="s">
        <v>11</v>
      </c>
      <c r="F1715" s="7" t="s">
        <v>18</v>
      </c>
      <c r="G1715" s="7" t="s">
        <v>19</v>
      </c>
      <c r="H1715" s="7" t="s">
        <v>4290</v>
      </c>
      <c r="I1715" s="8" t="s">
        <v>878</v>
      </c>
    </row>
    <row r="1716" spans="1:9" x14ac:dyDescent="0.35">
      <c r="A1716" s="6">
        <v>2556748</v>
      </c>
      <c r="B1716" s="7" t="str">
        <f>"3329096508960006"</f>
        <v>3329096508960006</v>
      </c>
      <c r="C1716" s="7" t="s">
        <v>4646</v>
      </c>
      <c r="D1716" s="7" t="s">
        <v>17</v>
      </c>
      <c r="E1716" s="7" t="s">
        <v>11</v>
      </c>
      <c r="F1716" s="7" t="s">
        <v>18</v>
      </c>
      <c r="G1716" s="7" t="s">
        <v>19</v>
      </c>
      <c r="H1716" s="7" t="s">
        <v>4290</v>
      </c>
      <c r="I1716" s="8" t="s">
        <v>4290</v>
      </c>
    </row>
    <row r="1717" spans="1:9" x14ac:dyDescent="0.35">
      <c r="A1717" s="6">
        <v>1688149</v>
      </c>
      <c r="B1717" s="7" t="str">
        <f>"3329100302760004"</f>
        <v>3329100302760004</v>
      </c>
      <c r="C1717" s="7" t="s">
        <v>4647</v>
      </c>
      <c r="D1717" s="7" t="s">
        <v>17</v>
      </c>
      <c r="E1717" s="7" t="s">
        <v>11</v>
      </c>
      <c r="F1717" s="7" t="s">
        <v>18</v>
      </c>
      <c r="G1717" s="7" t="s">
        <v>264</v>
      </c>
      <c r="H1717" s="7" t="s">
        <v>273</v>
      </c>
      <c r="I1717" s="8" t="s">
        <v>1804</v>
      </c>
    </row>
    <row r="1718" spans="1:9" x14ac:dyDescent="0.35">
      <c r="A1718" s="6">
        <v>2556727</v>
      </c>
      <c r="B1718" s="7" t="str">
        <f>"3329104307990005"</f>
        <v>3329104307990005</v>
      </c>
      <c r="C1718" s="7" t="s">
        <v>4649</v>
      </c>
      <c r="D1718" s="7" t="s">
        <v>17</v>
      </c>
      <c r="E1718" s="7" t="s">
        <v>11</v>
      </c>
      <c r="F1718" s="7" t="s">
        <v>18</v>
      </c>
      <c r="G1718" s="7" t="s">
        <v>19</v>
      </c>
      <c r="H1718" s="7" t="s">
        <v>4290</v>
      </c>
      <c r="I1718" s="8" t="s">
        <v>4290</v>
      </c>
    </row>
    <row r="1719" spans="1:9" x14ac:dyDescent="0.35">
      <c r="A1719" s="6">
        <v>1638945</v>
      </c>
      <c r="B1719" s="7" t="str">
        <f>"3329143112830080"</f>
        <v>3329143112830080</v>
      </c>
      <c r="C1719" s="7" t="s">
        <v>4650</v>
      </c>
      <c r="D1719" s="7" t="s">
        <v>17</v>
      </c>
      <c r="E1719" s="7" t="s">
        <v>11</v>
      </c>
      <c r="F1719" s="7" t="s">
        <v>18</v>
      </c>
      <c r="G1719" s="7" t="s">
        <v>264</v>
      </c>
      <c r="H1719" s="7" t="s">
        <v>477</v>
      </c>
      <c r="I1719" s="8" t="s">
        <v>478</v>
      </c>
    </row>
    <row r="1720" spans="1:9" x14ac:dyDescent="0.35">
      <c r="A1720" s="6">
        <v>2556425</v>
      </c>
      <c r="B1720" s="7" t="str">
        <f>"3329145701020006"</f>
        <v>3329145701020006</v>
      </c>
      <c r="C1720" s="7" t="s">
        <v>4651</v>
      </c>
      <c r="D1720" s="7" t="s">
        <v>17</v>
      </c>
      <c r="E1720" s="7" t="s">
        <v>11</v>
      </c>
      <c r="F1720" s="7" t="s">
        <v>18</v>
      </c>
      <c r="G1720" s="7" t="s">
        <v>19</v>
      </c>
      <c r="H1720" s="7" t="s">
        <v>4290</v>
      </c>
      <c r="I1720" s="8" t="s">
        <v>4315</v>
      </c>
    </row>
    <row r="1721" spans="1:9" x14ac:dyDescent="0.35">
      <c r="A1721" s="6">
        <v>322694</v>
      </c>
      <c r="B1721" s="7" t="str">
        <f>"3374106305800001"</f>
        <v>3374106305800001</v>
      </c>
      <c r="C1721" s="7" t="s">
        <v>4652</v>
      </c>
      <c r="D1721" s="7" t="s">
        <v>17</v>
      </c>
      <c r="E1721" s="7" t="s">
        <v>11</v>
      </c>
      <c r="F1721" s="7" t="s">
        <v>18</v>
      </c>
      <c r="G1721" s="7" t="s">
        <v>4533</v>
      </c>
      <c r="H1721" s="7" t="s">
        <v>4534</v>
      </c>
      <c r="I1721" s="8" t="s">
        <v>98</v>
      </c>
    </row>
    <row r="1722" spans="1:9" x14ac:dyDescent="0.35">
      <c r="A1722" s="6">
        <v>423341</v>
      </c>
      <c r="B1722" s="7" t="str">
        <f>"3376014710010003"</f>
        <v>3376014710010003</v>
      </c>
      <c r="C1722" s="7" t="s">
        <v>4654</v>
      </c>
      <c r="D1722" s="7" t="s">
        <v>17</v>
      </c>
      <c r="E1722" s="7" t="s">
        <v>11</v>
      </c>
      <c r="F1722" s="7" t="s">
        <v>18</v>
      </c>
      <c r="G1722" s="7" t="s">
        <v>268</v>
      </c>
      <c r="H1722" s="7" t="s">
        <v>277</v>
      </c>
      <c r="I1722" s="8" t="s">
        <v>278</v>
      </c>
    </row>
    <row r="1723" spans="1:9" x14ac:dyDescent="0.35">
      <c r="A1723" s="6">
        <v>2557514</v>
      </c>
      <c r="B1723" s="7" t="str">
        <f>"3376015606060002"</f>
        <v>3376015606060002</v>
      </c>
      <c r="C1723" s="7" t="s">
        <v>4655</v>
      </c>
      <c r="D1723" s="7" t="s">
        <v>17</v>
      </c>
      <c r="E1723" s="7" t="s">
        <v>11</v>
      </c>
      <c r="F1723" s="7" t="s">
        <v>18</v>
      </c>
      <c r="G1723" s="7" t="s">
        <v>19</v>
      </c>
      <c r="H1723" s="7" t="s">
        <v>4290</v>
      </c>
      <c r="I1723" s="8" t="s">
        <v>878</v>
      </c>
    </row>
    <row r="1724" spans="1:9" x14ac:dyDescent="0.35">
      <c r="A1724" s="6">
        <v>2557554</v>
      </c>
      <c r="B1724" s="7" t="str">
        <f>"3376015906950001"</f>
        <v>3376015906950001</v>
      </c>
      <c r="C1724" s="7" t="s">
        <v>4657</v>
      </c>
      <c r="D1724" s="7" t="s">
        <v>17</v>
      </c>
      <c r="E1724" s="7" t="s">
        <v>11</v>
      </c>
      <c r="F1724" s="7" t="s">
        <v>18</v>
      </c>
      <c r="G1724" s="7" t="s">
        <v>19</v>
      </c>
      <c r="H1724" s="7" t="s">
        <v>4290</v>
      </c>
      <c r="I1724" s="8" t="s">
        <v>878</v>
      </c>
    </row>
    <row r="1725" spans="1:9" x14ac:dyDescent="0.35">
      <c r="A1725" s="6">
        <v>2557147</v>
      </c>
      <c r="B1725" s="7" t="str">
        <f>"3376016710990002"</f>
        <v>3376016710990002</v>
      </c>
      <c r="C1725" s="7" t="s">
        <v>4658</v>
      </c>
      <c r="D1725" s="7" t="s">
        <v>17</v>
      </c>
      <c r="E1725" s="7" t="s">
        <v>11</v>
      </c>
      <c r="F1725" s="7" t="s">
        <v>18</v>
      </c>
      <c r="G1725" s="7" t="s">
        <v>19</v>
      </c>
      <c r="H1725" s="7" t="s">
        <v>4290</v>
      </c>
      <c r="I1725" s="8" t="s">
        <v>4347</v>
      </c>
    </row>
    <row r="1726" spans="1:9" x14ac:dyDescent="0.35">
      <c r="A1726" s="6">
        <v>2557466</v>
      </c>
      <c r="B1726" s="7" t="str">
        <f>"3376021212910003"</f>
        <v>3376021212910003</v>
      </c>
      <c r="C1726" s="7" t="s">
        <v>4659</v>
      </c>
      <c r="D1726" s="7" t="s">
        <v>17</v>
      </c>
      <c r="E1726" s="7" t="s">
        <v>11</v>
      </c>
      <c r="F1726" s="7" t="s">
        <v>18</v>
      </c>
      <c r="G1726" s="7" t="s">
        <v>19</v>
      </c>
      <c r="H1726" s="7" t="s">
        <v>4290</v>
      </c>
      <c r="I1726" s="8" t="s">
        <v>1381</v>
      </c>
    </row>
    <row r="1727" spans="1:9" x14ac:dyDescent="0.35">
      <c r="A1727" s="6">
        <v>2556743</v>
      </c>
      <c r="B1727" s="7" t="str">
        <f>"3376022005900001"</f>
        <v>3376022005900001</v>
      </c>
      <c r="C1727" s="7" t="s">
        <v>4660</v>
      </c>
      <c r="D1727" s="7" t="s">
        <v>17</v>
      </c>
      <c r="E1727" s="7" t="s">
        <v>11</v>
      </c>
      <c r="F1727" s="7" t="s">
        <v>18</v>
      </c>
      <c r="G1727" s="7" t="s">
        <v>19</v>
      </c>
      <c r="H1727" s="7" t="s">
        <v>4290</v>
      </c>
      <c r="I1727" s="8" t="s">
        <v>4290</v>
      </c>
    </row>
    <row r="1728" spans="1:9" x14ac:dyDescent="0.35">
      <c r="A1728" s="6">
        <v>2557568</v>
      </c>
      <c r="B1728" s="7" t="str">
        <f>"3376022105960007"</f>
        <v>3376022105960007</v>
      </c>
      <c r="C1728" s="7" t="s">
        <v>4661</v>
      </c>
      <c r="D1728" s="7" t="s">
        <v>17</v>
      </c>
      <c r="E1728" s="7" t="s">
        <v>11</v>
      </c>
      <c r="F1728" s="7" t="s">
        <v>18</v>
      </c>
      <c r="G1728" s="7" t="s">
        <v>19</v>
      </c>
      <c r="H1728" s="7" t="s">
        <v>4290</v>
      </c>
      <c r="I1728" s="8" t="s">
        <v>878</v>
      </c>
    </row>
    <row r="1729" spans="1:9" x14ac:dyDescent="0.35">
      <c r="A1729" s="6">
        <v>2556913</v>
      </c>
      <c r="B1729" s="7" t="str">
        <f>"3376024707900003"</f>
        <v>3376024707900003</v>
      </c>
      <c r="C1729" s="7" t="s">
        <v>4662</v>
      </c>
      <c r="D1729" s="7" t="s">
        <v>17</v>
      </c>
      <c r="E1729" s="7" t="s">
        <v>11</v>
      </c>
      <c r="F1729" s="7" t="s">
        <v>18</v>
      </c>
      <c r="G1729" s="7" t="s">
        <v>19</v>
      </c>
      <c r="H1729" s="7" t="s">
        <v>4290</v>
      </c>
      <c r="I1729" s="8" t="s">
        <v>4606</v>
      </c>
    </row>
    <row r="1730" spans="1:9" x14ac:dyDescent="0.35">
      <c r="A1730" s="6">
        <v>423174</v>
      </c>
      <c r="B1730" s="7" t="str">
        <f>"3376030204940001"</f>
        <v>3376030204940001</v>
      </c>
      <c r="C1730" s="7" t="s">
        <v>4665</v>
      </c>
      <c r="D1730" s="7" t="s">
        <v>17</v>
      </c>
      <c r="E1730" s="7" t="s">
        <v>11</v>
      </c>
      <c r="F1730" s="7" t="s">
        <v>18</v>
      </c>
      <c r="G1730" s="7" t="s">
        <v>268</v>
      </c>
      <c r="H1730" s="7" t="s">
        <v>269</v>
      </c>
      <c r="I1730" s="8" t="s">
        <v>4408</v>
      </c>
    </row>
    <row r="1731" spans="1:9" x14ac:dyDescent="0.35">
      <c r="A1731" s="6">
        <v>2557175</v>
      </c>
      <c r="B1731" s="7" t="str">
        <f>"3376030410000001"</f>
        <v>3376030410000001</v>
      </c>
      <c r="C1731" s="7" t="s">
        <v>4666</v>
      </c>
      <c r="D1731" s="7" t="s">
        <v>17</v>
      </c>
      <c r="E1731" s="7" t="s">
        <v>11</v>
      </c>
      <c r="F1731" s="7" t="s">
        <v>18</v>
      </c>
      <c r="G1731" s="7" t="s">
        <v>19</v>
      </c>
      <c r="H1731" s="7" t="s">
        <v>4290</v>
      </c>
      <c r="I1731" s="8" t="s">
        <v>4309</v>
      </c>
    </row>
    <row r="1732" spans="1:9" x14ac:dyDescent="0.35">
      <c r="A1732" s="6">
        <v>2556573</v>
      </c>
      <c r="B1732" s="7" t="str">
        <f>"3376031511710001"</f>
        <v>3376031511710001</v>
      </c>
      <c r="C1732" s="7" t="s">
        <v>4668</v>
      </c>
      <c r="D1732" s="7" t="s">
        <v>17</v>
      </c>
      <c r="E1732" s="7" t="s">
        <v>11</v>
      </c>
      <c r="F1732" s="7" t="s">
        <v>18</v>
      </c>
      <c r="G1732" s="7" t="s">
        <v>19</v>
      </c>
      <c r="H1732" s="7" t="s">
        <v>4290</v>
      </c>
      <c r="I1732" s="8" t="s">
        <v>4329</v>
      </c>
    </row>
    <row r="1733" spans="1:9" x14ac:dyDescent="0.35">
      <c r="A1733" s="6">
        <v>2557062</v>
      </c>
      <c r="B1733" s="7" t="str">
        <f>"3376031610770001"</f>
        <v>3376031610770001</v>
      </c>
      <c r="C1733" s="7" t="s">
        <v>4671</v>
      </c>
      <c r="D1733" s="7" t="s">
        <v>17</v>
      </c>
      <c r="E1733" s="7" t="s">
        <v>11</v>
      </c>
      <c r="F1733" s="7" t="s">
        <v>18</v>
      </c>
      <c r="G1733" s="7" t="s">
        <v>19</v>
      </c>
      <c r="H1733" s="7" t="s">
        <v>4290</v>
      </c>
      <c r="I1733" s="8" t="s">
        <v>4513</v>
      </c>
    </row>
    <row r="1734" spans="1:9" x14ac:dyDescent="0.35">
      <c r="A1734" s="6">
        <v>1642183</v>
      </c>
      <c r="B1734" s="7" t="str">
        <f>"3376034202980001"</f>
        <v>3376034202980001</v>
      </c>
      <c r="C1734" s="7" t="s">
        <v>4672</v>
      </c>
      <c r="D1734" s="7" t="s">
        <v>17</v>
      </c>
      <c r="E1734" s="7" t="s">
        <v>11</v>
      </c>
      <c r="F1734" s="7" t="s">
        <v>18</v>
      </c>
      <c r="G1734" s="7" t="s">
        <v>264</v>
      </c>
      <c r="H1734" s="7" t="s">
        <v>773</v>
      </c>
      <c r="I1734" s="8" t="s">
        <v>1850</v>
      </c>
    </row>
    <row r="1735" spans="1:9" x14ac:dyDescent="0.35">
      <c r="A1735" s="6">
        <v>2557610</v>
      </c>
      <c r="B1735" s="7" t="str">
        <f>"3376034301050001"</f>
        <v>3376034301050001</v>
      </c>
      <c r="C1735" s="7" t="s">
        <v>4674</v>
      </c>
      <c r="D1735" s="7" t="s">
        <v>17</v>
      </c>
      <c r="E1735" s="7" t="s">
        <v>11</v>
      </c>
      <c r="F1735" s="7" t="s">
        <v>18</v>
      </c>
      <c r="G1735" s="7" t="s">
        <v>19</v>
      </c>
      <c r="H1735" s="7" t="s">
        <v>4290</v>
      </c>
      <c r="I1735" s="8" t="s">
        <v>878</v>
      </c>
    </row>
    <row r="1736" spans="1:9" x14ac:dyDescent="0.35">
      <c r="A1736" s="6">
        <v>1642182</v>
      </c>
      <c r="B1736" s="7" t="str">
        <f>"3376035306030002"</f>
        <v>3376035306030002</v>
      </c>
      <c r="C1736" s="7" t="s">
        <v>4675</v>
      </c>
      <c r="D1736" s="7" t="s">
        <v>17</v>
      </c>
      <c r="E1736" s="7" t="s">
        <v>11</v>
      </c>
      <c r="F1736" s="7" t="s">
        <v>18</v>
      </c>
      <c r="G1736" s="7" t="s">
        <v>264</v>
      </c>
      <c r="H1736" s="7" t="s">
        <v>773</v>
      </c>
      <c r="I1736" s="8" t="s">
        <v>1850</v>
      </c>
    </row>
    <row r="1737" spans="1:9" x14ac:dyDescent="0.35">
      <c r="A1737" s="6">
        <v>2556408</v>
      </c>
      <c r="B1737" s="7" t="str">
        <f>"3376036303960001"</f>
        <v>3376036303960001</v>
      </c>
      <c r="C1737" s="7" t="s">
        <v>4676</v>
      </c>
      <c r="D1737" s="7" t="s">
        <v>17</v>
      </c>
      <c r="E1737" s="7" t="s">
        <v>11</v>
      </c>
      <c r="F1737" s="7" t="s">
        <v>18</v>
      </c>
      <c r="G1737" s="7" t="s">
        <v>19</v>
      </c>
      <c r="H1737" s="7" t="s">
        <v>4290</v>
      </c>
      <c r="I1737" s="8" t="s">
        <v>4315</v>
      </c>
    </row>
    <row r="1738" spans="1:9" x14ac:dyDescent="0.35">
      <c r="A1738" s="6">
        <v>423273</v>
      </c>
      <c r="B1738" s="7" t="str">
        <f>"3376036406840003"</f>
        <v>3376036406840003</v>
      </c>
      <c r="C1738" s="7" t="s">
        <v>4677</v>
      </c>
      <c r="D1738" s="7" t="s">
        <v>17</v>
      </c>
      <c r="E1738" s="7" t="s">
        <v>11</v>
      </c>
      <c r="F1738" s="7" t="s">
        <v>18</v>
      </c>
      <c r="G1738" s="7" t="s">
        <v>268</v>
      </c>
      <c r="H1738" s="7" t="s">
        <v>269</v>
      </c>
      <c r="I1738" s="8" t="s">
        <v>1662</v>
      </c>
    </row>
    <row r="1739" spans="1:9" x14ac:dyDescent="0.35">
      <c r="A1739" s="6">
        <v>2556644</v>
      </c>
      <c r="B1739" s="7" t="str">
        <f>"3376036503950005"</f>
        <v>3376036503950005</v>
      </c>
      <c r="C1739" s="7" t="s">
        <v>4678</v>
      </c>
      <c r="D1739" s="7" t="s">
        <v>17</v>
      </c>
      <c r="E1739" s="7" t="s">
        <v>11</v>
      </c>
      <c r="F1739" s="7" t="s">
        <v>18</v>
      </c>
      <c r="G1739" s="7" t="s">
        <v>19</v>
      </c>
      <c r="H1739" s="7" t="s">
        <v>4290</v>
      </c>
      <c r="I1739" s="8" t="s">
        <v>4318</v>
      </c>
    </row>
    <row r="1740" spans="1:9" x14ac:dyDescent="0.35">
      <c r="A1740" s="6">
        <v>2556450</v>
      </c>
      <c r="B1740" s="7" t="str">
        <f>"3376036504820002"</f>
        <v>3376036504820002</v>
      </c>
      <c r="C1740" s="7" t="s">
        <v>4679</v>
      </c>
      <c r="D1740" s="7" t="s">
        <v>17</v>
      </c>
      <c r="E1740" s="7" t="s">
        <v>11</v>
      </c>
      <c r="F1740" s="7" t="s">
        <v>18</v>
      </c>
      <c r="G1740" s="7" t="s">
        <v>19</v>
      </c>
      <c r="H1740" s="7" t="s">
        <v>4290</v>
      </c>
      <c r="I1740" s="8" t="s">
        <v>4315</v>
      </c>
    </row>
    <row r="1741" spans="1:9" x14ac:dyDescent="0.35">
      <c r="A1741" s="6">
        <v>1642195</v>
      </c>
      <c r="B1741" s="7" t="str">
        <f>"3376036808690003"</f>
        <v>3376036808690003</v>
      </c>
      <c r="C1741" s="7" t="s">
        <v>4680</v>
      </c>
      <c r="D1741" s="7" t="s">
        <v>17</v>
      </c>
      <c r="E1741" s="7" t="s">
        <v>11</v>
      </c>
      <c r="F1741" s="7" t="s">
        <v>18</v>
      </c>
      <c r="G1741" s="7" t="s">
        <v>264</v>
      </c>
      <c r="H1741" s="7" t="s">
        <v>773</v>
      </c>
      <c r="I1741" s="8" t="s">
        <v>1850</v>
      </c>
    </row>
    <row r="1742" spans="1:9" x14ac:dyDescent="0.35">
      <c r="A1742" s="6">
        <v>2556531</v>
      </c>
      <c r="B1742" s="7" t="str">
        <f>"3376040904950002"</f>
        <v>3376040904950002</v>
      </c>
      <c r="C1742" s="7" t="s">
        <v>4682</v>
      </c>
      <c r="D1742" s="7" t="s">
        <v>17</v>
      </c>
      <c r="E1742" s="7" t="s">
        <v>11</v>
      </c>
      <c r="F1742" s="7" t="s">
        <v>18</v>
      </c>
      <c r="G1742" s="7" t="s">
        <v>19</v>
      </c>
      <c r="H1742" s="7" t="s">
        <v>4290</v>
      </c>
      <c r="I1742" s="8" t="s">
        <v>4329</v>
      </c>
    </row>
    <row r="1743" spans="1:9" x14ac:dyDescent="0.35">
      <c r="A1743" s="6">
        <v>421180</v>
      </c>
      <c r="B1743" s="7" t="str">
        <f>"3376041708910004"</f>
        <v>3376041708910004</v>
      </c>
      <c r="C1743" s="7" t="s">
        <v>2926</v>
      </c>
      <c r="D1743" s="7" t="s">
        <v>17</v>
      </c>
      <c r="E1743" s="7" t="s">
        <v>11</v>
      </c>
      <c r="F1743" s="7" t="s">
        <v>18</v>
      </c>
      <c r="G1743" s="7" t="s">
        <v>268</v>
      </c>
      <c r="H1743" s="7" t="s">
        <v>448</v>
      </c>
      <c r="I1743" s="8" t="s">
        <v>1508</v>
      </c>
    </row>
    <row r="1744" spans="1:9" x14ac:dyDescent="0.35">
      <c r="A1744" s="6">
        <v>2556412</v>
      </c>
      <c r="B1744" s="7" t="str">
        <f>"3376045004880001"</f>
        <v>3376045004880001</v>
      </c>
      <c r="C1744" s="7" t="s">
        <v>4683</v>
      </c>
      <c r="D1744" s="7" t="s">
        <v>17</v>
      </c>
      <c r="E1744" s="7" t="s">
        <v>11</v>
      </c>
      <c r="F1744" s="7" t="s">
        <v>18</v>
      </c>
      <c r="G1744" s="7" t="s">
        <v>19</v>
      </c>
      <c r="H1744" s="7" t="s">
        <v>4290</v>
      </c>
      <c r="I1744" s="8" t="s">
        <v>4315</v>
      </c>
    </row>
    <row r="1745" spans="1:9" x14ac:dyDescent="0.35">
      <c r="A1745" s="6">
        <v>2557277</v>
      </c>
      <c r="B1745" s="7" t="str">
        <f>"3525102711970001"</f>
        <v>3525102711970001</v>
      </c>
      <c r="C1745" s="7" t="s">
        <v>4684</v>
      </c>
      <c r="D1745" s="7" t="s">
        <v>17</v>
      </c>
      <c r="E1745" s="7" t="s">
        <v>11</v>
      </c>
      <c r="F1745" s="7" t="s">
        <v>18</v>
      </c>
      <c r="G1745" s="7" t="s">
        <v>19</v>
      </c>
      <c r="H1745" s="7" t="s">
        <v>4290</v>
      </c>
      <c r="I1745" s="8" t="s">
        <v>4436</v>
      </c>
    </row>
    <row r="1746" spans="1:9" x14ac:dyDescent="0.35">
      <c r="A1746" s="6">
        <v>2556251</v>
      </c>
      <c r="B1746" s="7" t="str">
        <f>"3673052007750001"</f>
        <v>3673052007750001</v>
      </c>
      <c r="C1746" s="7" t="s">
        <v>4691</v>
      </c>
      <c r="D1746" s="7" t="s">
        <v>17</v>
      </c>
      <c r="E1746" s="7" t="s">
        <v>11</v>
      </c>
      <c r="F1746" s="7" t="s">
        <v>18</v>
      </c>
      <c r="G1746" s="7" t="s">
        <v>19</v>
      </c>
      <c r="H1746" s="7" t="s">
        <v>4290</v>
      </c>
      <c r="I1746" s="8" t="s">
        <v>4303</v>
      </c>
    </row>
    <row r="1747" spans="1:9" x14ac:dyDescent="0.35">
      <c r="A1747" s="6">
        <v>2557334</v>
      </c>
      <c r="B1747" s="7" t="str">
        <f>"8102101005820002"</f>
        <v>8102101005820002</v>
      </c>
      <c r="C1747" s="7" t="s">
        <v>4023</v>
      </c>
      <c r="D1747" s="7" t="s">
        <v>17</v>
      </c>
      <c r="E1747" s="7" t="s">
        <v>11</v>
      </c>
      <c r="F1747" s="7" t="s">
        <v>18</v>
      </c>
      <c r="G1747" s="7" t="s">
        <v>19</v>
      </c>
      <c r="H1747" s="7" t="s">
        <v>4290</v>
      </c>
      <c r="I1747" s="8" t="s">
        <v>4436</v>
      </c>
    </row>
    <row r="1748" spans="1:9" x14ac:dyDescent="0.35">
      <c r="A1748" s="6">
        <v>2557513</v>
      </c>
      <c r="B1748" s="7" t="str">
        <f>"9171026310720001"</f>
        <v>9171026310720001</v>
      </c>
      <c r="C1748" s="7" t="s">
        <v>4692</v>
      </c>
      <c r="D1748" s="7" t="s">
        <v>17</v>
      </c>
      <c r="E1748" s="7" t="s">
        <v>11</v>
      </c>
      <c r="F1748" s="7" t="s">
        <v>18</v>
      </c>
      <c r="G1748" s="7" t="s">
        <v>19</v>
      </c>
      <c r="H1748" s="7" t="s">
        <v>4290</v>
      </c>
      <c r="I1748" s="8" t="s">
        <v>878</v>
      </c>
    </row>
    <row r="1749" spans="1:9" x14ac:dyDescent="0.35">
      <c r="A1749" s="6">
        <v>2558636</v>
      </c>
      <c r="B1749" s="7" t="str">
        <f>"1209132104950004"</f>
        <v>1209132104950004</v>
      </c>
      <c r="C1749" s="7" t="s">
        <v>4694</v>
      </c>
      <c r="D1749" s="7" t="s">
        <v>17</v>
      </c>
      <c r="E1749" s="7" t="s">
        <v>11</v>
      </c>
      <c r="F1749" s="7" t="s">
        <v>18</v>
      </c>
      <c r="G1749" s="7" t="s">
        <v>19</v>
      </c>
      <c r="H1749" s="7" t="s">
        <v>3565</v>
      </c>
      <c r="I1749" s="8" t="s">
        <v>4697</v>
      </c>
    </row>
    <row r="1750" spans="1:9" x14ac:dyDescent="0.35">
      <c r="A1750" s="6">
        <v>2558638</v>
      </c>
      <c r="B1750" s="7" t="str">
        <f>"1209136106750002"</f>
        <v>1209136106750002</v>
      </c>
      <c r="C1750" s="7" t="s">
        <v>4698</v>
      </c>
      <c r="D1750" s="7" t="s">
        <v>17</v>
      </c>
      <c r="E1750" s="7" t="s">
        <v>11</v>
      </c>
      <c r="F1750" s="7" t="s">
        <v>18</v>
      </c>
      <c r="G1750" s="7" t="s">
        <v>19</v>
      </c>
      <c r="H1750" s="7" t="s">
        <v>3565</v>
      </c>
      <c r="I1750" s="8" t="s">
        <v>4697</v>
      </c>
    </row>
    <row r="1751" spans="1:9" x14ac:dyDescent="0.35">
      <c r="A1751" s="6">
        <v>2558637</v>
      </c>
      <c r="B1751" s="7" t="str">
        <f>"1209136308990004"</f>
        <v>1209136308990004</v>
      </c>
      <c r="C1751" s="7" t="s">
        <v>4699</v>
      </c>
      <c r="D1751" s="7" t="s">
        <v>17</v>
      </c>
      <c r="E1751" s="7" t="s">
        <v>11</v>
      </c>
      <c r="F1751" s="7" t="s">
        <v>18</v>
      </c>
      <c r="G1751" s="7" t="s">
        <v>19</v>
      </c>
      <c r="H1751" s="7" t="s">
        <v>3565</v>
      </c>
      <c r="I1751" s="8" t="s">
        <v>4697</v>
      </c>
    </row>
    <row r="1752" spans="1:9" x14ac:dyDescent="0.35">
      <c r="A1752" s="6">
        <v>2559338</v>
      </c>
      <c r="B1752" s="7" t="str">
        <f>"1406022006940005"</f>
        <v>1406022006940005</v>
      </c>
      <c r="C1752" s="7" t="s">
        <v>4700</v>
      </c>
      <c r="D1752" s="7" t="s">
        <v>17</v>
      </c>
      <c r="E1752" s="7" t="s">
        <v>11</v>
      </c>
      <c r="F1752" s="7" t="s">
        <v>18</v>
      </c>
      <c r="G1752" s="7" t="s">
        <v>19</v>
      </c>
      <c r="H1752" s="7" t="s">
        <v>3565</v>
      </c>
      <c r="I1752" s="8" t="s">
        <v>4703</v>
      </c>
    </row>
    <row r="1753" spans="1:9" x14ac:dyDescent="0.35">
      <c r="A1753" s="6">
        <v>2558376</v>
      </c>
      <c r="B1753" s="7" t="str">
        <f>"1406090407830006"</f>
        <v>1406090407830006</v>
      </c>
      <c r="C1753" s="7" t="s">
        <v>4707</v>
      </c>
      <c r="D1753" s="7" t="s">
        <v>17</v>
      </c>
      <c r="E1753" s="7" t="s">
        <v>11</v>
      </c>
      <c r="F1753" s="7" t="s">
        <v>18</v>
      </c>
      <c r="G1753" s="7" t="s">
        <v>19</v>
      </c>
      <c r="H1753" s="7" t="s">
        <v>3565</v>
      </c>
      <c r="I1753" s="8" t="s">
        <v>4708</v>
      </c>
    </row>
    <row r="1754" spans="1:9" x14ac:dyDescent="0.35">
      <c r="A1754" s="6">
        <v>2558092</v>
      </c>
      <c r="B1754" s="7" t="str">
        <f>"1806032804980003"</f>
        <v>1806032804980003</v>
      </c>
      <c r="C1754" s="7" t="s">
        <v>4709</v>
      </c>
      <c r="D1754" s="7" t="s">
        <v>17</v>
      </c>
      <c r="E1754" s="7" t="s">
        <v>11</v>
      </c>
      <c r="F1754" s="7" t="s">
        <v>18</v>
      </c>
      <c r="G1754" s="7" t="s">
        <v>19</v>
      </c>
      <c r="H1754" s="7" t="s">
        <v>3565</v>
      </c>
      <c r="I1754" s="8" t="s">
        <v>4711</v>
      </c>
    </row>
    <row r="1755" spans="1:9" x14ac:dyDescent="0.35">
      <c r="A1755" s="6">
        <v>2558438</v>
      </c>
      <c r="B1755" s="7" t="str">
        <f>"3171046911900001"</f>
        <v>3171046911900001</v>
      </c>
      <c r="C1755" s="7" t="s">
        <v>4712</v>
      </c>
      <c r="D1755" s="7" t="s">
        <v>17</v>
      </c>
      <c r="E1755" s="7" t="s">
        <v>11</v>
      </c>
      <c r="F1755" s="7" t="s">
        <v>18</v>
      </c>
      <c r="G1755" s="7" t="s">
        <v>19</v>
      </c>
      <c r="H1755" s="7" t="s">
        <v>3565</v>
      </c>
      <c r="I1755" s="8" t="s">
        <v>4708</v>
      </c>
    </row>
    <row r="1756" spans="1:9" x14ac:dyDescent="0.35">
      <c r="A1756" s="6">
        <v>2558230</v>
      </c>
      <c r="B1756" s="7" t="str">
        <f>"3171080808750009"</f>
        <v>3171080808750009</v>
      </c>
      <c r="C1756" s="7" t="s">
        <v>4713</v>
      </c>
      <c r="D1756" s="7" t="s">
        <v>17</v>
      </c>
      <c r="E1756" s="7" t="s">
        <v>11</v>
      </c>
      <c r="F1756" s="7" t="s">
        <v>18</v>
      </c>
      <c r="G1756" s="7" t="s">
        <v>19</v>
      </c>
      <c r="H1756" s="7" t="s">
        <v>3565</v>
      </c>
      <c r="I1756" s="8" t="s">
        <v>4714</v>
      </c>
    </row>
    <row r="1757" spans="1:9" x14ac:dyDescent="0.35">
      <c r="A1757" s="6">
        <v>2558327</v>
      </c>
      <c r="B1757" s="7" t="str">
        <f>"3171082003580005"</f>
        <v>3171082003580005</v>
      </c>
      <c r="C1757" s="7" t="s">
        <v>4716</v>
      </c>
      <c r="D1757" s="7" t="s">
        <v>17</v>
      </c>
      <c r="E1757" s="7" t="s">
        <v>11</v>
      </c>
      <c r="F1757" s="7" t="s">
        <v>18</v>
      </c>
      <c r="G1757" s="7" t="s">
        <v>19</v>
      </c>
      <c r="H1757" s="7" t="s">
        <v>3565</v>
      </c>
      <c r="I1757" s="8" t="s">
        <v>4708</v>
      </c>
    </row>
    <row r="1758" spans="1:9" x14ac:dyDescent="0.35">
      <c r="A1758" s="6">
        <v>2571872</v>
      </c>
      <c r="B1758" s="7" t="str">
        <f>"3171082008670004"</f>
        <v>3171082008670004</v>
      </c>
      <c r="C1758" s="7" t="s">
        <v>4717</v>
      </c>
      <c r="D1758" s="7" t="s">
        <v>17</v>
      </c>
      <c r="E1758" s="7" t="s">
        <v>11</v>
      </c>
      <c r="F1758" s="7" t="s">
        <v>18</v>
      </c>
      <c r="G1758" s="7" t="s">
        <v>19</v>
      </c>
      <c r="H1758" s="7" t="s">
        <v>3565</v>
      </c>
      <c r="I1758" s="8" t="s">
        <v>4156</v>
      </c>
    </row>
    <row r="1759" spans="1:9" x14ac:dyDescent="0.35">
      <c r="A1759" s="6">
        <v>2559000</v>
      </c>
      <c r="B1759" s="7" t="str">
        <f>"3172015408870003"</f>
        <v>3172015408870003</v>
      </c>
      <c r="C1759" s="7" t="s">
        <v>4718</v>
      </c>
      <c r="D1759" s="7" t="s">
        <v>17</v>
      </c>
      <c r="E1759" s="7" t="s">
        <v>11</v>
      </c>
      <c r="F1759" s="7" t="s">
        <v>18</v>
      </c>
      <c r="G1759" s="7" t="s">
        <v>19</v>
      </c>
      <c r="H1759" s="7" t="s">
        <v>3565</v>
      </c>
      <c r="I1759" s="8" t="s">
        <v>4719</v>
      </c>
    </row>
    <row r="1760" spans="1:9" x14ac:dyDescent="0.35">
      <c r="A1760" s="6">
        <v>2559001</v>
      </c>
      <c r="B1760" s="7" t="str">
        <f>"3172015703580004"</f>
        <v>3172015703580004</v>
      </c>
      <c r="C1760" s="7" t="s">
        <v>4720</v>
      </c>
      <c r="D1760" s="7" t="s">
        <v>17</v>
      </c>
      <c r="E1760" s="7" t="s">
        <v>11</v>
      </c>
      <c r="F1760" s="7" t="s">
        <v>18</v>
      </c>
      <c r="G1760" s="7" t="s">
        <v>19</v>
      </c>
      <c r="H1760" s="7" t="s">
        <v>3565</v>
      </c>
      <c r="I1760" s="8" t="s">
        <v>4719</v>
      </c>
    </row>
    <row r="1761" spans="1:9" x14ac:dyDescent="0.35">
      <c r="A1761" s="6">
        <v>2559298</v>
      </c>
      <c r="B1761" s="7" t="str">
        <f>"3172023112470016"</f>
        <v>3172023112470016</v>
      </c>
      <c r="C1761" s="7" t="s">
        <v>4722</v>
      </c>
      <c r="D1761" s="7" t="s">
        <v>17</v>
      </c>
      <c r="E1761" s="7" t="s">
        <v>11</v>
      </c>
      <c r="F1761" s="7" t="s">
        <v>18</v>
      </c>
      <c r="G1761" s="7" t="s">
        <v>19</v>
      </c>
      <c r="H1761" s="7" t="s">
        <v>3565</v>
      </c>
      <c r="I1761" s="8" t="s">
        <v>4703</v>
      </c>
    </row>
    <row r="1762" spans="1:9" x14ac:dyDescent="0.35">
      <c r="A1762" s="6">
        <v>2558339</v>
      </c>
      <c r="B1762" s="7" t="str">
        <f>"3172035707030012"</f>
        <v>3172035707030012</v>
      </c>
      <c r="C1762" s="7" t="s">
        <v>4724</v>
      </c>
      <c r="D1762" s="7" t="s">
        <v>17</v>
      </c>
      <c r="E1762" s="7" t="s">
        <v>11</v>
      </c>
      <c r="F1762" s="7" t="s">
        <v>18</v>
      </c>
      <c r="G1762" s="7" t="s">
        <v>19</v>
      </c>
      <c r="H1762" s="7" t="s">
        <v>3565</v>
      </c>
      <c r="I1762" s="8" t="s">
        <v>4708</v>
      </c>
    </row>
    <row r="1763" spans="1:9" x14ac:dyDescent="0.35">
      <c r="A1763" s="6">
        <v>2558220</v>
      </c>
      <c r="B1763" s="7" t="str">
        <f>"3172041307780013"</f>
        <v>3172041307780013</v>
      </c>
      <c r="C1763" s="7" t="s">
        <v>4726</v>
      </c>
      <c r="D1763" s="7" t="s">
        <v>17</v>
      </c>
      <c r="E1763" s="7" t="s">
        <v>11</v>
      </c>
      <c r="F1763" s="7" t="s">
        <v>18</v>
      </c>
      <c r="G1763" s="7" t="s">
        <v>19</v>
      </c>
      <c r="H1763" s="7" t="s">
        <v>3565</v>
      </c>
      <c r="I1763" s="8" t="s">
        <v>4714</v>
      </c>
    </row>
    <row r="1764" spans="1:9" x14ac:dyDescent="0.35">
      <c r="A1764" s="6">
        <v>2558938</v>
      </c>
      <c r="B1764" s="7" t="str">
        <f>"3173010608780024"</f>
        <v>3173010608780024</v>
      </c>
      <c r="C1764" s="7" t="s">
        <v>4728</v>
      </c>
      <c r="D1764" s="7" t="s">
        <v>17</v>
      </c>
      <c r="E1764" s="7" t="s">
        <v>11</v>
      </c>
      <c r="F1764" s="7" t="s">
        <v>18</v>
      </c>
      <c r="G1764" s="7" t="s">
        <v>19</v>
      </c>
      <c r="H1764" s="7" t="s">
        <v>3565</v>
      </c>
      <c r="I1764" s="8" t="s">
        <v>4719</v>
      </c>
    </row>
    <row r="1765" spans="1:9" x14ac:dyDescent="0.35">
      <c r="A1765" s="6">
        <v>2571707</v>
      </c>
      <c r="B1765" s="7" t="str">
        <f>"3173016102061005"</f>
        <v>3173016102061005</v>
      </c>
      <c r="C1765" s="7" t="s">
        <v>4729</v>
      </c>
      <c r="D1765" s="7" t="s">
        <v>17</v>
      </c>
      <c r="E1765" s="7" t="s">
        <v>11</v>
      </c>
      <c r="F1765" s="7" t="s">
        <v>18</v>
      </c>
      <c r="G1765" s="7" t="s">
        <v>19</v>
      </c>
      <c r="H1765" s="7" t="s">
        <v>3565</v>
      </c>
      <c r="I1765" s="8" t="s">
        <v>4731</v>
      </c>
    </row>
    <row r="1766" spans="1:9" x14ac:dyDescent="0.35">
      <c r="A1766" s="6">
        <v>2558814</v>
      </c>
      <c r="B1766" s="7" t="str">
        <f>"3173022505860015"</f>
        <v>3173022505860015</v>
      </c>
      <c r="C1766" s="7" t="s">
        <v>4732</v>
      </c>
      <c r="D1766" s="7" t="s">
        <v>17</v>
      </c>
      <c r="E1766" s="7" t="s">
        <v>11</v>
      </c>
      <c r="F1766" s="7" t="s">
        <v>18</v>
      </c>
      <c r="G1766" s="7" t="s">
        <v>19</v>
      </c>
      <c r="H1766" s="7" t="s">
        <v>3565</v>
      </c>
      <c r="I1766" s="8" t="s">
        <v>3565</v>
      </c>
    </row>
    <row r="1767" spans="1:9" x14ac:dyDescent="0.35">
      <c r="A1767" s="6">
        <v>2558815</v>
      </c>
      <c r="B1767" s="7" t="str">
        <f>"3173026003910001"</f>
        <v>3173026003910001</v>
      </c>
      <c r="C1767" s="7" t="s">
        <v>4733</v>
      </c>
      <c r="D1767" s="7" t="s">
        <v>17</v>
      </c>
      <c r="E1767" s="7" t="s">
        <v>11</v>
      </c>
      <c r="F1767" s="7" t="s">
        <v>18</v>
      </c>
      <c r="G1767" s="7" t="s">
        <v>19</v>
      </c>
      <c r="H1767" s="7" t="s">
        <v>3565</v>
      </c>
      <c r="I1767" s="8" t="s">
        <v>3565</v>
      </c>
    </row>
    <row r="1768" spans="1:9" x14ac:dyDescent="0.35">
      <c r="A1768" s="6">
        <v>2558823</v>
      </c>
      <c r="B1768" s="7" t="str">
        <f>"3173031002900003"</f>
        <v>3173031002900003</v>
      </c>
      <c r="C1768" s="7" t="s">
        <v>4734</v>
      </c>
      <c r="D1768" s="7" t="s">
        <v>17</v>
      </c>
      <c r="E1768" s="7" t="s">
        <v>11</v>
      </c>
      <c r="F1768" s="7" t="s">
        <v>18</v>
      </c>
      <c r="G1768" s="7" t="s">
        <v>19</v>
      </c>
      <c r="H1768" s="7" t="s">
        <v>3565</v>
      </c>
      <c r="I1768" s="8" t="s">
        <v>4735</v>
      </c>
    </row>
    <row r="1769" spans="1:9" x14ac:dyDescent="0.35">
      <c r="A1769" s="6">
        <v>2559065</v>
      </c>
      <c r="B1769" s="7" t="str">
        <f>"3173071502730006"</f>
        <v>3173071502730006</v>
      </c>
      <c r="C1769" s="7" t="s">
        <v>4738</v>
      </c>
      <c r="D1769" s="7" t="s">
        <v>17</v>
      </c>
      <c r="E1769" s="7" t="s">
        <v>11</v>
      </c>
      <c r="F1769" s="7" t="s">
        <v>18</v>
      </c>
      <c r="G1769" s="7" t="s">
        <v>19</v>
      </c>
      <c r="H1769" s="7" t="s">
        <v>3565</v>
      </c>
      <c r="I1769" s="8" t="s">
        <v>4719</v>
      </c>
    </row>
    <row r="1770" spans="1:9" x14ac:dyDescent="0.35">
      <c r="A1770" s="6">
        <v>2558447</v>
      </c>
      <c r="B1770" s="7" t="str">
        <f>"3173080112751001"</f>
        <v>3173080112751001</v>
      </c>
      <c r="C1770" s="7" t="s">
        <v>4740</v>
      </c>
      <c r="D1770" s="7" t="s">
        <v>17</v>
      </c>
      <c r="E1770" s="7" t="s">
        <v>11</v>
      </c>
      <c r="F1770" s="7" t="s">
        <v>18</v>
      </c>
      <c r="G1770" s="7" t="s">
        <v>19</v>
      </c>
      <c r="H1770" s="7" t="s">
        <v>3565</v>
      </c>
      <c r="I1770" s="8" t="s">
        <v>4708</v>
      </c>
    </row>
    <row r="1771" spans="1:9" x14ac:dyDescent="0.35">
      <c r="A1771" s="6">
        <v>2558445</v>
      </c>
      <c r="B1771" s="7" t="str">
        <f>"3173085707041001"</f>
        <v>3173085707041001</v>
      </c>
      <c r="C1771" s="7" t="s">
        <v>4742</v>
      </c>
      <c r="D1771" s="7" t="s">
        <v>17</v>
      </c>
      <c r="E1771" s="7" t="s">
        <v>11</v>
      </c>
      <c r="F1771" s="7" t="s">
        <v>18</v>
      </c>
      <c r="G1771" s="7" t="s">
        <v>19</v>
      </c>
      <c r="H1771" s="7" t="s">
        <v>3565</v>
      </c>
      <c r="I1771" s="8" t="s">
        <v>4708</v>
      </c>
    </row>
    <row r="1772" spans="1:9" x14ac:dyDescent="0.35">
      <c r="A1772" s="6">
        <v>2558446</v>
      </c>
      <c r="B1772" s="7" t="str">
        <f>"3173086610851003"</f>
        <v>3173086610851003</v>
      </c>
      <c r="C1772" s="7" t="s">
        <v>4744</v>
      </c>
      <c r="D1772" s="7" t="s">
        <v>17</v>
      </c>
      <c r="E1772" s="7" t="s">
        <v>11</v>
      </c>
      <c r="F1772" s="7" t="s">
        <v>18</v>
      </c>
      <c r="G1772" s="7" t="s">
        <v>19</v>
      </c>
      <c r="H1772" s="7" t="s">
        <v>3565</v>
      </c>
      <c r="I1772" s="8" t="s">
        <v>4708</v>
      </c>
    </row>
    <row r="1773" spans="1:9" x14ac:dyDescent="0.35">
      <c r="A1773" s="6">
        <v>2571754</v>
      </c>
      <c r="B1773" s="7" t="str">
        <f>"3174032410910003"</f>
        <v>3174032410910003</v>
      </c>
      <c r="C1773" s="7" t="s">
        <v>4745</v>
      </c>
      <c r="D1773" s="7" t="s">
        <v>17</v>
      </c>
      <c r="E1773" s="7" t="s">
        <v>11</v>
      </c>
      <c r="F1773" s="7" t="s">
        <v>18</v>
      </c>
      <c r="G1773" s="7" t="s">
        <v>19</v>
      </c>
      <c r="H1773" s="7" t="s">
        <v>3565</v>
      </c>
      <c r="I1773" s="8" t="s">
        <v>4731</v>
      </c>
    </row>
    <row r="1774" spans="1:9" x14ac:dyDescent="0.35">
      <c r="A1774" s="6">
        <v>2571926</v>
      </c>
      <c r="B1774" s="7" t="str">
        <f>"3174062007900004"</f>
        <v>3174062007900004</v>
      </c>
      <c r="C1774" s="7" t="s">
        <v>565</v>
      </c>
      <c r="D1774" s="7" t="s">
        <v>17</v>
      </c>
      <c r="E1774" s="7" t="s">
        <v>11</v>
      </c>
      <c r="F1774" s="7" t="s">
        <v>18</v>
      </c>
      <c r="G1774" s="7" t="s">
        <v>19</v>
      </c>
      <c r="H1774" s="7" t="s">
        <v>3565</v>
      </c>
      <c r="I1774" s="8" t="s">
        <v>4156</v>
      </c>
    </row>
    <row r="1775" spans="1:9" x14ac:dyDescent="0.35">
      <c r="A1775" s="6">
        <v>2571731</v>
      </c>
      <c r="B1775" s="7" t="str">
        <f>"3174070505690003"</f>
        <v>3174070505690003</v>
      </c>
      <c r="C1775" s="7" t="s">
        <v>4746</v>
      </c>
      <c r="D1775" s="7" t="s">
        <v>17</v>
      </c>
      <c r="E1775" s="7" t="s">
        <v>11</v>
      </c>
      <c r="F1775" s="7" t="s">
        <v>18</v>
      </c>
      <c r="G1775" s="7" t="s">
        <v>19</v>
      </c>
      <c r="H1775" s="7" t="s">
        <v>3565</v>
      </c>
      <c r="I1775" s="8" t="s">
        <v>4731</v>
      </c>
    </row>
    <row r="1776" spans="1:9" x14ac:dyDescent="0.35">
      <c r="A1776" s="6">
        <v>2557944</v>
      </c>
      <c r="B1776" s="7" t="str">
        <f>"3174072307870004"</f>
        <v>3174072307870004</v>
      </c>
      <c r="C1776" s="7" t="s">
        <v>4747</v>
      </c>
      <c r="D1776" s="7" t="s">
        <v>17</v>
      </c>
      <c r="E1776" s="7" t="s">
        <v>11</v>
      </c>
      <c r="F1776" s="7" t="s">
        <v>18</v>
      </c>
      <c r="G1776" s="7" t="s">
        <v>19</v>
      </c>
      <c r="H1776" s="7" t="s">
        <v>3565</v>
      </c>
      <c r="I1776" s="8" t="s">
        <v>4748</v>
      </c>
    </row>
    <row r="1777" spans="1:9" x14ac:dyDescent="0.35">
      <c r="A1777" s="6">
        <v>2558999</v>
      </c>
      <c r="B1777" s="7" t="str">
        <f>"3175020305710013"</f>
        <v>3175020305710013</v>
      </c>
      <c r="C1777" s="7" t="s">
        <v>4749</v>
      </c>
      <c r="D1777" s="7" t="s">
        <v>17</v>
      </c>
      <c r="E1777" s="7" t="s">
        <v>11</v>
      </c>
      <c r="F1777" s="7" t="s">
        <v>18</v>
      </c>
      <c r="G1777" s="7" t="s">
        <v>19</v>
      </c>
      <c r="H1777" s="7" t="s">
        <v>3565</v>
      </c>
      <c r="I1777" s="8" t="s">
        <v>4719</v>
      </c>
    </row>
    <row r="1778" spans="1:9" x14ac:dyDescent="0.35">
      <c r="A1778" s="6">
        <v>2571842</v>
      </c>
      <c r="B1778" s="7" t="str">
        <f>"3201016407850013"</f>
        <v>3201016407850013</v>
      </c>
      <c r="C1778" s="7" t="s">
        <v>4756</v>
      </c>
      <c r="D1778" s="7" t="s">
        <v>17</v>
      </c>
      <c r="E1778" s="7" t="s">
        <v>11</v>
      </c>
      <c r="F1778" s="7" t="s">
        <v>18</v>
      </c>
      <c r="G1778" s="7" t="s">
        <v>19</v>
      </c>
      <c r="H1778" s="7" t="s">
        <v>3565</v>
      </c>
      <c r="I1778" s="8" t="s">
        <v>4156</v>
      </c>
    </row>
    <row r="1779" spans="1:9" x14ac:dyDescent="0.35">
      <c r="A1779" s="6">
        <v>2558228</v>
      </c>
      <c r="B1779" s="7" t="str">
        <f>"3201021104850015"</f>
        <v>3201021104850015</v>
      </c>
      <c r="C1779" s="7" t="s">
        <v>4757</v>
      </c>
      <c r="D1779" s="7" t="s">
        <v>17</v>
      </c>
      <c r="E1779" s="7" t="s">
        <v>11</v>
      </c>
      <c r="F1779" s="7" t="s">
        <v>18</v>
      </c>
      <c r="G1779" s="7" t="s">
        <v>19</v>
      </c>
      <c r="H1779" s="7" t="s">
        <v>3565</v>
      </c>
      <c r="I1779" s="8" t="s">
        <v>4714</v>
      </c>
    </row>
    <row r="1780" spans="1:9" x14ac:dyDescent="0.35">
      <c r="A1780" s="6">
        <v>2558229</v>
      </c>
      <c r="B1780" s="7" t="str">
        <f>"3201024608870008"</f>
        <v>3201024608870008</v>
      </c>
      <c r="C1780" s="7" t="s">
        <v>4759</v>
      </c>
      <c r="D1780" s="7" t="s">
        <v>17</v>
      </c>
      <c r="E1780" s="7" t="s">
        <v>11</v>
      </c>
      <c r="F1780" s="7" t="s">
        <v>18</v>
      </c>
      <c r="G1780" s="7" t="s">
        <v>19</v>
      </c>
      <c r="H1780" s="7" t="s">
        <v>3565</v>
      </c>
      <c r="I1780" s="8" t="s">
        <v>4714</v>
      </c>
    </row>
    <row r="1781" spans="1:9" x14ac:dyDescent="0.35">
      <c r="A1781" s="6">
        <v>2559051</v>
      </c>
      <c r="B1781" s="7" t="str">
        <f>"3201122309540002"</f>
        <v>3201122309540002</v>
      </c>
      <c r="C1781" s="7" t="s">
        <v>4760</v>
      </c>
      <c r="D1781" s="7" t="s">
        <v>17</v>
      </c>
      <c r="E1781" s="7" t="s">
        <v>11</v>
      </c>
      <c r="F1781" s="7" t="s">
        <v>18</v>
      </c>
      <c r="G1781" s="7" t="s">
        <v>19</v>
      </c>
      <c r="H1781" s="7" t="s">
        <v>3565</v>
      </c>
      <c r="I1781" s="8" t="s">
        <v>4719</v>
      </c>
    </row>
    <row r="1782" spans="1:9" x14ac:dyDescent="0.35">
      <c r="A1782" s="6">
        <v>2558646</v>
      </c>
      <c r="B1782" s="7" t="str">
        <f>"3208076303980003"</f>
        <v>3208076303980003</v>
      </c>
      <c r="C1782" s="7" t="s">
        <v>4761</v>
      </c>
      <c r="D1782" s="7" t="s">
        <v>17</v>
      </c>
      <c r="E1782" s="7" t="s">
        <v>11</v>
      </c>
      <c r="F1782" s="7" t="s">
        <v>18</v>
      </c>
      <c r="G1782" s="7" t="s">
        <v>19</v>
      </c>
      <c r="H1782" s="7" t="s">
        <v>3565</v>
      </c>
      <c r="I1782" s="8" t="s">
        <v>4697</v>
      </c>
    </row>
    <row r="1783" spans="1:9" x14ac:dyDescent="0.35">
      <c r="A1783" s="6">
        <v>2558134</v>
      </c>
      <c r="B1783" s="7" t="str">
        <f>"3209250607920003"</f>
        <v>3209250607920003</v>
      </c>
      <c r="C1783" s="7" t="s">
        <v>4763</v>
      </c>
      <c r="D1783" s="7" t="s">
        <v>17</v>
      </c>
      <c r="E1783" s="7" t="s">
        <v>11</v>
      </c>
      <c r="F1783" s="7" t="s">
        <v>18</v>
      </c>
      <c r="G1783" s="7" t="s">
        <v>19</v>
      </c>
      <c r="H1783" s="7" t="s">
        <v>3565</v>
      </c>
      <c r="I1783" s="8" t="s">
        <v>4765</v>
      </c>
    </row>
    <row r="1784" spans="1:9" x14ac:dyDescent="0.35">
      <c r="A1784" s="6">
        <v>2557793</v>
      </c>
      <c r="B1784" s="7" t="str">
        <f>"3209281412990001"</f>
        <v>3209281412990001</v>
      </c>
      <c r="C1784" s="7" t="s">
        <v>4766</v>
      </c>
      <c r="D1784" s="7" t="s">
        <v>17</v>
      </c>
      <c r="E1784" s="7" t="s">
        <v>11</v>
      </c>
      <c r="F1784" s="7" t="s">
        <v>18</v>
      </c>
      <c r="G1784" s="7" t="s">
        <v>19</v>
      </c>
      <c r="H1784" s="7" t="s">
        <v>3565</v>
      </c>
      <c r="I1784" s="8" t="s">
        <v>4769</v>
      </c>
    </row>
    <row r="1785" spans="1:9" x14ac:dyDescent="0.35">
      <c r="A1785" s="6">
        <v>1825650</v>
      </c>
      <c r="B1785" s="7" t="str">
        <f>"3211032405550001"</f>
        <v>3211032405550001</v>
      </c>
      <c r="C1785" s="7" t="s">
        <v>4772</v>
      </c>
      <c r="D1785" s="7" t="s">
        <v>17</v>
      </c>
      <c r="E1785" s="7" t="s">
        <v>11</v>
      </c>
      <c r="F1785" s="7" t="s">
        <v>91</v>
      </c>
      <c r="G1785" s="7" t="s">
        <v>1763</v>
      </c>
      <c r="H1785" s="7" t="s">
        <v>4773</v>
      </c>
      <c r="I1785" s="8" t="s">
        <v>2361</v>
      </c>
    </row>
    <row r="1786" spans="1:9" x14ac:dyDescent="0.35">
      <c r="A1786" s="6">
        <v>1888720</v>
      </c>
      <c r="B1786" s="7" t="str">
        <f>"3211084803910011"</f>
        <v>3211084803910011</v>
      </c>
      <c r="C1786" s="7" t="s">
        <v>4774</v>
      </c>
      <c r="D1786" s="7" t="s">
        <v>17</v>
      </c>
      <c r="E1786" s="7" t="s">
        <v>11</v>
      </c>
      <c r="F1786" s="7" t="s">
        <v>91</v>
      </c>
      <c r="G1786" s="7" t="s">
        <v>1763</v>
      </c>
      <c r="H1786" s="7" t="s">
        <v>4776</v>
      </c>
      <c r="I1786" s="8" t="s">
        <v>4777</v>
      </c>
    </row>
    <row r="1787" spans="1:9" x14ac:dyDescent="0.35">
      <c r="A1787" s="6">
        <v>2571652</v>
      </c>
      <c r="B1787" s="7" t="str">
        <f>"3211183012520002"</f>
        <v>3211183012520002</v>
      </c>
      <c r="C1787" s="7" t="s">
        <v>4778</v>
      </c>
      <c r="D1787" s="7" t="s">
        <v>17</v>
      </c>
      <c r="E1787" s="7" t="s">
        <v>11</v>
      </c>
      <c r="F1787" s="7" t="s">
        <v>18</v>
      </c>
      <c r="G1787" s="7" t="s">
        <v>19</v>
      </c>
      <c r="H1787" s="7" t="s">
        <v>3565</v>
      </c>
      <c r="I1787" s="8" t="s">
        <v>678</v>
      </c>
    </row>
    <row r="1788" spans="1:9" x14ac:dyDescent="0.35">
      <c r="A1788" s="6">
        <v>2571653</v>
      </c>
      <c r="B1788" s="7" t="str">
        <f>"3211185511570006"</f>
        <v>3211185511570006</v>
      </c>
      <c r="C1788" s="7" t="s">
        <v>4781</v>
      </c>
      <c r="D1788" s="7" t="s">
        <v>17</v>
      </c>
      <c r="E1788" s="7" t="s">
        <v>11</v>
      </c>
      <c r="F1788" s="7" t="s">
        <v>18</v>
      </c>
      <c r="G1788" s="7" t="s">
        <v>19</v>
      </c>
      <c r="H1788" s="7" t="s">
        <v>3565</v>
      </c>
      <c r="I1788" s="8" t="s">
        <v>678</v>
      </c>
    </row>
    <row r="1789" spans="1:9" x14ac:dyDescent="0.35">
      <c r="A1789" s="6">
        <v>2558701</v>
      </c>
      <c r="B1789" s="7" t="str">
        <f>"3211230504740008"</f>
        <v>3211230504740008</v>
      </c>
      <c r="C1789" s="7" t="s">
        <v>4782</v>
      </c>
      <c r="D1789" s="7" t="s">
        <v>17</v>
      </c>
      <c r="E1789" s="7" t="s">
        <v>11</v>
      </c>
      <c r="F1789" s="7" t="s">
        <v>18</v>
      </c>
      <c r="G1789" s="7" t="s">
        <v>19</v>
      </c>
      <c r="H1789" s="7" t="s">
        <v>3565</v>
      </c>
      <c r="I1789" s="8" t="s">
        <v>4752</v>
      </c>
    </row>
    <row r="1790" spans="1:9" x14ac:dyDescent="0.35">
      <c r="A1790" s="6">
        <v>2558702</v>
      </c>
      <c r="B1790" s="7" t="str">
        <f>"3211231504970001"</f>
        <v>3211231504970001</v>
      </c>
      <c r="C1790" s="7" t="s">
        <v>4784</v>
      </c>
      <c r="D1790" s="7" t="s">
        <v>17</v>
      </c>
      <c r="E1790" s="7" t="s">
        <v>11</v>
      </c>
      <c r="F1790" s="7" t="s">
        <v>18</v>
      </c>
      <c r="G1790" s="7" t="s">
        <v>19</v>
      </c>
      <c r="H1790" s="7" t="s">
        <v>3565</v>
      </c>
      <c r="I1790" s="8" t="s">
        <v>4752</v>
      </c>
    </row>
    <row r="1791" spans="1:9" x14ac:dyDescent="0.35">
      <c r="A1791" s="6">
        <v>2558703</v>
      </c>
      <c r="B1791" s="7" t="str">
        <f>"3211232008030003"</f>
        <v>3211232008030003</v>
      </c>
      <c r="C1791" s="7" t="s">
        <v>4785</v>
      </c>
      <c r="D1791" s="7" t="s">
        <v>17</v>
      </c>
      <c r="E1791" s="7" t="s">
        <v>11</v>
      </c>
      <c r="F1791" s="7" t="s">
        <v>18</v>
      </c>
      <c r="G1791" s="7" t="s">
        <v>19</v>
      </c>
      <c r="H1791" s="7" t="s">
        <v>3565</v>
      </c>
      <c r="I1791" s="8" t="s">
        <v>4752</v>
      </c>
    </row>
    <row r="1792" spans="1:9" x14ac:dyDescent="0.35">
      <c r="A1792" s="6">
        <v>2558704</v>
      </c>
      <c r="B1792" s="7" t="str">
        <f>"3211235510770001"</f>
        <v>3211235510770001</v>
      </c>
      <c r="C1792" s="7" t="s">
        <v>4786</v>
      </c>
      <c r="D1792" s="7" t="s">
        <v>17</v>
      </c>
      <c r="E1792" s="7" t="s">
        <v>11</v>
      </c>
      <c r="F1792" s="7" t="s">
        <v>18</v>
      </c>
      <c r="G1792" s="7" t="s">
        <v>19</v>
      </c>
      <c r="H1792" s="7" t="s">
        <v>3565</v>
      </c>
      <c r="I1792" s="8" t="s">
        <v>4752</v>
      </c>
    </row>
    <row r="1793" spans="1:9" x14ac:dyDescent="0.35">
      <c r="A1793" s="6">
        <v>2558569</v>
      </c>
      <c r="B1793" s="7" t="str">
        <f>"3212112311030001"</f>
        <v>3212112311030001</v>
      </c>
      <c r="C1793" s="7" t="s">
        <v>4790</v>
      </c>
      <c r="D1793" s="7" t="s">
        <v>17</v>
      </c>
      <c r="E1793" s="7" t="s">
        <v>11</v>
      </c>
      <c r="F1793" s="7" t="s">
        <v>18</v>
      </c>
      <c r="G1793" s="7" t="s">
        <v>19</v>
      </c>
      <c r="H1793" s="7" t="s">
        <v>3565</v>
      </c>
      <c r="I1793" s="8" t="s">
        <v>4697</v>
      </c>
    </row>
    <row r="1794" spans="1:9" x14ac:dyDescent="0.35">
      <c r="A1794" s="6">
        <v>2558121</v>
      </c>
      <c r="B1794" s="7" t="str">
        <f>"3216084301890002"</f>
        <v>3216084301890002</v>
      </c>
      <c r="C1794" s="7" t="s">
        <v>4792</v>
      </c>
      <c r="D1794" s="7" t="s">
        <v>17</v>
      </c>
      <c r="E1794" s="7" t="s">
        <v>11</v>
      </c>
      <c r="F1794" s="7" t="s">
        <v>18</v>
      </c>
      <c r="G1794" s="7" t="s">
        <v>19</v>
      </c>
      <c r="H1794" s="7" t="s">
        <v>3565</v>
      </c>
      <c r="I1794" s="8" t="s">
        <v>4765</v>
      </c>
    </row>
    <row r="1795" spans="1:9" x14ac:dyDescent="0.35">
      <c r="A1795" s="6">
        <v>2571695</v>
      </c>
      <c r="B1795" s="7" t="str">
        <f>"3275024407720015"</f>
        <v>3275024407720015</v>
      </c>
      <c r="C1795" s="7" t="s">
        <v>4793</v>
      </c>
      <c r="D1795" s="7" t="s">
        <v>17</v>
      </c>
      <c r="E1795" s="7" t="s">
        <v>11</v>
      </c>
      <c r="F1795" s="7" t="s">
        <v>18</v>
      </c>
      <c r="G1795" s="7" t="s">
        <v>19</v>
      </c>
      <c r="H1795" s="7" t="s">
        <v>3565</v>
      </c>
      <c r="I1795" s="8" t="s">
        <v>678</v>
      </c>
    </row>
    <row r="1796" spans="1:9" x14ac:dyDescent="0.35">
      <c r="A1796" s="6">
        <v>2558218</v>
      </c>
      <c r="B1796" s="7" t="str">
        <f>"3275031709840034"</f>
        <v>3275031709840034</v>
      </c>
      <c r="C1796" s="7" t="s">
        <v>4795</v>
      </c>
      <c r="D1796" s="7" t="s">
        <v>17</v>
      </c>
      <c r="E1796" s="7" t="s">
        <v>11</v>
      </c>
      <c r="F1796" s="7" t="s">
        <v>18</v>
      </c>
      <c r="G1796" s="7" t="s">
        <v>19</v>
      </c>
      <c r="H1796" s="7" t="s">
        <v>3565</v>
      </c>
      <c r="I1796" s="8" t="s">
        <v>4714</v>
      </c>
    </row>
    <row r="1797" spans="1:9" x14ac:dyDescent="0.35">
      <c r="A1797" s="6">
        <v>1112187</v>
      </c>
      <c r="B1797" s="7" t="str">
        <f>"3305051908930001"</f>
        <v>3305051908930001</v>
      </c>
      <c r="C1797" s="7" t="s">
        <v>4796</v>
      </c>
      <c r="D1797" s="7" t="s">
        <v>17</v>
      </c>
      <c r="E1797" s="7" t="s">
        <v>11</v>
      </c>
      <c r="F1797" s="7" t="s">
        <v>18</v>
      </c>
      <c r="G1797" s="7" t="s">
        <v>171</v>
      </c>
      <c r="H1797" s="7" t="s">
        <v>4797</v>
      </c>
      <c r="I1797" s="8" t="s">
        <v>4798</v>
      </c>
    </row>
    <row r="1798" spans="1:9" x14ac:dyDescent="0.35">
      <c r="A1798" s="6">
        <v>2571659</v>
      </c>
      <c r="B1798" s="7" t="str">
        <f>"3314030311920001"</f>
        <v>3314030311920001</v>
      </c>
      <c r="C1798" s="7" t="s">
        <v>4799</v>
      </c>
      <c r="D1798" s="7" t="s">
        <v>17</v>
      </c>
      <c r="E1798" s="7" t="s">
        <v>11</v>
      </c>
      <c r="F1798" s="7" t="s">
        <v>18</v>
      </c>
      <c r="G1798" s="7" t="s">
        <v>19</v>
      </c>
      <c r="H1798" s="7" t="s">
        <v>3565</v>
      </c>
      <c r="I1798" s="8" t="s">
        <v>678</v>
      </c>
    </row>
    <row r="1799" spans="1:9" x14ac:dyDescent="0.35">
      <c r="A1799" s="6">
        <v>2559110</v>
      </c>
      <c r="B1799" s="7" t="str">
        <f>"3327101505840041"</f>
        <v>3327101505840041</v>
      </c>
      <c r="C1799" s="7" t="s">
        <v>4802</v>
      </c>
      <c r="D1799" s="7" t="s">
        <v>17</v>
      </c>
      <c r="E1799" s="7" t="s">
        <v>11</v>
      </c>
      <c r="F1799" s="7" t="s">
        <v>18</v>
      </c>
      <c r="G1799" s="7" t="s">
        <v>19</v>
      </c>
      <c r="H1799" s="7" t="s">
        <v>3565</v>
      </c>
      <c r="I1799" s="8" t="s">
        <v>4771</v>
      </c>
    </row>
    <row r="1800" spans="1:9" x14ac:dyDescent="0.35">
      <c r="A1800" s="6">
        <v>2571884</v>
      </c>
      <c r="B1800" s="7" t="str">
        <f>"3327102411780004"</f>
        <v>3327102411780004</v>
      </c>
      <c r="C1800" s="7" t="s">
        <v>4803</v>
      </c>
      <c r="D1800" s="7" t="s">
        <v>17</v>
      </c>
      <c r="E1800" s="7" t="s">
        <v>11</v>
      </c>
      <c r="F1800" s="7" t="s">
        <v>18</v>
      </c>
      <c r="G1800" s="7" t="s">
        <v>19</v>
      </c>
      <c r="H1800" s="7" t="s">
        <v>3565</v>
      </c>
      <c r="I1800" s="8" t="s">
        <v>4156</v>
      </c>
    </row>
    <row r="1801" spans="1:9" x14ac:dyDescent="0.35">
      <c r="A1801" s="6">
        <v>2558062</v>
      </c>
      <c r="B1801" s="7" t="str">
        <f>"3328102504820002"</f>
        <v>3328102504820002</v>
      </c>
      <c r="C1801" s="7" t="s">
        <v>4808</v>
      </c>
      <c r="D1801" s="7" t="s">
        <v>17</v>
      </c>
      <c r="E1801" s="7" t="s">
        <v>11</v>
      </c>
      <c r="F1801" s="7" t="s">
        <v>18</v>
      </c>
      <c r="G1801" s="7" t="s">
        <v>19</v>
      </c>
      <c r="H1801" s="7" t="s">
        <v>3565</v>
      </c>
      <c r="I1801" s="8" t="s">
        <v>4711</v>
      </c>
    </row>
    <row r="1802" spans="1:9" x14ac:dyDescent="0.35">
      <c r="A1802" s="6">
        <v>2558118</v>
      </c>
      <c r="B1802" s="7" t="str">
        <f>"3328112904970002"</f>
        <v>3328112904970002</v>
      </c>
      <c r="C1802" s="7" t="s">
        <v>4809</v>
      </c>
      <c r="D1802" s="7" t="s">
        <v>17</v>
      </c>
      <c r="E1802" s="7" t="s">
        <v>11</v>
      </c>
      <c r="F1802" s="7" t="s">
        <v>18</v>
      </c>
      <c r="G1802" s="7" t="s">
        <v>19</v>
      </c>
      <c r="H1802" s="7" t="s">
        <v>3565</v>
      </c>
      <c r="I1802" s="8" t="s">
        <v>4765</v>
      </c>
    </row>
    <row r="1803" spans="1:9" x14ac:dyDescent="0.35">
      <c r="A1803" s="6">
        <v>2558699</v>
      </c>
      <c r="B1803" s="7" t="str">
        <f>"3328117012920009"</f>
        <v>3328117012920009</v>
      </c>
      <c r="C1803" s="7" t="s">
        <v>4811</v>
      </c>
      <c r="D1803" s="7" t="s">
        <v>17</v>
      </c>
      <c r="E1803" s="7" t="s">
        <v>11</v>
      </c>
      <c r="F1803" s="7" t="s">
        <v>18</v>
      </c>
      <c r="G1803" s="7" t="s">
        <v>19</v>
      </c>
      <c r="H1803" s="7" t="s">
        <v>3565</v>
      </c>
      <c r="I1803" s="8" t="s">
        <v>4752</v>
      </c>
    </row>
    <row r="1804" spans="1:9" x14ac:dyDescent="0.35">
      <c r="A1804" s="6">
        <v>2558059</v>
      </c>
      <c r="B1804" s="7" t="str">
        <f>"3328120810870004"</f>
        <v>3328120810870004</v>
      </c>
      <c r="C1804" s="7" t="s">
        <v>4812</v>
      </c>
      <c r="D1804" s="7" t="s">
        <v>17</v>
      </c>
      <c r="E1804" s="7" t="s">
        <v>11</v>
      </c>
      <c r="F1804" s="7" t="s">
        <v>18</v>
      </c>
      <c r="G1804" s="7" t="s">
        <v>19</v>
      </c>
      <c r="H1804" s="7" t="s">
        <v>3565</v>
      </c>
      <c r="I1804" s="8" t="s">
        <v>4711</v>
      </c>
    </row>
    <row r="1805" spans="1:9" x14ac:dyDescent="0.35">
      <c r="A1805" s="6">
        <v>1327677</v>
      </c>
      <c r="B1805" s="7" t="str">
        <f>"3328121503830001"</f>
        <v>3328121503830001</v>
      </c>
      <c r="C1805" s="7" t="s">
        <v>4815</v>
      </c>
      <c r="D1805" s="7" t="s">
        <v>17</v>
      </c>
      <c r="E1805" s="7" t="s">
        <v>11</v>
      </c>
      <c r="F1805" s="7" t="s">
        <v>18</v>
      </c>
      <c r="G1805" s="7" t="s">
        <v>2434</v>
      </c>
      <c r="H1805" s="7" t="s">
        <v>1266</v>
      </c>
      <c r="I1805" s="8" t="s">
        <v>4816</v>
      </c>
    </row>
    <row r="1806" spans="1:9" x14ac:dyDescent="0.35">
      <c r="A1806" s="6">
        <v>2558989</v>
      </c>
      <c r="B1806" s="7" t="str">
        <f>"3328140106610005"</f>
        <v>3328140106610005</v>
      </c>
      <c r="C1806" s="7" t="s">
        <v>4817</v>
      </c>
      <c r="D1806" s="7" t="s">
        <v>17</v>
      </c>
      <c r="E1806" s="7" t="s">
        <v>11</v>
      </c>
      <c r="F1806" s="7" t="s">
        <v>18</v>
      </c>
      <c r="G1806" s="7" t="s">
        <v>19</v>
      </c>
      <c r="H1806" s="7" t="s">
        <v>3565</v>
      </c>
      <c r="I1806" s="8" t="s">
        <v>4719</v>
      </c>
    </row>
    <row r="1807" spans="1:9" x14ac:dyDescent="0.35">
      <c r="A1807" s="6">
        <v>2558330</v>
      </c>
      <c r="B1807" s="7" t="str">
        <f>"3328140307680001"</f>
        <v>3328140307680001</v>
      </c>
      <c r="C1807" s="7" t="s">
        <v>4819</v>
      </c>
      <c r="D1807" s="7" t="s">
        <v>17</v>
      </c>
      <c r="E1807" s="7" t="s">
        <v>11</v>
      </c>
      <c r="F1807" s="7" t="s">
        <v>18</v>
      </c>
      <c r="G1807" s="7" t="s">
        <v>19</v>
      </c>
      <c r="H1807" s="7" t="s">
        <v>3565</v>
      </c>
      <c r="I1807" s="8" t="s">
        <v>4708</v>
      </c>
    </row>
    <row r="1808" spans="1:9" x14ac:dyDescent="0.35">
      <c r="A1808" s="6">
        <v>1940928</v>
      </c>
      <c r="B1808" s="7" t="str">
        <f>"3328140308900004"</f>
        <v>3328140308900004</v>
      </c>
      <c r="C1808" s="7" t="s">
        <v>4821</v>
      </c>
      <c r="D1808" s="7" t="s">
        <v>17</v>
      </c>
      <c r="E1808" s="7" t="s">
        <v>11</v>
      </c>
      <c r="F1808" s="7" t="s">
        <v>50</v>
      </c>
      <c r="G1808" s="7" t="s">
        <v>86</v>
      </c>
      <c r="H1808" s="7" t="s">
        <v>87</v>
      </c>
      <c r="I1808" s="8" t="s">
        <v>88</v>
      </c>
    </row>
    <row r="1809" spans="1:9" x14ac:dyDescent="0.35">
      <c r="A1809" s="6">
        <v>2571818</v>
      </c>
      <c r="B1809" s="7" t="str">
        <f>"3328140503940005"</f>
        <v>3328140503940005</v>
      </c>
      <c r="C1809" s="7" t="s">
        <v>1292</v>
      </c>
      <c r="D1809" s="7" t="s">
        <v>17</v>
      </c>
      <c r="E1809" s="7" t="s">
        <v>11</v>
      </c>
      <c r="F1809" s="7" t="s">
        <v>18</v>
      </c>
      <c r="G1809" s="7" t="s">
        <v>19</v>
      </c>
      <c r="H1809" s="7" t="s">
        <v>3565</v>
      </c>
      <c r="I1809" s="8" t="s">
        <v>4156</v>
      </c>
    </row>
    <row r="1810" spans="1:9" x14ac:dyDescent="0.35">
      <c r="A1810" s="6">
        <v>2571711</v>
      </c>
      <c r="B1810" s="7" t="str">
        <f>"3328140511750008"</f>
        <v>3328140511750008</v>
      </c>
      <c r="C1810" s="7" t="s">
        <v>4823</v>
      </c>
      <c r="D1810" s="7" t="s">
        <v>17</v>
      </c>
      <c r="E1810" s="7" t="s">
        <v>11</v>
      </c>
      <c r="F1810" s="7" t="s">
        <v>18</v>
      </c>
      <c r="G1810" s="7" t="s">
        <v>19</v>
      </c>
      <c r="H1810" s="7" t="s">
        <v>3565</v>
      </c>
      <c r="I1810" s="8" t="s">
        <v>4731</v>
      </c>
    </row>
    <row r="1811" spans="1:9" x14ac:dyDescent="0.35">
      <c r="A1811" s="6">
        <v>2558391</v>
      </c>
      <c r="B1811" s="7" t="str">
        <f>"3328140709810004"</f>
        <v>3328140709810004</v>
      </c>
      <c r="C1811" s="7" t="s">
        <v>4827</v>
      </c>
      <c r="D1811" s="7" t="s">
        <v>17</v>
      </c>
      <c r="E1811" s="7" t="s">
        <v>11</v>
      </c>
      <c r="F1811" s="7" t="s">
        <v>18</v>
      </c>
      <c r="G1811" s="7" t="s">
        <v>19</v>
      </c>
      <c r="H1811" s="7" t="s">
        <v>3565</v>
      </c>
      <c r="I1811" s="8" t="s">
        <v>4708</v>
      </c>
    </row>
    <row r="1812" spans="1:9" x14ac:dyDescent="0.35">
      <c r="A1812" s="6">
        <v>2559022</v>
      </c>
      <c r="B1812" s="7" t="str">
        <f>"3328140906880003"</f>
        <v>3328140906880003</v>
      </c>
      <c r="C1812" s="7" t="s">
        <v>4828</v>
      </c>
      <c r="D1812" s="7" t="s">
        <v>17</v>
      </c>
      <c r="E1812" s="7" t="s">
        <v>11</v>
      </c>
      <c r="F1812" s="7" t="s">
        <v>18</v>
      </c>
      <c r="G1812" s="7" t="s">
        <v>19</v>
      </c>
      <c r="H1812" s="7" t="s">
        <v>3565</v>
      </c>
      <c r="I1812" s="8" t="s">
        <v>4719</v>
      </c>
    </row>
    <row r="1813" spans="1:9" x14ac:dyDescent="0.35">
      <c r="A1813" s="6">
        <v>167471</v>
      </c>
      <c r="B1813" s="7" t="str">
        <f>"3328140906880003"</f>
        <v>3328140906880003</v>
      </c>
      <c r="C1813" s="7" t="s">
        <v>4828</v>
      </c>
      <c r="D1813" s="7" t="s">
        <v>17</v>
      </c>
      <c r="E1813" s="7" t="s">
        <v>11</v>
      </c>
      <c r="F1813" s="7" t="s">
        <v>33</v>
      </c>
      <c r="G1813" s="7" t="s">
        <v>4829</v>
      </c>
      <c r="H1813" s="7" t="s">
        <v>4830</v>
      </c>
      <c r="I1813" s="8" t="s">
        <v>4831</v>
      </c>
    </row>
    <row r="1814" spans="1:9" x14ac:dyDescent="0.35">
      <c r="A1814" s="6">
        <v>2571660</v>
      </c>
      <c r="B1814" s="7" t="str">
        <f>"3328140908670002"</f>
        <v>3328140908670002</v>
      </c>
      <c r="C1814" s="7" t="s">
        <v>4832</v>
      </c>
      <c r="D1814" s="7" t="s">
        <v>17</v>
      </c>
      <c r="E1814" s="7" t="s">
        <v>11</v>
      </c>
      <c r="F1814" s="7" t="s">
        <v>18</v>
      </c>
      <c r="G1814" s="7" t="s">
        <v>19</v>
      </c>
      <c r="H1814" s="7" t="s">
        <v>3565</v>
      </c>
      <c r="I1814" s="8" t="s">
        <v>678</v>
      </c>
    </row>
    <row r="1815" spans="1:9" x14ac:dyDescent="0.35">
      <c r="A1815" s="6">
        <v>2559370</v>
      </c>
      <c r="B1815" s="7" t="str">
        <f>"3328141001690004"</f>
        <v>3328141001690004</v>
      </c>
      <c r="C1815" s="7" t="s">
        <v>4835</v>
      </c>
      <c r="D1815" s="7" t="s">
        <v>17</v>
      </c>
      <c r="E1815" s="7" t="s">
        <v>11</v>
      </c>
      <c r="F1815" s="7" t="s">
        <v>18</v>
      </c>
      <c r="G1815" s="7" t="s">
        <v>19</v>
      </c>
      <c r="H1815" s="7" t="s">
        <v>3565</v>
      </c>
      <c r="I1815" s="8" t="s">
        <v>4836</v>
      </c>
    </row>
    <row r="1816" spans="1:9" x14ac:dyDescent="0.35">
      <c r="A1816" s="6">
        <v>2557759</v>
      </c>
      <c r="B1816" s="7" t="str">
        <f>"3328141007720003"</f>
        <v>3328141007720003</v>
      </c>
      <c r="C1816" s="7" t="s">
        <v>4838</v>
      </c>
      <c r="D1816" s="7" t="s">
        <v>17</v>
      </c>
      <c r="E1816" s="7" t="s">
        <v>11</v>
      </c>
      <c r="F1816" s="7" t="s">
        <v>18</v>
      </c>
      <c r="G1816" s="7" t="s">
        <v>19</v>
      </c>
      <c r="H1816" s="7" t="s">
        <v>3565</v>
      </c>
      <c r="I1816" s="8" t="s">
        <v>4769</v>
      </c>
    </row>
    <row r="1817" spans="1:9" x14ac:dyDescent="0.35">
      <c r="A1817" s="6">
        <v>2558199</v>
      </c>
      <c r="B1817" s="7" t="str">
        <f>"3328141102880003"</f>
        <v>3328141102880003</v>
      </c>
      <c r="C1817" s="7" t="s">
        <v>4840</v>
      </c>
      <c r="D1817" s="7" t="s">
        <v>17</v>
      </c>
      <c r="E1817" s="7" t="s">
        <v>11</v>
      </c>
      <c r="F1817" s="7" t="s">
        <v>18</v>
      </c>
      <c r="G1817" s="7" t="s">
        <v>19</v>
      </c>
      <c r="H1817" s="7" t="s">
        <v>3565</v>
      </c>
      <c r="I1817" s="8" t="s">
        <v>4765</v>
      </c>
    </row>
    <row r="1818" spans="1:9" x14ac:dyDescent="0.35">
      <c r="A1818" s="6">
        <v>881511</v>
      </c>
      <c r="B1818" s="7" t="str">
        <f>"3328141106780003"</f>
        <v>3328141106780003</v>
      </c>
      <c r="C1818" s="7" t="s">
        <v>4841</v>
      </c>
      <c r="D1818" s="7" t="s">
        <v>17</v>
      </c>
      <c r="E1818" s="7" t="s">
        <v>11</v>
      </c>
      <c r="F1818" s="7" t="s">
        <v>18</v>
      </c>
      <c r="G1818" s="7" t="s">
        <v>1522</v>
      </c>
      <c r="H1818" s="7" t="s">
        <v>4842</v>
      </c>
      <c r="I1818" s="8" t="s">
        <v>2066</v>
      </c>
    </row>
    <row r="1819" spans="1:9" x14ac:dyDescent="0.35">
      <c r="A1819" s="6">
        <v>2558402</v>
      </c>
      <c r="B1819" s="7" t="str">
        <f>"3328141302950006"</f>
        <v>3328141302950006</v>
      </c>
      <c r="C1819" s="7" t="s">
        <v>4843</v>
      </c>
      <c r="D1819" s="7" t="s">
        <v>17</v>
      </c>
      <c r="E1819" s="7" t="s">
        <v>11</v>
      </c>
      <c r="F1819" s="7" t="s">
        <v>18</v>
      </c>
      <c r="G1819" s="7" t="s">
        <v>19</v>
      </c>
      <c r="H1819" s="7" t="s">
        <v>3565</v>
      </c>
      <c r="I1819" s="8" t="s">
        <v>4708</v>
      </c>
    </row>
    <row r="1820" spans="1:9" x14ac:dyDescent="0.35">
      <c r="A1820" s="6">
        <v>2559047</v>
      </c>
      <c r="B1820" s="7" t="str">
        <f>"3328141405750004"</f>
        <v>3328141405750004</v>
      </c>
      <c r="C1820" s="7" t="s">
        <v>4846</v>
      </c>
      <c r="D1820" s="7" t="s">
        <v>17</v>
      </c>
      <c r="E1820" s="7" t="s">
        <v>11</v>
      </c>
      <c r="F1820" s="7" t="s">
        <v>18</v>
      </c>
      <c r="G1820" s="7" t="s">
        <v>19</v>
      </c>
      <c r="H1820" s="7" t="s">
        <v>3565</v>
      </c>
      <c r="I1820" s="8" t="s">
        <v>4719</v>
      </c>
    </row>
    <row r="1821" spans="1:9" x14ac:dyDescent="0.35">
      <c r="A1821" s="6">
        <v>2558272</v>
      </c>
      <c r="B1821" s="7" t="str">
        <f>"3328141507560001"</f>
        <v>3328141507560001</v>
      </c>
      <c r="C1821" s="7" t="s">
        <v>4849</v>
      </c>
      <c r="D1821" s="7" t="s">
        <v>17</v>
      </c>
      <c r="E1821" s="7" t="s">
        <v>11</v>
      </c>
      <c r="F1821" s="7" t="s">
        <v>18</v>
      </c>
      <c r="G1821" s="7" t="s">
        <v>19</v>
      </c>
      <c r="H1821" s="7" t="s">
        <v>3565</v>
      </c>
      <c r="I1821" s="8" t="s">
        <v>4714</v>
      </c>
    </row>
    <row r="1822" spans="1:9" x14ac:dyDescent="0.35">
      <c r="A1822" s="6">
        <v>2571655</v>
      </c>
      <c r="B1822" s="7" t="str">
        <f>"3328141508720001"</f>
        <v>3328141508720001</v>
      </c>
      <c r="C1822" s="7" t="s">
        <v>4850</v>
      </c>
      <c r="D1822" s="7" t="s">
        <v>17</v>
      </c>
      <c r="E1822" s="7" t="s">
        <v>11</v>
      </c>
      <c r="F1822" s="7" t="s">
        <v>18</v>
      </c>
      <c r="G1822" s="7" t="s">
        <v>19</v>
      </c>
      <c r="H1822" s="7" t="s">
        <v>3565</v>
      </c>
      <c r="I1822" s="8" t="s">
        <v>678</v>
      </c>
    </row>
    <row r="1823" spans="1:9" x14ac:dyDescent="0.35">
      <c r="A1823" s="6">
        <v>1551528</v>
      </c>
      <c r="B1823" s="7" t="str">
        <f>"3328141510850004"</f>
        <v>3328141510850004</v>
      </c>
      <c r="C1823" s="7" t="s">
        <v>4851</v>
      </c>
      <c r="D1823" s="7" t="s">
        <v>17</v>
      </c>
      <c r="E1823" s="7" t="s">
        <v>11</v>
      </c>
      <c r="F1823" s="7" t="s">
        <v>18</v>
      </c>
      <c r="G1823" s="7" t="s">
        <v>195</v>
      </c>
      <c r="H1823" s="7" t="s">
        <v>307</v>
      </c>
      <c r="I1823" s="8" t="s">
        <v>307</v>
      </c>
    </row>
    <row r="1824" spans="1:9" x14ac:dyDescent="0.35">
      <c r="A1824" s="6">
        <v>2571970</v>
      </c>
      <c r="B1824" s="7" t="str">
        <f>"3328142402710002"</f>
        <v>3328142402710002</v>
      </c>
      <c r="C1824" s="7" t="s">
        <v>4853</v>
      </c>
      <c r="D1824" s="7" t="s">
        <v>17</v>
      </c>
      <c r="E1824" s="7" t="s">
        <v>11</v>
      </c>
      <c r="F1824" s="7" t="s">
        <v>18</v>
      </c>
      <c r="G1824" s="7" t="s">
        <v>19</v>
      </c>
      <c r="H1824" s="7" t="s">
        <v>3565</v>
      </c>
      <c r="I1824" s="8" t="s">
        <v>4156</v>
      </c>
    </row>
    <row r="1825" spans="1:9" x14ac:dyDescent="0.35">
      <c r="A1825" s="6">
        <v>2571787</v>
      </c>
      <c r="B1825" s="7" t="str">
        <f>"3328142705950004"</f>
        <v>3328142705950004</v>
      </c>
      <c r="C1825" s="7" t="s">
        <v>4857</v>
      </c>
      <c r="D1825" s="7" t="s">
        <v>17</v>
      </c>
      <c r="E1825" s="7" t="s">
        <v>11</v>
      </c>
      <c r="F1825" s="7" t="s">
        <v>18</v>
      </c>
      <c r="G1825" s="7" t="s">
        <v>19</v>
      </c>
      <c r="H1825" s="7" t="s">
        <v>3565</v>
      </c>
      <c r="I1825" s="8" t="s">
        <v>4858</v>
      </c>
    </row>
    <row r="1826" spans="1:9" x14ac:dyDescent="0.35">
      <c r="A1826" s="6">
        <v>2571792</v>
      </c>
      <c r="B1826" s="7" t="str">
        <f>"3328142811000003"</f>
        <v>3328142811000003</v>
      </c>
      <c r="C1826" s="7" t="s">
        <v>4859</v>
      </c>
      <c r="D1826" s="7" t="s">
        <v>17</v>
      </c>
      <c r="E1826" s="7" t="s">
        <v>11</v>
      </c>
      <c r="F1826" s="7" t="s">
        <v>18</v>
      </c>
      <c r="G1826" s="7" t="s">
        <v>19</v>
      </c>
      <c r="H1826" s="7" t="s">
        <v>3565</v>
      </c>
      <c r="I1826" s="8" t="s">
        <v>4858</v>
      </c>
    </row>
    <row r="1827" spans="1:9" x14ac:dyDescent="0.35">
      <c r="A1827" s="6">
        <v>1955043</v>
      </c>
      <c r="B1827" s="7" t="str">
        <f>"3328142903950004"</f>
        <v>3328142903950004</v>
      </c>
      <c r="C1827" s="7" t="s">
        <v>4862</v>
      </c>
      <c r="D1827" s="7" t="s">
        <v>17</v>
      </c>
      <c r="E1827" s="7" t="s">
        <v>11</v>
      </c>
      <c r="F1827" s="7" t="s">
        <v>50</v>
      </c>
      <c r="G1827" s="7" t="s">
        <v>86</v>
      </c>
      <c r="H1827" s="7" t="s">
        <v>313</v>
      </c>
      <c r="I1827" s="8" t="s">
        <v>4863</v>
      </c>
    </row>
    <row r="1828" spans="1:9" x14ac:dyDescent="0.35">
      <c r="A1828" s="6">
        <v>2557952</v>
      </c>
      <c r="B1828" s="7" t="str">
        <f>"3328142911030002"</f>
        <v>3328142911030002</v>
      </c>
      <c r="C1828" s="7" t="s">
        <v>4864</v>
      </c>
      <c r="D1828" s="7" t="s">
        <v>17</v>
      </c>
      <c r="E1828" s="7" t="s">
        <v>11</v>
      </c>
      <c r="F1828" s="7" t="s">
        <v>18</v>
      </c>
      <c r="G1828" s="7" t="s">
        <v>19</v>
      </c>
      <c r="H1828" s="7" t="s">
        <v>3565</v>
      </c>
      <c r="I1828" s="8" t="s">
        <v>4748</v>
      </c>
    </row>
    <row r="1829" spans="1:9" x14ac:dyDescent="0.35">
      <c r="A1829" s="6">
        <v>2084840</v>
      </c>
      <c r="B1829" s="7" t="str">
        <f>"3328142911030002"</f>
        <v>3328142911030002</v>
      </c>
      <c r="C1829" s="7" t="s">
        <v>4865</v>
      </c>
      <c r="D1829" s="7" t="s">
        <v>17</v>
      </c>
      <c r="E1829" s="7" t="s">
        <v>57</v>
      </c>
      <c r="F1829" s="7" t="s">
        <v>18</v>
      </c>
      <c r="G1829" s="7" t="s">
        <v>962</v>
      </c>
      <c r="H1829" s="7" t="s">
        <v>1046</v>
      </c>
      <c r="I1829" s="8" t="s">
        <v>1046</v>
      </c>
    </row>
    <row r="1830" spans="1:9" x14ac:dyDescent="0.35">
      <c r="A1830" s="6">
        <v>2558152</v>
      </c>
      <c r="B1830" s="7" t="str">
        <f>"3328143009020001"</f>
        <v>3328143009020001</v>
      </c>
      <c r="C1830" s="7" t="s">
        <v>4866</v>
      </c>
      <c r="D1830" s="7" t="s">
        <v>17</v>
      </c>
      <c r="E1830" s="7" t="s">
        <v>11</v>
      </c>
      <c r="F1830" s="7" t="s">
        <v>18</v>
      </c>
      <c r="G1830" s="7" t="s">
        <v>19</v>
      </c>
      <c r="H1830" s="7" t="s">
        <v>3565</v>
      </c>
      <c r="I1830" s="8" t="s">
        <v>4765</v>
      </c>
    </row>
    <row r="1831" spans="1:9" x14ac:dyDescent="0.35">
      <c r="A1831" s="6">
        <v>2558579</v>
      </c>
      <c r="B1831" s="7" t="str">
        <f>"3328144102870002"</f>
        <v>3328144102870002</v>
      </c>
      <c r="C1831" s="7" t="s">
        <v>4873</v>
      </c>
      <c r="D1831" s="7" t="s">
        <v>17</v>
      </c>
      <c r="E1831" s="7" t="s">
        <v>11</v>
      </c>
      <c r="F1831" s="7" t="s">
        <v>18</v>
      </c>
      <c r="G1831" s="7" t="s">
        <v>19</v>
      </c>
      <c r="H1831" s="7" t="s">
        <v>3565</v>
      </c>
      <c r="I1831" s="8" t="s">
        <v>4697</v>
      </c>
    </row>
    <row r="1832" spans="1:9" x14ac:dyDescent="0.35">
      <c r="A1832" s="6">
        <v>2558219</v>
      </c>
      <c r="B1832" s="7" t="str">
        <f>"3328144104790003"</f>
        <v>3328144104790003</v>
      </c>
      <c r="C1832" s="7" t="s">
        <v>4875</v>
      </c>
      <c r="D1832" s="7" t="s">
        <v>17</v>
      </c>
      <c r="E1832" s="7" t="s">
        <v>11</v>
      </c>
      <c r="F1832" s="7" t="s">
        <v>18</v>
      </c>
      <c r="G1832" s="7" t="s">
        <v>19</v>
      </c>
      <c r="H1832" s="7" t="s">
        <v>3565</v>
      </c>
      <c r="I1832" s="8" t="s">
        <v>4714</v>
      </c>
    </row>
    <row r="1833" spans="1:9" x14ac:dyDescent="0.35">
      <c r="A1833" s="6">
        <v>2558490</v>
      </c>
      <c r="B1833" s="7" t="str">
        <f>"3328144110060006"</f>
        <v>3328144110060006</v>
      </c>
      <c r="C1833" s="7" t="s">
        <v>4876</v>
      </c>
      <c r="D1833" s="7" t="s">
        <v>17</v>
      </c>
      <c r="E1833" s="7" t="s">
        <v>11</v>
      </c>
      <c r="F1833" s="7" t="s">
        <v>18</v>
      </c>
      <c r="G1833" s="7" t="s">
        <v>19</v>
      </c>
      <c r="H1833" s="7" t="s">
        <v>3565</v>
      </c>
      <c r="I1833" s="8" t="s">
        <v>4775</v>
      </c>
    </row>
    <row r="1834" spans="1:9" x14ac:dyDescent="0.35">
      <c r="A1834" s="6">
        <v>881512</v>
      </c>
      <c r="B1834" s="7" t="str">
        <f>"3328144112780001"</f>
        <v>3328144112780001</v>
      </c>
      <c r="C1834" s="7" t="s">
        <v>4878</v>
      </c>
      <c r="D1834" s="7" t="s">
        <v>17</v>
      </c>
      <c r="E1834" s="7" t="s">
        <v>11</v>
      </c>
      <c r="F1834" s="7" t="s">
        <v>18</v>
      </c>
      <c r="G1834" s="7" t="s">
        <v>1522</v>
      </c>
      <c r="H1834" s="7" t="s">
        <v>4842</v>
      </c>
      <c r="I1834" s="8" t="s">
        <v>2066</v>
      </c>
    </row>
    <row r="1835" spans="1:9" x14ac:dyDescent="0.35">
      <c r="A1835" s="6">
        <v>1639781</v>
      </c>
      <c r="B1835" s="7" t="str">
        <f>"3328144212640003"</f>
        <v>3328144212640003</v>
      </c>
      <c r="C1835" s="7" t="s">
        <v>4880</v>
      </c>
      <c r="D1835" s="7" t="s">
        <v>17</v>
      </c>
      <c r="E1835" s="7" t="s">
        <v>11</v>
      </c>
      <c r="F1835" s="7" t="s">
        <v>18</v>
      </c>
      <c r="G1835" s="7" t="s">
        <v>264</v>
      </c>
      <c r="H1835" s="7" t="s">
        <v>477</v>
      </c>
      <c r="I1835" s="8" t="s">
        <v>478</v>
      </c>
    </row>
    <row r="1836" spans="1:9" x14ac:dyDescent="0.35">
      <c r="A1836" s="6">
        <v>2571989</v>
      </c>
      <c r="B1836" s="7" t="str">
        <f>"3328144401880002"</f>
        <v>3328144401880002</v>
      </c>
      <c r="C1836" s="7" t="s">
        <v>4881</v>
      </c>
      <c r="D1836" s="7" t="s">
        <v>17</v>
      </c>
      <c r="E1836" s="7" t="s">
        <v>11</v>
      </c>
      <c r="F1836" s="7" t="s">
        <v>18</v>
      </c>
      <c r="G1836" s="7" t="s">
        <v>19</v>
      </c>
      <c r="H1836" s="7" t="s">
        <v>3565</v>
      </c>
      <c r="I1836" s="8" t="s">
        <v>4156</v>
      </c>
    </row>
    <row r="1837" spans="1:9" x14ac:dyDescent="0.35">
      <c r="A1837" s="6">
        <v>2571658</v>
      </c>
      <c r="B1837" s="7" t="str">
        <f>"3328144403050004"</f>
        <v>3328144403050004</v>
      </c>
      <c r="C1837" s="7" t="s">
        <v>4883</v>
      </c>
      <c r="D1837" s="7" t="s">
        <v>17</v>
      </c>
      <c r="E1837" s="7" t="s">
        <v>11</v>
      </c>
      <c r="F1837" s="7" t="s">
        <v>18</v>
      </c>
      <c r="G1837" s="7" t="s">
        <v>19</v>
      </c>
      <c r="H1837" s="7" t="s">
        <v>3565</v>
      </c>
      <c r="I1837" s="8" t="s">
        <v>678</v>
      </c>
    </row>
    <row r="1838" spans="1:9" x14ac:dyDescent="0.35">
      <c r="A1838" s="6">
        <v>2558796</v>
      </c>
      <c r="B1838" s="7" t="str">
        <f>"3328144411950003"</f>
        <v>3328144411950003</v>
      </c>
      <c r="C1838" s="7" t="s">
        <v>4884</v>
      </c>
      <c r="D1838" s="7" t="s">
        <v>17</v>
      </c>
      <c r="E1838" s="7" t="s">
        <v>11</v>
      </c>
      <c r="F1838" s="7" t="s">
        <v>18</v>
      </c>
      <c r="G1838" s="7" t="s">
        <v>19</v>
      </c>
      <c r="H1838" s="7" t="s">
        <v>3565</v>
      </c>
      <c r="I1838" s="8" t="s">
        <v>3565</v>
      </c>
    </row>
    <row r="1839" spans="1:9" x14ac:dyDescent="0.35">
      <c r="A1839" s="6">
        <v>2425699</v>
      </c>
      <c r="B1839" s="7" t="str">
        <f>"3328144606920004"</f>
        <v>3328144606920004</v>
      </c>
      <c r="C1839" s="7" t="s">
        <v>4885</v>
      </c>
      <c r="D1839" s="7" t="s">
        <v>17</v>
      </c>
      <c r="E1839" s="7" t="s">
        <v>11</v>
      </c>
      <c r="F1839" s="7" t="s">
        <v>50</v>
      </c>
      <c r="G1839" s="7" t="s">
        <v>58</v>
      </c>
      <c r="H1839" s="7" t="s">
        <v>406</v>
      </c>
      <c r="I1839" s="8" t="s">
        <v>545</v>
      </c>
    </row>
    <row r="1840" spans="1:9" x14ac:dyDescent="0.35">
      <c r="A1840" s="6">
        <v>2559009</v>
      </c>
      <c r="B1840" s="7" t="str">
        <f>"3328144709990003"</f>
        <v>3328144709990003</v>
      </c>
      <c r="C1840" s="7" t="s">
        <v>4886</v>
      </c>
      <c r="D1840" s="7" t="s">
        <v>17</v>
      </c>
      <c r="E1840" s="7" t="s">
        <v>11</v>
      </c>
      <c r="F1840" s="7" t="s">
        <v>18</v>
      </c>
      <c r="G1840" s="7" t="s">
        <v>19</v>
      </c>
      <c r="H1840" s="7" t="s">
        <v>3565</v>
      </c>
      <c r="I1840" s="8" t="s">
        <v>4719</v>
      </c>
    </row>
    <row r="1841" spans="1:9" x14ac:dyDescent="0.35">
      <c r="A1841" s="6">
        <v>1925825</v>
      </c>
      <c r="B1841" s="7" t="str">
        <f>"3328144803890010"</f>
        <v>3328144803890010</v>
      </c>
      <c r="C1841" s="7" t="s">
        <v>4889</v>
      </c>
      <c r="D1841" s="7" t="s">
        <v>17</v>
      </c>
      <c r="E1841" s="7" t="s">
        <v>11</v>
      </c>
      <c r="F1841" s="7" t="s">
        <v>91</v>
      </c>
      <c r="G1841" s="7" t="s">
        <v>320</v>
      </c>
      <c r="H1841" s="7" t="s">
        <v>2523</v>
      </c>
      <c r="I1841" s="8" t="s">
        <v>4890</v>
      </c>
    </row>
    <row r="1842" spans="1:9" x14ac:dyDescent="0.35">
      <c r="A1842" s="6">
        <v>2571723</v>
      </c>
      <c r="B1842" s="7" t="str">
        <f>"3328144810000002"</f>
        <v>3328144810000002</v>
      </c>
      <c r="C1842" s="7" t="s">
        <v>4891</v>
      </c>
      <c r="D1842" s="7" t="s">
        <v>17</v>
      </c>
      <c r="E1842" s="7" t="s">
        <v>11</v>
      </c>
      <c r="F1842" s="7" t="s">
        <v>18</v>
      </c>
      <c r="G1842" s="7" t="s">
        <v>19</v>
      </c>
      <c r="H1842" s="7" t="s">
        <v>3565</v>
      </c>
      <c r="I1842" s="8" t="s">
        <v>4731</v>
      </c>
    </row>
    <row r="1843" spans="1:9" x14ac:dyDescent="0.35">
      <c r="A1843" s="6">
        <v>2574134</v>
      </c>
      <c r="B1843" s="7" t="str">
        <f>"3328145101650001"</f>
        <v>3328145101650001</v>
      </c>
      <c r="C1843" s="7" t="s">
        <v>4893</v>
      </c>
      <c r="D1843" s="7" t="s">
        <v>17</v>
      </c>
      <c r="E1843" s="7" t="s">
        <v>11</v>
      </c>
      <c r="F1843" s="7" t="s">
        <v>18</v>
      </c>
      <c r="G1843" s="7" t="s">
        <v>19</v>
      </c>
      <c r="H1843" s="7" t="s">
        <v>3565</v>
      </c>
      <c r="I1843" s="8" t="s">
        <v>4769</v>
      </c>
    </row>
    <row r="1844" spans="1:9" x14ac:dyDescent="0.35">
      <c r="A1844" s="6">
        <v>2559486</v>
      </c>
      <c r="B1844" s="7" t="str">
        <f>"3328145504930011"</f>
        <v>3328145504930011</v>
      </c>
      <c r="C1844" s="7" t="s">
        <v>4896</v>
      </c>
      <c r="D1844" s="7" t="s">
        <v>17</v>
      </c>
      <c r="E1844" s="7" t="s">
        <v>11</v>
      </c>
      <c r="F1844" s="7" t="s">
        <v>18</v>
      </c>
      <c r="G1844" s="7" t="s">
        <v>19</v>
      </c>
      <c r="H1844" s="7" t="s">
        <v>3565</v>
      </c>
      <c r="I1844" s="8" t="s">
        <v>4814</v>
      </c>
    </row>
    <row r="1845" spans="1:9" x14ac:dyDescent="0.35">
      <c r="A1845" s="6">
        <v>2571710</v>
      </c>
      <c r="B1845" s="7" t="str">
        <f>"3328145709840005"</f>
        <v>3328145709840005</v>
      </c>
      <c r="C1845" s="7" t="s">
        <v>3965</v>
      </c>
      <c r="D1845" s="7" t="s">
        <v>17</v>
      </c>
      <c r="E1845" s="7" t="s">
        <v>11</v>
      </c>
      <c r="F1845" s="7" t="s">
        <v>18</v>
      </c>
      <c r="G1845" s="7" t="s">
        <v>19</v>
      </c>
      <c r="H1845" s="7" t="s">
        <v>3565</v>
      </c>
      <c r="I1845" s="8" t="s">
        <v>4731</v>
      </c>
    </row>
    <row r="1846" spans="1:9" x14ac:dyDescent="0.35">
      <c r="A1846" s="6">
        <v>2559279</v>
      </c>
      <c r="B1846" s="7" t="str">
        <f>"3328145910990006"</f>
        <v>3328145910990006</v>
      </c>
      <c r="C1846" s="7" t="s">
        <v>4898</v>
      </c>
      <c r="D1846" s="7" t="s">
        <v>17</v>
      </c>
      <c r="E1846" s="7" t="s">
        <v>11</v>
      </c>
      <c r="F1846" s="7" t="s">
        <v>18</v>
      </c>
      <c r="G1846" s="7" t="s">
        <v>19</v>
      </c>
      <c r="H1846" s="7" t="s">
        <v>3565</v>
      </c>
      <c r="I1846" s="8" t="s">
        <v>4771</v>
      </c>
    </row>
    <row r="1847" spans="1:9" x14ac:dyDescent="0.35">
      <c r="A1847" s="6">
        <v>2571680</v>
      </c>
      <c r="B1847" s="7" t="str">
        <f>"3328146201050004"</f>
        <v>3328146201050004</v>
      </c>
      <c r="C1847" s="7" t="s">
        <v>4899</v>
      </c>
      <c r="D1847" s="7" t="s">
        <v>17</v>
      </c>
      <c r="E1847" s="7" t="s">
        <v>11</v>
      </c>
      <c r="F1847" s="7" t="s">
        <v>18</v>
      </c>
      <c r="G1847" s="7" t="s">
        <v>19</v>
      </c>
      <c r="H1847" s="7" t="s">
        <v>3565</v>
      </c>
      <c r="I1847" s="8" t="s">
        <v>678</v>
      </c>
    </row>
    <row r="1848" spans="1:9" x14ac:dyDescent="0.35">
      <c r="A1848" s="6">
        <v>2559108</v>
      </c>
      <c r="B1848" s="7" t="str">
        <f>"3328146207910003"</f>
        <v>3328146207910003</v>
      </c>
      <c r="C1848" s="7" t="s">
        <v>4902</v>
      </c>
      <c r="D1848" s="7" t="s">
        <v>17</v>
      </c>
      <c r="E1848" s="7" t="s">
        <v>11</v>
      </c>
      <c r="F1848" s="7" t="s">
        <v>18</v>
      </c>
      <c r="G1848" s="7" t="s">
        <v>19</v>
      </c>
      <c r="H1848" s="7" t="s">
        <v>3565</v>
      </c>
      <c r="I1848" s="8" t="s">
        <v>4771</v>
      </c>
    </row>
    <row r="1849" spans="1:9" x14ac:dyDescent="0.35">
      <c r="A1849" s="6">
        <v>1471555</v>
      </c>
      <c r="B1849" s="7" t="str">
        <f>"3328146304880007"</f>
        <v>3328146304880007</v>
      </c>
      <c r="C1849" s="7" t="s">
        <v>4903</v>
      </c>
      <c r="D1849" s="7" t="s">
        <v>17</v>
      </c>
      <c r="E1849" s="7" t="s">
        <v>11</v>
      </c>
      <c r="F1849" s="7" t="s">
        <v>303</v>
      </c>
      <c r="G1849" s="7" t="s">
        <v>3472</v>
      </c>
      <c r="H1849" s="7" t="s">
        <v>4904</v>
      </c>
      <c r="I1849" s="8" t="s">
        <v>4905</v>
      </c>
    </row>
    <row r="1850" spans="1:9" x14ac:dyDescent="0.35">
      <c r="A1850" s="6">
        <v>2558293</v>
      </c>
      <c r="B1850" s="7" t="str">
        <f>"3328146411950003"</f>
        <v>3328146411950003</v>
      </c>
      <c r="C1850" s="7" t="s">
        <v>3338</v>
      </c>
      <c r="D1850" s="7" t="s">
        <v>17</v>
      </c>
      <c r="E1850" s="7" t="s">
        <v>11</v>
      </c>
      <c r="F1850" s="7" t="s">
        <v>18</v>
      </c>
      <c r="G1850" s="7" t="s">
        <v>19</v>
      </c>
      <c r="H1850" s="7" t="s">
        <v>3565</v>
      </c>
      <c r="I1850" s="8" t="s">
        <v>4714</v>
      </c>
    </row>
    <row r="1851" spans="1:9" x14ac:dyDescent="0.35">
      <c r="A1851" s="6">
        <v>636234</v>
      </c>
      <c r="B1851" s="7" t="str">
        <f>"3328146512050001"</f>
        <v>3328146512050001</v>
      </c>
      <c r="C1851" s="7" t="s">
        <v>4908</v>
      </c>
      <c r="D1851" s="7" t="s">
        <v>17</v>
      </c>
      <c r="E1851" s="7" t="s">
        <v>57</v>
      </c>
      <c r="F1851" s="7" t="s">
        <v>18</v>
      </c>
      <c r="G1851" s="7" t="s">
        <v>190</v>
      </c>
      <c r="H1851" s="7" t="s">
        <v>1497</v>
      </c>
      <c r="I1851" s="8" t="s">
        <v>1498</v>
      </c>
    </row>
    <row r="1852" spans="1:9" x14ac:dyDescent="0.35">
      <c r="A1852" s="6">
        <v>2557946</v>
      </c>
      <c r="B1852" s="7" t="str">
        <f>"3328146707890002"</f>
        <v>3328146707890002</v>
      </c>
      <c r="C1852" s="7" t="s">
        <v>4909</v>
      </c>
      <c r="D1852" s="7" t="s">
        <v>17</v>
      </c>
      <c r="E1852" s="7" t="s">
        <v>11</v>
      </c>
      <c r="F1852" s="7" t="s">
        <v>18</v>
      </c>
      <c r="G1852" s="7" t="s">
        <v>19</v>
      </c>
      <c r="H1852" s="7" t="s">
        <v>3565</v>
      </c>
      <c r="I1852" s="8" t="s">
        <v>4748</v>
      </c>
    </row>
    <row r="1853" spans="1:9" x14ac:dyDescent="0.35">
      <c r="A1853" s="6">
        <v>2571814</v>
      </c>
      <c r="B1853" s="7" t="str">
        <f>"3328147112060003"</f>
        <v>3328147112060003</v>
      </c>
      <c r="C1853" s="7" t="s">
        <v>4910</v>
      </c>
      <c r="D1853" s="7" t="s">
        <v>17</v>
      </c>
      <c r="E1853" s="7" t="s">
        <v>11</v>
      </c>
      <c r="F1853" s="7" t="s">
        <v>18</v>
      </c>
      <c r="G1853" s="7" t="s">
        <v>19</v>
      </c>
      <c r="H1853" s="7" t="s">
        <v>3565</v>
      </c>
      <c r="I1853" s="8" t="s">
        <v>4156</v>
      </c>
    </row>
    <row r="1854" spans="1:9" x14ac:dyDescent="0.35">
      <c r="A1854" s="6">
        <v>2558101</v>
      </c>
      <c r="B1854" s="7" t="str">
        <f>"3328150102900006"</f>
        <v>3328150102900006</v>
      </c>
      <c r="C1854" s="7" t="s">
        <v>4913</v>
      </c>
      <c r="D1854" s="7" t="s">
        <v>17</v>
      </c>
      <c r="E1854" s="7" t="s">
        <v>11</v>
      </c>
      <c r="F1854" s="7" t="s">
        <v>18</v>
      </c>
      <c r="G1854" s="7" t="s">
        <v>19</v>
      </c>
      <c r="H1854" s="7" t="s">
        <v>3565</v>
      </c>
      <c r="I1854" s="8" t="s">
        <v>4711</v>
      </c>
    </row>
    <row r="1855" spans="1:9" x14ac:dyDescent="0.35">
      <c r="A1855" s="6">
        <v>2647989</v>
      </c>
      <c r="B1855" s="7" t="str">
        <f>"3328150107910076"</f>
        <v>3328150107910076</v>
      </c>
      <c r="C1855" s="7" t="s">
        <v>4915</v>
      </c>
      <c r="D1855" s="7" t="s">
        <v>17</v>
      </c>
      <c r="E1855" s="7" t="s">
        <v>11</v>
      </c>
      <c r="F1855" s="7" t="s">
        <v>18</v>
      </c>
      <c r="G1855" s="7" t="s">
        <v>199</v>
      </c>
      <c r="H1855" s="7" t="s">
        <v>4476</v>
      </c>
      <c r="I1855" s="8" t="s">
        <v>4916</v>
      </c>
    </row>
    <row r="1856" spans="1:9" x14ac:dyDescent="0.35">
      <c r="A1856" s="6">
        <v>1837440</v>
      </c>
      <c r="B1856" s="7" t="str">
        <f>"3328157112990010"</f>
        <v>3328157112990010</v>
      </c>
      <c r="C1856" s="7" t="s">
        <v>4918</v>
      </c>
      <c r="D1856" s="7" t="s">
        <v>17</v>
      </c>
      <c r="E1856" s="7" t="s">
        <v>11</v>
      </c>
      <c r="F1856" s="7" t="s">
        <v>303</v>
      </c>
      <c r="G1856" s="7" t="s">
        <v>1669</v>
      </c>
      <c r="H1856" s="7" t="s">
        <v>4487</v>
      </c>
      <c r="I1856" s="8" t="s">
        <v>4919</v>
      </c>
    </row>
    <row r="1857" spans="1:9" x14ac:dyDescent="0.35">
      <c r="A1857" s="6">
        <v>2571843</v>
      </c>
      <c r="B1857" s="7" t="str">
        <f>"3328170710850004"</f>
        <v>3328170710850004</v>
      </c>
      <c r="C1857" s="7" t="s">
        <v>4921</v>
      </c>
      <c r="D1857" s="7" t="s">
        <v>17</v>
      </c>
      <c r="E1857" s="7" t="s">
        <v>11</v>
      </c>
      <c r="F1857" s="7" t="s">
        <v>18</v>
      </c>
      <c r="G1857" s="7" t="s">
        <v>19</v>
      </c>
      <c r="H1857" s="7" t="s">
        <v>3565</v>
      </c>
      <c r="I1857" s="8" t="s">
        <v>4156</v>
      </c>
    </row>
    <row r="1858" spans="1:9" x14ac:dyDescent="0.35">
      <c r="A1858" s="6">
        <v>2571862</v>
      </c>
      <c r="B1858" s="7" t="str">
        <f>"3329053007900001"</f>
        <v>3329053007900001</v>
      </c>
      <c r="C1858" s="7" t="s">
        <v>4922</v>
      </c>
      <c r="D1858" s="7" t="s">
        <v>17</v>
      </c>
      <c r="E1858" s="7" t="s">
        <v>11</v>
      </c>
      <c r="F1858" s="7" t="s">
        <v>18</v>
      </c>
      <c r="G1858" s="7" t="s">
        <v>19</v>
      </c>
      <c r="H1858" s="7" t="s">
        <v>3565</v>
      </c>
      <c r="I1858" s="8" t="s">
        <v>4156</v>
      </c>
    </row>
    <row r="1859" spans="1:9" x14ac:dyDescent="0.35">
      <c r="A1859" s="6">
        <v>2559402</v>
      </c>
      <c r="B1859" s="7" t="str">
        <f>"3329054103880001"</f>
        <v>3329054103880001</v>
      </c>
      <c r="C1859" s="7" t="s">
        <v>4923</v>
      </c>
      <c r="D1859" s="7" t="s">
        <v>17</v>
      </c>
      <c r="E1859" s="7" t="s">
        <v>11</v>
      </c>
      <c r="F1859" s="7" t="s">
        <v>18</v>
      </c>
      <c r="G1859" s="7" t="s">
        <v>19</v>
      </c>
      <c r="H1859" s="7" t="s">
        <v>3565</v>
      </c>
      <c r="I1859" s="8" t="s">
        <v>4814</v>
      </c>
    </row>
    <row r="1860" spans="1:9" x14ac:dyDescent="0.35">
      <c r="A1860" s="6">
        <v>2558449</v>
      </c>
      <c r="B1860" s="7" t="str">
        <f>"3329054510840001"</f>
        <v>3329054510840001</v>
      </c>
      <c r="C1860" s="7" t="s">
        <v>4924</v>
      </c>
      <c r="D1860" s="7" t="s">
        <v>17</v>
      </c>
      <c r="E1860" s="7" t="s">
        <v>11</v>
      </c>
      <c r="F1860" s="7" t="s">
        <v>18</v>
      </c>
      <c r="G1860" s="7" t="s">
        <v>19</v>
      </c>
      <c r="H1860" s="7" t="s">
        <v>3565</v>
      </c>
      <c r="I1860" s="8" t="s">
        <v>4775</v>
      </c>
    </row>
    <row r="1861" spans="1:9" x14ac:dyDescent="0.35">
      <c r="A1861" s="6">
        <v>1682821</v>
      </c>
      <c r="B1861" s="7" t="str">
        <f>"3329071506950004"</f>
        <v>3329071506950004</v>
      </c>
      <c r="C1861" s="7" t="s">
        <v>4928</v>
      </c>
      <c r="D1861" s="7" t="s">
        <v>17</v>
      </c>
      <c r="E1861" s="7" t="s">
        <v>11</v>
      </c>
      <c r="F1861" s="7" t="s">
        <v>18</v>
      </c>
      <c r="G1861" s="7" t="s">
        <v>264</v>
      </c>
      <c r="H1861" s="7" t="s">
        <v>265</v>
      </c>
      <c r="I1861" s="8" t="s">
        <v>1878</v>
      </c>
    </row>
    <row r="1862" spans="1:9" x14ac:dyDescent="0.35">
      <c r="A1862" s="6">
        <v>2559021</v>
      </c>
      <c r="B1862" s="7" t="str">
        <f>"3329071912770002"</f>
        <v>3329071912770002</v>
      </c>
      <c r="C1862" s="7" t="s">
        <v>4929</v>
      </c>
      <c r="D1862" s="7" t="s">
        <v>17</v>
      </c>
      <c r="E1862" s="7" t="s">
        <v>11</v>
      </c>
      <c r="F1862" s="7" t="s">
        <v>18</v>
      </c>
      <c r="G1862" s="7" t="s">
        <v>19</v>
      </c>
      <c r="H1862" s="7" t="s">
        <v>3565</v>
      </c>
      <c r="I1862" s="8" t="s">
        <v>4719</v>
      </c>
    </row>
    <row r="1863" spans="1:9" x14ac:dyDescent="0.35">
      <c r="A1863" s="6">
        <v>2558784</v>
      </c>
      <c r="B1863" s="7" t="str">
        <f>"3329072011980006"</f>
        <v>3329072011980006</v>
      </c>
      <c r="C1863" s="7" t="s">
        <v>4930</v>
      </c>
      <c r="D1863" s="7" t="s">
        <v>17</v>
      </c>
      <c r="E1863" s="7" t="s">
        <v>11</v>
      </c>
      <c r="F1863" s="7" t="s">
        <v>18</v>
      </c>
      <c r="G1863" s="7" t="s">
        <v>19</v>
      </c>
      <c r="H1863" s="7" t="s">
        <v>3565</v>
      </c>
      <c r="I1863" s="8" t="s">
        <v>3565</v>
      </c>
    </row>
    <row r="1864" spans="1:9" x14ac:dyDescent="0.35">
      <c r="A1864" s="6">
        <v>1682378</v>
      </c>
      <c r="B1864" s="7" t="str">
        <f>"3329072011980006"</f>
        <v>3329072011980006</v>
      </c>
      <c r="C1864" s="7" t="s">
        <v>4930</v>
      </c>
      <c r="D1864" s="7" t="s">
        <v>17</v>
      </c>
      <c r="E1864" s="7" t="s">
        <v>11</v>
      </c>
      <c r="F1864" s="7" t="s">
        <v>18</v>
      </c>
      <c r="G1864" s="7" t="s">
        <v>264</v>
      </c>
      <c r="H1864" s="7" t="s">
        <v>265</v>
      </c>
      <c r="I1864" s="8" t="s">
        <v>3935</v>
      </c>
    </row>
    <row r="1865" spans="1:9" x14ac:dyDescent="0.35">
      <c r="A1865" s="6">
        <v>1631515</v>
      </c>
      <c r="B1865" s="7" t="str">
        <f>"3329082205860003"</f>
        <v>3329082205860003</v>
      </c>
      <c r="C1865" s="7" t="s">
        <v>2260</v>
      </c>
      <c r="D1865" s="7" t="s">
        <v>17</v>
      </c>
      <c r="E1865" s="7" t="s">
        <v>11</v>
      </c>
      <c r="F1865" s="7" t="s">
        <v>18</v>
      </c>
      <c r="G1865" s="7" t="s">
        <v>264</v>
      </c>
      <c r="H1865" s="7" t="s">
        <v>248</v>
      </c>
      <c r="I1865" s="8" t="s">
        <v>2513</v>
      </c>
    </row>
    <row r="1866" spans="1:9" x14ac:dyDescent="0.35">
      <c r="A1866" s="6">
        <v>2571656</v>
      </c>
      <c r="B1866" s="7" t="str">
        <f>"3329086406810001"</f>
        <v>3329086406810001</v>
      </c>
      <c r="C1866" s="7" t="s">
        <v>4931</v>
      </c>
      <c r="D1866" s="7" t="s">
        <v>17</v>
      </c>
      <c r="E1866" s="7" t="s">
        <v>11</v>
      </c>
      <c r="F1866" s="7" t="s">
        <v>18</v>
      </c>
      <c r="G1866" s="7" t="s">
        <v>19</v>
      </c>
      <c r="H1866" s="7" t="s">
        <v>3565</v>
      </c>
      <c r="I1866" s="8" t="s">
        <v>678</v>
      </c>
    </row>
    <row r="1867" spans="1:9" x14ac:dyDescent="0.35">
      <c r="A1867" s="6">
        <v>2558924</v>
      </c>
      <c r="B1867" s="7" t="str">
        <f>"3329096609940002"</f>
        <v>3329096609940002</v>
      </c>
      <c r="C1867" s="7" t="s">
        <v>4933</v>
      </c>
      <c r="D1867" s="7" t="s">
        <v>17</v>
      </c>
      <c r="E1867" s="7" t="s">
        <v>11</v>
      </c>
      <c r="F1867" s="7" t="s">
        <v>18</v>
      </c>
      <c r="G1867" s="7" t="s">
        <v>19</v>
      </c>
      <c r="H1867" s="7" t="s">
        <v>3565</v>
      </c>
      <c r="I1867" s="8" t="s">
        <v>4735</v>
      </c>
    </row>
    <row r="1868" spans="1:9" x14ac:dyDescent="0.35">
      <c r="A1868" s="6">
        <v>2559419</v>
      </c>
      <c r="B1868" s="7" t="str">
        <f>"3329104101950003"</f>
        <v>3329104101950003</v>
      </c>
      <c r="C1868" s="7" t="s">
        <v>4934</v>
      </c>
      <c r="D1868" s="7" t="s">
        <v>17</v>
      </c>
      <c r="E1868" s="7" t="s">
        <v>11</v>
      </c>
      <c r="F1868" s="7" t="s">
        <v>18</v>
      </c>
      <c r="G1868" s="7" t="s">
        <v>19</v>
      </c>
      <c r="H1868" s="7" t="s">
        <v>3565</v>
      </c>
      <c r="I1868" s="8" t="s">
        <v>4814</v>
      </c>
    </row>
    <row r="1869" spans="1:9" x14ac:dyDescent="0.35">
      <c r="A1869" s="6">
        <v>2571683</v>
      </c>
      <c r="B1869" s="7" t="str">
        <f>"3329141010850018"</f>
        <v>3329141010850018</v>
      </c>
      <c r="C1869" s="7" t="s">
        <v>4937</v>
      </c>
      <c r="D1869" s="7" t="s">
        <v>17</v>
      </c>
      <c r="E1869" s="7" t="s">
        <v>11</v>
      </c>
      <c r="F1869" s="7" t="s">
        <v>18</v>
      </c>
      <c r="G1869" s="7" t="s">
        <v>19</v>
      </c>
      <c r="H1869" s="7" t="s">
        <v>3565</v>
      </c>
      <c r="I1869" s="8" t="s">
        <v>678</v>
      </c>
    </row>
    <row r="1870" spans="1:9" x14ac:dyDescent="0.35">
      <c r="A1870" s="6">
        <v>2558060</v>
      </c>
      <c r="B1870" s="7" t="str">
        <f>"3329144610920009"</f>
        <v>3329144610920009</v>
      </c>
      <c r="C1870" s="7" t="s">
        <v>4938</v>
      </c>
      <c r="D1870" s="7" t="s">
        <v>17</v>
      </c>
      <c r="E1870" s="7" t="s">
        <v>11</v>
      </c>
      <c r="F1870" s="7" t="s">
        <v>18</v>
      </c>
      <c r="G1870" s="7" t="s">
        <v>19</v>
      </c>
      <c r="H1870" s="7" t="s">
        <v>3565</v>
      </c>
      <c r="I1870" s="8" t="s">
        <v>4711</v>
      </c>
    </row>
    <row r="1871" spans="1:9" x14ac:dyDescent="0.35">
      <c r="A1871" s="6">
        <v>2558270</v>
      </c>
      <c r="B1871" s="7" t="str">
        <f>"3329161709010009"</f>
        <v>3329161709010009</v>
      </c>
      <c r="C1871" s="7" t="s">
        <v>4939</v>
      </c>
      <c r="D1871" s="7" t="s">
        <v>17</v>
      </c>
      <c r="E1871" s="7" t="s">
        <v>11</v>
      </c>
      <c r="F1871" s="7" t="s">
        <v>18</v>
      </c>
      <c r="G1871" s="7" t="s">
        <v>19</v>
      </c>
      <c r="H1871" s="7" t="s">
        <v>3565</v>
      </c>
      <c r="I1871" s="8" t="s">
        <v>4714</v>
      </c>
    </row>
    <row r="1872" spans="1:9" x14ac:dyDescent="0.35">
      <c r="A1872" s="6">
        <v>2557969</v>
      </c>
      <c r="B1872" s="7" t="str">
        <f>"3374080903960003"</f>
        <v>3374080903960003</v>
      </c>
      <c r="C1872" s="7" t="s">
        <v>4940</v>
      </c>
      <c r="D1872" s="7" t="s">
        <v>17</v>
      </c>
      <c r="E1872" s="7" t="s">
        <v>11</v>
      </c>
      <c r="F1872" s="7" t="s">
        <v>18</v>
      </c>
      <c r="G1872" s="7" t="s">
        <v>19</v>
      </c>
      <c r="H1872" s="7" t="s">
        <v>3565</v>
      </c>
      <c r="I1872" s="8" t="s">
        <v>4748</v>
      </c>
    </row>
    <row r="1873" spans="1:9" x14ac:dyDescent="0.35">
      <c r="A1873" s="6">
        <v>2558091</v>
      </c>
      <c r="B1873" s="7" t="str">
        <f>"3376010901980001"</f>
        <v>3376010901980001</v>
      </c>
      <c r="C1873" s="7" t="s">
        <v>4943</v>
      </c>
      <c r="D1873" s="7" t="s">
        <v>17</v>
      </c>
      <c r="E1873" s="7" t="s">
        <v>11</v>
      </c>
      <c r="F1873" s="7" t="s">
        <v>18</v>
      </c>
      <c r="G1873" s="7" t="s">
        <v>19</v>
      </c>
      <c r="H1873" s="7" t="s">
        <v>3565</v>
      </c>
      <c r="I1873" s="8" t="s">
        <v>4711</v>
      </c>
    </row>
    <row r="1874" spans="1:9" x14ac:dyDescent="0.35">
      <c r="A1874" s="6">
        <v>1862300</v>
      </c>
      <c r="B1874" s="7" t="str">
        <f>"3376013007920002"</f>
        <v>3376013007920002</v>
      </c>
      <c r="C1874" s="7" t="s">
        <v>4944</v>
      </c>
      <c r="D1874" s="7" t="s">
        <v>17</v>
      </c>
      <c r="E1874" s="7" t="s">
        <v>11</v>
      </c>
      <c r="F1874" s="7" t="s">
        <v>91</v>
      </c>
      <c r="G1874" s="7" t="s">
        <v>320</v>
      </c>
      <c r="H1874" s="7" t="s">
        <v>368</v>
      </c>
      <c r="I1874" s="8" t="s">
        <v>368</v>
      </c>
    </row>
    <row r="1875" spans="1:9" x14ac:dyDescent="0.35">
      <c r="A1875" s="6">
        <v>2558061</v>
      </c>
      <c r="B1875" s="7" t="str">
        <f>"3376015707870002"</f>
        <v>3376015707870002</v>
      </c>
      <c r="C1875" s="7" t="s">
        <v>4946</v>
      </c>
      <c r="D1875" s="7" t="s">
        <v>17</v>
      </c>
      <c r="E1875" s="7" t="s">
        <v>11</v>
      </c>
      <c r="F1875" s="7" t="s">
        <v>18</v>
      </c>
      <c r="G1875" s="7" t="s">
        <v>19</v>
      </c>
      <c r="H1875" s="7" t="s">
        <v>3565</v>
      </c>
      <c r="I1875" s="8" t="s">
        <v>4711</v>
      </c>
    </row>
    <row r="1876" spans="1:9" x14ac:dyDescent="0.35">
      <c r="A1876" s="6">
        <v>2558951</v>
      </c>
      <c r="B1876" s="7" t="str">
        <f>"3376025608880001"</f>
        <v>3376025608880001</v>
      </c>
      <c r="C1876" s="7" t="s">
        <v>4949</v>
      </c>
      <c r="D1876" s="7" t="s">
        <v>17</v>
      </c>
      <c r="E1876" s="7" t="s">
        <v>11</v>
      </c>
      <c r="F1876" s="7" t="s">
        <v>18</v>
      </c>
      <c r="G1876" s="7" t="s">
        <v>19</v>
      </c>
      <c r="H1876" s="7" t="s">
        <v>3565</v>
      </c>
      <c r="I1876" s="8" t="s">
        <v>4719</v>
      </c>
    </row>
    <row r="1877" spans="1:9" x14ac:dyDescent="0.35">
      <c r="A1877" s="6">
        <v>2571751</v>
      </c>
      <c r="B1877" s="7" t="str">
        <f>"3376025706970002"</f>
        <v>3376025706970002</v>
      </c>
      <c r="C1877" s="7" t="s">
        <v>4952</v>
      </c>
      <c r="D1877" s="7" t="s">
        <v>17</v>
      </c>
      <c r="E1877" s="7" t="s">
        <v>11</v>
      </c>
      <c r="F1877" s="7" t="s">
        <v>18</v>
      </c>
      <c r="G1877" s="7" t="s">
        <v>19</v>
      </c>
      <c r="H1877" s="7" t="s">
        <v>3565</v>
      </c>
      <c r="I1877" s="8" t="s">
        <v>4731</v>
      </c>
    </row>
    <row r="1878" spans="1:9" x14ac:dyDescent="0.35">
      <c r="A1878" s="6">
        <v>2557691</v>
      </c>
      <c r="B1878" s="7" t="str">
        <f>"3376030706970001"</f>
        <v>3376030706970001</v>
      </c>
      <c r="C1878" s="7" t="s">
        <v>4953</v>
      </c>
      <c r="D1878" s="7" t="s">
        <v>17</v>
      </c>
      <c r="E1878" s="7" t="s">
        <v>11</v>
      </c>
      <c r="F1878" s="7" t="s">
        <v>18</v>
      </c>
      <c r="G1878" s="7" t="s">
        <v>19</v>
      </c>
      <c r="H1878" s="7" t="s">
        <v>3565</v>
      </c>
      <c r="I1878" s="8" t="s">
        <v>4769</v>
      </c>
    </row>
    <row r="1879" spans="1:9" x14ac:dyDescent="0.35">
      <c r="A1879" s="6">
        <v>2558201</v>
      </c>
      <c r="B1879" s="7" t="str">
        <f>"3376031312040001"</f>
        <v>3376031312040001</v>
      </c>
      <c r="C1879" s="7" t="s">
        <v>4954</v>
      </c>
      <c r="D1879" s="7" t="s">
        <v>17</v>
      </c>
      <c r="E1879" s="7" t="s">
        <v>11</v>
      </c>
      <c r="F1879" s="7" t="s">
        <v>18</v>
      </c>
      <c r="G1879" s="7" t="s">
        <v>19</v>
      </c>
      <c r="H1879" s="7" t="s">
        <v>3565</v>
      </c>
      <c r="I1879" s="8" t="s">
        <v>4765</v>
      </c>
    </row>
    <row r="1880" spans="1:9" x14ac:dyDescent="0.35">
      <c r="A1880" s="6">
        <v>1411345</v>
      </c>
      <c r="B1880" s="7" t="str">
        <f>"3510034804920010"</f>
        <v>3510034804920010</v>
      </c>
      <c r="C1880" s="7" t="s">
        <v>4955</v>
      </c>
      <c r="D1880" s="7" t="s">
        <v>17</v>
      </c>
      <c r="E1880" s="7" t="s">
        <v>11</v>
      </c>
      <c r="F1880" s="7" t="s">
        <v>303</v>
      </c>
      <c r="G1880" s="7" t="s">
        <v>3472</v>
      </c>
      <c r="H1880" s="7" t="s">
        <v>4956</v>
      </c>
      <c r="I1880" s="8" t="s">
        <v>4957</v>
      </c>
    </row>
    <row r="1881" spans="1:9" x14ac:dyDescent="0.35">
      <c r="A1881" s="6">
        <v>2558607</v>
      </c>
      <c r="B1881" s="7" t="str">
        <f>"3521111506770006"</f>
        <v>3521111506770006</v>
      </c>
      <c r="C1881" s="7" t="s">
        <v>3710</v>
      </c>
      <c r="D1881" s="7" t="s">
        <v>17</v>
      </c>
      <c r="E1881" s="7" t="s">
        <v>11</v>
      </c>
      <c r="F1881" s="7" t="s">
        <v>18</v>
      </c>
      <c r="G1881" s="7" t="s">
        <v>19</v>
      </c>
      <c r="H1881" s="7" t="s">
        <v>3565</v>
      </c>
      <c r="I1881" s="8" t="s">
        <v>4697</v>
      </c>
    </row>
    <row r="1882" spans="1:9" x14ac:dyDescent="0.35">
      <c r="A1882" s="6">
        <v>329449</v>
      </c>
      <c r="B1882" s="7" t="str">
        <f>"3577022211920002"</f>
        <v>3577022211920002</v>
      </c>
      <c r="C1882" s="7" t="s">
        <v>4962</v>
      </c>
      <c r="D1882" s="7" t="s">
        <v>17</v>
      </c>
      <c r="E1882" s="7" t="s">
        <v>11</v>
      </c>
      <c r="F1882" s="7" t="s">
        <v>303</v>
      </c>
      <c r="G1882" s="7" t="s">
        <v>4963</v>
      </c>
      <c r="H1882" s="7" t="s">
        <v>4964</v>
      </c>
      <c r="I1882" s="8" t="s">
        <v>4965</v>
      </c>
    </row>
    <row r="1883" spans="1:9" x14ac:dyDescent="0.35">
      <c r="A1883" s="6">
        <v>2558198</v>
      </c>
      <c r="B1883" s="7" t="str">
        <f>"3674062404850019"</f>
        <v>3674062404850019</v>
      </c>
      <c r="C1883" s="7" t="s">
        <v>4966</v>
      </c>
      <c r="D1883" s="7" t="s">
        <v>17</v>
      </c>
      <c r="E1883" s="7" t="s">
        <v>11</v>
      </c>
      <c r="F1883" s="7" t="s">
        <v>18</v>
      </c>
      <c r="G1883" s="7" t="s">
        <v>19</v>
      </c>
      <c r="H1883" s="7" t="s">
        <v>3565</v>
      </c>
      <c r="I1883" s="8" t="s">
        <v>4765</v>
      </c>
    </row>
    <row r="1884" spans="1:9" x14ac:dyDescent="0.35">
      <c r="A1884" s="6">
        <v>2571664</v>
      </c>
      <c r="B1884" s="7" t="str">
        <f>"5310121504890003"</f>
        <v>5310121504890003</v>
      </c>
      <c r="C1884" s="7" t="s">
        <v>4970</v>
      </c>
      <c r="D1884" s="7" t="s">
        <v>17</v>
      </c>
      <c r="E1884" s="7" t="s">
        <v>11</v>
      </c>
      <c r="F1884" s="7" t="s">
        <v>18</v>
      </c>
      <c r="G1884" s="7" t="s">
        <v>19</v>
      </c>
      <c r="H1884" s="7" t="s">
        <v>3565</v>
      </c>
      <c r="I1884" s="8" t="s">
        <v>678</v>
      </c>
    </row>
    <row r="1885" spans="1:9" x14ac:dyDescent="0.35">
      <c r="A1885" s="6">
        <v>2559680</v>
      </c>
      <c r="B1885" s="7" t="str">
        <f>"1208115610000003"</f>
        <v>1208115610000003</v>
      </c>
      <c r="C1885" s="7" t="s">
        <v>4975</v>
      </c>
      <c r="D1885" s="7" t="s">
        <v>17</v>
      </c>
      <c r="E1885" s="7" t="s">
        <v>11</v>
      </c>
      <c r="F1885" s="7" t="s">
        <v>18</v>
      </c>
      <c r="G1885" s="7" t="s">
        <v>19</v>
      </c>
      <c r="H1885" s="7" t="s">
        <v>266</v>
      </c>
      <c r="I1885" s="8" t="s">
        <v>4976</v>
      </c>
    </row>
    <row r="1886" spans="1:9" x14ac:dyDescent="0.35">
      <c r="A1886" s="6">
        <v>1284892</v>
      </c>
      <c r="B1886" s="7" t="str">
        <f>"1671047112600089"</f>
        <v>1671047112600089</v>
      </c>
      <c r="C1886" s="7" t="s">
        <v>4978</v>
      </c>
      <c r="D1886" s="7" t="s">
        <v>17</v>
      </c>
      <c r="E1886" s="7" t="s">
        <v>11</v>
      </c>
      <c r="F1886" s="7" t="s">
        <v>33</v>
      </c>
      <c r="G1886" s="7" t="s">
        <v>2157</v>
      </c>
      <c r="H1886" s="7" t="s">
        <v>4979</v>
      </c>
      <c r="I1886" s="8" t="s">
        <v>4980</v>
      </c>
    </row>
    <row r="1887" spans="1:9" x14ac:dyDescent="0.35">
      <c r="A1887" s="6">
        <v>2560129</v>
      </c>
      <c r="B1887" s="7" t="str">
        <f>"1802094909890003"</f>
        <v>1802094909890003</v>
      </c>
      <c r="C1887" s="7" t="s">
        <v>4984</v>
      </c>
      <c r="D1887" s="7" t="s">
        <v>17</v>
      </c>
      <c r="E1887" s="7" t="s">
        <v>11</v>
      </c>
      <c r="F1887" s="7" t="s">
        <v>18</v>
      </c>
      <c r="G1887" s="7" t="s">
        <v>19</v>
      </c>
      <c r="H1887" s="7" t="s">
        <v>266</v>
      </c>
      <c r="I1887" s="8" t="s">
        <v>4985</v>
      </c>
    </row>
    <row r="1888" spans="1:9" x14ac:dyDescent="0.35">
      <c r="A1888" s="6">
        <v>2559752</v>
      </c>
      <c r="B1888" s="7" t="str">
        <f>"1901054610950001"</f>
        <v>1901054610950001</v>
      </c>
      <c r="C1888" s="7" t="s">
        <v>4986</v>
      </c>
      <c r="D1888" s="7" t="s">
        <v>17</v>
      </c>
      <c r="E1888" s="7" t="s">
        <v>11</v>
      </c>
      <c r="F1888" s="7" t="s">
        <v>18</v>
      </c>
      <c r="G1888" s="7" t="s">
        <v>19</v>
      </c>
      <c r="H1888" s="7" t="s">
        <v>266</v>
      </c>
      <c r="I1888" s="8" t="s">
        <v>4976</v>
      </c>
    </row>
    <row r="1889" spans="1:9" x14ac:dyDescent="0.35">
      <c r="A1889" s="6">
        <v>2560216</v>
      </c>
      <c r="B1889" s="7" t="str">
        <f>"3172021712970001"</f>
        <v>3172021712970001</v>
      </c>
      <c r="C1889" s="7" t="s">
        <v>4989</v>
      </c>
      <c r="D1889" s="7" t="s">
        <v>17</v>
      </c>
      <c r="E1889" s="7" t="s">
        <v>11</v>
      </c>
      <c r="F1889" s="7" t="s">
        <v>18</v>
      </c>
      <c r="G1889" s="7" t="s">
        <v>19</v>
      </c>
      <c r="H1889" s="7" t="s">
        <v>266</v>
      </c>
      <c r="I1889" s="8" t="s">
        <v>4990</v>
      </c>
    </row>
    <row r="1890" spans="1:9" x14ac:dyDescent="0.35">
      <c r="A1890" s="6">
        <v>2560459</v>
      </c>
      <c r="B1890" s="7" t="str">
        <f>"3172030707480006"</f>
        <v>3172030707480006</v>
      </c>
      <c r="C1890" s="7" t="s">
        <v>4993</v>
      </c>
      <c r="D1890" s="7" t="s">
        <v>17</v>
      </c>
      <c r="E1890" s="7" t="s">
        <v>11</v>
      </c>
      <c r="F1890" s="7" t="s">
        <v>18</v>
      </c>
      <c r="G1890" s="7" t="s">
        <v>19</v>
      </c>
      <c r="H1890" s="7" t="s">
        <v>266</v>
      </c>
      <c r="I1890" s="8" t="s">
        <v>4994</v>
      </c>
    </row>
    <row r="1891" spans="1:9" x14ac:dyDescent="0.35">
      <c r="A1891" s="6">
        <v>2560278</v>
      </c>
      <c r="B1891" s="7" t="str">
        <f>"3173061909810010"</f>
        <v>3173061909810010</v>
      </c>
      <c r="C1891" s="7" t="s">
        <v>4995</v>
      </c>
      <c r="D1891" s="7" t="s">
        <v>17</v>
      </c>
      <c r="E1891" s="7" t="s">
        <v>11</v>
      </c>
      <c r="F1891" s="7" t="s">
        <v>18</v>
      </c>
      <c r="G1891" s="7" t="s">
        <v>19</v>
      </c>
      <c r="H1891" s="7" t="s">
        <v>266</v>
      </c>
      <c r="I1891" s="8" t="s">
        <v>4990</v>
      </c>
    </row>
    <row r="1892" spans="1:9" x14ac:dyDescent="0.35">
      <c r="A1892" s="6">
        <v>2559883</v>
      </c>
      <c r="B1892" s="7" t="str">
        <f>"3174071208800006"</f>
        <v>3174071208800006</v>
      </c>
      <c r="C1892" s="7" t="s">
        <v>4997</v>
      </c>
      <c r="D1892" s="7" t="s">
        <v>17</v>
      </c>
      <c r="E1892" s="7" t="s">
        <v>11</v>
      </c>
      <c r="F1892" s="7" t="s">
        <v>18</v>
      </c>
      <c r="G1892" s="7" t="s">
        <v>19</v>
      </c>
      <c r="H1892" s="7" t="s">
        <v>266</v>
      </c>
      <c r="I1892" s="8" t="s">
        <v>1573</v>
      </c>
    </row>
    <row r="1893" spans="1:9" x14ac:dyDescent="0.35">
      <c r="A1893" s="6">
        <v>2559710</v>
      </c>
      <c r="B1893" s="7" t="str">
        <f>"3175030904750009"</f>
        <v>3175030904750009</v>
      </c>
      <c r="C1893" s="7" t="s">
        <v>4999</v>
      </c>
      <c r="D1893" s="7" t="s">
        <v>17</v>
      </c>
      <c r="E1893" s="7" t="s">
        <v>11</v>
      </c>
      <c r="F1893" s="7" t="s">
        <v>18</v>
      </c>
      <c r="G1893" s="7" t="s">
        <v>19</v>
      </c>
      <c r="H1893" s="7" t="s">
        <v>266</v>
      </c>
      <c r="I1893" s="8" t="s">
        <v>4976</v>
      </c>
    </row>
    <row r="1894" spans="1:9" x14ac:dyDescent="0.35">
      <c r="A1894" s="6">
        <v>2559707</v>
      </c>
      <c r="B1894" s="7" t="str">
        <f>"3175035410740008"</f>
        <v>3175035410740008</v>
      </c>
      <c r="C1894" s="7" t="s">
        <v>5001</v>
      </c>
      <c r="D1894" s="7" t="s">
        <v>17</v>
      </c>
      <c r="E1894" s="7" t="s">
        <v>11</v>
      </c>
      <c r="F1894" s="7" t="s">
        <v>18</v>
      </c>
      <c r="G1894" s="7" t="s">
        <v>19</v>
      </c>
      <c r="H1894" s="7" t="s">
        <v>266</v>
      </c>
      <c r="I1894" s="8" t="s">
        <v>4976</v>
      </c>
    </row>
    <row r="1895" spans="1:9" x14ac:dyDescent="0.35">
      <c r="A1895" s="6">
        <v>2559509</v>
      </c>
      <c r="B1895" s="7" t="str">
        <f>"3202290907920009"</f>
        <v>3202290907920009</v>
      </c>
      <c r="C1895" s="7" t="s">
        <v>5002</v>
      </c>
      <c r="D1895" s="7" t="s">
        <v>17</v>
      </c>
      <c r="E1895" s="7" t="s">
        <v>11</v>
      </c>
      <c r="F1895" s="7" t="s">
        <v>18</v>
      </c>
      <c r="G1895" s="7" t="s">
        <v>19</v>
      </c>
      <c r="H1895" s="7" t="s">
        <v>266</v>
      </c>
      <c r="I1895" s="8" t="s">
        <v>5005</v>
      </c>
    </row>
    <row r="1896" spans="1:9" x14ac:dyDescent="0.35">
      <c r="A1896" s="6">
        <v>2560439</v>
      </c>
      <c r="B1896" s="7" t="str">
        <f>"3209032603900011"</f>
        <v>3209032603900011</v>
      </c>
      <c r="C1896" s="7" t="s">
        <v>5006</v>
      </c>
      <c r="D1896" s="7" t="s">
        <v>17</v>
      </c>
      <c r="E1896" s="7" t="s">
        <v>11</v>
      </c>
      <c r="F1896" s="7" t="s">
        <v>18</v>
      </c>
      <c r="G1896" s="7" t="s">
        <v>19</v>
      </c>
      <c r="H1896" s="7" t="s">
        <v>266</v>
      </c>
      <c r="I1896" s="8" t="s">
        <v>4994</v>
      </c>
    </row>
    <row r="1897" spans="1:9" x14ac:dyDescent="0.35">
      <c r="A1897" s="6">
        <v>2561006</v>
      </c>
      <c r="B1897" s="7" t="str">
        <f>"3273255408800003"</f>
        <v>3273255408800003</v>
      </c>
      <c r="C1897" s="7" t="s">
        <v>5008</v>
      </c>
      <c r="D1897" s="7" t="s">
        <v>17</v>
      </c>
      <c r="E1897" s="7" t="s">
        <v>11</v>
      </c>
      <c r="F1897" s="7" t="s">
        <v>18</v>
      </c>
      <c r="G1897" s="7" t="s">
        <v>19</v>
      </c>
      <c r="H1897" s="7" t="s">
        <v>266</v>
      </c>
      <c r="I1897" s="8" t="s">
        <v>5011</v>
      </c>
    </row>
    <row r="1898" spans="1:9" x14ac:dyDescent="0.35">
      <c r="A1898" s="6">
        <v>2560271</v>
      </c>
      <c r="B1898" s="7" t="str">
        <f>"3275070701070001"</f>
        <v>3275070701070001</v>
      </c>
      <c r="C1898" s="7" t="s">
        <v>5012</v>
      </c>
      <c r="D1898" s="7" t="s">
        <v>17</v>
      </c>
      <c r="E1898" s="7" t="s">
        <v>11</v>
      </c>
      <c r="F1898" s="7" t="s">
        <v>18</v>
      </c>
      <c r="G1898" s="7" t="s">
        <v>19</v>
      </c>
      <c r="H1898" s="7" t="s">
        <v>266</v>
      </c>
      <c r="I1898" s="8" t="s">
        <v>4990</v>
      </c>
    </row>
    <row r="1899" spans="1:9" x14ac:dyDescent="0.35">
      <c r="A1899" s="6">
        <v>2559637</v>
      </c>
      <c r="B1899" s="7" t="str">
        <f>"3303095409780003"</f>
        <v>3303095409780003</v>
      </c>
      <c r="C1899" s="7" t="s">
        <v>5015</v>
      </c>
      <c r="D1899" s="7" t="s">
        <v>17</v>
      </c>
      <c r="E1899" s="7" t="s">
        <v>11</v>
      </c>
      <c r="F1899" s="7" t="s">
        <v>18</v>
      </c>
      <c r="G1899" s="7" t="s">
        <v>19</v>
      </c>
      <c r="H1899" s="7" t="s">
        <v>266</v>
      </c>
      <c r="I1899" s="8" t="s">
        <v>4976</v>
      </c>
    </row>
    <row r="1900" spans="1:9" x14ac:dyDescent="0.35">
      <c r="A1900" s="6">
        <v>2559597</v>
      </c>
      <c r="B1900" s="7" t="str">
        <f>"3310172608000002"</f>
        <v>3310172608000002</v>
      </c>
      <c r="C1900" s="7" t="s">
        <v>5020</v>
      </c>
      <c r="D1900" s="7" t="s">
        <v>17</v>
      </c>
      <c r="E1900" s="7" t="s">
        <v>11</v>
      </c>
      <c r="F1900" s="7" t="s">
        <v>18</v>
      </c>
      <c r="G1900" s="7" t="s">
        <v>19</v>
      </c>
      <c r="H1900" s="7" t="s">
        <v>266</v>
      </c>
      <c r="I1900" s="8" t="s">
        <v>5005</v>
      </c>
    </row>
    <row r="1901" spans="1:9" x14ac:dyDescent="0.35">
      <c r="A1901" s="6">
        <v>2560823</v>
      </c>
      <c r="B1901" s="7" t="str">
        <f>"3323025501920003"</f>
        <v>3323025501920003</v>
      </c>
      <c r="C1901" s="7" t="s">
        <v>5021</v>
      </c>
      <c r="D1901" s="7" t="s">
        <v>17</v>
      </c>
      <c r="E1901" s="7" t="s">
        <v>11</v>
      </c>
      <c r="F1901" s="7" t="s">
        <v>18</v>
      </c>
      <c r="G1901" s="7" t="s">
        <v>19</v>
      </c>
      <c r="H1901" s="7" t="s">
        <v>266</v>
      </c>
      <c r="I1901" s="8" t="s">
        <v>5023</v>
      </c>
    </row>
    <row r="1902" spans="1:9" x14ac:dyDescent="0.35">
      <c r="A1902" s="6">
        <v>2639804</v>
      </c>
      <c r="B1902" s="7" t="str">
        <f>"3327075410940001"</f>
        <v>3327075410940001</v>
      </c>
      <c r="C1902" s="7" t="s">
        <v>5024</v>
      </c>
      <c r="D1902" s="7" t="s">
        <v>17</v>
      </c>
      <c r="E1902" s="7" t="s">
        <v>11</v>
      </c>
      <c r="F1902" s="7" t="s">
        <v>18</v>
      </c>
      <c r="G1902" s="7" t="s">
        <v>199</v>
      </c>
      <c r="H1902" s="7" t="s">
        <v>1860</v>
      </c>
      <c r="I1902" s="8" t="s">
        <v>1011</v>
      </c>
    </row>
    <row r="1903" spans="1:9" x14ac:dyDescent="0.35">
      <c r="A1903" s="6">
        <v>2560753</v>
      </c>
      <c r="B1903" s="7" t="str">
        <f>"3327100101690178"</f>
        <v>3327100101690178</v>
      </c>
      <c r="C1903" s="7" t="s">
        <v>5025</v>
      </c>
      <c r="D1903" s="7" t="s">
        <v>17</v>
      </c>
      <c r="E1903" s="7" t="s">
        <v>11</v>
      </c>
      <c r="F1903" s="7" t="s">
        <v>18</v>
      </c>
      <c r="G1903" s="7" t="s">
        <v>19</v>
      </c>
      <c r="H1903" s="7" t="s">
        <v>266</v>
      </c>
      <c r="I1903" s="8" t="s">
        <v>5023</v>
      </c>
    </row>
    <row r="1904" spans="1:9" x14ac:dyDescent="0.35">
      <c r="A1904" s="6">
        <v>2560102</v>
      </c>
      <c r="B1904" s="7" t="str">
        <f>"3328060606870013"</f>
        <v>3328060606870013</v>
      </c>
      <c r="C1904" s="7" t="s">
        <v>5030</v>
      </c>
      <c r="D1904" s="7" t="s">
        <v>17</v>
      </c>
      <c r="E1904" s="7" t="s">
        <v>11</v>
      </c>
      <c r="F1904" s="7" t="s">
        <v>18</v>
      </c>
      <c r="G1904" s="7" t="s">
        <v>19</v>
      </c>
      <c r="H1904" s="7" t="s">
        <v>266</v>
      </c>
      <c r="I1904" s="8" t="s">
        <v>1737</v>
      </c>
    </row>
    <row r="1905" spans="1:9" x14ac:dyDescent="0.35">
      <c r="A1905" s="6">
        <v>2560648</v>
      </c>
      <c r="B1905" s="7" t="str">
        <f>"3328111004790010"</f>
        <v>3328111004790010</v>
      </c>
      <c r="C1905" s="7" t="s">
        <v>5031</v>
      </c>
      <c r="D1905" s="7" t="s">
        <v>17</v>
      </c>
      <c r="E1905" s="7" t="s">
        <v>11</v>
      </c>
      <c r="F1905" s="7" t="s">
        <v>18</v>
      </c>
      <c r="G1905" s="7" t="s">
        <v>19</v>
      </c>
      <c r="H1905" s="7" t="s">
        <v>266</v>
      </c>
      <c r="I1905" s="8" t="s">
        <v>266</v>
      </c>
    </row>
    <row r="1906" spans="1:9" x14ac:dyDescent="0.35">
      <c r="A1906" s="6">
        <v>2559615</v>
      </c>
      <c r="B1906" s="7" t="str">
        <f>"3328132803940014"</f>
        <v>3328132803940014</v>
      </c>
      <c r="C1906" s="7" t="s">
        <v>5038</v>
      </c>
      <c r="D1906" s="7" t="s">
        <v>17</v>
      </c>
      <c r="E1906" s="7" t="s">
        <v>11</v>
      </c>
      <c r="F1906" s="7" t="s">
        <v>18</v>
      </c>
      <c r="G1906" s="7" t="s">
        <v>19</v>
      </c>
      <c r="H1906" s="7" t="s">
        <v>266</v>
      </c>
      <c r="I1906" s="8" t="s">
        <v>4976</v>
      </c>
    </row>
    <row r="1907" spans="1:9" x14ac:dyDescent="0.35">
      <c r="A1907" s="6">
        <v>2559698</v>
      </c>
      <c r="B1907" s="7" t="str">
        <f>"3328150111020007"</f>
        <v>3328150111020007</v>
      </c>
      <c r="C1907" s="7" t="s">
        <v>5042</v>
      </c>
      <c r="D1907" s="7" t="s">
        <v>17</v>
      </c>
      <c r="E1907" s="7" t="s">
        <v>11</v>
      </c>
      <c r="F1907" s="7" t="s">
        <v>18</v>
      </c>
      <c r="G1907" s="7" t="s">
        <v>19</v>
      </c>
      <c r="H1907" s="7" t="s">
        <v>266</v>
      </c>
      <c r="I1907" s="8" t="s">
        <v>4976</v>
      </c>
    </row>
    <row r="1908" spans="1:9" x14ac:dyDescent="0.35">
      <c r="A1908" s="6">
        <v>2559715</v>
      </c>
      <c r="B1908" s="7" t="str">
        <f>"3328150212850005"</f>
        <v>3328150212850005</v>
      </c>
      <c r="C1908" s="7" t="s">
        <v>5046</v>
      </c>
      <c r="D1908" s="7" t="s">
        <v>17</v>
      </c>
      <c r="E1908" s="7" t="s">
        <v>11</v>
      </c>
      <c r="F1908" s="7" t="s">
        <v>18</v>
      </c>
      <c r="G1908" s="7" t="s">
        <v>19</v>
      </c>
      <c r="H1908" s="7" t="s">
        <v>266</v>
      </c>
      <c r="I1908" s="8" t="s">
        <v>4976</v>
      </c>
    </row>
    <row r="1909" spans="1:9" x14ac:dyDescent="0.35">
      <c r="A1909" s="6">
        <v>2559770</v>
      </c>
      <c r="B1909" s="7" t="str">
        <f>"3328150406050008"</f>
        <v>3328150406050008</v>
      </c>
      <c r="C1909" s="7" t="s">
        <v>5051</v>
      </c>
      <c r="D1909" s="7" t="s">
        <v>17</v>
      </c>
      <c r="E1909" s="7" t="s">
        <v>11</v>
      </c>
      <c r="F1909" s="7" t="s">
        <v>18</v>
      </c>
      <c r="G1909" s="7" t="s">
        <v>19</v>
      </c>
      <c r="H1909" s="7" t="s">
        <v>266</v>
      </c>
      <c r="I1909" s="8" t="s">
        <v>4976</v>
      </c>
    </row>
    <row r="1910" spans="1:9" x14ac:dyDescent="0.35">
      <c r="A1910" s="6">
        <v>2559980</v>
      </c>
      <c r="B1910" s="7" t="str">
        <f>"3328150704040002"</f>
        <v>3328150704040002</v>
      </c>
      <c r="C1910" s="7" t="s">
        <v>5056</v>
      </c>
      <c r="D1910" s="7" t="s">
        <v>17</v>
      </c>
      <c r="E1910" s="7" t="s">
        <v>11</v>
      </c>
      <c r="F1910" s="7" t="s">
        <v>18</v>
      </c>
      <c r="G1910" s="7" t="s">
        <v>19</v>
      </c>
      <c r="H1910" s="7" t="s">
        <v>266</v>
      </c>
      <c r="I1910" s="8" t="s">
        <v>5050</v>
      </c>
    </row>
    <row r="1911" spans="1:9" x14ac:dyDescent="0.35">
      <c r="A1911" s="6">
        <v>2560455</v>
      </c>
      <c r="B1911" s="7" t="str">
        <f>"3328150804880011"</f>
        <v>3328150804880011</v>
      </c>
      <c r="C1911" s="7" t="s">
        <v>5059</v>
      </c>
      <c r="D1911" s="7" t="s">
        <v>17</v>
      </c>
      <c r="E1911" s="7" t="s">
        <v>11</v>
      </c>
      <c r="F1911" s="7" t="s">
        <v>18</v>
      </c>
      <c r="G1911" s="7" t="s">
        <v>19</v>
      </c>
      <c r="H1911" s="7" t="s">
        <v>266</v>
      </c>
      <c r="I1911" s="8" t="s">
        <v>4994</v>
      </c>
    </row>
    <row r="1912" spans="1:9" x14ac:dyDescent="0.35">
      <c r="A1912" s="6">
        <v>2561011</v>
      </c>
      <c r="B1912" s="7" t="str">
        <f>"3328150808880007"</f>
        <v>3328150808880007</v>
      </c>
      <c r="C1912" s="7" t="s">
        <v>4958</v>
      </c>
      <c r="D1912" s="7" t="s">
        <v>17</v>
      </c>
      <c r="E1912" s="7" t="s">
        <v>11</v>
      </c>
      <c r="F1912" s="7" t="s">
        <v>18</v>
      </c>
      <c r="G1912" s="7" t="s">
        <v>19</v>
      </c>
      <c r="H1912" s="7" t="s">
        <v>266</v>
      </c>
      <c r="I1912" s="8" t="s">
        <v>5011</v>
      </c>
    </row>
    <row r="1913" spans="1:9" x14ac:dyDescent="0.35">
      <c r="A1913" s="6">
        <v>1208906</v>
      </c>
      <c r="B1913" s="7" t="str">
        <f>"3328150907790005"</f>
        <v>3328150907790005</v>
      </c>
      <c r="C1913" s="7" t="s">
        <v>5063</v>
      </c>
      <c r="D1913" s="7" t="s">
        <v>17</v>
      </c>
      <c r="E1913" s="7" t="s">
        <v>11</v>
      </c>
      <c r="F1913" s="7" t="s">
        <v>303</v>
      </c>
      <c r="G1913" s="7" t="s">
        <v>4486</v>
      </c>
      <c r="H1913" s="7" t="s">
        <v>5064</v>
      </c>
      <c r="I1913" s="8" t="s">
        <v>5065</v>
      </c>
    </row>
    <row r="1914" spans="1:9" x14ac:dyDescent="0.35">
      <c r="A1914" s="6">
        <v>105866</v>
      </c>
      <c r="B1914" s="7" t="str">
        <f>"3328151509880004"</f>
        <v>3328151509880004</v>
      </c>
      <c r="C1914" s="7" t="s">
        <v>5066</v>
      </c>
      <c r="D1914" s="7" t="s">
        <v>17</v>
      </c>
      <c r="E1914" s="7" t="s">
        <v>57</v>
      </c>
      <c r="F1914" s="7" t="s">
        <v>2907</v>
      </c>
      <c r="G1914" s="7" t="s">
        <v>5068</v>
      </c>
      <c r="H1914" s="7" t="s">
        <v>5068</v>
      </c>
      <c r="I1914" s="8" t="s">
        <v>5069</v>
      </c>
    </row>
    <row r="1915" spans="1:9" x14ac:dyDescent="0.35">
      <c r="A1915" s="6">
        <v>877990</v>
      </c>
      <c r="B1915" s="7" t="str">
        <f>"3328151602950004"</f>
        <v>3328151602950004</v>
      </c>
      <c r="C1915" s="7" t="s">
        <v>5074</v>
      </c>
      <c r="D1915" s="7" t="s">
        <v>17</v>
      </c>
      <c r="E1915" s="7" t="s">
        <v>11</v>
      </c>
      <c r="F1915" s="7" t="s">
        <v>18</v>
      </c>
      <c r="G1915" s="7" t="s">
        <v>1522</v>
      </c>
      <c r="H1915" s="7" t="s">
        <v>1522</v>
      </c>
      <c r="I1915" s="8" t="s">
        <v>5075</v>
      </c>
    </row>
    <row r="1916" spans="1:9" x14ac:dyDescent="0.35">
      <c r="A1916" s="6">
        <v>2639756</v>
      </c>
      <c r="B1916" s="7" t="str">
        <f>"3328151707880006"</f>
        <v>3328151707880006</v>
      </c>
      <c r="C1916" s="7" t="s">
        <v>5076</v>
      </c>
      <c r="D1916" s="7" t="s">
        <v>17</v>
      </c>
      <c r="E1916" s="7" t="s">
        <v>11</v>
      </c>
      <c r="F1916" s="7" t="s">
        <v>18</v>
      </c>
      <c r="G1916" s="7" t="s">
        <v>199</v>
      </c>
      <c r="H1916" s="7" t="s">
        <v>1860</v>
      </c>
      <c r="I1916" s="8" t="s">
        <v>1011</v>
      </c>
    </row>
    <row r="1917" spans="1:9" x14ac:dyDescent="0.35">
      <c r="A1917" s="6">
        <v>2559748</v>
      </c>
      <c r="B1917" s="7" t="str">
        <f>"3328151709790005"</f>
        <v>3328151709790005</v>
      </c>
      <c r="C1917" s="7" t="s">
        <v>5077</v>
      </c>
      <c r="D1917" s="7" t="s">
        <v>17</v>
      </c>
      <c r="E1917" s="7" t="s">
        <v>11</v>
      </c>
      <c r="F1917" s="7" t="s">
        <v>18</v>
      </c>
      <c r="G1917" s="7" t="s">
        <v>19</v>
      </c>
      <c r="H1917" s="7" t="s">
        <v>266</v>
      </c>
      <c r="I1917" s="8" t="s">
        <v>4976</v>
      </c>
    </row>
    <row r="1918" spans="1:9" x14ac:dyDescent="0.35">
      <c r="A1918" s="6">
        <v>2559560</v>
      </c>
      <c r="B1918" s="7" t="str">
        <f>"3328151803890009"</f>
        <v>3328151803890009</v>
      </c>
      <c r="C1918" s="7" t="s">
        <v>5083</v>
      </c>
      <c r="D1918" s="7" t="s">
        <v>17</v>
      </c>
      <c r="E1918" s="7" t="s">
        <v>11</v>
      </c>
      <c r="F1918" s="7" t="s">
        <v>18</v>
      </c>
      <c r="G1918" s="7" t="s">
        <v>19</v>
      </c>
      <c r="H1918" s="7" t="s">
        <v>266</v>
      </c>
      <c r="I1918" s="8" t="s">
        <v>5005</v>
      </c>
    </row>
    <row r="1919" spans="1:9" x14ac:dyDescent="0.35">
      <c r="A1919" s="6">
        <v>421137</v>
      </c>
      <c r="B1919" s="7" t="str">
        <f>"3328152201950009"</f>
        <v>3328152201950009</v>
      </c>
      <c r="C1919" s="7" t="s">
        <v>5088</v>
      </c>
      <c r="D1919" s="7" t="s">
        <v>17</v>
      </c>
      <c r="E1919" s="7" t="s">
        <v>11</v>
      </c>
      <c r="F1919" s="7" t="s">
        <v>18</v>
      </c>
      <c r="G1919" s="7" t="s">
        <v>268</v>
      </c>
      <c r="H1919" s="7" t="s">
        <v>448</v>
      </c>
      <c r="I1919" s="8" t="s">
        <v>448</v>
      </c>
    </row>
    <row r="1920" spans="1:9" x14ac:dyDescent="0.35">
      <c r="A1920" s="6">
        <v>2559973</v>
      </c>
      <c r="B1920" s="7" t="str">
        <f>"3328152302060008"</f>
        <v>3328152302060008</v>
      </c>
      <c r="C1920" s="7" t="s">
        <v>5090</v>
      </c>
      <c r="D1920" s="7" t="s">
        <v>17</v>
      </c>
      <c r="E1920" s="7" t="s">
        <v>11</v>
      </c>
      <c r="F1920" s="7" t="s">
        <v>18</v>
      </c>
      <c r="G1920" s="7" t="s">
        <v>19</v>
      </c>
      <c r="H1920" s="7" t="s">
        <v>266</v>
      </c>
      <c r="I1920" s="8" t="s">
        <v>5050</v>
      </c>
    </row>
    <row r="1921" spans="1:9" x14ac:dyDescent="0.35">
      <c r="A1921" s="6">
        <v>2559505</v>
      </c>
      <c r="B1921" s="7" t="str">
        <f>"3328152310030005"</f>
        <v>3328152310030005</v>
      </c>
      <c r="C1921" s="7" t="s">
        <v>5092</v>
      </c>
      <c r="D1921" s="7" t="s">
        <v>17</v>
      </c>
      <c r="E1921" s="7" t="s">
        <v>11</v>
      </c>
      <c r="F1921" s="7" t="s">
        <v>18</v>
      </c>
      <c r="G1921" s="7" t="s">
        <v>19</v>
      </c>
      <c r="H1921" s="7" t="s">
        <v>266</v>
      </c>
      <c r="I1921" s="8" t="s">
        <v>5005</v>
      </c>
    </row>
    <row r="1922" spans="1:9" x14ac:dyDescent="0.35">
      <c r="A1922" s="6">
        <v>2561093</v>
      </c>
      <c r="B1922" s="7" t="str">
        <f>"3328152408000001"</f>
        <v>3328152408000001</v>
      </c>
      <c r="C1922" s="7" t="s">
        <v>5094</v>
      </c>
      <c r="D1922" s="7" t="s">
        <v>17</v>
      </c>
      <c r="E1922" s="7" t="s">
        <v>11</v>
      </c>
      <c r="F1922" s="7" t="s">
        <v>18</v>
      </c>
      <c r="G1922" s="7" t="s">
        <v>19</v>
      </c>
      <c r="H1922" s="7" t="s">
        <v>266</v>
      </c>
      <c r="I1922" s="8" t="s">
        <v>5095</v>
      </c>
    </row>
    <row r="1923" spans="1:9" x14ac:dyDescent="0.35">
      <c r="A1923" s="6">
        <v>2560828</v>
      </c>
      <c r="B1923" s="7" t="str">
        <f>"3328152411040008"</f>
        <v>3328152411040008</v>
      </c>
      <c r="C1923" s="7" t="s">
        <v>5097</v>
      </c>
      <c r="D1923" s="7" t="s">
        <v>17</v>
      </c>
      <c r="E1923" s="7" t="s">
        <v>11</v>
      </c>
      <c r="F1923" s="7" t="s">
        <v>18</v>
      </c>
      <c r="G1923" s="7" t="s">
        <v>19</v>
      </c>
      <c r="H1923" s="7" t="s">
        <v>266</v>
      </c>
      <c r="I1923" s="8" t="s">
        <v>5023</v>
      </c>
    </row>
    <row r="1924" spans="1:9" x14ac:dyDescent="0.35">
      <c r="A1924" s="6">
        <v>636285</v>
      </c>
      <c r="B1924" s="7" t="str">
        <f>"3328152704060009"</f>
        <v>3328152704060009</v>
      </c>
      <c r="C1924" s="7" t="s">
        <v>5098</v>
      </c>
      <c r="D1924" s="7" t="s">
        <v>17</v>
      </c>
      <c r="E1924" s="7" t="s">
        <v>57</v>
      </c>
      <c r="F1924" s="7" t="s">
        <v>18</v>
      </c>
      <c r="G1924" s="7" t="s">
        <v>190</v>
      </c>
      <c r="H1924" s="7" t="s">
        <v>1497</v>
      </c>
      <c r="I1924" s="8" t="s">
        <v>1498</v>
      </c>
    </row>
    <row r="1925" spans="1:9" x14ac:dyDescent="0.35">
      <c r="A1925" s="6">
        <v>2559771</v>
      </c>
      <c r="B1925" s="7" t="str">
        <f>"3328152704060009"</f>
        <v>3328152704060009</v>
      </c>
      <c r="C1925" s="7" t="s">
        <v>5098</v>
      </c>
      <c r="D1925" s="7" t="s">
        <v>17</v>
      </c>
      <c r="E1925" s="7" t="s">
        <v>11</v>
      </c>
      <c r="F1925" s="7" t="s">
        <v>18</v>
      </c>
      <c r="G1925" s="7" t="s">
        <v>19</v>
      </c>
      <c r="H1925" s="7" t="s">
        <v>266</v>
      </c>
      <c r="I1925" s="8" t="s">
        <v>4976</v>
      </c>
    </row>
    <row r="1926" spans="1:9" x14ac:dyDescent="0.35">
      <c r="A1926" s="6">
        <v>2559734</v>
      </c>
      <c r="B1926" s="7" t="str">
        <f>"3328152811050005"</f>
        <v>3328152811050005</v>
      </c>
      <c r="C1926" s="7" t="s">
        <v>5099</v>
      </c>
      <c r="D1926" s="7" t="s">
        <v>17</v>
      </c>
      <c r="E1926" s="7" t="s">
        <v>11</v>
      </c>
      <c r="F1926" s="7" t="s">
        <v>18</v>
      </c>
      <c r="G1926" s="7" t="s">
        <v>19</v>
      </c>
      <c r="H1926" s="7" t="s">
        <v>266</v>
      </c>
      <c r="I1926" s="8" t="s">
        <v>4976</v>
      </c>
    </row>
    <row r="1927" spans="1:9" x14ac:dyDescent="0.35">
      <c r="A1927" s="6">
        <v>2560656</v>
      </c>
      <c r="B1927" s="7" t="str">
        <f>"3328152901030009"</f>
        <v>3328152901030009</v>
      </c>
      <c r="C1927" s="7" t="s">
        <v>5100</v>
      </c>
      <c r="D1927" s="7" t="s">
        <v>17</v>
      </c>
      <c r="E1927" s="7" t="s">
        <v>11</v>
      </c>
      <c r="F1927" s="7" t="s">
        <v>18</v>
      </c>
      <c r="G1927" s="7" t="s">
        <v>19</v>
      </c>
      <c r="H1927" s="7" t="s">
        <v>266</v>
      </c>
      <c r="I1927" s="8" t="s">
        <v>266</v>
      </c>
    </row>
    <row r="1928" spans="1:9" x14ac:dyDescent="0.35">
      <c r="A1928" s="6">
        <v>2560552</v>
      </c>
      <c r="B1928" s="7" t="str">
        <f>"3328153004930002"</f>
        <v>3328153004930002</v>
      </c>
      <c r="C1928" s="7" t="s">
        <v>5101</v>
      </c>
      <c r="D1928" s="7" t="s">
        <v>17</v>
      </c>
      <c r="E1928" s="7" t="s">
        <v>11</v>
      </c>
      <c r="F1928" s="7" t="s">
        <v>18</v>
      </c>
      <c r="G1928" s="7" t="s">
        <v>19</v>
      </c>
      <c r="H1928" s="7" t="s">
        <v>266</v>
      </c>
      <c r="I1928" s="8" t="s">
        <v>5044</v>
      </c>
    </row>
    <row r="1929" spans="1:9" x14ac:dyDescent="0.35">
      <c r="A1929" s="6">
        <v>2560451</v>
      </c>
      <c r="B1929" s="7" t="str">
        <f>"3328153101030003"</f>
        <v>3328153101030003</v>
      </c>
      <c r="C1929" s="7" t="s">
        <v>5102</v>
      </c>
      <c r="D1929" s="7" t="s">
        <v>17</v>
      </c>
      <c r="E1929" s="7" t="s">
        <v>11</v>
      </c>
      <c r="F1929" s="7" t="s">
        <v>18</v>
      </c>
      <c r="G1929" s="7" t="s">
        <v>19</v>
      </c>
      <c r="H1929" s="7" t="s">
        <v>266</v>
      </c>
      <c r="I1929" s="8" t="s">
        <v>4994</v>
      </c>
    </row>
    <row r="1930" spans="1:9" x14ac:dyDescent="0.35">
      <c r="A1930" s="6">
        <v>2561500</v>
      </c>
      <c r="B1930" s="7" t="str">
        <f>"3328154107570206"</f>
        <v>3328154107570206</v>
      </c>
      <c r="C1930" s="7" t="s">
        <v>5105</v>
      </c>
      <c r="D1930" s="7" t="s">
        <v>17</v>
      </c>
      <c r="E1930" s="7" t="s">
        <v>11</v>
      </c>
      <c r="F1930" s="7" t="s">
        <v>18</v>
      </c>
      <c r="G1930" s="7" t="s">
        <v>19</v>
      </c>
      <c r="H1930" s="7" t="s">
        <v>266</v>
      </c>
      <c r="I1930" s="8" t="s">
        <v>5106</v>
      </c>
    </row>
    <row r="1931" spans="1:9" x14ac:dyDescent="0.35">
      <c r="A1931" s="6">
        <v>2560526</v>
      </c>
      <c r="B1931" s="7" t="str">
        <f>"3328154107810058"</f>
        <v>3328154107810058</v>
      </c>
      <c r="C1931" s="7" t="s">
        <v>5107</v>
      </c>
      <c r="D1931" s="7" t="s">
        <v>17</v>
      </c>
      <c r="E1931" s="7" t="s">
        <v>11</v>
      </c>
      <c r="F1931" s="7" t="s">
        <v>18</v>
      </c>
      <c r="G1931" s="7" t="s">
        <v>19</v>
      </c>
      <c r="H1931" s="7" t="s">
        <v>266</v>
      </c>
      <c r="I1931" s="8" t="s">
        <v>5044</v>
      </c>
    </row>
    <row r="1932" spans="1:9" x14ac:dyDescent="0.35">
      <c r="A1932" s="6">
        <v>2560521</v>
      </c>
      <c r="B1932" s="7" t="str">
        <f>"3328154109010004"</f>
        <v>3328154109010004</v>
      </c>
      <c r="C1932" s="7" t="s">
        <v>5108</v>
      </c>
      <c r="D1932" s="7" t="s">
        <v>17</v>
      </c>
      <c r="E1932" s="7" t="s">
        <v>11</v>
      </c>
      <c r="F1932" s="7" t="s">
        <v>18</v>
      </c>
      <c r="G1932" s="7" t="s">
        <v>19</v>
      </c>
      <c r="H1932" s="7" t="s">
        <v>266</v>
      </c>
      <c r="I1932" s="8" t="s">
        <v>5067</v>
      </c>
    </row>
    <row r="1933" spans="1:9" x14ac:dyDescent="0.35">
      <c r="A1933" s="6">
        <v>2560456</v>
      </c>
      <c r="B1933" s="7" t="str">
        <f>"3328154205920007"</f>
        <v>3328154205920007</v>
      </c>
      <c r="C1933" s="7" t="s">
        <v>5111</v>
      </c>
      <c r="D1933" s="7" t="s">
        <v>17</v>
      </c>
      <c r="E1933" s="7" t="s">
        <v>11</v>
      </c>
      <c r="F1933" s="7" t="s">
        <v>18</v>
      </c>
      <c r="G1933" s="7" t="s">
        <v>19</v>
      </c>
      <c r="H1933" s="7" t="s">
        <v>266</v>
      </c>
      <c r="I1933" s="8" t="s">
        <v>4994</v>
      </c>
    </row>
    <row r="1934" spans="1:9" x14ac:dyDescent="0.35">
      <c r="A1934" s="6">
        <v>2560098</v>
      </c>
      <c r="B1934" s="7" t="str">
        <f>"3328154406900008"</f>
        <v>3328154406900008</v>
      </c>
      <c r="C1934" s="7" t="s">
        <v>5113</v>
      </c>
      <c r="D1934" s="7" t="s">
        <v>17</v>
      </c>
      <c r="E1934" s="7" t="s">
        <v>11</v>
      </c>
      <c r="F1934" s="7" t="s">
        <v>18</v>
      </c>
      <c r="G1934" s="7" t="s">
        <v>19</v>
      </c>
      <c r="H1934" s="7" t="s">
        <v>266</v>
      </c>
      <c r="I1934" s="8" t="s">
        <v>1737</v>
      </c>
    </row>
    <row r="1935" spans="1:9" x14ac:dyDescent="0.35">
      <c r="A1935" s="6">
        <v>2559676</v>
      </c>
      <c r="B1935" s="7" t="str">
        <f>"3328155005060012"</f>
        <v>3328155005060012</v>
      </c>
      <c r="C1935" s="7" t="s">
        <v>5116</v>
      </c>
      <c r="D1935" s="7" t="s">
        <v>17</v>
      </c>
      <c r="E1935" s="7" t="s">
        <v>11</v>
      </c>
      <c r="F1935" s="7" t="s">
        <v>18</v>
      </c>
      <c r="G1935" s="7" t="s">
        <v>19</v>
      </c>
      <c r="H1935" s="7" t="s">
        <v>266</v>
      </c>
      <c r="I1935" s="8" t="s">
        <v>4976</v>
      </c>
    </row>
    <row r="1936" spans="1:9" x14ac:dyDescent="0.35">
      <c r="A1936" s="6">
        <v>1167480</v>
      </c>
      <c r="B1936" s="7" t="str">
        <f>"3328155005870009"</f>
        <v>3328155005870009</v>
      </c>
      <c r="C1936" s="7" t="s">
        <v>5117</v>
      </c>
      <c r="D1936" s="7" t="s">
        <v>17</v>
      </c>
      <c r="E1936" s="7" t="s">
        <v>11</v>
      </c>
      <c r="F1936" s="7" t="s">
        <v>18</v>
      </c>
      <c r="G1936" s="7" t="s">
        <v>1787</v>
      </c>
      <c r="H1936" s="7" t="s">
        <v>5118</v>
      </c>
      <c r="I1936" s="8" t="s">
        <v>5118</v>
      </c>
    </row>
    <row r="1937" spans="1:9" x14ac:dyDescent="0.35">
      <c r="A1937" s="6">
        <v>2560509</v>
      </c>
      <c r="B1937" s="7" t="str">
        <f>"3328155202820005"</f>
        <v>3328155202820005</v>
      </c>
      <c r="C1937" s="7" t="s">
        <v>5123</v>
      </c>
      <c r="D1937" s="7" t="s">
        <v>17</v>
      </c>
      <c r="E1937" s="7" t="s">
        <v>11</v>
      </c>
      <c r="F1937" s="7" t="s">
        <v>18</v>
      </c>
      <c r="G1937" s="7" t="s">
        <v>19</v>
      </c>
      <c r="H1937" s="7" t="s">
        <v>266</v>
      </c>
      <c r="I1937" s="8" t="s">
        <v>5067</v>
      </c>
    </row>
    <row r="1938" spans="1:9" x14ac:dyDescent="0.35">
      <c r="A1938" s="6">
        <v>2561400</v>
      </c>
      <c r="B1938" s="7" t="str">
        <f>"3328155406930002"</f>
        <v>3328155406930002</v>
      </c>
      <c r="C1938" s="7" t="s">
        <v>5124</v>
      </c>
      <c r="D1938" s="7" t="s">
        <v>17</v>
      </c>
      <c r="E1938" s="7" t="s">
        <v>11</v>
      </c>
      <c r="F1938" s="7" t="s">
        <v>18</v>
      </c>
      <c r="G1938" s="7" t="s">
        <v>19</v>
      </c>
      <c r="H1938" s="7" t="s">
        <v>266</v>
      </c>
      <c r="I1938" s="8" t="s">
        <v>5106</v>
      </c>
    </row>
    <row r="1939" spans="1:9" x14ac:dyDescent="0.35">
      <c r="A1939" s="6">
        <v>2561369</v>
      </c>
      <c r="B1939" s="7" t="str">
        <f>"3328155504940004"</f>
        <v>3328155504940004</v>
      </c>
      <c r="C1939" s="7" t="s">
        <v>5125</v>
      </c>
      <c r="D1939" s="7" t="s">
        <v>17</v>
      </c>
      <c r="E1939" s="7" t="s">
        <v>11</v>
      </c>
      <c r="F1939" s="7" t="s">
        <v>18</v>
      </c>
      <c r="G1939" s="7" t="s">
        <v>19</v>
      </c>
      <c r="H1939" s="7" t="s">
        <v>266</v>
      </c>
      <c r="I1939" s="8" t="s">
        <v>5106</v>
      </c>
    </row>
    <row r="1940" spans="1:9" x14ac:dyDescent="0.35">
      <c r="A1940" s="6">
        <v>2559745</v>
      </c>
      <c r="B1940" s="7" t="str">
        <f>"3328155701060002"</f>
        <v>3328155701060002</v>
      </c>
      <c r="C1940" s="7" t="s">
        <v>5126</v>
      </c>
      <c r="D1940" s="7" t="s">
        <v>17</v>
      </c>
      <c r="E1940" s="7" t="s">
        <v>11</v>
      </c>
      <c r="F1940" s="7" t="s">
        <v>18</v>
      </c>
      <c r="G1940" s="7" t="s">
        <v>19</v>
      </c>
      <c r="H1940" s="7" t="s">
        <v>266</v>
      </c>
      <c r="I1940" s="8" t="s">
        <v>4976</v>
      </c>
    </row>
    <row r="1941" spans="1:9" x14ac:dyDescent="0.35">
      <c r="A1941" s="6">
        <v>2560017</v>
      </c>
      <c r="B1941" s="7" t="str">
        <f>"3328155807940004"</f>
        <v>3328155807940004</v>
      </c>
      <c r="C1941" s="7" t="s">
        <v>5127</v>
      </c>
      <c r="D1941" s="7" t="s">
        <v>17</v>
      </c>
      <c r="E1941" s="7" t="s">
        <v>11</v>
      </c>
      <c r="F1941" s="7" t="s">
        <v>18</v>
      </c>
      <c r="G1941" s="7" t="s">
        <v>19</v>
      </c>
      <c r="H1941" s="7" t="s">
        <v>266</v>
      </c>
      <c r="I1941" s="8" t="s">
        <v>5050</v>
      </c>
    </row>
    <row r="1942" spans="1:9" x14ac:dyDescent="0.35">
      <c r="A1942" s="6">
        <v>2560338</v>
      </c>
      <c r="B1942" s="7" t="str">
        <f>"3328155907850003"</f>
        <v>3328155907850003</v>
      </c>
      <c r="C1942" s="7" t="s">
        <v>5131</v>
      </c>
      <c r="D1942" s="7" t="s">
        <v>17</v>
      </c>
      <c r="E1942" s="7" t="s">
        <v>11</v>
      </c>
      <c r="F1942" s="7" t="s">
        <v>18</v>
      </c>
      <c r="G1942" s="7" t="s">
        <v>19</v>
      </c>
      <c r="H1942" s="7" t="s">
        <v>266</v>
      </c>
      <c r="I1942" s="8" t="s">
        <v>5133</v>
      </c>
    </row>
    <row r="1943" spans="1:9" x14ac:dyDescent="0.35">
      <c r="A1943" s="6">
        <v>2559547</v>
      </c>
      <c r="B1943" s="7" t="str">
        <f>"3328156112900003"</f>
        <v>3328156112900003</v>
      </c>
      <c r="C1943" s="7" t="s">
        <v>5134</v>
      </c>
      <c r="D1943" s="7" t="s">
        <v>17</v>
      </c>
      <c r="E1943" s="7" t="s">
        <v>11</v>
      </c>
      <c r="F1943" s="7" t="s">
        <v>18</v>
      </c>
      <c r="G1943" s="7" t="s">
        <v>19</v>
      </c>
      <c r="H1943" s="7" t="s">
        <v>266</v>
      </c>
      <c r="I1943" s="8" t="s">
        <v>5005</v>
      </c>
    </row>
    <row r="1944" spans="1:9" x14ac:dyDescent="0.35">
      <c r="A1944" s="6">
        <v>2559678</v>
      </c>
      <c r="B1944" s="7" t="str">
        <f>"3328156602680003"</f>
        <v>3328156602680003</v>
      </c>
      <c r="C1944" s="7" t="s">
        <v>5136</v>
      </c>
      <c r="D1944" s="7" t="s">
        <v>17</v>
      </c>
      <c r="E1944" s="7" t="s">
        <v>11</v>
      </c>
      <c r="F1944" s="7" t="s">
        <v>18</v>
      </c>
      <c r="G1944" s="7" t="s">
        <v>19</v>
      </c>
      <c r="H1944" s="7" t="s">
        <v>266</v>
      </c>
      <c r="I1944" s="8" t="s">
        <v>4976</v>
      </c>
    </row>
    <row r="1945" spans="1:9" x14ac:dyDescent="0.35">
      <c r="A1945" s="6">
        <v>777654</v>
      </c>
      <c r="B1945" s="7" t="str">
        <f>"3328156610830003"</f>
        <v>3328156610830003</v>
      </c>
      <c r="C1945" s="7" t="s">
        <v>5138</v>
      </c>
      <c r="D1945" s="7" t="s">
        <v>17</v>
      </c>
      <c r="E1945" s="7" t="s">
        <v>11</v>
      </c>
      <c r="F1945" s="7" t="s">
        <v>379</v>
      </c>
      <c r="G1945" s="7" t="s">
        <v>711</v>
      </c>
      <c r="H1945" s="7" t="s">
        <v>5139</v>
      </c>
      <c r="I1945" s="8" t="s">
        <v>5140</v>
      </c>
    </row>
    <row r="1946" spans="1:9" x14ac:dyDescent="0.35">
      <c r="A1946" s="6">
        <v>2560967</v>
      </c>
      <c r="B1946" s="7" t="str">
        <f>"3328157009930002"</f>
        <v>3328157009930002</v>
      </c>
      <c r="C1946" s="7" t="s">
        <v>5141</v>
      </c>
      <c r="D1946" s="7" t="s">
        <v>17</v>
      </c>
      <c r="E1946" s="7" t="s">
        <v>11</v>
      </c>
      <c r="F1946" s="7" t="s">
        <v>18</v>
      </c>
      <c r="G1946" s="7" t="s">
        <v>19</v>
      </c>
      <c r="H1946" s="7" t="s">
        <v>266</v>
      </c>
      <c r="I1946" s="8" t="s">
        <v>5011</v>
      </c>
    </row>
    <row r="1947" spans="1:9" x14ac:dyDescent="0.35">
      <c r="A1947" s="6">
        <v>2560553</v>
      </c>
      <c r="B1947" s="7" t="str">
        <f>"3328157010630004"</f>
        <v>3328157010630004</v>
      </c>
      <c r="C1947" s="7" t="s">
        <v>5144</v>
      </c>
      <c r="D1947" s="7" t="s">
        <v>17</v>
      </c>
      <c r="E1947" s="7" t="s">
        <v>11</v>
      </c>
      <c r="F1947" s="7" t="s">
        <v>18</v>
      </c>
      <c r="G1947" s="7" t="s">
        <v>19</v>
      </c>
      <c r="H1947" s="7" t="s">
        <v>266</v>
      </c>
      <c r="I1947" s="8" t="s">
        <v>5044</v>
      </c>
    </row>
    <row r="1948" spans="1:9" x14ac:dyDescent="0.35">
      <c r="A1948" s="6">
        <v>2560083</v>
      </c>
      <c r="B1948" s="7" t="str">
        <f>"3329070609970003"</f>
        <v>3329070609970003</v>
      </c>
      <c r="C1948" s="7" t="s">
        <v>5145</v>
      </c>
      <c r="D1948" s="7" t="s">
        <v>17</v>
      </c>
      <c r="E1948" s="7" t="s">
        <v>11</v>
      </c>
      <c r="F1948" s="7" t="s">
        <v>18</v>
      </c>
      <c r="G1948" s="7" t="s">
        <v>19</v>
      </c>
      <c r="H1948" s="7" t="s">
        <v>266</v>
      </c>
      <c r="I1948" s="8" t="s">
        <v>1737</v>
      </c>
    </row>
    <row r="1949" spans="1:9" x14ac:dyDescent="0.35">
      <c r="A1949" s="6">
        <v>2559674</v>
      </c>
      <c r="B1949" s="7" t="str">
        <f>"3329071109930002"</f>
        <v>3329071109930002</v>
      </c>
      <c r="C1949" s="7" t="s">
        <v>5146</v>
      </c>
      <c r="D1949" s="7" t="s">
        <v>17</v>
      </c>
      <c r="E1949" s="7" t="s">
        <v>11</v>
      </c>
      <c r="F1949" s="7" t="s">
        <v>18</v>
      </c>
      <c r="G1949" s="7" t="s">
        <v>19</v>
      </c>
      <c r="H1949" s="7" t="s">
        <v>266</v>
      </c>
      <c r="I1949" s="8" t="s">
        <v>4976</v>
      </c>
    </row>
    <row r="1950" spans="1:9" x14ac:dyDescent="0.35">
      <c r="A1950" s="6">
        <v>2560587</v>
      </c>
      <c r="B1950" s="7" t="str">
        <f>"3329090202880004"</f>
        <v>3329090202880004</v>
      </c>
      <c r="C1950" s="7" t="s">
        <v>5148</v>
      </c>
      <c r="D1950" s="7" t="s">
        <v>17</v>
      </c>
      <c r="E1950" s="7" t="s">
        <v>11</v>
      </c>
      <c r="F1950" s="7" t="s">
        <v>18</v>
      </c>
      <c r="G1950" s="7" t="s">
        <v>19</v>
      </c>
      <c r="H1950" s="7" t="s">
        <v>266</v>
      </c>
      <c r="I1950" s="8" t="s">
        <v>5044</v>
      </c>
    </row>
    <row r="1951" spans="1:9" x14ac:dyDescent="0.35">
      <c r="A1951" s="6">
        <v>2560493</v>
      </c>
      <c r="B1951" s="7" t="str">
        <f>"3329091305660006"</f>
        <v>3329091305660006</v>
      </c>
      <c r="C1951" s="7" t="s">
        <v>5150</v>
      </c>
      <c r="D1951" s="7" t="s">
        <v>17</v>
      </c>
      <c r="E1951" s="7" t="s">
        <v>11</v>
      </c>
      <c r="F1951" s="7" t="s">
        <v>18</v>
      </c>
      <c r="G1951" s="7" t="s">
        <v>19</v>
      </c>
      <c r="H1951" s="7" t="s">
        <v>266</v>
      </c>
      <c r="I1951" s="8" t="s">
        <v>5067</v>
      </c>
    </row>
    <row r="1952" spans="1:9" x14ac:dyDescent="0.35">
      <c r="A1952" s="6">
        <v>2560440</v>
      </c>
      <c r="B1952" s="7" t="str">
        <f>"3329092304990003"</f>
        <v>3329092304990003</v>
      </c>
      <c r="C1952" s="7" t="s">
        <v>5151</v>
      </c>
      <c r="D1952" s="7" t="s">
        <v>17</v>
      </c>
      <c r="E1952" s="7" t="s">
        <v>11</v>
      </c>
      <c r="F1952" s="7" t="s">
        <v>18</v>
      </c>
      <c r="G1952" s="7" t="s">
        <v>19</v>
      </c>
      <c r="H1952" s="7" t="s">
        <v>266</v>
      </c>
      <c r="I1952" s="8" t="s">
        <v>4994</v>
      </c>
    </row>
    <row r="1953" spans="1:9" x14ac:dyDescent="0.35">
      <c r="A1953" s="6">
        <v>2561367</v>
      </c>
      <c r="B1953" s="7" t="str">
        <f>"3329130302830001"</f>
        <v>3329130302830001</v>
      </c>
      <c r="C1953" s="7" t="s">
        <v>5152</v>
      </c>
      <c r="D1953" s="7" t="s">
        <v>17</v>
      </c>
      <c r="E1953" s="7" t="s">
        <v>11</v>
      </c>
      <c r="F1953" s="7" t="s">
        <v>18</v>
      </c>
      <c r="G1953" s="7" t="s">
        <v>19</v>
      </c>
      <c r="H1953" s="7" t="s">
        <v>266</v>
      </c>
      <c r="I1953" s="8" t="s">
        <v>5106</v>
      </c>
    </row>
    <row r="1954" spans="1:9" x14ac:dyDescent="0.35">
      <c r="A1954" s="6">
        <v>2561464</v>
      </c>
      <c r="B1954" s="7" t="str">
        <f>"3329145402910005"</f>
        <v>3329145402910005</v>
      </c>
      <c r="C1954" s="7" t="s">
        <v>3027</v>
      </c>
      <c r="D1954" s="7" t="s">
        <v>17</v>
      </c>
      <c r="E1954" s="7" t="s">
        <v>11</v>
      </c>
      <c r="F1954" s="7" t="s">
        <v>18</v>
      </c>
      <c r="G1954" s="7" t="s">
        <v>19</v>
      </c>
      <c r="H1954" s="7" t="s">
        <v>266</v>
      </c>
      <c r="I1954" s="8" t="s">
        <v>5106</v>
      </c>
    </row>
    <row r="1955" spans="1:9" x14ac:dyDescent="0.35">
      <c r="A1955" s="6">
        <v>2560445</v>
      </c>
      <c r="B1955" s="7" t="str">
        <f>"3329162612810005"</f>
        <v>3329162612810005</v>
      </c>
      <c r="C1955" s="7" t="s">
        <v>5153</v>
      </c>
      <c r="D1955" s="7" t="s">
        <v>17</v>
      </c>
      <c r="E1955" s="7" t="s">
        <v>11</v>
      </c>
      <c r="F1955" s="7" t="s">
        <v>18</v>
      </c>
      <c r="G1955" s="7" t="s">
        <v>19</v>
      </c>
      <c r="H1955" s="7" t="s">
        <v>266</v>
      </c>
      <c r="I1955" s="8" t="s">
        <v>4994</v>
      </c>
    </row>
    <row r="1956" spans="1:9" x14ac:dyDescent="0.35">
      <c r="A1956" s="6">
        <v>2559732</v>
      </c>
      <c r="B1956" s="7" t="str">
        <f>"3374061906660003"</f>
        <v>3374061906660003</v>
      </c>
      <c r="C1956" s="7" t="s">
        <v>5154</v>
      </c>
      <c r="D1956" s="7" t="s">
        <v>17</v>
      </c>
      <c r="E1956" s="7" t="s">
        <v>11</v>
      </c>
      <c r="F1956" s="7" t="s">
        <v>18</v>
      </c>
      <c r="G1956" s="7" t="s">
        <v>19</v>
      </c>
      <c r="H1956" s="7" t="s">
        <v>266</v>
      </c>
      <c r="I1956" s="8" t="s">
        <v>4976</v>
      </c>
    </row>
    <row r="1957" spans="1:9" x14ac:dyDescent="0.35">
      <c r="A1957" s="6">
        <v>2561256</v>
      </c>
      <c r="B1957" s="7" t="str">
        <f>"3376011008950001"</f>
        <v>3376011008950001</v>
      </c>
      <c r="C1957" s="7" t="s">
        <v>5155</v>
      </c>
      <c r="D1957" s="7" t="s">
        <v>17</v>
      </c>
      <c r="E1957" s="7" t="s">
        <v>11</v>
      </c>
      <c r="F1957" s="7" t="s">
        <v>18</v>
      </c>
      <c r="G1957" s="7" t="s">
        <v>19</v>
      </c>
      <c r="H1957" s="7" t="s">
        <v>266</v>
      </c>
      <c r="I1957" s="8" t="s">
        <v>5048</v>
      </c>
    </row>
    <row r="1958" spans="1:9" x14ac:dyDescent="0.35">
      <c r="A1958" s="6">
        <v>2559739</v>
      </c>
      <c r="B1958" s="7" t="str">
        <f>"3376011511710001"</f>
        <v>3376011511710001</v>
      </c>
      <c r="C1958" s="7" t="s">
        <v>5157</v>
      </c>
      <c r="D1958" s="7" t="s">
        <v>17</v>
      </c>
      <c r="E1958" s="7" t="s">
        <v>11</v>
      </c>
      <c r="F1958" s="7" t="s">
        <v>18</v>
      </c>
      <c r="G1958" s="7" t="s">
        <v>19</v>
      </c>
      <c r="H1958" s="7" t="s">
        <v>266</v>
      </c>
      <c r="I1958" s="8" t="s">
        <v>4976</v>
      </c>
    </row>
    <row r="1959" spans="1:9" x14ac:dyDescent="0.35">
      <c r="A1959" s="6">
        <v>2559742</v>
      </c>
      <c r="B1959" s="7" t="str">
        <f>"3376012512710003"</f>
        <v>3376012512710003</v>
      </c>
      <c r="C1959" s="7" t="s">
        <v>5159</v>
      </c>
      <c r="D1959" s="7" t="s">
        <v>17</v>
      </c>
      <c r="E1959" s="7" t="s">
        <v>11</v>
      </c>
      <c r="F1959" s="7" t="s">
        <v>18</v>
      </c>
      <c r="G1959" s="7" t="s">
        <v>19</v>
      </c>
      <c r="H1959" s="7" t="s">
        <v>266</v>
      </c>
      <c r="I1959" s="8" t="s">
        <v>4976</v>
      </c>
    </row>
    <row r="1960" spans="1:9" x14ac:dyDescent="0.35">
      <c r="A1960" s="6">
        <v>2559746</v>
      </c>
      <c r="B1960" s="7" t="str">
        <f>"3376012803040004"</f>
        <v>3376012803040004</v>
      </c>
      <c r="C1960" s="7" t="s">
        <v>5161</v>
      </c>
      <c r="D1960" s="7" t="s">
        <v>17</v>
      </c>
      <c r="E1960" s="7" t="s">
        <v>11</v>
      </c>
      <c r="F1960" s="7" t="s">
        <v>18</v>
      </c>
      <c r="G1960" s="7" t="s">
        <v>19</v>
      </c>
      <c r="H1960" s="7" t="s">
        <v>266</v>
      </c>
      <c r="I1960" s="8" t="s">
        <v>4976</v>
      </c>
    </row>
    <row r="1961" spans="1:9" x14ac:dyDescent="0.35">
      <c r="A1961" s="6">
        <v>2559628</v>
      </c>
      <c r="B1961" s="7" t="str">
        <f>"3376016102570001"</f>
        <v>3376016102570001</v>
      </c>
      <c r="C1961" s="7" t="s">
        <v>5162</v>
      </c>
      <c r="D1961" s="7" t="s">
        <v>17</v>
      </c>
      <c r="E1961" s="7" t="s">
        <v>11</v>
      </c>
      <c r="F1961" s="7" t="s">
        <v>18</v>
      </c>
      <c r="G1961" s="7" t="s">
        <v>19</v>
      </c>
      <c r="H1961" s="7" t="s">
        <v>266</v>
      </c>
      <c r="I1961" s="8" t="s">
        <v>4976</v>
      </c>
    </row>
    <row r="1962" spans="1:9" x14ac:dyDescent="0.35">
      <c r="A1962" s="6">
        <v>2559672</v>
      </c>
      <c r="B1962" s="7" t="str">
        <f>"3376020211590003"</f>
        <v>3376020211590003</v>
      </c>
      <c r="C1962" s="7" t="s">
        <v>5165</v>
      </c>
      <c r="D1962" s="7" t="s">
        <v>17</v>
      </c>
      <c r="E1962" s="7" t="s">
        <v>11</v>
      </c>
      <c r="F1962" s="7" t="s">
        <v>18</v>
      </c>
      <c r="G1962" s="7" t="s">
        <v>19</v>
      </c>
      <c r="H1962" s="7" t="s">
        <v>266</v>
      </c>
      <c r="I1962" s="8" t="s">
        <v>4976</v>
      </c>
    </row>
    <row r="1963" spans="1:9" x14ac:dyDescent="0.35">
      <c r="A1963" s="6">
        <v>2559700</v>
      </c>
      <c r="B1963" s="7" t="str">
        <f>"3376020611960004"</f>
        <v>3376020611960004</v>
      </c>
      <c r="C1963" s="7" t="s">
        <v>5166</v>
      </c>
      <c r="D1963" s="7" t="s">
        <v>17</v>
      </c>
      <c r="E1963" s="7" t="s">
        <v>11</v>
      </c>
      <c r="F1963" s="7" t="s">
        <v>18</v>
      </c>
      <c r="G1963" s="7" t="s">
        <v>19</v>
      </c>
      <c r="H1963" s="7" t="s">
        <v>266</v>
      </c>
      <c r="I1963" s="8" t="s">
        <v>4976</v>
      </c>
    </row>
    <row r="1964" spans="1:9" x14ac:dyDescent="0.35">
      <c r="A1964" s="6">
        <v>2559524</v>
      </c>
      <c r="B1964" s="7" t="str">
        <f>"3376021606810004"</f>
        <v>3376021606810004</v>
      </c>
      <c r="C1964" s="7" t="s">
        <v>5168</v>
      </c>
      <c r="D1964" s="7" t="s">
        <v>17</v>
      </c>
      <c r="E1964" s="7" t="s">
        <v>11</v>
      </c>
      <c r="F1964" s="7" t="s">
        <v>18</v>
      </c>
      <c r="G1964" s="7" t="s">
        <v>19</v>
      </c>
      <c r="H1964" s="7" t="s">
        <v>266</v>
      </c>
      <c r="I1964" s="8" t="s">
        <v>5005</v>
      </c>
    </row>
    <row r="1965" spans="1:9" x14ac:dyDescent="0.35">
      <c r="A1965" s="6">
        <v>2559508</v>
      </c>
      <c r="B1965" s="7" t="str">
        <f>"3376021705850001"</f>
        <v>3376021705850001</v>
      </c>
      <c r="C1965" s="7" t="s">
        <v>5169</v>
      </c>
      <c r="D1965" s="7" t="s">
        <v>17</v>
      </c>
      <c r="E1965" s="7" t="s">
        <v>11</v>
      </c>
      <c r="F1965" s="7" t="s">
        <v>18</v>
      </c>
      <c r="G1965" s="7" t="s">
        <v>19</v>
      </c>
      <c r="H1965" s="7" t="s">
        <v>266</v>
      </c>
      <c r="I1965" s="8" t="s">
        <v>5005</v>
      </c>
    </row>
    <row r="1966" spans="1:9" x14ac:dyDescent="0.35">
      <c r="A1966" s="6">
        <v>2559639</v>
      </c>
      <c r="B1966" s="7" t="str">
        <f>"3376022104990002"</f>
        <v>3376022104990002</v>
      </c>
      <c r="C1966" s="7" t="s">
        <v>5170</v>
      </c>
      <c r="D1966" s="7" t="s">
        <v>17</v>
      </c>
      <c r="E1966" s="7" t="s">
        <v>11</v>
      </c>
      <c r="F1966" s="7" t="s">
        <v>18</v>
      </c>
      <c r="G1966" s="7" t="s">
        <v>19</v>
      </c>
      <c r="H1966" s="7" t="s">
        <v>266</v>
      </c>
      <c r="I1966" s="8" t="s">
        <v>4976</v>
      </c>
    </row>
    <row r="1967" spans="1:9" x14ac:dyDescent="0.35">
      <c r="A1967" s="6">
        <v>2561394</v>
      </c>
      <c r="B1967" s="7" t="str">
        <f>"3376022801050001"</f>
        <v>3376022801050001</v>
      </c>
      <c r="C1967" s="7" t="s">
        <v>5171</v>
      </c>
      <c r="D1967" s="7" t="s">
        <v>17</v>
      </c>
      <c r="E1967" s="7" t="s">
        <v>11</v>
      </c>
      <c r="F1967" s="7" t="s">
        <v>18</v>
      </c>
      <c r="G1967" s="7" t="s">
        <v>19</v>
      </c>
      <c r="H1967" s="7" t="s">
        <v>266</v>
      </c>
      <c r="I1967" s="8" t="s">
        <v>5106</v>
      </c>
    </row>
    <row r="1968" spans="1:9" x14ac:dyDescent="0.35">
      <c r="A1968" s="6">
        <v>2559519</v>
      </c>
      <c r="B1968" s="7" t="str">
        <f>"3376024303580001"</f>
        <v>3376024303580001</v>
      </c>
      <c r="C1968" s="7" t="s">
        <v>5172</v>
      </c>
      <c r="D1968" s="7" t="s">
        <v>17</v>
      </c>
      <c r="E1968" s="7" t="s">
        <v>11</v>
      </c>
      <c r="F1968" s="7" t="s">
        <v>18</v>
      </c>
      <c r="G1968" s="7" t="s">
        <v>19</v>
      </c>
      <c r="H1968" s="7" t="s">
        <v>266</v>
      </c>
      <c r="I1968" s="8" t="s">
        <v>5005</v>
      </c>
    </row>
    <row r="1969" spans="1:9" x14ac:dyDescent="0.35">
      <c r="A1969" s="6">
        <v>2559522</v>
      </c>
      <c r="B1969" s="7" t="str">
        <f>"3376026408040001"</f>
        <v>3376026408040001</v>
      </c>
      <c r="C1969" s="7" t="s">
        <v>5176</v>
      </c>
      <c r="D1969" s="7" t="s">
        <v>17</v>
      </c>
      <c r="E1969" s="7" t="s">
        <v>11</v>
      </c>
      <c r="F1969" s="7" t="s">
        <v>18</v>
      </c>
      <c r="G1969" s="7" t="s">
        <v>19</v>
      </c>
      <c r="H1969" s="7" t="s">
        <v>266</v>
      </c>
      <c r="I1969" s="8" t="s">
        <v>5005</v>
      </c>
    </row>
    <row r="1970" spans="1:9" x14ac:dyDescent="0.35">
      <c r="A1970" s="6">
        <v>2559630</v>
      </c>
      <c r="B1970" s="7" t="str">
        <f>"3376026410810002"</f>
        <v>3376026410810002</v>
      </c>
      <c r="C1970" s="7" t="s">
        <v>5177</v>
      </c>
      <c r="D1970" s="7" t="s">
        <v>17</v>
      </c>
      <c r="E1970" s="7" t="s">
        <v>11</v>
      </c>
      <c r="F1970" s="7" t="s">
        <v>18</v>
      </c>
      <c r="G1970" s="7" t="s">
        <v>19</v>
      </c>
      <c r="H1970" s="7" t="s">
        <v>266</v>
      </c>
      <c r="I1970" s="8" t="s">
        <v>4976</v>
      </c>
    </row>
    <row r="1971" spans="1:9" x14ac:dyDescent="0.35">
      <c r="A1971" s="6">
        <v>2560924</v>
      </c>
      <c r="B1971" s="7" t="str">
        <f>"3376026509940003"</f>
        <v>3376026509940003</v>
      </c>
      <c r="C1971" s="7" t="s">
        <v>5178</v>
      </c>
      <c r="D1971" s="7" t="s">
        <v>17</v>
      </c>
      <c r="E1971" s="7" t="s">
        <v>11</v>
      </c>
      <c r="F1971" s="7" t="s">
        <v>18</v>
      </c>
      <c r="G1971" s="7" t="s">
        <v>19</v>
      </c>
      <c r="H1971" s="7" t="s">
        <v>266</v>
      </c>
      <c r="I1971" s="8" t="s">
        <v>5011</v>
      </c>
    </row>
    <row r="1972" spans="1:9" x14ac:dyDescent="0.35">
      <c r="A1972" s="6">
        <v>2559670</v>
      </c>
      <c r="B1972" s="7" t="str">
        <f>"3376026706660002"</f>
        <v>3376026706660002</v>
      </c>
      <c r="C1972" s="7" t="s">
        <v>391</v>
      </c>
      <c r="D1972" s="7" t="s">
        <v>17</v>
      </c>
      <c r="E1972" s="7" t="s">
        <v>11</v>
      </c>
      <c r="F1972" s="7" t="s">
        <v>18</v>
      </c>
      <c r="G1972" s="7" t="s">
        <v>19</v>
      </c>
      <c r="H1972" s="7" t="s">
        <v>266</v>
      </c>
      <c r="I1972" s="8" t="s">
        <v>4976</v>
      </c>
    </row>
    <row r="1973" spans="1:9" x14ac:dyDescent="0.35">
      <c r="A1973" s="6">
        <v>2561395</v>
      </c>
      <c r="B1973" s="7" t="str">
        <f>"3376026801050003"</f>
        <v>3376026801050003</v>
      </c>
      <c r="C1973" s="7" t="s">
        <v>5179</v>
      </c>
      <c r="D1973" s="7" t="s">
        <v>17</v>
      </c>
      <c r="E1973" s="7" t="s">
        <v>11</v>
      </c>
      <c r="F1973" s="7" t="s">
        <v>18</v>
      </c>
      <c r="G1973" s="7" t="s">
        <v>19</v>
      </c>
      <c r="H1973" s="7" t="s">
        <v>266</v>
      </c>
      <c r="I1973" s="8" t="s">
        <v>5106</v>
      </c>
    </row>
    <row r="1974" spans="1:9" x14ac:dyDescent="0.35">
      <c r="A1974" s="6">
        <v>2559714</v>
      </c>
      <c r="B1974" s="7" t="str">
        <f>"3376027006630002"</f>
        <v>3376027006630002</v>
      </c>
      <c r="C1974" s="7" t="s">
        <v>5181</v>
      </c>
      <c r="D1974" s="7" t="s">
        <v>17</v>
      </c>
      <c r="E1974" s="7" t="s">
        <v>11</v>
      </c>
      <c r="F1974" s="7" t="s">
        <v>18</v>
      </c>
      <c r="G1974" s="7" t="s">
        <v>19</v>
      </c>
      <c r="H1974" s="7" t="s">
        <v>266</v>
      </c>
      <c r="I1974" s="8" t="s">
        <v>4976</v>
      </c>
    </row>
    <row r="1975" spans="1:9" x14ac:dyDescent="0.35">
      <c r="A1975" s="6">
        <v>2559736</v>
      </c>
      <c r="B1975" s="7" t="str">
        <f>"3376030704060002"</f>
        <v>3376030704060002</v>
      </c>
      <c r="C1975" s="7" t="s">
        <v>5182</v>
      </c>
      <c r="D1975" s="7" t="s">
        <v>17</v>
      </c>
      <c r="E1975" s="7" t="s">
        <v>11</v>
      </c>
      <c r="F1975" s="7" t="s">
        <v>18</v>
      </c>
      <c r="G1975" s="7" t="s">
        <v>19</v>
      </c>
      <c r="H1975" s="7" t="s">
        <v>266</v>
      </c>
      <c r="I1975" s="8" t="s">
        <v>4976</v>
      </c>
    </row>
    <row r="1976" spans="1:9" x14ac:dyDescent="0.35">
      <c r="A1976" s="6">
        <v>2560535</v>
      </c>
      <c r="B1976" s="7" t="str">
        <f>"3376031412500001"</f>
        <v>3376031412500001</v>
      </c>
      <c r="C1976" s="7" t="s">
        <v>2906</v>
      </c>
      <c r="D1976" s="7" t="s">
        <v>17</v>
      </c>
      <c r="E1976" s="7" t="s">
        <v>11</v>
      </c>
      <c r="F1976" s="7" t="s">
        <v>18</v>
      </c>
      <c r="G1976" s="7" t="s">
        <v>19</v>
      </c>
      <c r="H1976" s="7" t="s">
        <v>266</v>
      </c>
      <c r="I1976" s="8" t="s">
        <v>5044</v>
      </c>
    </row>
    <row r="1977" spans="1:9" x14ac:dyDescent="0.35">
      <c r="A1977" s="6">
        <v>2560595</v>
      </c>
      <c r="B1977" s="7" t="str">
        <f>"3376031603920001"</f>
        <v>3376031603920001</v>
      </c>
      <c r="C1977" s="7" t="s">
        <v>5183</v>
      </c>
      <c r="D1977" s="7" t="s">
        <v>17</v>
      </c>
      <c r="E1977" s="7" t="s">
        <v>11</v>
      </c>
      <c r="F1977" s="7" t="s">
        <v>18</v>
      </c>
      <c r="G1977" s="7" t="s">
        <v>19</v>
      </c>
      <c r="H1977" s="7" t="s">
        <v>266</v>
      </c>
      <c r="I1977" s="8" t="s">
        <v>5044</v>
      </c>
    </row>
    <row r="1978" spans="1:9" x14ac:dyDescent="0.35">
      <c r="A1978" s="6">
        <v>2559757</v>
      </c>
      <c r="B1978" s="7" t="str">
        <f>"3514201805930001"</f>
        <v>3514201805930001</v>
      </c>
      <c r="C1978" s="7" t="s">
        <v>5184</v>
      </c>
      <c r="D1978" s="7" t="s">
        <v>17</v>
      </c>
      <c r="E1978" s="7" t="s">
        <v>11</v>
      </c>
      <c r="F1978" s="7" t="s">
        <v>18</v>
      </c>
      <c r="G1978" s="7" t="s">
        <v>19</v>
      </c>
      <c r="H1978" s="7" t="s">
        <v>266</v>
      </c>
      <c r="I1978" s="8" t="s">
        <v>4976</v>
      </c>
    </row>
    <row r="1979" spans="1:9" x14ac:dyDescent="0.35">
      <c r="A1979" s="6">
        <v>2559756</v>
      </c>
      <c r="B1979" s="7" t="str">
        <f>"3514216406950002"</f>
        <v>3514216406950002</v>
      </c>
      <c r="C1979" s="7" t="s">
        <v>3981</v>
      </c>
      <c r="D1979" s="7" t="s">
        <v>17</v>
      </c>
      <c r="E1979" s="7" t="s">
        <v>11</v>
      </c>
      <c r="F1979" s="7" t="s">
        <v>18</v>
      </c>
      <c r="G1979" s="7" t="s">
        <v>19</v>
      </c>
      <c r="H1979" s="7" t="s">
        <v>266</v>
      </c>
      <c r="I1979" s="8" t="s">
        <v>4976</v>
      </c>
    </row>
    <row r="1980" spans="1:9" x14ac:dyDescent="0.35">
      <c r="A1980" s="6">
        <v>2560741</v>
      </c>
      <c r="B1980" s="7" t="str">
        <f>"5201130910010002"</f>
        <v>5201130910010002</v>
      </c>
      <c r="C1980" s="7" t="s">
        <v>5187</v>
      </c>
      <c r="D1980" s="7" t="s">
        <v>17</v>
      </c>
      <c r="E1980" s="7" t="s">
        <v>11</v>
      </c>
      <c r="F1980" s="7" t="s">
        <v>18</v>
      </c>
      <c r="G1980" s="7" t="s">
        <v>19</v>
      </c>
      <c r="H1980" s="7" t="s">
        <v>266</v>
      </c>
      <c r="I1980" s="8" t="s">
        <v>5023</v>
      </c>
    </row>
    <row r="1981" spans="1:9" x14ac:dyDescent="0.35">
      <c r="A1981" s="6">
        <v>2559760</v>
      </c>
      <c r="B1981" s="7" t="str">
        <f>"6471050612760005"</f>
        <v>6471050612760005</v>
      </c>
      <c r="C1981" s="7" t="s">
        <v>5192</v>
      </c>
      <c r="D1981" s="7" t="s">
        <v>17</v>
      </c>
      <c r="E1981" s="7" t="s">
        <v>11</v>
      </c>
      <c r="F1981" s="7" t="s">
        <v>18</v>
      </c>
      <c r="G1981" s="7" t="s">
        <v>19</v>
      </c>
      <c r="H1981" s="7" t="s">
        <v>266</v>
      </c>
      <c r="I1981" s="8" t="s">
        <v>4976</v>
      </c>
    </row>
    <row r="1982" spans="1:9" x14ac:dyDescent="0.35">
      <c r="A1982" s="6">
        <v>2559761</v>
      </c>
      <c r="B1982" s="7" t="str">
        <f>"6471055103030003"</f>
        <v>6471055103030003</v>
      </c>
      <c r="C1982" s="7" t="s">
        <v>5194</v>
      </c>
      <c r="D1982" s="7" t="s">
        <v>17</v>
      </c>
      <c r="E1982" s="7" t="s">
        <v>11</v>
      </c>
      <c r="F1982" s="7" t="s">
        <v>18</v>
      </c>
      <c r="G1982" s="7" t="s">
        <v>19</v>
      </c>
      <c r="H1982" s="7" t="s">
        <v>266</v>
      </c>
      <c r="I1982" s="8" t="s">
        <v>4976</v>
      </c>
    </row>
    <row r="1983" spans="1:9" x14ac:dyDescent="0.35">
      <c r="A1983" s="6">
        <v>2560520</v>
      </c>
      <c r="B1983" s="7" t="str">
        <f>"7313130603960001"</f>
        <v>7313130603960001</v>
      </c>
      <c r="C1983" s="7" t="s">
        <v>5195</v>
      </c>
      <c r="D1983" s="7" t="s">
        <v>17</v>
      </c>
      <c r="E1983" s="7" t="s">
        <v>11</v>
      </c>
      <c r="F1983" s="7" t="s">
        <v>18</v>
      </c>
      <c r="G1983" s="7" t="s">
        <v>19</v>
      </c>
      <c r="H1983" s="7" t="s">
        <v>266</v>
      </c>
      <c r="I1983" s="8" t="s">
        <v>5067</v>
      </c>
    </row>
    <row r="1984" spans="1:9" x14ac:dyDescent="0.35">
      <c r="A1984" s="6">
        <v>2559543</v>
      </c>
      <c r="B1984" s="7" t="str">
        <f>"9171022207940003"</f>
        <v>9171022207940003</v>
      </c>
      <c r="C1984" s="7" t="s">
        <v>5197</v>
      </c>
      <c r="D1984" s="7" t="s">
        <v>17</v>
      </c>
      <c r="E1984" s="7" t="s">
        <v>11</v>
      </c>
      <c r="F1984" s="7" t="s">
        <v>18</v>
      </c>
      <c r="G1984" s="7" t="s">
        <v>19</v>
      </c>
      <c r="H1984" s="7" t="s">
        <v>266</v>
      </c>
      <c r="I1984" s="8" t="s">
        <v>5005</v>
      </c>
    </row>
    <row r="1985" spans="1:9" x14ac:dyDescent="0.35">
      <c r="A1985" s="6">
        <v>2559546</v>
      </c>
      <c r="B1985" s="7" t="str">
        <f>"9171022912630004"</f>
        <v>9171022912630004</v>
      </c>
      <c r="C1985" s="7" t="s">
        <v>2697</v>
      </c>
      <c r="D1985" s="7" t="s">
        <v>17</v>
      </c>
      <c r="E1985" s="7" t="s">
        <v>11</v>
      </c>
      <c r="F1985" s="7" t="s">
        <v>18</v>
      </c>
      <c r="G1985" s="7" t="s">
        <v>19</v>
      </c>
      <c r="H1985" s="7" t="s">
        <v>266</v>
      </c>
      <c r="I1985" s="8" t="s">
        <v>5005</v>
      </c>
    </row>
    <row r="1986" spans="1:9" x14ac:dyDescent="0.35">
      <c r="A1986" s="6">
        <v>2559545</v>
      </c>
      <c r="B1986" s="7" t="str">
        <f>"9171026502660001"</f>
        <v>9171026502660001</v>
      </c>
      <c r="C1986" s="7" t="s">
        <v>5199</v>
      </c>
      <c r="D1986" s="7" t="s">
        <v>17</v>
      </c>
      <c r="E1986" s="7" t="s">
        <v>11</v>
      </c>
      <c r="F1986" s="7" t="s">
        <v>18</v>
      </c>
      <c r="G1986" s="7" t="s">
        <v>19</v>
      </c>
      <c r="H1986" s="7" t="s">
        <v>266</v>
      </c>
      <c r="I1986" s="8" t="s">
        <v>5005</v>
      </c>
    </row>
    <row r="1987" spans="1:9" x14ac:dyDescent="0.35">
      <c r="A1987" s="6">
        <v>2559702</v>
      </c>
      <c r="B1987" s="7" t="str">
        <f>"9171030104520005"</f>
        <v>9171030104520005</v>
      </c>
      <c r="C1987" s="7" t="s">
        <v>5203</v>
      </c>
      <c r="D1987" s="7" t="s">
        <v>17</v>
      </c>
      <c r="E1987" s="7" t="s">
        <v>11</v>
      </c>
      <c r="F1987" s="7" t="s">
        <v>18</v>
      </c>
      <c r="G1987" s="7" t="s">
        <v>19</v>
      </c>
      <c r="H1987" s="7" t="s">
        <v>266</v>
      </c>
      <c r="I1987" s="8" t="s">
        <v>4976</v>
      </c>
    </row>
    <row r="1988" spans="1:9" x14ac:dyDescent="0.35">
      <c r="A1988" s="6">
        <v>2561882</v>
      </c>
      <c r="B1988" s="7" t="str">
        <f>"1302102808960007"</f>
        <v>1302102808960007</v>
      </c>
      <c r="C1988" s="7" t="s">
        <v>5204</v>
      </c>
      <c r="D1988" s="7" t="s">
        <v>17</v>
      </c>
      <c r="E1988" s="7" t="s">
        <v>11</v>
      </c>
      <c r="F1988" s="7" t="s">
        <v>18</v>
      </c>
      <c r="G1988" s="7" t="s">
        <v>19</v>
      </c>
      <c r="H1988" s="7" t="s">
        <v>5207</v>
      </c>
      <c r="I1988" s="8" t="s">
        <v>933</v>
      </c>
    </row>
    <row r="1989" spans="1:9" x14ac:dyDescent="0.35">
      <c r="A1989" s="6">
        <v>254838</v>
      </c>
      <c r="B1989" s="7" t="str">
        <f>"1702070407920002"</f>
        <v>1702070407920002</v>
      </c>
      <c r="C1989" s="7" t="s">
        <v>5208</v>
      </c>
      <c r="D1989" s="7" t="s">
        <v>17</v>
      </c>
      <c r="E1989" s="7" t="s">
        <v>11</v>
      </c>
      <c r="F1989" s="7" t="s">
        <v>5209</v>
      </c>
      <c r="G1989" s="7" t="s">
        <v>5210</v>
      </c>
      <c r="H1989" s="7" t="s">
        <v>5211</v>
      </c>
      <c r="I1989" s="8" t="s">
        <v>5212</v>
      </c>
    </row>
    <row r="1990" spans="1:9" x14ac:dyDescent="0.35">
      <c r="A1990" s="6">
        <v>2562934</v>
      </c>
      <c r="B1990" s="7" t="str">
        <f>"1807036010990005"</f>
        <v>1807036010990005</v>
      </c>
      <c r="C1990" s="7" t="s">
        <v>5216</v>
      </c>
      <c r="D1990" s="7" t="s">
        <v>17</v>
      </c>
      <c r="E1990" s="7" t="s">
        <v>11</v>
      </c>
      <c r="F1990" s="7" t="s">
        <v>18</v>
      </c>
      <c r="G1990" s="7" t="s">
        <v>19</v>
      </c>
      <c r="H1990" s="7" t="s">
        <v>5207</v>
      </c>
      <c r="I1990" s="8" t="s">
        <v>5217</v>
      </c>
    </row>
    <row r="1991" spans="1:9" x14ac:dyDescent="0.35">
      <c r="A1991" s="6">
        <v>2561940</v>
      </c>
      <c r="B1991" s="7" t="str">
        <f>"1807215912960002"</f>
        <v>1807215912960002</v>
      </c>
      <c r="C1991" s="7" t="s">
        <v>5218</v>
      </c>
      <c r="D1991" s="7" t="s">
        <v>17</v>
      </c>
      <c r="E1991" s="7" t="s">
        <v>11</v>
      </c>
      <c r="F1991" s="7" t="s">
        <v>18</v>
      </c>
      <c r="G1991" s="7" t="s">
        <v>19</v>
      </c>
      <c r="H1991" s="7" t="s">
        <v>5207</v>
      </c>
      <c r="I1991" s="8" t="s">
        <v>933</v>
      </c>
    </row>
    <row r="1992" spans="1:9" x14ac:dyDescent="0.35">
      <c r="A1992" s="6">
        <v>2561879</v>
      </c>
      <c r="B1992" s="7" t="str">
        <f>"1809054301980001"</f>
        <v>1809054301980001</v>
      </c>
      <c r="C1992" s="7" t="s">
        <v>5222</v>
      </c>
      <c r="D1992" s="7" t="s">
        <v>17</v>
      </c>
      <c r="E1992" s="7" t="s">
        <v>11</v>
      </c>
      <c r="F1992" s="7" t="s">
        <v>18</v>
      </c>
      <c r="G1992" s="7" t="s">
        <v>19</v>
      </c>
      <c r="H1992" s="7" t="s">
        <v>5207</v>
      </c>
      <c r="I1992" s="8" t="s">
        <v>5223</v>
      </c>
    </row>
    <row r="1993" spans="1:9" x14ac:dyDescent="0.35">
      <c r="A1993" s="6">
        <v>2562388</v>
      </c>
      <c r="B1993" s="7" t="str">
        <f>"2171061006909006"</f>
        <v>2171061006909006</v>
      </c>
      <c r="C1993" s="7" t="s">
        <v>5224</v>
      </c>
      <c r="D1993" s="7" t="s">
        <v>17</v>
      </c>
      <c r="E1993" s="7" t="s">
        <v>11</v>
      </c>
      <c r="F1993" s="7" t="s">
        <v>18</v>
      </c>
      <c r="G1993" s="7" t="s">
        <v>19</v>
      </c>
      <c r="H1993" s="7" t="s">
        <v>5207</v>
      </c>
      <c r="I1993" s="8" t="s">
        <v>1964</v>
      </c>
    </row>
    <row r="1994" spans="1:9" x14ac:dyDescent="0.35">
      <c r="A1994" s="6">
        <v>2562559</v>
      </c>
      <c r="B1994" s="7" t="str">
        <f>"3171023112730012"</f>
        <v>3171023112730012</v>
      </c>
      <c r="C1994" s="7" t="s">
        <v>5225</v>
      </c>
      <c r="D1994" s="7" t="s">
        <v>17</v>
      </c>
      <c r="E1994" s="7" t="s">
        <v>11</v>
      </c>
      <c r="F1994" s="7" t="s">
        <v>18</v>
      </c>
      <c r="G1994" s="7" t="s">
        <v>19</v>
      </c>
      <c r="H1994" s="7" t="s">
        <v>5207</v>
      </c>
      <c r="I1994" s="8" t="s">
        <v>674</v>
      </c>
    </row>
    <row r="1995" spans="1:9" x14ac:dyDescent="0.35">
      <c r="A1995" s="6">
        <v>2561740</v>
      </c>
      <c r="B1995" s="7" t="str">
        <f>"3171081207750002"</f>
        <v>3171081207750002</v>
      </c>
      <c r="C1995" s="7" t="s">
        <v>5226</v>
      </c>
      <c r="D1995" s="7" t="s">
        <v>17</v>
      </c>
      <c r="E1995" s="7" t="s">
        <v>11</v>
      </c>
      <c r="F1995" s="7" t="s">
        <v>18</v>
      </c>
      <c r="G1995" s="7" t="s">
        <v>19</v>
      </c>
      <c r="H1995" s="7" t="s">
        <v>5207</v>
      </c>
      <c r="I1995" s="8" t="s">
        <v>5223</v>
      </c>
    </row>
    <row r="1996" spans="1:9" x14ac:dyDescent="0.35">
      <c r="A1996" s="6">
        <v>2561971</v>
      </c>
      <c r="B1996" s="7" t="str">
        <f>"3172015112980006"</f>
        <v>3172015112980006</v>
      </c>
      <c r="C1996" s="7" t="s">
        <v>5227</v>
      </c>
      <c r="D1996" s="7" t="s">
        <v>17</v>
      </c>
      <c r="E1996" s="7" t="s">
        <v>11</v>
      </c>
      <c r="F1996" s="7" t="s">
        <v>18</v>
      </c>
      <c r="G1996" s="7" t="s">
        <v>19</v>
      </c>
      <c r="H1996" s="7" t="s">
        <v>5207</v>
      </c>
      <c r="I1996" s="8" t="s">
        <v>933</v>
      </c>
    </row>
    <row r="1997" spans="1:9" x14ac:dyDescent="0.35">
      <c r="A1997" s="6">
        <v>714984</v>
      </c>
      <c r="B1997" s="7" t="str">
        <f>"3172040605830016"</f>
        <v>3172040605830016</v>
      </c>
      <c r="C1997" s="7" t="s">
        <v>5228</v>
      </c>
      <c r="D1997" s="7" t="s">
        <v>17</v>
      </c>
      <c r="E1997" s="7" t="s">
        <v>11</v>
      </c>
      <c r="F1997" s="7" t="s">
        <v>18</v>
      </c>
      <c r="G1997" s="7" t="s">
        <v>190</v>
      </c>
      <c r="H1997" s="7" t="s">
        <v>5229</v>
      </c>
      <c r="I1997" s="8" t="s">
        <v>5230</v>
      </c>
    </row>
    <row r="1998" spans="1:9" x14ac:dyDescent="0.35">
      <c r="A1998" s="6">
        <v>2562602</v>
      </c>
      <c r="B1998" s="7" t="str">
        <f>"3173021307690007"</f>
        <v>3173021307690007</v>
      </c>
      <c r="C1998" s="7" t="s">
        <v>5231</v>
      </c>
      <c r="D1998" s="7" t="s">
        <v>17</v>
      </c>
      <c r="E1998" s="7" t="s">
        <v>11</v>
      </c>
      <c r="F1998" s="7" t="s">
        <v>18</v>
      </c>
      <c r="G1998" s="7" t="s">
        <v>19</v>
      </c>
      <c r="H1998" s="7" t="s">
        <v>5207</v>
      </c>
      <c r="I1998" s="8" t="s">
        <v>674</v>
      </c>
    </row>
    <row r="1999" spans="1:9" x14ac:dyDescent="0.35">
      <c r="A1999" s="6">
        <v>2563105</v>
      </c>
      <c r="B1999" s="7" t="str">
        <f>"3173031006720016"</f>
        <v>3173031006720016</v>
      </c>
      <c r="C1999" s="7" t="s">
        <v>5234</v>
      </c>
      <c r="D1999" s="7" t="s">
        <v>17</v>
      </c>
      <c r="E1999" s="7" t="s">
        <v>11</v>
      </c>
      <c r="F1999" s="7" t="s">
        <v>18</v>
      </c>
      <c r="G1999" s="7" t="s">
        <v>19</v>
      </c>
      <c r="H1999" s="7" t="s">
        <v>5207</v>
      </c>
      <c r="I1999" s="8" t="s">
        <v>5235</v>
      </c>
    </row>
    <row r="2000" spans="1:9" x14ac:dyDescent="0.35">
      <c r="A2000" s="6">
        <v>2561823</v>
      </c>
      <c r="B2000" s="7" t="str">
        <f>"3174100108060003"</f>
        <v>3174100108060003</v>
      </c>
      <c r="C2000" s="7" t="s">
        <v>5237</v>
      </c>
      <c r="D2000" s="7" t="s">
        <v>17</v>
      </c>
      <c r="E2000" s="7" t="s">
        <v>11</v>
      </c>
      <c r="F2000" s="7" t="s">
        <v>18</v>
      </c>
      <c r="G2000" s="7" t="s">
        <v>19</v>
      </c>
      <c r="H2000" s="7" t="s">
        <v>5207</v>
      </c>
      <c r="I2000" s="8" t="s">
        <v>5223</v>
      </c>
    </row>
    <row r="2001" spans="1:9" x14ac:dyDescent="0.35">
      <c r="A2001" s="6">
        <v>2563368</v>
      </c>
      <c r="B2001" s="7" t="str">
        <f>"3175041409890008"</f>
        <v>3175041409890008</v>
      </c>
      <c r="C2001" s="7" t="s">
        <v>5238</v>
      </c>
      <c r="D2001" s="7" t="s">
        <v>17</v>
      </c>
      <c r="E2001" s="7" t="s">
        <v>11</v>
      </c>
      <c r="F2001" s="7" t="s">
        <v>18</v>
      </c>
      <c r="G2001" s="7" t="s">
        <v>19</v>
      </c>
      <c r="H2001" s="7" t="s">
        <v>5207</v>
      </c>
      <c r="I2001" s="8" t="s">
        <v>5239</v>
      </c>
    </row>
    <row r="2002" spans="1:9" x14ac:dyDescent="0.35">
      <c r="A2002" s="6">
        <v>2561705</v>
      </c>
      <c r="B2002" s="7" t="str">
        <f>"3201252512740007"</f>
        <v>3201252512740007</v>
      </c>
      <c r="C2002" s="7" t="s">
        <v>1893</v>
      </c>
      <c r="D2002" s="7" t="s">
        <v>17</v>
      </c>
      <c r="E2002" s="7" t="s">
        <v>11</v>
      </c>
      <c r="F2002" s="7" t="s">
        <v>18</v>
      </c>
      <c r="G2002" s="7" t="s">
        <v>19</v>
      </c>
      <c r="H2002" s="7" t="s">
        <v>5207</v>
      </c>
      <c r="I2002" s="8" t="s">
        <v>5242</v>
      </c>
    </row>
    <row r="2003" spans="1:9" x14ac:dyDescent="0.35">
      <c r="A2003" s="6">
        <v>2561775</v>
      </c>
      <c r="B2003" s="7" t="str">
        <f>"3202136310050002"</f>
        <v>3202136310050002</v>
      </c>
      <c r="C2003" s="7" t="s">
        <v>5245</v>
      </c>
      <c r="D2003" s="7" t="s">
        <v>17</v>
      </c>
      <c r="E2003" s="7" t="s">
        <v>11</v>
      </c>
      <c r="F2003" s="7" t="s">
        <v>18</v>
      </c>
      <c r="G2003" s="7" t="s">
        <v>19</v>
      </c>
      <c r="H2003" s="7" t="s">
        <v>5207</v>
      </c>
      <c r="I2003" s="8" t="s">
        <v>5223</v>
      </c>
    </row>
    <row r="2004" spans="1:9" x14ac:dyDescent="0.35">
      <c r="A2004" s="6">
        <v>2561667</v>
      </c>
      <c r="B2004" s="7" t="str">
        <f>"3204392808830007"</f>
        <v>3204392808830007</v>
      </c>
      <c r="C2004" s="7" t="s">
        <v>5249</v>
      </c>
      <c r="D2004" s="7" t="s">
        <v>17</v>
      </c>
      <c r="E2004" s="7" t="s">
        <v>11</v>
      </c>
      <c r="F2004" s="7" t="s">
        <v>18</v>
      </c>
      <c r="G2004" s="7" t="s">
        <v>19</v>
      </c>
      <c r="H2004" s="7" t="s">
        <v>5207</v>
      </c>
      <c r="I2004" s="8" t="s">
        <v>5242</v>
      </c>
    </row>
    <row r="2005" spans="1:9" x14ac:dyDescent="0.35">
      <c r="A2005" s="6">
        <v>2561844</v>
      </c>
      <c r="B2005" s="7" t="str">
        <f>"3209060501830005"</f>
        <v>3209060501830005</v>
      </c>
      <c r="C2005" s="7" t="s">
        <v>5251</v>
      </c>
      <c r="D2005" s="7" t="s">
        <v>17</v>
      </c>
      <c r="E2005" s="7" t="s">
        <v>11</v>
      </c>
      <c r="F2005" s="7" t="s">
        <v>18</v>
      </c>
      <c r="G2005" s="7" t="s">
        <v>19</v>
      </c>
      <c r="H2005" s="7" t="s">
        <v>5207</v>
      </c>
      <c r="I2005" s="8" t="s">
        <v>5223</v>
      </c>
    </row>
    <row r="2006" spans="1:9" x14ac:dyDescent="0.35">
      <c r="A2006" s="6">
        <v>2563659</v>
      </c>
      <c r="B2006" s="7" t="str">
        <f>"3212155008910002"</f>
        <v>3212155008910002</v>
      </c>
      <c r="C2006" s="7" t="s">
        <v>5254</v>
      </c>
      <c r="D2006" s="7" t="s">
        <v>17</v>
      </c>
      <c r="E2006" s="7" t="s">
        <v>11</v>
      </c>
      <c r="F2006" s="7" t="s">
        <v>18</v>
      </c>
      <c r="G2006" s="7" t="s">
        <v>19</v>
      </c>
      <c r="H2006" s="7" t="s">
        <v>5207</v>
      </c>
      <c r="I2006" s="8" t="s">
        <v>5207</v>
      </c>
    </row>
    <row r="2007" spans="1:9" x14ac:dyDescent="0.35">
      <c r="A2007" s="6">
        <v>2562054</v>
      </c>
      <c r="B2007" s="7" t="str">
        <f>"3216016707950005"</f>
        <v>3216016707950005</v>
      </c>
      <c r="C2007" s="7" t="s">
        <v>5257</v>
      </c>
      <c r="D2007" s="7" t="s">
        <v>17</v>
      </c>
      <c r="E2007" s="7" t="s">
        <v>11</v>
      </c>
      <c r="F2007" s="7" t="s">
        <v>18</v>
      </c>
      <c r="G2007" s="7" t="s">
        <v>19</v>
      </c>
      <c r="H2007" s="7" t="s">
        <v>5207</v>
      </c>
      <c r="I2007" s="8" t="s">
        <v>5258</v>
      </c>
    </row>
    <row r="2008" spans="1:9" x14ac:dyDescent="0.35">
      <c r="A2008" s="6">
        <v>2562715</v>
      </c>
      <c r="B2008" s="7" t="str">
        <f>"3216091005880022"</f>
        <v>3216091005880022</v>
      </c>
      <c r="C2008" s="7" t="s">
        <v>5259</v>
      </c>
      <c r="D2008" s="7" t="s">
        <v>17</v>
      </c>
      <c r="E2008" s="7" t="s">
        <v>11</v>
      </c>
      <c r="F2008" s="7" t="s">
        <v>18</v>
      </c>
      <c r="G2008" s="7" t="s">
        <v>19</v>
      </c>
      <c r="H2008" s="7" t="s">
        <v>5207</v>
      </c>
      <c r="I2008" s="8" t="s">
        <v>674</v>
      </c>
    </row>
    <row r="2009" spans="1:9" x14ac:dyDescent="0.35">
      <c r="A2009" s="6">
        <v>2562716</v>
      </c>
      <c r="B2009" s="7" t="str">
        <f>"3216095512840011"</f>
        <v>3216095512840011</v>
      </c>
      <c r="C2009" s="7" t="s">
        <v>5260</v>
      </c>
      <c r="D2009" s="7" t="s">
        <v>17</v>
      </c>
      <c r="E2009" s="7" t="s">
        <v>11</v>
      </c>
      <c r="F2009" s="7" t="s">
        <v>18</v>
      </c>
      <c r="G2009" s="7" t="s">
        <v>19</v>
      </c>
      <c r="H2009" s="7" t="s">
        <v>5207</v>
      </c>
      <c r="I2009" s="8" t="s">
        <v>674</v>
      </c>
    </row>
    <row r="2010" spans="1:9" x14ac:dyDescent="0.35">
      <c r="A2010" s="6">
        <v>2561966</v>
      </c>
      <c r="B2010" s="7" t="str">
        <f>"3275053112040004"</f>
        <v>3275053112040004</v>
      </c>
      <c r="C2010" s="7" t="s">
        <v>5261</v>
      </c>
      <c r="D2010" s="7" t="s">
        <v>17</v>
      </c>
      <c r="E2010" s="7" t="s">
        <v>11</v>
      </c>
      <c r="F2010" s="7" t="s">
        <v>18</v>
      </c>
      <c r="G2010" s="7" t="s">
        <v>19</v>
      </c>
      <c r="H2010" s="7" t="s">
        <v>5207</v>
      </c>
      <c r="I2010" s="8" t="s">
        <v>933</v>
      </c>
    </row>
    <row r="2011" spans="1:9" x14ac:dyDescent="0.35">
      <c r="A2011" s="6">
        <v>2561965</v>
      </c>
      <c r="B2011" s="7" t="str">
        <f>"3275056204830018"</f>
        <v>3275056204830018</v>
      </c>
      <c r="C2011" s="7" t="s">
        <v>5263</v>
      </c>
      <c r="D2011" s="7" t="s">
        <v>17</v>
      </c>
      <c r="E2011" s="7" t="s">
        <v>11</v>
      </c>
      <c r="F2011" s="7" t="s">
        <v>18</v>
      </c>
      <c r="G2011" s="7" t="s">
        <v>19</v>
      </c>
      <c r="H2011" s="7" t="s">
        <v>5207</v>
      </c>
      <c r="I2011" s="8" t="s">
        <v>933</v>
      </c>
    </row>
    <row r="2012" spans="1:9" x14ac:dyDescent="0.35">
      <c r="A2012" s="6">
        <v>2562968</v>
      </c>
      <c r="B2012" s="7" t="str">
        <f>"3275092802800012"</f>
        <v>3275092802800012</v>
      </c>
      <c r="C2012" s="7" t="s">
        <v>5264</v>
      </c>
      <c r="D2012" s="7" t="s">
        <v>17</v>
      </c>
      <c r="E2012" s="7" t="s">
        <v>11</v>
      </c>
      <c r="F2012" s="7" t="s">
        <v>18</v>
      </c>
      <c r="G2012" s="7" t="s">
        <v>19</v>
      </c>
      <c r="H2012" s="7" t="s">
        <v>5207</v>
      </c>
      <c r="I2012" s="8" t="s">
        <v>5217</v>
      </c>
    </row>
    <row r="2013" spans="1:9" x14ac:dyDescent="0.35">
      <c r="A2013" s="6">
        <v>2562187</v>
      </c>
      <c r="B2013" s="7" t="str">
        <f>"3301062005010006"</f>
        <v>3301062005010006</v>
      </c>
      <c r="C2013" s="7" t="s">
        <v>5268</v>
      </c>
      <c r="D2013" s="7" t="s">
        <v>17</v>
      </c>
      <c r="E2013" s="7" t="s">
        <v>11</v>
      </c>
      <c r="F2013" s="7" t="s">
        <v>18</v>
      </c>
      <c r="G2013" s="7" t="s">
        <v>19</v>
      </c>
      <c r="H2013" s="7" t="s">
        <v>5207</v>
      </c>
      <c r="I2013" s="8" t="s">
        <v>5258</v>
      </c>
    </row>
    <row r="2014" spans="1:9" x14ac:dyDescent="0.35">
      <c r="A2014" s="6">
        <v>2562687</v>
      </c>
      <c r="B2014" s="7" t="str">
        <f>"3301070202800002"</f>
        <v>3301070202800002</v>
      </c>
      <c r="C2014" s="7" t="s">
        <v>5271</v>
      </c>
      <c r="D2014" s="7" t="s">
        <v>17</v>
      </c>
      <c r="E2014" s="7" t="s">
        <v>11</v>
      </c>
      <c r="F2014" s="7" t="s">
        <v>18</v>
      </c>
      <c r="G2014" s="7" t="s">
        <v>19</v>
      </c>
      <c r="H2014" s="7" t="s">
        <v>5207</v>
      </c>
      <c r="I2014" s="8" t="s">
        <v>674</v>
      </c>
    </row>
    <row r="2015" spans="1:9" x14ac:dyDescent="0.35">
      <c r="A2015" s="6">
        <v>1619756</v>
      </c>
      <c r="B2015" s="7" t="str">
        <f>"3302130412880002"</f>
        <v>3302130412880002</v>
      </c>
      <c r="C2015" s="7" t="s">
        <v>5272</v>
      </c>
      <c r="D2015" s="7" t="s">
        <v>17</v>
      </c>
      <c r="E2015" s="7" t="s">
        <v>11</v>
      </c>
      <c r="F2015" s="7" t="s">
        <v>18</v>
      </c>
      <c r="G2015" s="7" t="s">
        <v>167</v>
      </c>
      <c r="H2015" s="7" t="s">
        <v>1885</v>
      </c>
      <c r="I2015" s="8" t="s">
        <v>4765</v>
      </c>
    </row>
    <row r="2016" spans="1:9" x14ac:dyDescent="0.35">
      <c r="A2016" s="6">
        <v>2563054</v>
      </c>
      <c r="B2016" s="7" t="str">
        <f>"3304052901850005"</f>
        <v>3304052901850005</v>
      </c>
      <c r="C2016" s="7" t="s">
        <v>5275</v>
      </c>
      <c r="D2016" s="7" t="s">
        <v>17</v>
      </c>
      <c r="E2016" s="7" t="s">
        <v>11</v>
      </c>
      <c r="F2016" s="7" t="s">
        <v>18</v>
      </c>
      <c r="G2016" s="7" t="s">
        <v>19</v>
      </c>
      <c r="H2016" s="7" t="s">
        <v>5207</v>
      </c>
      <c r="I2016" s="8" t="s">
        <v>5235</v>
      </c>
    </row>
    <row r="2017" spans="1:9" x14ac:dyDescent="0.35">
      <c r="A2017" s="6">
        <v>1863063</v>
      </c>
      <c r="B2017" s="7" t="str">
        <f>"3305241804870001"</f>
        <v>3305241804870001</v>
      </c>
      <c r="C2017" s="7" t="s">
        <v>350</v>
      </c>
      <c r="D2017" s="7" t="s">
        <v>17</v>
      </c>
      <c r="E2017" s="7" t="s">
        <v>11</v>
      </c>
      <c r="F2017" s="7" t="s">
        <v>91</v>
      </c>
      <c r="G2017" s="7" t="s">
        <v>320</v>
      </c>
      <c r="H2017" s="7" t="s">
        <v>368</v>
      </c>
      <c r="I2017" s="8" t="s">
        <v>5277</v>
      </c>
    </row>
    <row r="2018" spans="1:9" x14ac:dyDescent="0.35">
      <c r="A2018" s="6">
        <v>730370</v>
      </c>
      <c r="B2018" s="7" t="str">
        <f>"3307093007930005"</f>
        <v>3307093007930005</v>
      </c>
      <c r="C2018" s="7" t="s">
        <v>5279</v>
      </c>
      <c r="D2018" s="7" t="s">
        <v>17</v>
      </c>
      <c r="E2018" s="7" t="s">
        <v>11</v>
      </c>
      <c r="F2018" s="7" t="s">
        <v>18</v>
      </c>
      <c r="G2018" s="7" t="s">
        <v>392</v>
      </c>
      <c r="H2018" s="7" t="s">
        <v>392</v>
      </c>
      <c r="I2018" s="8" t="s">
        <v>5280</v>
      </c>
    </row>
    <row r="2019" spans="1:9" x14ac:dyDescent="0.35">
      <c r="A2019" s="6">
        <v>1426644</v>
      </c>
      <c r="B2019" s="7" t="str">
        <f>"3316026907010002"</f>
        <v>3316026907010002</v>
      </c>
      <c r="C2019" s="7" t="s">
        <v>5281</v>
      </c>
      <c r="D2019" s="7" t="s">
        <v>17</v>
      </c>
      <c r="E2019" s="7" t="s">
        <v>11</v>
      </c>
      <c r="F2019" s="7" t="s">
        <v>18</v>
      </c>
      <c r="G2019" s="7" t="s">
        <v>2416</v>
      </c>
      <c r="H2019" s="7" t="s">
        <v>5282</v>
      </c>
      <c r="I2019" s="8" t="s">
        <v>5282</v>
      </c>
    </row>
    <row r="2020" spans="1:9" x14ac:dyDescent="0.35">
      <c r="A2020" s="6">
        <v>2561700</v>
      </c>
      <c r="B2020" s="7" t="str">
        <f>"3318212903880001"</f>
        <v>3318212903880001</v>
      </c>
      <c r="C2020" s="7" t="s">
        <v>5283</v>
      </c>
      <c r="D2020" s="7" t="s">
        <v>17</v>
      </c>
      <c r="E2020" s="7" t="s">
        <v>11</v>
      </c>
      <c r="F2020" s="7" t="s">
        <v>18</v>
      </c>
      <c r="G2020" s="7" t="s">
        <v>19</v>
      </c>
      <c r="H2020" s="7" t="s">
        <v>5207</v>
      </c>
      <c r="I2020" s="8" t="s">
        <v>5242</v>
      </c>
    </row>
    <row r="2021" spans="1:9" x14ac:dyDescent="0.35">
      <c r="A2021" s="6">
        <v>2563401</v>
      </c>
      <c r="B2021" s="7" t="str">
        <f>"3327051009910002"</f>
        <v>3327051009910002</v>
      </c>
      <c r="C2021" s="7" t="s">
        <v>5286</v>
      </c>
      <c r="D2021" s="7" t="s">
        <v>17</v>
      </c>
      <c r="E2021" s="7" t="s">
        <v>11</v>
      </c>
      <c r="F2021" s="7" t="s">
        <v>18</v>
      </c>
      <c r="G2021" s="7" t="s">
        <v>19</v>
      </c>
      <c r="H2021" s="7" t="s">
        <v>5207</v>
      </c>
      <c r="I2021" s="8" t="s">
        <v>5239</v>
      </c>
    </row>
    <row r="2022" spans="1:9" x14ac:dyDescent="0.35">
      <c r="A2022" s="6">
        <v>2563272</v>
      </c>
      <c r="B2022" s="7" t="str">
        <f>"3328151311820004"</f>
        <v>3328151311820004</v>
      </c>
      <c r="C2022" s="7" t="s">
        <v>5287</v>
      </c>
      <c r="D2022" s="7" t="s">
        <v>17</v>
      </c>
      <c r="E2022" s="7" t="s">
        <v>11</v>
      </c>
      <c r="F2022" s="7" t="s">
        <v>18</v>
      </c>
      <c r="G2022" s="7" t="s">
        <v>19</v>
      </c>
      <c r="H2022" s="7" t="s">
        <v>5207</v>
      </c>
      <c r="I2022" s="8" t="s">
        <v>5239</v>
      </c>
    </row>
    <row r="2023" spans="1:9" x14ac:dyDescent="0.35">
      <c r="A2023" s="6">
        <v>2562301</v>
      </c>
      <c r="B2023" s="7" t="str">
        <f>"3328160101950007"</f>
        <v>3328160101950007</v>
      </c>
      <c r="C2023" s="7" t="s">
        <v>5288</v>
      </c>
      <c r="D2023" s="7" t="s">
        <v>17</v>
      </c>
      <c r="E2023" s="7" t="s">
        <v>11</v>
      </c>
      <c r="F2023" s="7" t="s">
        <v>18</v>
      </c>
      <c r="G2023" s="7" t="s">
        <v>19</v>
      </c>
      <c r="H2023" s="7" t="s">
        <v>5207</v>
      </c>
      <c r="I2023" s="8" t="s">
        <v>1964</v>
      </c>
    </row>
    <row r="2024" spans="1:9" x14ac:dyDescent="0.35">
      <c r="A2024" s="6">
        <v>2562741</v>
      </c>
      <c r="B2024" s="7" t="str">
        <f>"3328160105970001"</f>
        <v>3328160105970001</v>
      </c>
      <c r="C2024" s="7" t="s">
        <v>5292</v>
      </c>
      <c r="D2024" s="7" t="s">
        <v>17</v>
      </c>
      <c r="E2024" s="7" t="s">
        <v>11</v>
      </c>
      <c r="F2024" s="7" t="s">
        <v>18</v>
      </c>
      <c r="G2024" s="7" t="s">
        <v>19</v>
      </c>
      <c r="H2024" s="7" t="s">
        <v>5207</v>
      </c>
      <c r="I2024" s="8" t="s">
        <v>674</v>
      </c>
    </row>
    <row r="2025" spans="1:9" x14ac:dyDescent="0.35">
      <c r="A2025" s="6">
        <v>2562789</v>
      </c>
      <c r="B2025" s="7" t="str">
        <f>"3328160307880005"</f>
        <v>3328160307880005</v>
      </c>
      <c r="C2025" s="7" t="s">
        <v>5293</v>
      </c>
      <c r="D2025" s="7" t="s">
        <v>17</v>
      </c>
      <c r="E2025" s="7" t="s">
        <v>11</v>
      </c>
      <c r="F2025" s="7" t="s">
        <v>18</v>
      </c>
      <c r="G2025" s="7" t="s">
        <v>19</v>
      </c>
      <c r="H2025" s="7" t="s">
        <v>5207</v>
      </c>
      <c r="I2025" s="8" t="s">
        <v>5217</v>
      </c>
    </row>
    <row r="2026" spans="1:9" x14ac:dyDescent="0.35">
      <c r="A2026" s="6">
        <v>105824</v>
      </c>
      <c r="B2026" s="7" t="str">
        <f>"3328160503780005"</f>
        <v>3328160503780005</v>
      </c>
      <c r="C2026" s="7" t="s">
        <v>3155</v>
      </c>
      <c r="D2026" s="7" t="s">
        <v>17</v>
      </c>
      <c r="E2026" s="7" t="s">
        <v>57</v>
      </c>
      <c r="F2026" s="7" t="s">
        <v>2907</v>
      </c>
      <c r="G2026" s="7" t="s">
        <v>5068</v>
      </c>
      <c r="H2026" s="7" t="s">
        <v>5068</v>
      </c>
      <c r="I2026" s="8" t="s">
        <v>5069</v>
      </c>
    </row>
    <row r="2027" spans="1:9" x14ac:dyDescent="0.35">
      <c r="A2027" s="6">
        <v>2563312</v>
      </c>
      <c r="B2027" s="7" t="str">
        <f>"3328160503800003"</f>
        <v>3328160503800003</v>
      </c>
      <c r="C2027" s="7" t="s">
        <v>2997</v>
      </c>
      <c r="D2027" s="7" t="s">
        <v>17</v>
      </c>
      <c r="E2027" s="7" t="s">
        <v>11</v>
      </c>
      <c r="F2027" s="7" t="s">
        <v>18</v>
      </c>
      <c r="G2027" s="7" t="s">
        <v>19</v>
      </c>
      <c r="H2027" s="7" t="s">
        <v>5207</v>
      </c>
      <c r="I2027" s="8" t="s">
        <v>5239</v>
      </c>
    </row>
    <row r="2028" spans="1:9" x14ac:dyDescent="0.35">
      <c r="A2028" s="6">
        <v>2562818</v>
      </c>
      <c r="B2028" s="7" t="str">
        <f>"3328160710830002"</f>
        <v>3328160710830002</v>
      </c>
      <c r="C2028" s="7" t="s">
        <v>5295</v>
      </c>
      <c r="D2028" s="7" t="s">
        <v>17</v>
      </c>
      <c r="E2028" s="7" t="s">
        <v>11</v>
      </c>
      <c r="F2028" s="7" t="s">
        <v>18</v>
      </c>
      <c r="G2028" s="7" t="s">
        <v>19</v>
      </c>
      <c r="H2028" s="7" t="s">
        <v>5207</v>
      </c>
      <c r="I2028" s="8" t="s">
        <v>5217</v>
      </c>
    </row>
    <row r="2029" spans="1:9" x14ac:dyDescent="0.35">
      <c r="A2029" s="6">
        <v>1942976</v>
      </c>
      <c r="B2029" s="7" t="str">
        <f>"3328160808000005"</f>
        <v>3328160808000005</v>
      </c>
      <c r="C2029" s="7" t="s">
        <v>5297</v>
      </c>
      <c r="D2029" s="7" t="s">
        <v>17</v>
      </c>
      <c r="E2029" s="7" t="s">
        <v>11</v>
      </c>
      <c r="F2029" s="7" t="s">
        <v>50</v>
      </c>
      <c r="G2029" s="7" t="s">
        <v>86</v>
      </c>
      <c r="H2029" s="7" t="s">
        <v>205</v>
      </c>
      <c r="I2029" s="8" t="s">
        <v>1952</v>
      </c>
    </row>
    <row r="2030" spans="1:9" x14ac:dyDescent="0.35">
      <c r="A2030" s="6">
        <v>1680912</v>
      </c>
      <c r="B2030" s="7" t="str">
        <f>"3328160808910003"</f>
        <v>3328160808910003</v>
      </c>
      <c r="C2030" s="7" t="s">
        <v>5299</v>
      </c>
      <c r="D2030" s="7" t="s">
        <v>17</v>
      </c>
      <c r="E2030" s="7" t="s">
        <v>11</v>
      </c>
      <c r="F2030" s="7" t="s">
        <v>18</v>
      </c>
      <c r="G2030" s="7" t="s">
        <v>264</v>
      </c>
      <c r="H2030" s="7" t="s">
        <v>289</v>
      </c>
      <c r="I2030" s="8" t="s">
        <v>466</v>
      </c>
    </row>
    <row r="2031" spans="1:9" x14ac:dyDescent="0.35">
      <c r="A2031" s="6">
        <v>2563271</v>
      </c>
      <c r="B2031" s="7" t="str">
        <f>"3328160904900003"</f>
        <v>3328160904900003</v>
      </c>
      <c r="C2031" s="7" t="s">
        <v>5300</v>
      </c>
      <c r="D2031" s="7" t="s">
        <v>17</v>
      </c>
      <c r="E2031" s="7" t="s">
        <v>11</v>
      </c>
      <c r="F2031" s="7" t="s">
        <v>18</v>
      </c>
      <c r="G2031" s="7" t="s">
        <v>19</v>
      </c>
      <c r="H2031" s="7" t="s">
        <v>5207</v>
      </c>
      <c r="I2031" s="8" t="s">
        <v>5239</v>
      </c>
    </row>
    <row r="2032" spans="1:9" x14ac:dyDescent="0.35">
      <c r="A2032" s="6">
        <v>2562737</v>
      </c>
      <c r="B2032" s="7" t="str">
        <f>"3328161001890012"</f>
        <v>3328161001890012</v>
      </c>
      <c r="C2032" s="7" t="s">
        <v>5301</v>
      </c>
      <c r="D2032" s="7" t="s">
        <v>17</v>
      </c>
      <c r="E2032" s="7" t="s">
        <v>11</v>
      </c>
      <c r="F2032" s="7" t="s">
        <v>18</v>
      </c>
      <c r="G2032" s="7" t="s">
        <v>19</v>
      </c>
      <c r="H2032" s="7" t="s">
        <v>5207</v>
      </c>
      <c r="I2032" s="8" t="s">
        <v>674</v>
      </c>
    </row>
    <row r="2033" spans="1:9" x14ac:dyDescent="0.35">
      <c r="A2033" s="6">
        <v>2563873</v>
      </c>
      <c r="B2033" s="7" t="str">
        <f>"3328161012920002"</f>
        <v>3328161012920002</v>
      </c>
      <c r="C2033" s="7" t="s">
        <v>5302</v>
      </c>
      <c r="D2033" s="7" t="s">
        <v>17</v>
      </c>
      <c r="E2033" s="7" t="s">
        <v>11</v>
      </c>
      <c r="F2033" s="7" t="s">
        <v>18</v>
      </c>
      <c r="G2033" s="7" t="s">
        <v>19</v>
      </c>
      <c r="H2033" s="7" t="s">
        <v>5207</v>
      </c>
      <c r="I2033" s="8" t="s">
        <v>5276</v>
      </c>
    </row>
    <row r="2034" spans="1:9" x14ac:dyDescent="0.35">
      <c r="A2034" s="6">
        <v>2562781</v>
      </c>
      <c r="B2034" s="7" t="str">
        <f>"3328161312960008"</f>
        <v>3328161312960008</v>
      </c>
      <c r="C2034" s="7" t="s">
        <v>5304</v>
      </c>
      <c r="D2034" s="7" t="s">
        <v>17</v>
      </c>
      <c r="E2034" s="7" t="s">
        <v>11</v>
      </c>
      <c r="F2034" s="7" t="s">
        <v>18</v>
      </c>
      <c r="G2034" s="7" t="s">
        <v>19</v>
      </c>
      <c r="H2034" s="7" t="s">
        <v>5207</v>
      </c>
      <c r="I2034" s="8" t="s">
        <v>5217</v>
      </c>
    </row>
    <row r="2035" spans="1:9" x14ac:dyDescent="0.35">
      <c r="A2035" s="6">
        <v>862404</v>
      </c>
      <c r="B2035" s="7" t="str">
        <f>"3328161606960004"</f>
        <v>3328161606960004</v>
      </c>
      <c r="C2035" s="7" t="s">
        <v>5305</v>
      </c>
      <c r="D2035" s="7" t="s">
        <v>17</v>
      </c>
      <c r="E2035" s="7" t="s">
        <v>11</v>
      </c>
      <c r="F2035" s="7" t="s">
        <v>379</v>
      </c>
      <c r="G2035" s="7" t="s">
        <v>1206</v>
      </c>
      <c r="H2035" s="7" t="s">
        <v>1526</v>
      </c>
      <c r="I2035" s="8" t="s">
        <v>5306</v>
      </c>
    </row>
    <row r="2036" spans="1:9" x14ac:dyDescent="0.35">
      <c r="A2036" s="6">
        <v>2563237</v>
      </c>
      <c r="B2036" s="7" t="str">
        <f>"3328161701950001"</f>
        <v>3328161701950001</v>
      </c>
      <c r="C2036" s="7" t="s">
        <v>5307</v>
      </c>
      <c r="D2036" s="7" t="s">
        <v>17</v>
      </c>
      <c r="E2036" s="7" t="s">
        <v>11</v>
      </c>
      <c r="F2036" s="7" t="s">
        <v>18</v>
      </c>
      <c r="G2036" s="7" t="s">
        <v>19</v>
      </c>
      <c r="H2036" s="7" t="s">
        <v>5207</v>
      </c>
      <c r="I2036" s="8" t="s">
        <v>5239</v>
      </c>
    </row>
    <row r="2037" spans="1:9" x14ac:dyDescent="0.35">
      <c r="A2037" s="6">
        <v>1627193</v>
      </c>
      <c r="B2037" s="7" t="str">
        <f>"3328161701950001"</f>
        <v>3328161701950001</v>
      </c>
      <c r="C2037" s="7" t="s">
        <v>5308</v>
      </c>
      <c r="D2037" s="7" t="s">
        <v>17</v>
      </c>
      <c r="E2037" s="7" t="s">
        <v>11</v>
      </c>
      <c r="F2037" s="7" t="s">
        <v>18</v>
      </c>
      <c r="G2037" s="7" t="s">
        <v>264</v>
      </c>
      <c r="H2037" s="7" t="s">
        <v>248</v>
      </c>
      <c r="I2037" s="8" t="s">
        <v>992</v>
      </c>
    </row>
    <row r="2038" spans="1:9" x14ac:dyDescent="0.35">
      <c r="A2038" s="6">
        <v>1426568</v>
      </c>
      <c r="B2038" s="7" t="str">
        <f>"3328161701950006"</f>
        <v>3328161701950006</v>
      </c>
      <c r="C2038" s="7" t="s">
        <v>5310</v>
      </c>
      <c r="D2038" s="7" t="s">
        <v>17</v>
      </c>
      <c r="E2038" s="7" t="s">
        <v>11</v>
      </c>
      <c r="F2038" s="7" t="s">
        <v>18</v>
      </c>
      <c r="G2038" s="7" t="s">
        <v>2416</v>
      </c>
      <c r="H2038" s="7" t="s">
        <v>5282</v>
      </c>
      <c r="I2038" s="8" t="s">
        <v>5282</v>
      </c>
    </row>
    <row r="2039" spans="1:9" x14ac:dyDescent="0.35">
      <c r="A2039" s="6">
        <v>105872</v>
      </c>
      <c r="B2039" s="7" t="str">
        <f>"3328161708810011"</f>
        <v>3328161708810011</v>
      </c>
      <c r="C2039" s="7" t="s">
        <v>5312</v>
      </c>
      <c r="D2039" s="7" t="s">
        <v>17</v>
      </c>
      <c r="E2039" s="7" t="s">
        <v>57</v>
      </c>
      <c r="F2039" s="7" t="s">
        <v>2907</v>
      </c>
      <c r="G2039" s="7" t="s">
        <v>5068</v>
      </c>
      <c r="H2039" s="7" t="s">
        <v>5068</v>
      </c>
      <c r="I2039" s="8" t="s">
        <v>5069</v>
      </c>
    </row>
    <row r="2040" spans="1:9" x14ac:dyDescent="0.35">
      <c r="A2040" s="6">
        <v>2562327</v>
      </c>
      <c r="B2040" s="7" t="str">
        <f>"3328161905910007"</f>
        <v>3328161905910007</v>
      </c>
      <c r="C2040" s="7" t="s">
        <v>5315</v>
      </c>
      <c r="D2040" s="7" t="s">
        <v>17</v>
      </c>
      <c r="E2040" s="7" t="s">
        <v>11</v>
      </c>
      <c r="F2040" s="7" t="s">
        <v>18</v>
      </c>
      <c r="G2040" s="7" t="s">
        <v>19</v>
      </c>
      <c r="H2040" s="7" t="s">
        <v>5207</v>
      </c>
      <c r="I2040" s="8" t="s">
        <v>1964</v>
      </c>
    </row>
    <row r="2041" spans="1:9" x14ac:dyDescent="0.35">
      <c r="A2041" s="6">
        <v>2561656</v>
      </c>
      <c r="B2041" s="7" t="str">
        <f>"3328162204790005"</f>
        <v>3328162204790005</v>
      </c>
      <c r="C2041" s="7" t="s">
        <v>5316</v>
      </c>
      <c r="D2041" s="7" t="s">
        <v>17</v>
      </c>
      <c r="E2041" s="7" t="s">
        <v>11</v>
      </c>
      <c r="F2041" s="7" t="s">
        <v>18</v>
      </c>
      <c r="G2041" s="7" t="s">
        <v>19</v>
      </c>
      <c r="H2041" s="7" t="s">
        <v>5207</v>
      </c>
      <c r="I2041" s="8" t="s">
        <v>5242</v>
      </c>
    </row>
    <row r="2042" spans="1:9" x14ac:dyDescent="0.35">
      <c r="A2042" s="6">
        <v>2562286</v>
      </c>
      <c r="B2042" s="7" t="str">
        <f>"3328162303020004"</f>
        <v>3328162303020004</v>
      </c>
      <c r="C2042" s="7" t="s">
        <v>5320</v>
      </c>
      <c r="D2042" s="7" t="s">
        <v>17</v>
      </c>
      <c r="E2042" s="7" t="s">
        <v>11</v>
      </c>
      <c r="F2042" s="7" t="s">
        <v>18</v>
      </c>
      <c r="G2042" s="7" t="s">
        <v>19</v>
      </c>
      <c r="H2042" s="7" t="s">
        <v>5207</v>
      </c>
      <c r="I2042" s="8" t="s">
        <v>1964</v>
      </c>
    </row>
    <row r="2043" spans="1:9" x14ac:dyDescent="0.35">
      <c r="A2043" s="6">
        <v>105781</v>
      </c>
      <c r="B2043" s="7" t="str">
        <f>"3328162511930003"</f>
        <v>3328162511930003</v>
      </c>
      <c r="C2043" s="7" t="s">
        <v>5321</v>
      </c>
      <c r="D2043" s="7" t="s">
        <v>17</v>
      </c>
      <c r="E2043" s="7" t="s">
        <v>57</v>
      </c>
      <c r="F2043" s="7" t="s">
        <v>2907</v>
      </c>
      <c r="G2043" s="7" t="s">
        <v>5068</v>
      </c>
      <c r="H2043" s="7" t="s">
        <v>5068</v>
      </c>
      <c r="I2043" s="8" t="s">
        <v>5069</v>
      </c>
    </row>
    <row r="2044" spans="1:9" x14ac:dyDescent="0.35">
      <c r="A2044" s="6">
        <v>3084221</v>
      </c>
      <c r="B2044" s="7" t="str">
        <f>"3328162803040004"</f>
        <v>3328162803040004</v>
      </c>
      <c r="C2044" s="7" t="s">
        <v>5322</v>
      </c>
      <c r="D2044" s="7" t="s">
        <v>17</v>
      </c>
      <c r="E2044" s="7" t="s">
        <v>11</v>
      </c>
      <c r="F2044" s="7" t="s">
        <v>18</v>
      </c>
      <c r="G2044" s="7" t="s">
        <v>163</v>
      </c>
      <c r="H2044" s="7" t="s">
        <v>5323</v>
      </c>
      <c r="I2044" s="8" t="s">
        <v>5324</v>
      </c>
    </row>
    <row r="2045" spans="1:9" x14ac:dyDescent="0.35">
      <c r="A2045" s="6">
        <v>105839</v>
      </c>
      <c r="B2045" s="7" t="str">
        <f>"3328162907940001"</f>
        <v>3328162907940001</v>
      </c>
      <c r="C2045" s="7" t="s">
        <v>5325</v>
      </c>
      <c r="D2045" s="7" t="s">
        <v>17</v>
      </c>
      <c r="E2045" s="7" t="s">
        <v>57</v>
      </c>
      <c r="F2045" s="7" t="s">
        <v>2907</v>
      </c>
      <c r="G2045" s="7" t="s">
        <v>5068</v>
      </c>
      <c r="H2045" s="7" t="s">
        <v>5068</v>
      </c>
      <c r="I2045" s="8" t="s">
        <v>5069</v>
      </c>
    </row>
    <row r="2046" spans="1:9" x14ac:dyDescent="0.35">
      <c r="A2046" s="6">
        <v>2562588</v>
      </c>
      <c r="B2046" s="7" t="str">
        <f>"3328164207810009"</f>
        <v>3328164207810009</v>
      </c>
      <c r="C2046" s="7" t="s">
        <v>5328</v>
      </c>
      <c r="D2046" s="7" t="s">
        <v>17</v>
      </c>
      <c r="E2046" s="7" t="s">
        <v>11</v>
      </c>
      <c r="F2046" s="7" t="s">
        <v>18</v>
      </c>
      <c r="G2046" s="7" t="s">
        <v>19</v>
      </c>
      <c r="H2046" s="7" t="s">
        <v>5207</v>
      </c>
      <c r="I2046" s="8" t="s">
        <v>674</v>
      </c>
    </row>
    <row r="2047" spans="1:9" x14ac:dyDescent="0.35">
      <c r="A2047" s="6">
        <v>1627492</v>
      </c>
      <c r="B2047" s="7" t="str">
        <f>"3328164405990003"</f>
        <v>3328164405990003</v>
      </c>
      <c r="C2047" s="7" t="s">
        <v>5329</v>
      </c>
      <c r="D2047" s="7" t="s">
        <v>17</v>
      </c>
      <c r="E2047" s="7" t="s">
        <v>11</v>
      </c>
      <c r="F2047" s="7" t="s">
        <v>18</v>
      </c>
      <c r="G2047" s="7" t="s">
        <v>167</v>
      </c>
      <c r="H2047" s="7" t="s">
        <v>5330</v>
      </c>
      <c r="I2047" s="8" t="s">
        <v>5331</v>
      </c>
    </row>
    <row r="2048" spans="1:9" x14ac:dyDescent="0.35">
      <c r="A2048" s="6">
        <v>2563354</v>
      </c>
      <c r="B2048" s="7" t="str">
        <f>"3328164406890005"</f>
        <v>3328164406890005</v>
      </c>
      <c r="C2048" s="7" t="s">
        <v>5335</v>
      </c>
      <c r="D2048" s="7" t="s">
        <v>17</v>
      </c>
      <c r="E2048" s="7" t="s">
        <v>11</v>
      </c>
      <c r="F2048" s="7" t="s">
        <v>18</v>
      </c>
      <c r="G2048" s="7" t="s">
        <v>19</v>
      </c>
      <c r="H2048" s="7" t="s">
        <v>5207</v>
      </c>
      <c r="I2048" s="8" t="s">
        <v>5239</v>
      </c>
    </row>
    <row r="2049" spans="1:9" x14ac:dyDescent="0.35">
      <c r="A2049" s="6">
        <v>929668</v>
      </c>
      <c r="B2049" s="7" t="str">
        <f>"3328164504560001"</f>
        <v>3328164504560001</v>
      </c>
      <c r="C2049" s="7" t="s">
        <v>1935</v>
      </c>
      <c r="D2049" s="7" t="s">
        <v>17</v>
      </c>
      <c r="E2049" s="7" t="s">
        <v>11</v>
      </c>
      <c r="F2049" s="7" t="s">
        <v>91</v>
      </c>
      <c r="G2049" s="7" t="s">
        <v>109</v>
      </c>
      <c r="H2049" s="7" t="s">
        <v>5336</v>
      </c>
      <c r="I2049" s="8" t="s">
        <v>5337</v>
      </c>
    </row>
    <row r="2050" spans="1:9" x14ac:dyDescent="0.35">
      <c r="A2050" s="6">
        <v>3084328</v>
      </c>
      <c r="B2050" s="7" t="str">
        <f>"3328164604820011"</f>
        <v>3328164604820011</v>
      </c>
      <c r="C2050" s="7" t="s">
        <v>5338</v>
      </c>
      <c r="D2050" s="7" t="s">
        <v>17</v>
      </c>
      <c r="E2050" s="7" t="s">
        <v>11</v>
      </c>
      <c r="F2050" s="7" t="s">
        <v>18</v>
      </c>
      <c r="G2050" s="7" t="s">
        <v>163</v>
      </c>
      <c r="H2050" s="7" t="s">
        <v>5323</v>
      </c>
      <c r="I2050" s="8" t="s">
        <v>5324</v>
      </c>
    </row>
    <row r="2051" spans="1:9" x14ac:dyDescent="0.35">
      <c r="A2051" s="6">
        <v>1960164</v>
      </c>
      <c r="B2051" s="7" t="str">
        <f>"3328164704920007"</f>
        <v>3328164704920007</v>
      </c>
      <c r="C2051" s="7" t="s">
        <v>5341</v>
      </c>
      <c r="D2051" s="7" t="s">
        <v>17</v>
      </c>
      <c r="E2051" s="7" t="s">
        <v>11</v>
      </c>
      <c r="F2051" s="7" t="s">
        <v>50</v>
      </c>
      <c r="G2051" s="7" t="s">
        <v>86</v>
      </c>
      <c r="H2051" s="7" t="s">
        <v>1268</v>
      </c>
      <c r="I2051" s="8" t="s">
        <v>1269</v>
      </c>
    </row>
    <row r="2052" spans="1:9" x14ac:dyDescent="0.35">
      <c r="A2052" s="6">
        <v>737889</v>
      </c>
      <c r="B2052" s="7" t="str">
        <f>"3328165012930008"</f>
        <v>3328165012930008</v>
      </c>
      <c r="C2052" s="7" t="s">
        <v>5345</v>
      </c>
      <c r="D2052" s="7" t="s">
        <v>17</v>
      </c>
      <c r="E2052" s="7" t="s">
        <v>11</v>
      </c>
      <c r="F2052" s="7" t="s">
        <v>18</v>
      </c>
      <c r="G2052" s="7" t="s">
        <v>1381</v>
      </c>
      <c r="H2052" s="7" t="s">
        <v>3524</v>
      </c>
      <c r="I2052" s="8" t="s">
        <v>5346</v>
      </c>
    </row>
    <row r="2053" spans="1:9" x14ac:dyDescent="0.35">
      <c r="A2053" s="6">
        <v>2563214</v>
      </c>
      <c r="B2053" s="7" t="str">
        <f>"3328165202040001"</f>
        <v>3328165202040001</v>
      </c>
      <c r="C2053" s="7" t="s">
        <v>5347</v>
      </c>
      <c r="D2053" s="7" t="s">
        <v>17</v>
      </c>
      <c r="E2053" s="7" t="s">
        <v>11</v>
      </c>
      <c r="F2053" s="7" t="s">
        <v>18</v>
      </c>
      <c r="G2053" s="7" t="s">
        <v>19</v>
      </c>
      <c r="H2053" s="7" t="s">
        <v>5207</v>
      </c>
      <c r="I2053" s="8" t="s">
        <v>5239</v>
      </c>
    </row>
    <row r="2054" spans="1:9" x14ac:dyDescent="0.35">
      <c r="A2054" s="6">
        <v>2563055</v>
      </c>
      <c r="B2054" s="7" t="str">
        <f>"3328165304880002"</f>
        <v>3328165304880002</v>
      </c>
      <c r="C2054" s="7" t="s">
        <v>5353</v>
      </c>
      <c r="D2054" s="7" t="s">
        <v>17</v>
      </c>
      <c r="E2054" s="7" t="s">
        <v>11</v>
      </c>
      <c r="F2054" s="7" t="s">
        <v>18</v>
      </c>
      <c r="G2054" s="7" t="s">
        <v>19</v>
      </c>
      <c r="H2054" s="7" t="s">
        <v>5207</v>
      </c>
      <c r="I2054" s="8" t="s">
        <v>5235</v>
      </c>
    </row>
    <row r="2055" spans="1:9" x14ac:dyDescent="0.35">
      <c r="A2055" s="6">
        <v>2563926</v>
      </c>
      <c r="B2055" s="7" t="str">
        <f>"3328165501070007"</f>
        <v>3328165501070007</v>
      </c>
      <c r="C2055" s="7" t="s">
        <v>5354</v>
      </c>
      <c r="D2055" s="7" t="s">
        <v>17</v>
      </c>
      <c r="E2055" s="7" t="s">
        <v>11</v>
      </c>
      <c r="F2055" s="7" t="s">
        <v>18</v>
      </c>
      <c r="G2055" s="7" t="s">
        <v>19</v>
      </c>
      <c r="H2055" s="7" t="s">
        <v>5207</v>
      </c>
      <c r="I2055" s="8" t="s">
        <v>5276</v>
      </c>
    </row>
    <row r="2056" spans="1:9" x14ac:dyDescent="0.35">
      <c r="A2056" s="6">
        <v>2563253</v>
      </c>
      <c r="B2056" s="7" t="str">
        <f>"3328165506810003"</f>
        <v>3328165506810003</v>
      </c>
      <c r="C2056" s="7" t="s">
        <v>5356</v>
      </c>
      <c r="D2056" s="7" t="s">
        <v>17</v>
      </c>
      <c r="E2056" s="7" t="s">
        <v>11</v>
      </c>
      <c r="F2056" s="7" t="s">
        <v>18</v>
      </c>
      <c r="G2056" s="7" t="s">
        <v>19</v>
      </c>
      <c r="H2056" s="7" t="s">
        <v>5207</v>
      </c>
      <c r="I2056" s="8" t="s">
        <v>5239</v>
      </c>
    </row>
    <row r="2057" spans="1:9" x14ac:dyDescent="0.35">
      <c r="A2057" s="6">
        <v>1959689</v>
      </c>
      <c r="B2057" s="7" t="str">
        <f>"3328165512960004"</f>
        <v>3328165512960004</v>
      </c>
      <c r="C2057" s="7" t="s">
        <v>5358</v>
      </c>
      <c r="D2057" s="7" t="s">
        <v>17</v>
      </c>
      <c r="E2057" s="7" t="s">
        <v>11</v>
      </c>
      <c r="F2057" s="7" t="s">
        <v>50</v>
      </c>
      <c r="G2057" s="7" t="s">
        <v>86</v>
      </c>
      <c r="H2057" s="7" t="s">
        <v>1268</v>
      </c>
      <c r="I2057" s="8" t="s">
        <v>5359</v>
      </c>
    </row>
    <row r="2058" spans="1:9" x14ac:dyDescent="0.35">
      <c r="A2058" s="6">
        <v>2561869</v>
      </c>
      <c r="B2058" s="7" t="str">
        <f>"3328166002970002"</f>
        <v>3328166002970002</v>
      </c>
      <c r="C2058" s="7" t="s">
        <v>5360</v>
      </c>
      <c r="D2058" s="7" t="s">
        <v>17</v>
      </c>
      <c r="E2058" s="7" t="s">
        <v>11</v>
      </c>
      <c r="F2058" s="7" t="s">
        <v>18</v>
      </c>
      <c r="G2058" s="7" t="s">
        <v>19</v>
      </c>
      <c r="H2058" s="7" t="s">
        <v>5207</v>
      </c>
      <c r="I2058" s="8" t="s">
        <v>5223</v>
      </c>
    </row>
    <row r="2059" spans="1:9" x14ac:dyDescent="0.35">
      <c r="A2059" s="6">
        <v>2561701</v>
      </c>
      <c r="B2059" s="7" t="str">
        <f>"3328166105900002"</f>
        <v>3328166105900002</v>
      </c>
      <c r="C2059" s="7" t="s">
        <v>5364</v>
      </c>
      <c r="D2059" s="7" t="s">
        <v>17</v>
      </c>
      <c r="E2059" s="7" t="s">
        <v>11</v>
      </c>
      <c r="F2059" s="7" t="s">
        <v>18</v>
      </c>
      <c r="G2059" s="7" t="s">
        <v>19</v>
      </c>
      <c r="H2059" s="7" t="s">
        <v>5207</v>
      </c>
      <c r="I2059" s="8" t="s">
        <v>5242</v>
      </c>
    </row>
    <row r="2060" spans="1:9" x14ac:dyDescent="0.35">
      <c r="A2060" s="6">
        <v>2562923</v>
      </c>
      <c r="B2060" s="7" t="str">
        <f>"3328166208950002"</f>
        <v>3328166208950002</v>
      </c>
      <c r="C2060" s="7" t="s">
        <v>5367</v>
      </c>
      <c r="D2060" s="7" t="s">
        <v>17</v>
      </c>
      <c r="E2060" s="7" t="s">
        <v>11</v>
      </c>
      <c r="F2060" s="7" t="s">
        <v>18</v>
      </c>
      <c r="G2060" s="7" t="s">
        <v>19</v>
      </c>
      <c r="H2060" s="7" t="s">
        <v>5207</v>
      </c>
      <c r="I2060" s="8" t="s">
        <v>5217</v>
      </c>
    </row>
    <row r="2061" spans="1:9" x14ac:dyDescent="0.35">
      <c r="A2061" s="6">
        <v>2562743</v>
      </c>
      <c r="B2061" s="7" t="str">
        <f>"3328166406760003"</f>
        <v>3328166406760003</v>
      </c>
      <c r="C2061" s="7" t="s">
        <v>5369</v>
      </c>
      <c r="D2061" s="7" t="s">
        <v>17</v>
      </c>
      <c r="E2061" s="7" t="s">
        <v>11</v>
      </c>
      <c r="F2061" s="7" t="s">
        <v>18</v>
      </c>
      <c r="G2061" s="7" t="s">
        <v>19</v>
      </c>
      <c r="H2061" s="7" t="s">
        <v>5207</v>
      </c>
      <c r="I2061" s="8" t="s">
        <v>674</v>
      </c>
    </row>
    <row r="2062" spans="1:9" x14ac:dyDescent="0.35">
      <c r="A2062" s="6">
        <v>2562790</v>
      </c>
      <c r="B2062" s="7" t="str">
        <f>"3328166501890003"</f>
        <v>3328166501890003</v>
      </c>
      <c r="C2062" s="7" t="s">
        <v>5370</v>
      </c>
      <c r="D2062" s="7" t="s">
        <v>17</v>
      </c>
      <c r="E2062" s="7" t="s">
        <v>11</v>
      </c>
      <c r="F2062" s="7" t="s">
        <v>18</v>
      </c>
      <c r="G2062" s="7" t="s">
        <v>19</v>
      </c>
      <c r="H2062" s="7" t="s">
        <v>5207</v>
      </c>
      <c r="I2062" s="8" t="s">
        <v>5217</v>
      </c>
    </row>
    <row r="2063" spans="1:9" x14ac:dyDescent="0.35">
      <c r="A2063" s="6">
        <v>943487</v>
      </c>
      <c r="B2063" s="7" t="str">
        <f>"3328166501910003"</f>
        <v>3328166501910003</v>
      </c>
      <c r="C2063" s="7" t="s">
        <v>1963</v>
      </c>
      <c r="D2063" s="7" t="s">
        <v>17</v>
      </c>
      <c r="E2063" s="7" t="s">
        <v>11</v>
      </c>
      <c r="F2063" s="7" t="s">
        <v>91</v>
      </c>
      <c r="G2063" s="7" t="s">
        <v>109</v>
      </c>
      <c r="H2063" s="7" t="s">
        <v>5371</v>
      </c>
      <c r="I2063" s="8" t="s">
        <v>4043</v>
      </c>
    </row>
    <row r="2064" spans="1:9" x14ac:dyDescent="0.35">
      <c r="A2064" s="6">
        <v>1619757</v>
      </c>
      <c r="B2064" s="7" t="str">
        <f>"3328166507920004"</f>
        <v>3328166507920004</v>
      </c>
      <c r="C2064" s="7" t="s">
        <v>5372</v>
      </c>
      <c r="D2064" s="7" t="s">
        <v>17</v>
      </c>
      <c r="E2064" s="7" t="s">
        <v>11</v>
      </c>
      <c r="F2064" s="7" t="s">
        <v>18</v>
      </c>
      <c r="G2064" s="7" t="s">
        <v>167</v>
      </c>
      <c r="H2064" s="7" t="s">
        <v>1885</v>
      </c>
      <c r="I2064" s="8" t="s">
        <v>4765</v>
      </c>
    </row>
    <row r="2065" spans="1:9" x14ac:dyDescent="0.35">
      <c r="A2065" s="6">
        <v>1863064</v>
      </c>
      <c r="B2065" s="7" t="str">
        <f>"3328166510860005"</f>
        <v>3328166510860005</v>
      </c>
      <c r="C2065" s="7" t="s">
        <v>5373</v>
      </c>
      <c r="D2065" s="7" t="s">
        <v>17</v>
      </c>
      <c r="E2065" s="7" t="s">
        <v>11</v>
      </c>
      <c r="F2065" s="7" t="s">
        <v>91</v>
      </c>
      <c r="G2065" s="7" t="s">
        <v>320</v>
      </c>
      <c r="H2065" s="7" t="s">
        <v>368</v>
      </c>
      <c r="I2065" s="8" t="s">
        <v>5277</v>
      </c>
    </row>
    <row r="2066" spans="1:9" x14ac:dyDescent="0.35">
      <c r="A2066" s="6">
        <v>1227491</v>
      </c>
      <c r="B2066" s="7" t="str">
        <f>"3328166704550003"</f>
        <v>3328166704550003</v>
      </c>
      <c r="C2066" s="7" t="s">
        <v>5374</v>
      </c>
      <c r="D2066" s="7" t="s">
        <v>17</v>
      </c>
      <c r="E2066" s="7" t="s">
        <v>11</v>
      </c>
      <c r="F2066" s="7" t="s">
        <v>303</v>
      </c>
      <c r="G2066" s="7" t="s">
        <v>5375</v>
      </c>
      <c r="H2066" s="7" t="s">
        <v>5376</v>
      </c>
      <c r="I2066" s="8" t="s">
        <v>5376</v>
      </c>
    </row>
    <row r="2067" spans="1:9" x14ac:dyDescent="0.35">
      <c r="A2067" s="6">
        <v>2562670</v>
      </c>
      <c r="B2067" s="7" t="str">
        <f>"3328166704550003"</f>
        <v>3328166704550003</v>
      </c>
      <c r="C2067" s="7" t="s">
        <v>5377</v>
      </c>
      <c r="D2067" s="7" t="s">
        <v>17</v>
      </c>
      <c r="E2067" s="7" t="s">
        <v>11</v>
      </c>
      <c r="F2067" s="7" t="s">
        <v>18</v>
      </c>
      <c r="G2067" s="7" t="s">
        <v>19</v>
      </c>
      <c r="H2067" s="7" t="s">
        <v>5207</v>
      </c>
      <c r="I2067" s="8" t="s">
        <v>674</v>
      </c>
    </row>
    <row r="2068" spans="1:9" x14ac:dyDescent="0.35">
      <c r="A2068" s="6">
        <v>941891</v>
      </c>
      <c r="B2068" s="7" t="str">
        <f>"3328166806900001"</f>
        <v>3328166806900001</v>
      </c>
      <c r="C2068" s="7" t="s">
        <v>4178</v>
      </c>
      <c r="D2068" s="7" t="s">
        <v>17</v>
      </c>
      <c r="E2068" s="7" t="s">
        <v>11</v>
      </c>
      <c r="F2068" s="7" t="s">
        <v>91</v>
      </c>
      <c r="G2068" s="7" t="s">
        <v>109</v>
      </c>
      <c r="H2068" s="7" t="s">
        <v>110</v>
      </c>
      <c r="I2068" s="8" t="s">
        <v>5378</v>
      </c>
    </row>
    <row r="2069" spans="1:9" x14ac:dyDescent="0.35">
      <c r="A2069" s="6">
        <v>2562740</v>
      </c>
      <c r="B2069" s="7" t="str">
        <f>"3328166907030001"</f>
        <v>3328166907030001</v>
      </c>
      <c r="C2069" s="7" t="s">
        <v>5380</v>
      </c>
      <c r="D2069" s="7" t="s">
        <v>17</v>
      </c>
      <c r="E2069" s="7" t="s">
        <v>11</v>
      </c>
      <c r="F2069" s="7" t="s">
        <v>18</v>
      </c>
      <c r="G2069" s="7" t="s">
        <v>19</v>
      </c>
      <c r="H2069" s="7" t="s">
        <v>5207</v>
      </c>
      <c r="I2069" s="8" t="s">
        <v>674</v>
      </c>
    </row>
    <row r="2070" spans="1:9" x14ac:dyDescent="0.35">
      <c r="A2070" s="6">
        <v>2561828</v>
      </c>
      <c r="B2070" s="7" t="str">
        <f>"3329054208000002"</f>
        <v>3329054208000002</v>
      </c>
      <c r="C2070" s="7" t="s">
        <v>5381</v>
      </c>
      <c r="D2070" s="7" t="s">
        <v>17</v>
      </c>
      <c r="E2070" s="7" t="s">
        <v>11</v>
      </c>
      <c r="F2070" s="7" t="s">
        <v>18</v>
      </c>
      <c r="G2070" s="7" t="s">
        <v>19</v>
      </c>
      <c r="H2070" s="7" t="s">
        <v>5207</v>
      </c>
      <c r="I2070" s="8" t="s">
        <v>5223</v>
      </c>
    </row>
    <row r="2071" spans="1:9" x14ac:dyDescent="0.35">
      <c r="A2071" s="6">
        <v>2562638</v>
      </c>
      <c r="B2071" s="7" t="str">
        <f>"3329072912960001"</f>
        <v>3329072912960001</v>
      </c>
      <c r="C2071" s="7" t="s">
        <v>5383</v>
      </c>
      <c r="D2071" s="7" t="s">
        <v>17</v>
      </c>
      <c r="E2071" s="7" t="s">
        <v>11</v>
      </c>
      <c r="F2071" s="7" t="s">
        <v>18</v>
      </c>
      <c r="G2071" s="7" t="s">
        <v>19</v>
      </c>
      <c r="H2071" s="7" t="s">
        <v>5207</v>
      </c>
      <c r="I2071" s="8" t="s">
        <v>674</v>
      </c>
    </row>
    <row r="2072" spans="1:9" x14ac:dyDescent="0.35">
      <c r="A2072" s="6">
        <v>2563573</v>
      </c>
      <c r="B2072" s="7" t="str">
        <f>"3329083112640011"</f>
        <v>3329083112640011</v>
      </c>
      <c r="C2072" s="7" t="s">
        <v>5385</v>
      </c>
      <c r="D2072" s="7" t="s">
        <v>17</v>
      </c>
      <c r="E2072" s="7" t="s">
        <v>11</v>
      </c>
      <c r="F2072" s="7" t="s">
        <v>18</v>
      </c>
      <c r="G2072" s="7" t="s">
        <v>19</v>
      </c>
      <c r="H2072" s="7" t="s">
        <v>5207</v>
      </c>
      <c r="I2072" s="8" t="s">
        <v>5207</v>
      </c>
    </row>
    <row r="2073" spans="1:9" x14ac:dyDescent="0.35">
      <c r="A2073" s="6">
        <v>2563224</v>
      </c>
      <c r="B2073" s="7" t="str">
        <f>"3329086501000002"</f>
        <v>3329086501000002</v>
      </c>
      <c r="C2073" s="7" t="s">
        <v>5387</v>
      </c>
      <c r="D2073" s="7" t="s">
        <v>17</v>
      </c>
      <c r="E2073" s="7" t="s">
        <v>11</v>
      </c>
      <c r="F2073" s="7" t="s">
        <v>18</v>
      </c>
      <c r="G2073" s="7" t="s">
        <v>19</v>
      </c>
      <c r="H2073" s="7" t="s">
        <v>5207</v>
      </c>
      <c r="I2073" s="8" t="s">
        <v>5239</v>
      </c>
    </row>
    <row r="2074" spans="1:9" x14ac:dyDescent="0.35">
      <c r="A2074" s="6">
        <v>2562933</v>
      </c>
      <c r="B2074" s="7" t="str">
        <f>"3329121306860006"</f>
        <v>3329121306860006</v>
      </c>
      <c r="C2074" s="7" t="s">
        <v>5388</v>
      </c>
      <c r="D2074" s="7" t="s">
        <v>17</v>
      </c>
      <c r="E2074" s="7" t="s">
        <v>11</v>
      </c>
      <c r="F2074" s="7" t="s">
        <v>18</v>
      </c>
      <c r="G2074" s="7" t="s">
        <v>19</v>
      </c>
      <c r="H2074" s="7" t="s">
        <v>5207</v>
      </c>
      <c r="I2074" s="8" t="s">
        <v>5217</v>
      </c>
    </row>
    <row r="2075" spans="1:9" x14ac:dyDescent="0.35">
      <c r="A2075" s="6">
        <v>1640356</v>
      </c>
      <c r="B2075" s="7" t="str">
        <f>"3329142907930007"</f>
        <v>3329142907930007</v>
      </c>
      <c r="C2075" s="7" t="s">
        <v>5390</v>
      </c>
      <c r="D2075" s="7" t="s">
        <v>17</v>
      </c>
      <c r="E2075" s="7" t="s">
        <v>11</v>
      </c>
      <c r="F2075" s="7" t="s">
        <v>18</v>
      </c>
      <c r="G2075" s="7" t="s">
        <v>264</v>
      </c>
      <c r="H2075" s="7" t="s">
        <v>477</v>
      </c>
      <c r="I2075" s="8" t="s">
        <v>1646</v>
      </c>
    </row>
    <row r="2076" spans="1:9" x14ac:dyDescent="0.35">
      <c r="A2076" s="6">
        <v>1586265</v>
      </c>
      <c r="B2076" s="7" t="str">
        <f>"3329170107830129"</f>
        <v>3329170107830129</v>
      </c>
      <c r="C2076" s="7" t="s">
        <v>5392</v>
      </c>
      <c r="D2076" s="7" t="s">
        <v>17</v>
      </c>
      <c r="E2076" s="7" t="s">
        <v>11</v>
      </c>
      <c r="F2076" s="7" t="s">
        <v>18</v>
      </c>
      <c r="G2076" s="7" t="s">
        <v>264</v>
      </c>
      <c r="H2076" s="7" t="s">
        <v>881</v>
      </c>
      <c r="I2076" s="8" t="s">
        <v>5393</v>
      </c>
    </row>
    <row r="2077" spans="1:9" x14ac:dyDescent="0.35">
      <c r="A2077" s="6">
        <v>2562922</v>
      </c>
      <c r="B2077" s="7" t="str">
        <f>"3376020102940008"</f>
        <v>3376020102940008</v>
      </c>
      <c r="C2077" s="7" t="s">
        <v>5394</v>
      </c>
      <c r="D2077" s="7" t="s">
        <v>17</v>
      </c>
      <c r="E2077" s="7" t="s">
        <v>11</v>
      </c>
      <c r="F2077" s="7" t="s">
        <v>18</v>
      </c>
      <c r="G2077" s="7" t="s">
        <v>19</v>
      </c>
      <c r="H2077" s="7" t="s">
        <v>5207</v>
      </c>
      <c r="I2077" s="8" t="s">
        <v>5217</v>
      </c>
    </row>
    <row r="2078" spans="1:9" x14ac:dyDescent="0.35">
      <c r="A2078" s="6">
        <v>2563393</v>
      </c>
      <c r="B2078" s="7" t="str">
        <f>"3376021912960005"</f>
        <v>3376021912960005</v>
      </c>
      <c r="C2078" s="7" t="s">
        <v>5396</v>
      </c>
      <c r="D2078" s="7" t="s">
        <v>17</v>
      </c>
      <c r="E2078" s="7" t="s">
        <v>11</v>
      </c>
      <c r="F2078" s="7" t="s">
        <v>18</v>
      </c>
      <c r="G2078" s="7" t="s">
        <v>19</v>
      </c>
      <c r="H2078" s="7" t="s">
        <v>5207</v>
      </c>
      <c r="I2078" s="8" t="s">
        <v>5239</v>
      </c>
    </row>
    <row r="2079" spans="1:9" x14ac:dyDescent="0.35">
      <c r="A2079" s="6">
        <v>2562738</v>
      </c>
      <c r="B2079" s="7" t="str">
        <f>"3376045207940001"</f>
        <v>3376045207940001</v>
      </c>
      <c r="C2079" s="7" t="s">
        <v>5398</v>
      </c>
      <c r="D2079" s="7" t="s">
        <v>17</v>
      </c>
      <c r="E2079" s="7" t="s">
        <v>11</v>
      </c>
      <c r="F2079" s="7" t="s">
        <v>18</v>
      </c>
      <c r="G2079" s="7" t="s">
        <v>19</v>
      </c>
      <c r="H2079" s="7" t="s">
        <v>5207</v>
      </c>
      <c r="I2079" s="8" t="s">
        <v>674</v>
      </c>
    </row>
    <row r="2080" spans="1:9" x14ac:dyDescent="0.35">
      <c r="A2080" s="6">
        <v>2356146</v>
      </c>
      <c r="B2080" s="7" t="str">
        <f>"3509291002800004"</f>
        <v>3509291002800004</v>
      </c>
      <c r="C2080" s="7" t="s">
        <v>5399</v>
      </c>
      <c r="D2080" s="7" t="s">
        <v>17</v>
      </c>
      <c r="E2080" s="7" t="s">
        <v>11</v>
      </c>
      <c r="F2080" s="7" t="s">
        <v>303</v>
      </c>
      <c r="G2080" s="7" t="s">
        <v>5400</v>
      </c>
      <c r="H2080" s="7" t="s">
        <v>5401</v>
      </c>
      <c r="I2080" s="8" t="s">
        <v>5402</v>
      </c>
    </row>
    <row r="2081" spans="1:9" x14ac:dyDescent="0.35">
      <c r="A2081" s="6">
        <v>2562309</v>
      </c>
      <c r="B2081" s="7" t="str">
        <f>"3519074607810001"</f>
        <v>3519074607810001</v>
      </c>
      <c r="C2081" s="7" t="s">
        <v>5407</v>
      </c>
      <c r="D2081" s="7" t="s">
        <v>17</v>
      </c>
      <c r="E2081" s="7" t="s">
        <v>11</v>
      </c>
      <c r="F2081" s="7" t="s">
        <v>18</v>
      </c>
      <c r="G2081" s="7" t="s">
        <v>19</v>
      </c>
      <c r="H2081" s="7" t="s">
        <v>5207</v>
      </c>
      <c r="I2081" s="8" t="s">
        <v>1964</v>
      </c>
    </row>
    <row r="2082" spans="1:9" x14ac:dyDescent="0.35">
      <c r="A2082" s="6">
        <v>2561859</v>
      </c>
      <c r="B2082" s="7" t="str">
        <f>"3601200107930069"</f>
        <v>3601200107930069</v>
      </c>
      <c r="C2082" s="7" t="s">
        <v>5409</v>
      </c>
      <c r="D2082" s="7" t="s">
        <v>17</v>
      </c>
      <c r="E2082" s="7" t="s">
        <v>11</v>
      </c>
      <c r="F2082" s="7" t="s">
        <v>18</v>
      </c>
      <c r="G2082" s="7" t="s">
        <v>19</v>
      </c>
      <c r="H2082" s="7" t="s">
        <v>5207</v>
      </c>
      <c r="I2082" s="8" t="s">
        <v>5223</v>
      </c>
    </row>
    <row r="2083" spans="1:9" x14ac:dyDescent="0.35">
      <c r="A2083" s="6">
        <v>2563050</v>
      </c>
      <c r="B2083" s="7" t="str">
        <f>"3603083105750002"</f>
        <v>3603083105750002</v>
      </c>
      <c r="C2083" s="7" t="s">
        <v>5410</v>
      </c>
      <c r="D2083" s="7" t="s">
        <v>17</v>
      </c>
      <c r="E2083" s="7" t="s">
        <v>11</v>
      </c>
      <c r="F2083" s="7" t="s">
        <v>18</v>
      </c>
      <c r="G2083" s="7" t="s">
        <v>19</v>
      </c>
      <c r="H2083" s="7" t="s">
        <v>5207</v>
      </c>
      <c r="I2083" s="8" t="s">
        <v>5235</v>
      </c>
    </row>
    <row r="2084" spans="1:9" x14ac:dyDescent="0.35">
      <c r="A2084" s="6">
        <v>2561682</v>
      </c>
      <c r="B2084" s="7" t="str">
        <f>"3603110102800004"</f>
        <v>3603110102800004</v>
      </c>
      <c r="C2084" s="7" t="s">
        <v>5413</v>
      </c>
      <c r="D2084" s="7" t="s">
        <v>17</v>
      </c>
      <c r="E2084" s="7" t="s">
        <v>11</v>
      </c>
      <c r="F2084" s="7" t="s">
        <v>18</v>
      </c>
      <c r="G2084" s="7" t="s">
        <v>19</v>
      </c>
      <c r="H2084" s="7" t="s">
        <v>5207</v>
      </c>
      <c r="I2084" s="8" t="s">
        <v>5242</v>
      </c>
    </row>
    <row r="2085" spans="1:9" x14ac:dyDescent="0.35">
      <c r="A2085" s="6">
        <v>2563248</v>
      </c>
      <c r="B2085" s="7" t="str">
        <f>"3604090101790008"</f>
        <v>3604090101790008</v>
      </c>
      <c r="C2085" s="7" t="s">
        <v>5416</v>
      </c>
      <c r="D2085" s="7" t="s">
        <v>17</v>
      </c>
      <c r="E2085" s="7" t="s">
        <v>11</v>
      </c>
      <c r="F2085" s="7" t="s">
        <v>18</v>
      </c>
      <c r="G2085" s="7" t="s">
        <v>19</v>
      </c>
      <c r="H2085" s="7" t="s">
        <v>5207</v>
      </c>
      <c r="I2085" s="8" t="s">
        <v>5239</v>
      </c>
    </row>
    <row r="2086" spans="1:9" x14ac:dyDescent="0.35">
      <c r="A2086" s="6">
        <v>2562587</v>
      </c>
      <c r="B2086" s="7" t="str">
        <f>"3671061811860009"</f>
        <v>3671061811860009</v>
      </c>
      <c r="C2086" s="7" t="s">
        <v>5417</v>
      </c>
      <c r="D2086" s="7" t="s">
        <v>17</v>
      </c>
      <c r="E2086" s="7" t="s">
        <v>11</v>
      </c>
      <c r="F2086" s="7" t="s">
        <v>18</v>
      </c>
      <c r="G2086" s="7" t="s">
        <v>19</v>
      </c>
      <c r="H2086" s="7" t="s">
        <v>5207</v>
      </c>
      <c r="I2086" s="8" t="s">
        <v>674</v>
      </c>
    </row>
    <row r="2087" spans="1:9" x14ac:dyDescent="0.35">
      <c r="A2087" s="6">
        <v>2564062</v>
      </c>
      <c r="B2087" s="7" t="str">
        <f>"3174050102761001"</f>
        <v>3174050102761001</v>
      </c>
      <c r="C2087" s="7" t="s">
        <v>5418</v>
      </c>
      <c r="D2087" s="7" t="s">
        <v>17</v>
      </c>
      <c r="E2087" s="7" t="s">
        <v>11</v>
      </c>
      <c r="F2087" s="7" t="s">
        <v>18</v>
      </c>
      <c r="G2087" s="7" t="s">
        <v>19</v>
      </c>
      <c r="H2087" s="7" t="s">
        <v>4754</v>
      </c>
      <c r="I2087" s="8" t="s">
        <v>3958</v>
      </c>
    </row>
    <row r="2088" spans="1:9" x14ac:dyDescent="0.35">
      <c r="A2088" s="6">
        <v>2564451</v>
      </c>
      <c r="B2088" s="7" t="str">
        <f>"3175015003950003"</f>
        <v>3175015003950003</v>
      </c>
      <c r="C2088" s="7" t="s">
        <v>5419</v>
      </c>
      <c r="D2088" s="7" t="s">
        <v>17</v>
      </c>
      <c r="E2088" s="7" t="s">
        <v>11</v>
      </c>
      <c r="F2088" s="7" t="s">
        <v>18</v>
      </c>
      <c r="G2088" s="7" t="s">
        <v>19</v>
      </c>
      <c r="H2088" s="7" t="s">
        <v>4754</v>
      </c>
      <c r="I2088" s="8" t="s">
        <v>5421</v>
      </c>
    </row>
    <row r="2089" spans="1:9" x14ac:dyDescent="0.35">
      <c r="A2089" s="6">
        <v>2564206</v>
      </c>
      <c r="B2089" s="7" t="str">
        <f>"3175061709721001"</f>
        <v>3175061709721001</v>
      </c>
      <c r="C2089" s="7" t="s">
        <v>5422</v>
      </c>
      <c r="D2089" s="7" t="s">
        <v>17</v>
      </c>
      <c r="E2089" s="7" t="s">
        <v>11</v>
      </c>
      <c r="F2089" s="7" t="s">
        <v>18</v>
      </c>
      <c r="G2089" s="7" t="s">
        <v>19</v>
      </c>
      <c r="H2089" s="7" t="s">
        <v>4754</v>
      </c>
      <c r="I2089" s="8" t="s">
        <v>4754</v>
      </c>
    </row>
    <row r="2090" spans="1:9" x14ac:dyDescent="0.35">
      <c r="A2090" s="6">
        <v>2564246</v>
      </c>
      <c r="B2090" s="7" t="str">
        <f>"3203195501890004"</f>
        <v>3203195501890004</v>
      </c>
      <c r="C2090" s="7" t="s">
        <v>5424</v>
      </c>
      <c r="D2090" s="7" t="s">
        <v>17</v>
      </c>
      <c r="E2090" s="7" t="s">
        <v>11</v>
      </c>
      <c r="F2090" s="7" t="s">
        <v>18</v>
      </c>
      <c r="G2090" s="7" t="s">
        <v>19</v>
      </c>
      <c r="H2090" s="7" t="s">
        <v>4754</v>
      </c>
      <c r="I2090" s="8" t="s">
        <v>4754</v>
      </c>
    </row>
    <row r="2091" spans="1:9" x14ac:dyDescent="0.35">
      <c r="A2091" s="6">
        <v>1449916</v>
      </c>
      <c r="B2091" s="7" t="str">
        <f>"3206260203750004"</f>
        <v>3206260203750004</v>
      </c>
      <c r="C2091" s="7" t="s">
        <v>5427</v>
      </c>
      <c r="D2091" s="7" t="s">
        <v>17</v>
      </c>
      <c r="E2091" s="7" t="s">
        <v>11</v>
      </c>
      <c r="F2091" s="7" t="s">
        <v>91</v>
      </c>
      <c r="G2091" s="7" t="s">
        <v>1300</v>
      </c>
      <c r="H2091" s="7" t="s">
        <v>1835</v>
      </c>
      <c r="I2091" s="8" t="s">
        <v>5428</v>
      </c>
    </row>
    <row r="2092" spans="1:9" x14ac:dyDescent="0.35">
      <c r="A2092" s="6">
        <v>2565078</v>
      </c>
      <c r="B2092" s="7" t="str">
        <f>"3206260211960004"</f>
        <v>3206260211960004</v>
      </c>
      <c r="C2092" s="7" t="s">
        <v>5429</v>
      </c>
      <c r="D2092" s="7" t="s">
        <v>17</v>
      </c>
      <c r="E2092" s="7" t="s">
        <v>11</v>
      </c>
      <c r="F2092" s="7" t="s">
        <v>18</v>
      </c>
      <c r="G2092" s="7" t="s">
        <v>19</v>
      </c>
      <c r="H2092" s="7" t="s">
        <v>4754</v>
      </c>
      <c r="I2092" s="8" t="s">
        <v>5426</v>
      </c>
    </row>
    <row r="2093" spans="1:9" x14ac:dyDescent="0.35">
      <c r="A2093" s="6">
        <v>2565139</v>
      </c>
      <c r="B2093" s="7" t="str">
        <f>"3208101603840005"</f>
        <v>3208101603840005</v>
      </c>
      <c r="C2093" s="7" t="s">
        <v>5431</v>
      </c>
      <c r="D2093" s="7" t="s">
        <v>17</v>
      </c>
      <c r="E2093" s="7" t="s">
        <v>11</v>
      </c>
      <c r="F2093" s="7" t="s">
        <v>18</v>
      </c>
      <c r="G2093" s="7" t="s">
        <v>19</v>
      </c>
      <c r="H2093" s="7" t="s">
        <v>4754</v>
      </c>
      <c r="I2093" s="8" t="s">
        <v>5426</v>
      </c>
    </row>
    <row r="2094" spans="1:9" x14ac:dyDescent="0.35">
      <c r="A2094" s="6">
        <v>2565140</v>
      </c>
      <c r="B2094" s="7" t="str">
        <f>"3208104901890006"</f>
        <v>3208104901890006</v>
      </c>
      <c r="C2094" s="7" t="s">
        <v>5432</v>
      </c>
      <c r="D2094" s="7" t="s">
        <v>17</v>
      </c>
      <c r="E2094" s="7" t="s">
        <v>11</v>
      </c>
      <c r="F2094" s="7" t="s">
        <v>18</v>
      </c>
      <c r="G2094" s="7" t="s">
        <v>19</v>
      </c>
      <c r="H2094" s="7" t="s">
        <v>4754</v>
      </c>
      <c r="I2094" s="8" t="s">
        <v>5426</v>
      </c>
    </row>
    <row r="2095" spans="1:9" x14ac:dyDescent="0.35">
      <c r="A2095" s="6">
        <v>2564228</v>
      </c>
      <c r="B2095" s="7" t="str">
        <f>"3209341208900002"</f>
        <v>3209341208900002</v>
      </c>
      <c r="C2095" s="7" t="s">
        <v>5433</v>
      </c>
      <c r="D2095" s="7" t="s">
        <v>17</v>
      </c>
      <c r="E2095" s="7" t="s">
        <v>11</v>
      </c>
      <c r="F2095" s="7" t="s">
        <v>18</v>
      </c>
      <c r="G2095" s="7" t="s">
        <v>19</v>
      </c>
      <c r="H2095" s="7" t="s">
        <v>4754</v>
      </c>
      <c r="I2095" s="8" t="s">
        <v>4754</v>
      </c>
    </row>
    <row r="2096" spans="1:9" x14ac:dyDescent="0.35">
      <c r="A2096" s="6">
        <v>2564229</v>
      </c>
      <c r="B2096" s="7" t="str">
        <f>"3209345704920001"</f>
        <v>3209345704920001</v>
      </c>
      <c r="C2096" s="7" t="s">
        <v>5436</v>
      </c>
      <c r="D2096" s="7" t="s">
        <v>17</v>
      </c>
      <c r="E2096" s="7" t="s">
        <v>11</v>
      </c>
      <c r="F2096" s="7" t="s">
        <v>18</v>
      </c>
      <c r="G2096" s="7" t="s">
        <v>19</v>
      </c>
      <c r="H2096" s="7" t="s">
        <v>4754</v>
      </c>
      <c r="I2096" s="8" t="s">
        <v>4754</v>
      </c>
    </row>
    <row r="2097" spans="1:9" x14ac:dyDescent="0.35">
      <c r="A2097" s="6">
        <v>2564490</v>
      </c>
      <c r="B2097" s="7" t="str">
        <f>"3216110510930004"</f>
        <v>3216110510930004</v>
      </c>
      <c r="C2097" s="7" t="s">
        <v>5437</v>
      </c>
      <c r="D2097" s="7" t="s">
        <v>17</v>
      </c>
      <c r="E2097" s="7" t="s">
        <v>11</v>
      </c>
      <c r="F2097" s="7" t="s">
        <v>18</v>
      </c>
      <c r="G2097" s="7" t="s">
        <v>19</v>
      </c>
      <c r="H2097" s="7" t="s">
        <v>4754</v>
      </c>
      <c r="I2097" s="8" t="s">
        <v>5421</v>
      </c>
    </row>
    <row r="2098" spans="1:9" x14ac:dyDescent="0.35">
      <c r="A2098" s="6">
        <v>2565018</v>
      </c>
      <c r="B2098" s="7" t="str">
        <f>"3275080704840026"</f>
        <v>3275080704840026</v>
      </c>
      <c r="C2098" s="7" t="s">
        <v>1618</v>
      </c>
      <c r="D2098" s="7" t="s">
        <v>17</v>
      </c>
      <c r="E2098" s="7" t="s">
        <v>11</v>
      </c>
      <c r="F2098" s="7" t="s">
        <v>18</v>
      </c>
      <c r="G2098" s="7" t="s">
        <v>19</v>
      </c>
      <c r="H2098" s="7" t="s">
        <v>4754</v>
      </c>
      <c r="I2098" s="8" t="s">
        <v>5438</v>
      </c>
    </row>
    <row r="2099" spans="1:9" x14ac:dyDescent="0.35">
      <c r="A2099" s="6">
        <v>373153</v>
      </c>
      <c r="B2099" s="7" t="str">
        <f>"3305031903870004"</f>
        <v>3305031903870004</v>
      </c>
      <c r="C2099" s="7" t="s">
        <v>3276</v>
      </c>
      <c r="D2099" s="7" t="s">
        <v>17</v>
      </c>
      <c r="E2099" s="7" t="s">
        <v>11</v>
      </c>
      <c r="F2099" s="7" t="s">
        <v>18</v>
      </c>
      <c r="G2099" s="7" t="s">
        <v>171</v>
      </c>
      <c r="H2099" s="7" t="s">
        <v>1427</v>
      </c>
      <c r="I2099" s="8" t="s">
        <v>5439</v>
      </c>
    </row>
    <row r="2100" spans="1:9" x14ac:dyDescent="0.35">
      <c r="A2100" s="6">
        <v>2564586</v>
      </c>
      <c r="B2100" s="7" t="str">
        <f>"3305031903870004"</f>
        <v>3305031903870004</v>
      </c>
      <c r="C2100" s="7" t="s">
        <v>3276</v>
      </c>
      <c r="D2100" s="7" t="s">
        <v>17</v>
      </c>
      <c r="E2100" s="7" t="s">
        <v>11</v>
      </c>
      <c r="F2100" s="7" t="s">
        <v>18</v>
      </c>
      <c r="G2100" s="7" t="s">
        <v>19</v>
      </c>
      <c r="H2100" s="7" t="s">
        <v>4754</v>
      </c>
      <c r="I2100" s="8" t="s">
        <v>5440</v>
      </c>
    </row>
    <row r="2101" spans="1:9" x14ac:dyDescent="0.35">
      <c r="A2101" s="6">
        <v>1100211</v>
      </c>
      <c r="B2101" s="7" t="str">
        <f>"3305044311940002"</f>
        <v>3305044311940002</v>
      </c>
      <c r="C2101" s="7" t="s">
        <v>5441</v>
      </c>
      <c r="D2101" s="7" t="s">
        <v>17</v>
      </c>
      <c r="E2101" s="7" t="s">
        <v>11</v>
      </c>
      <c r="F2101" s="7" t="s">
        <v>18</v>
      </c>
      <c r="G2101" s="7" t="s">
        <v>171</v>
      </c>
      <c r="H2101" s="7" t="s">
        <v>5443</v>
      </c>
      <c r="I2101" s="8" t="s">
        <v>5444</v>
      </c>
    </row>
    <row r="2102" spans="1:9" x14ac:dyDescent="0.35">
      <c r="A2102" s="6">
        <v>1385197</v>
      </c>
      <c r="B2102" s="7" t="str">
        <f>"3311015506870002"</f>
        <v>3311015506870002</v>
      </c>
      <c r="C2102" s="7" t="s">
        <v>5445</v>
      </c>
      <c r="D2102" s="7" t="s">
        <v>17</v>
      </c>
      <c r="E2102" s="7" t="s">
        <v>11</v>
      </c>
      <c r="F2102" s="7" t="s">
        <v>50</v>
      </c>
      <c r="G2102" s="7" t="s">
        <v>51</v>
      </c>
      <c r="H2102" s="7" t="s">
        <v>52</v>
      </c>
      <c r="I2102" s="8" t="s">
        <v>52</v>
      </c>
    </row>
    <row r="2103" spans="1:9" x14ac:dyDescent="0.35">
      <c r="A2103" s="6">
        <v>2564267</v>
      </c>
      <c r="B2103" s="7" t="str">
        <f>"3315047004940004"</f>
        <v>3315047004940004</v>
      </c>
      <c r="C2103" s="7" t="s">
        <v>781</v>
      </c>
      <c r="D2103" s="7" t="s">
        <v>17</v>
      </c>
      <c r="E2103" s="7" t="s">
        <v>11</v>
      </c>
      <c r="F2103" s="7" t="s">
        <v>18</v>
      </c>
      <c r="G2103" s="7" t="s">
        <v>19</v>
      </c>
      <c r="H2103" s="7" t="s">
        <v>4754</v>
      </c>
      <c r="I2103" s="8" t="s">
        <v>4754</v>
      </c>
    </row>
    <row r="2104" spans="1:9" x14ac:dyDescent="0.35">
      <c r="A2104" s="6">
        <v>2564324</v>
      </c>
      <c r="B2104" s="7" t="str">
        <f>"3315171212960006"</f>
        <v>3315171212960006</v>
      </c>
      <c r="C2104" s="7" t="s">
        <v>5447</v>
      </c>
      <c r="D2104" s="7" t="s">
        <v>17</v>
      </c>
      <c r="E2104" s="7" t="s">
        <v>11</v>
      </c>
      <c r="F2104" s="7" t="s">
        <v>18</v>
      </c>
      <c r="G2104" s="7" t="s">
        <v>19</v>
      </c>
      <c r="H2104" s="7" t="s">
        <v>4754</v>
      </c>
      <c r="I2104" s="8" t="s">
        <v>4754</v>
      </c>
    </row>
    <row r="2105" spans="1:9" x14ac:dyDescent="0.35">
      <c r="A2105" s="6">
        <v>1546197</v>
      </c>
      <c r="B2105" s="7" t="str">
        <f>"3326031906860001"</f>
        <v>3326031906860001</v>
      </c>
      <c r="C2105" s="7" t="s">
        <v>5450</v>
      </c>
      <c r="D2105" s="7" t="s">
        <v>17</v>
      </c>
      <c r="E2105" s="7" t="s">
        <v>11</v>
      </c>
      <c r="F2105" s="7" t="s">
        <v>18</v>
      </c>
      <c r="G2105" s="7" t="s">
        <v>195</v>
      </c>
      <c r="H2105" s="7" t="s">
        <v>4132</v>
      </c>
      <c r="I2105" s="8" t="s">
        <v>4132</v>
      </c>
    </row>
    <row r="2106" spans="1:9" x14ac:dyDescent="0.35">
      <c r="A2106" s="6">
        <v>1557063</v>
      </c>
      <c r="B2106" s="7" t="str">
        <f>"3326090810870004"</f>
        <v>3326090810870004</v>
      </c>
      <c r="C2106" s="7" t="s">
        <v>5451</v>
      </c>
      <c r="D2106" s="7" t="s">
        <v>17</v>
      </c>
      <c r="E2106" s="7" t="s">
        <v>11</v>
      </c>
      <c r="F2106" s="7" t="s">
        <v>18</v>
      </c>
      <c r="G2106" s="7" t="s">
        <v>195</v>
      </c>
      <c r="H2106" s="7" t="s">
        <v>196</v>
      </c>
      <c r="I2106" s="8" t="s">
        <v>5452</v>
      </c>
    </row>
    <row r="2107" spans="1:9" x14ac:dyDescent="0.35">
      <c r="A2107" s="6">
        <v>2564306</v>
      </c>
      <c r="B2107" s="7" t="str">
        <f>"3326115009940002"</f>
        <v>3326115009940002</v>
      </c>
      <c r="C2107" s="7" t="s">
        <v>5453</v>
      </c>
      <c r="D2107" s="7" t="s">
        <v>17</v>
      </c>
      <c r="E2107" s="7" t="s">
        <v>11</v>
      </c>
      <c r="F2107" s="7" t="s">
        <v>18</v>
      </c>
      <c r="G2107" s="7" t="s">
        <v>19</v>
      </c>
      <c r="H2107" s="7" t="s">
        <v>4754</v>
      </c>
      <c r="I2107" s="8" t="s">
        <v>4754</v>
      </c>
    </row>
    <row r="2108" spans="1:9" x14ac:dyDescent="0.35">
      <c r="A2108" s="6">
        <v>2564344</v>
      </c>
      <c r="B2108" s="7" t="str">
        <f>"3327076611940001"</f>
        <v>3327076611940001</v>
      </c>
      <c r="C2108" s="7" t="s">
        <v>5455</v>
      </c>
      <c r="D2108" s="7" t="s">
        <v>17</v>
      </c>
      <c r="E2108" s="7" t="s">
        <v>11</v>
      </c>
      <c r="F2108" s="7" t="s">
        <v>18</v>
      </c>
      <c r="G2108" s="7" t="s">
        <v>19</v>
      </c>
      <c r="H2108" s="7" t="s">
        <v>4754</v>
      </c>
      <c r="I2108" s="8" t="s">
        <v>5421</v>
      </c>
    </row>
    <row r="2109" spans="1:9" x14ac:dyDescent="0.35">
      <c r="A2109" s="6">
        <v>2647327</v>
      </c>
      <c r="B2109" s="7" t="str">
        <f>"3327080510700061"</f>
        <v>3327080510700061</v>
      </c>
      <c r="C2109" s="7" t="s">
        <v>5456</v>
      </c>
      <c r="D2109" s="7" t="s">
        <v>17</v>
      </c>
      <c r="E2109" s="7" t="s">
        <v>11</v>
      </c>
      <c r="F2109" s="7" t="s">
        <v>18</v>
      </c>
      <c r="G2109" s="7" t="s">
        <v>199</v>
      </c>
      <c r="H2109" s="7" t="s">
        <v>199</v>
      </c>
      <c r="I2109" s="8" t="s">
        <v>5457</v>
      </c>
    </row>
    <row r="2110" spans="1:9" x14ac:dyDescent="0.35">
      <c r="A2110" s="6">
        <v>2564065</v>
      </c>
      <c r="B2110" s="7" t="str">
        <f>"3328170102990001"</f>
        <v>3328170102990001</v>
      </c>
      <c r="C2110" s="7" t="s">
        <v>5465</v>
      </c>
      <c r="D2110" s="7" t="s">
        <v>17</v>
      </c>
      <c r="E2110" s="7" t="s">
        <v>11</v>
      </c>
      <c r="F2110" s="7" t="s">
        <v>18</v>
      </c>
      <c r="G2110" s="7" t="s">
        <v>19</v>
      </c>
      <c r="H2110" s="7" t="s">
        <v>4754</v>
      </c>
      <c r="I2110" s="8" t="s">
        <v>3958</v>
      </c>
    </row>
    <row r="2111" spans="1:9" x14ac:dyDescent="0.35">
      <c r="A2111" s="6">
        <v>2564356</v>
      </c>
      <c r="B2111" s="7" t="str">
        <f>"3328170411050003"</f>
        <v>3328170411050003</v>
      </c>
      <c r="C2111" s="7" t="s">
        <v>5471</v>
      </c>
      <c r="D2111" s="7" t="s">
        <v>17</v>
      </c>
      <c r="E2111" s="7" t="s">
        <v>11</v>
      </c>
      <c r="F2111" s="7" t="s">
        <v>18</v>
      </c>
      <c r="G2111" s="7" t="s">
        <v>19</v>
      </c>
      <c r="H2111" s="7" t="s">
        <v>4754</v>
      </c>
      <c r="I2111" s="8" t="s">
        <v>5421</v>
      </c>
    </row>
    <row r="2112" spans="1:9" x14ac:dyDescent="0.35">
      <c r="A2112" s="6">
        <v>2564348</v>
      </c>
      <c r="B2112" s="7" t="str">
        <f>"3328170602870002"</f>
        <v>3328170602870002</v>
      </c>
      <c r="C2112" s="7" t="s">
        <v>3793</v>
      </c>
      <c r="D2112" s="7" t="s">
        <v>17</v>
      </c>
      <c r="E2112" s="7" t="s">
        <v>11</v>
      </c>
      <c r="F2112" s="7" t="s">
        <v>18</v>
      </c>
      <c r="G2112" s="7" t="s">
        <v>19</v>
      </c>
      <c r="H2112" s="7" t="s">
        <v>4754</v>
      </c>
      <c r="I2112" s="8" t="s">
        <v>5421</v>
      </c>
    </row>
    <row r="2113" spans="1:9" x14ac:dyDescent="0.35">
      <c r="A2113" s="6">
        <v>2564376</v>
      </c>
      <c r="B2113" s="7" t="str">
        <f>"3328170603820004"</f>
        <v>3328170603820004</v>
      </c>
      <c r="C2113" s="7" t="s">
        <v>5472</v>
      </c>
      <c r="D2113" s="7" t="s">
        <v>17</v>
      </c>
      <c r="E2113" s="7" t="s">
        <v>11</v>
      </c>
      <c r="F2113" s="7" t="s">
        <v>18</v>
      </c>
      <c r="G2113" s="7" t="s">
        <v>19</v>
      </c>
      <c r="H2113" s="7" t="s">
        <v>4754</v>
      </c>
      <c r="I2113" s="8" t="s">
        <v>5421</v>
      </c>
    </row>
    <row r="2114" spans="1:9" x14ac:dyDescent="0.35">
      <c r="A2114" s="6">
        <v>3088696</v>
      </c>
      <c r="B2114" s="7" t="str">
        <f>"3328170606970006"</f>
        <v>3328170606970006</v>
      </c>
      <c r="C2114" s="7" t="s">
        <v>5475</v>
      </c>
      <c r="D2114" s="7" t="s">
        <v>17</v>
      </c>
      <c r="E2114" s="7" t="s">
        <v>11</v>
      </c>
      <c r="F2114" s="7" t="s">
        <v>18</v>
      </c>
      <c r="G2114" s="7" t="s">
        <v>163</v>
      </c>
      <c r="H2114" s="7" t="s">
        <v>509</v>
      </c>
      <c r="I2114" s="8" t="s">
        <v>353</v>
      </c>
    </row>
    <row r="2115" spans="1:9" x14ac:dyDescent="0.35">
      <c r="A2115" s="6">
        <v>2564425</v>
      </c>
      <c r="B2115" s="7" t="str">
        <f>"3328170704830002"</f>
        <v>3328170704830002</v>
      </c>
      <c r="C2115" s="7" t="s">
        <v>5479</v>
      </c>
      <c r="D2115" s="7" t="s">
        <v>17</v>
      </c>
      <c r="E2115" s="7" t="s">
        <v>11</v>
      </c>
      <c r="F2115" s="7" t="s">
        <v>18</v>
      </c>
      <c r="G2115" s="7" t="s">
        <v>19</v>
      </c>
      <c r="H2115" s="7" t="s">
        <v>4754</v>
      </c>
      <c r="I2115" s="8" t="s">
        <v>5421</v>
      </c>
    </row>
    <row r="2116" spans="1:9" x14ac:dyDescent="0.35">
      <c r="A2116" s="6">
        <v>1918470</v>
      </c>
      <c r="B2116" s="7" t="str">
        <f>"3328170909920002"</f>
        <v>3328170909920002</v>
      </c>
      <c r="C2116" s="7" t="s">
        <v>5486</v>
      </c>
      <c r="D2116" s="7" t="s">
        <v>17</v>
      </c>
      <c r="E2116" s="7" t="s">
        <v>11</v>
      </c>
      <c r="F2116" s="7" t="s">
        <v>91</v>
      </c>
      <c r="G2116" s="7" t="s">
        <v>320</v>
      </c>
      <c r="H2116" s="7" t="s">
        <v>5487</v>
      </c>
      <c r="I2116" s="8" t="s">
        <v>5488</v>
      </c>
    </row>
    <row r="2117" spans="1:9" x14ac:dyDescent="0.35">
      <c r="A2117" s="6">
        <v>386463</v>
      </c>
      <c r="B2117" s="7" t="str">
        <f>"3328171105960001"</f>
        <v>3328171105960001</v>
      </c>
      <c r="C2117" s="7" t="s">
        <v>5491</v>
      </c>
      <c r="D2117" s="7" t="s">
        <v>17</v>
      </c>
      <c r="E2117" s="7" t="s">
        <v>11</v>
      </c>
      <c r="F2117" s="7" t="s">
        <v>232</v>
      </c>
      <c r="G2117" s="7" t="s">
        <v>3300</v>
      </c>
      <c r="H2117" s="7" t="s">
        <v>5492</v>
      </c>
      <c r="I2117" s="8" t="s">
        <v>5493</v>
      </c>
    </row>
    <row r="2118" spans="1:9" x14ac:dyDescent="0.35">
      <c r="A2118" s="6">
        <v>2564305</v>
      </c>
      <c r="B2118" s="7" t="str">
        <f>"3328171109900002"</f>
        <v>3328171109900002</v>
      </c>
      <c r="C2118" s="7" t="s">
        <v>1199</v>
      </c>
      <c r="D2118" s="7" t="s">
        <v>17</v>
      </c>
      <c r="E2118" s="7" t="s">
        <v>11</v>
      </c>
      <c r="F2118" s="7" t="s">
        <v>18</v>
      </c>
      <c r="G2118" s="7" t="s">
        <v>19</v>
      </c>
      <c r="H2118" s="7" t="s">
        <v>4754</v>
      </c>
      <c r="I2118" s="8" t="s">
        <v>4754</v>
      </c>
    </row>
    <row r="2119" spans="1:9" x14ac:dyDescent="0.35">
      <c r="A2119" s="6">
        <v>1894274</v>
      </c>
      <c r="B2119" s="7" t="str">
        <f>"3328171202960002"</f>
        <v>3328171202960002</v>
      </c>
      <c r="C2119" s="7" t="s">
        <v>5498</v>
      </c>
      <c r="D2119" s="7" t="s">
        <v>17</v>
      </c>
      <c r="E2119" s="7" t="s">
        <v>11</v>
      </c>
      <c r="F2119" s="7" t="s">
        <v>91</v>
      </c>
      <c r="G2119" s="7" t="s">
        <v>320</v>
      </c>
      <c r="H2119" s="7" t="s">
        <v>964</v>
      </c>
      <c r="I2119" s="8" t="s">
        <v>361</v>
      </c>
    </row>
    <row r="2120" spans="1:9" x14ac:dyDescent="0.35">
      <c r="A2120" s="6">
        <v>2565072</v>
      </c>
      <c r="B2120" s="7" t="str">
        <f>"3328171602920001"</f>
        <v>3328171602920001</v>
      </c>
      <c r="C2120" s="7" t="s">
        <v>5502</v>
      </c>
      <c r="D2120" s="7" t="s">
        <v>17</v>
      </c>
      <c r="E2120" s="7" t="s">
        <v>11</v>
      </c>
      <c r="F2120" s="7" t="s">
        <v>18</v>
      </c>
      <c r="G2120" s="7" t="s">
        <v>19</v>
      </c>
      <c r="H2120" s="7" t="s">
        <v>4754</v>
      </c>
      <c r="I2120" s="8" t="s">
        <v>5426</v>
      </c>
    </row>
    <row r="2121" spans="1:9" x14ac:dyDescent="0.35">
      <c r="A2121" s="6">
        <v>1694687</v>
      </c>
      <c r="B2121" s="7" t="str">
        <f>"3328171605910004"</f>
        <v>3328171605910004</v>
      </c>
      <c r="C2121" s="7" t="s">
        <v>5503</v>
      </c>
      <c r="D2121" s="7" t="s">
        <v>17</v>
      </c>
      <c r="E2121" s="7" t="s">
        <v>11</v>
      </c>
      <c r="F2121" s="7" t="s">
        <v>18</v>
      </c>
      <c r="G2121" s="7" t="s">
        <v>264</v>
      </c>
      <c r="H2121" s="7" t="s">
        <v>273</v>
      </c>
      <c r="I2121" s="8" t="s">
        <v>2080</v>
      </c>
    </row>
    <row r="2122" spans="1:9" x14ac:dyDescent="0.35">
      <c r="A2122" s="6">
        <v>636290</v>
      </c>
      <c r="B2122" s="7" t="str">
        <f>"3328171805060008"</f>
        <v>3328171805060008</v>
      </c>
      <c r="C2122" s="7" t="s">
        <v>5506</v>
      </c>
      <c r="D2122" s="7" t="s">
        <v>17</v>
      </c>
      <c r="E2122" s="7" t="s">
        <v>57</v>
      </c>
      <c r="F2122" s="7" t="s">
        <v>18</v>
      </c>
      <c r="G2122" s="7" t="s">
        <v>190</v>
      </c>
      <c r="H2122" s="7" t="s">
        <v>1497</v>
      </c>
      <c r="I2122" s="8" t="s">
        <v>1498</v>
      </c>
    </row>
    <row r="2123" spans="1:9" x14ac:dyDescent="0.35">
      <c r="A2123" s="6">
        <v>1642354</v>
      </c>
      <c r="B2123" s="7" t="str">
        <f>"3328171805820003"</f>
        <v>3328171805820003</v>
      </c>
      <c r="C2123" s="7" t="s">
        <v>2052</v>
      </c>
      <c r="D2123" s="7" t="s">
        <v>17</v>
      </c>
      <c r="E2123" s="7" t="s">
        <v>11</v>
      </c>
      <c r="F2123" s="7" t="s">
        <v>18</v>
      </c>
      <c r="G2123" s="7" t="s">
        <v>264</v>
      </c>
      <c r="H2123" s="7" t="s">
        <v>773</v>
      </c>
      <c r="I2123" s="8" t="s">
        <v>5507</v>
      </c>
    </row>
    <row r="2124" spans="1:9" x14ac:dyDescent="0.35">
      <c r="A2124" s="6">
        <v>2564652</v>
      </c>
      <c r="B2124" s="7" t="str">
        <f>"3328171808960001"</f>
        <v>3328171808960001</v>
      </c>
      <c r="C2124" s="7" t="s">
        <v>5509</v>
      </c>
      <c r="D2124" s="7" t="s">
        <v>17</v>
      </c>
      <c r="E2124" s="7" t="s">
        <v>11</v>
      </c>
      <c r="F2124" s="7" t="s">
        <v>18</v>
      </c>
      <c r="G2124" s="7" t="s">
        <v>19</v>
      </c>
      <c r="H2124" s="7" t="s">
        <v>4754</v>
      </c>
      <c r="I2124" s="8" t="s">
        <v>5481</v>
      </c>
    </row>
    <row r="2125" spans="1:9" x14ac:dyDescent="0.35">
      <c r="A2125" s="6">
        <v>2564343</v>
      </c>
      <c r="B2125" s="7" t="str">
        <f>"3328171905890001"</f>
        <v>3328171905890001</v>
      </c>
      <c r="C2125" s="7" t="s">
        <v>5511</v>
      </c>
      <c r="D2125" s="7" t="s">
        <v>17</v>
      </c>
      <c r="E2125" s="7" t="s">
        <v>11</v>
      </c>
      <c r="F2125" s="7" t="s">
        <v>18</v>
      </c>
      <c r="G2125" s="7" t="s">
        <v>19</v>
      </c>
      <c r="H2125" s="7" t="s">
        <v>4754</v>
      </c>
      <c r="I2125" s="8" t="s">
        <v>5421</v>
      </c>
    </row>
    <row r="2126" spans="1:9" x14ac:dyDescent="0.35">
      <c r="A2126" s="6">
        <v>2645632</v>
      </c>
      <c r="B2126" s="7" t="str">
        <f>"3328172111940003"</f>
        <v>3328172111940003</v>
      </c>
      <c r="C2126" s="7" t="s">
        <v>3659</v>
      </c>
      <c r="D2126" s="7" t="s">
        <v>17</v>
      </c>
      <c r="E2126" s="7" t="s">
        <v>11</v>
      </c>
      <c r="F2126" s="7" t="s">
        <v>18</v>
      </c>
      <c r="G2126" s="7" t="s">
        <v>199</v>
      </c>
      <c r="H2126" s="7" t="s">
        <v>208</v>
      </c>
      <c r="I2126" s="8" t="s">
        <v>5515</v>
      </c>
    </row>
    <row r="2127" spans="1:9" x14ac:dyDescent="0.35">
      <c r="A2127" s="6">
        <v>421635</v>
      </c>
      <c r="B2127" s="7" t="str">
        <f>"3328172310000004"</f>
        <v>3328172310000004</v>
      </c>
      <c r="C2127" s="7" t="s">
        <v>5519</v>
      </c>
      <c r="D2127" s="7" t="s">
        <v>17</v>
      </c>
      <c r="E2127" s="7" t="s">
        <v>11</v>
      </c>
      <c r="F2127" s="7" t="s">
        <v>18</v>
      </c>
      <c r="G2127" s="7" t="s">
        <v>268</v>
      </c>
      <c r="H2127" s="7" t="s">
        <v>371</v>
      </c>
      <c r="I2127" s="8" t="s">
        <v>2772</v>
      </c>
    </row>
    <row r="2128" spans="1:9" x14ac:dyDescent="0.35">
      <c r="A2128" s="6">
        <v>2564979</v>
      </c>
      <c r="B2128" s="7" t="str">
        <f>"3328172405880003"</f>
        <v>3328172405880003</v>
      </c>
      <c r="C2128" s="7" t="s">
        <v>5520</v>
      </c>
      <c r="D2128" s="7" t="s">
        <v>17</v>
      </c>
      <c r="E2128" s="7" t="s">
        <v>11</v>
      </c>
      <c r="F2128" s="7" t="s">
        <v>18</v>
      </c>
      <c r="G2128" s="7" t="s">
        <v>19</v>
      </c>
      <c r="H2128" s="7" t="s">
        <v>4754</v>
      </c>
      <c r="I2128" s="8" t="s">
        <v>5438</v>
      </c>
    </row>
    <row r="2129" spans="1:9" x14ac:dyDescent="0.35">
      <c r="A2129" s="6">
        <v>815203</v>
      </c>
      <c r="B2129" s="7" t="str">
        <f>"3328172405880003"</f>
        <v>3328172405880003</v>
      </c>
      <c r="C2129" s="7" t="s">
        <v>5521</v>
      </c>
      <c r="D2129" s="7" t="s">
        <v>17</v>
      </c>
      <c r="E2129" s="7" t="s">
        <v>11</v>
      </c>
      <c r="F2129" s="7" t="s">
        <v>18</v>
      </c>
      <c r="G2129" s="7" t="s">
        <v>3495</v>
      </c>
      <c r="H2129" s="7" t="s">
        <v>5522</v>
      </c>
      <c r="I2129" s="8" t="s">
        <v>5523</v>
      </c>
    </row>
    <row r="2130" spans="1:9" x14ac:dyDescent="0.35">
      <c r="A2130" s="6">
        <v>850897</v>
      </c>
      <c r="B2130" s="7" t="str">
        <f>"3328172410840001"</f>
        <v>3328172410840001</v>
      </c>
      <c r="C2130" s="7" t="s">
        <v>5525</v>
      </c>
      <c r="D2130" s="7" t="s">
        <v>17</v>
      </c>
      <c r="E2130" s="7" t="s">
        <v>11</v>
      </c>
      <c r="F2130" s="7" t="s">
        <v>18</v>
      </c>
      <c r="G2130" s="7" t="s">
        <v>951</v>
      </c>
      <c r="H2130" s="7" t="s">
        <v>2651</v>
      </c>
      <c r="I2130" s="8" t="s">
        <v>375</v>
      </c>
    </row>
    <row r="2131" spans="1:9" x14ac:dyDescent="0.35">
      <c r="A2131" s="6">
        <v>2564448</v>
      </c>
      <c r="B2131" s="7" t="str">
        <f>"3328172705060002"</f>
        <v>3328172705060002</v>
      </c>
      <c r="C2131" s="7" t="s">
        <v>5527</v>
      </c>
      <c r="D2131" s="7" t="s">
        <v>17</v>
      </c>
      <c r="E2131" s="7" t="s">
        <v>11</v>
      </c>
      <c r="F2131" s="7" t="s">
        <v>18</v>
      </c>
      <c r="G2131" s="7" t="s">
        <v>19</v>
      </c>
      <c r="H2131" s="7" t="s">
        <v>4754</v>
      </c>
      <c r="I2131" s="8" t="s">
        <v>5421</v>
      </c>
    </row>
    <row r="2132" spans="1:9" x14ac:dyDescent="0.35">
      <c r="A2132" s="6">
        <v>1385198</v>
      </c>
      <c r="B2132" s="7" t="str">
        <f>"3328172908850007"</f>
        <v>3328172908850007</v>
      </c>
      <c r="C2132" s="7" t="s">
        <v>5528</v>
      </c>
      <c r="D2132" s="7" t="s">
        <v>17</v>
      </c>
      <c r="E2132" s="7" t="s">
        <v>11</v>
      </c>
      <c r="F2132" s="7" t="s">
        <v>50</v>
      </c>
      <c r="G2132" s="7" t="s">
        <v>51</v>
      </c>
      <c r="H2132" s="7" t="s">
        <v>52</v>
      </c>
      <c r="I2132" s="8" t="s">
        <v>52</v>
      </c>
    </row>
    <row r="2133" spans="1:9" x14ac:dyDescent="0.35">
      <c r="A2133" s="6">
        <v>1557062</v>
      </c>
      <c r="B2133" s="7" t="str">
        <f>"3328174107930039"</f>
        <v>3328174107930039</v>
      </c>
      <c r="C2133" s="7" t="s">
        <v>5533</v>
      </c>
      <c r="D2133" s="7" t="s">
        <v>17</v>
      </c>
      <c r="E2133" s="7" t="s">
        <v>11</v>
      </c>
      <c r="F2133" s="7" t="s">
        <v>18</v>
      </c>
      <c r="G2133" s="7" t="s">
        <v>195</v>
      </c>
      <c r="H2133" s="7" t="s">
        <v>196</v>
      </c>
      <c r="I2133" s="8" t="s">
        <v>5452</v>
      </c>
    </row>
    <row r="2134" spans="1:9" x14ac:dyDescent="0.35">
      <c r="A2134" s="6">
        <v>2660782</v>
      </c>
      <c r="B2134" s="7" t="str">
        <f>"3328174207920002"</f>
        <v>3328174207920002</v>
      </c>
      <c r="C2134" s="7" t="s">
        <v>2376</v>
      </c>
      <c r="D2134" s="7" t="s">
        <v>17</v>
      </c>
      <c r="E2134" s="7" t="s">
        <v>11</v>
      </c>
      <c r="F2134" s="7" t="s">
        <v>18</v>
      </c>
      <c r="G2134" s="7" t="s">
        <v>199</v>
      </c>
      <c r="H2134" s="7" t="s">
        <v>4400</v>
      </c>
      <c r="I2134" s="8" t="s">
        <v>5534</v>
      </c>
    </row>
    <row r="2135" spans="1:9" x14ac:dyDescent="0.35">
      <c r="A2135" s="6">
        <v>2564649</v>
      </c>
      <c r="B2135" s="7" t="str">
        <f>"3328174302990002"</f>
        <v>3328174302990002</v>
      </c>
      <c r="C2135" s="7" t="s">
        <v>5535</v>
      </c>
      <c r="D2135" s="7" t="s">
        <v>17</v>
      </c>
      <c r="E2135" s="7" t="s">
        <v>11</v>
      </c>
      <c r="F2135" s="7" t="s">
        <v>18</v>
      </c>
      <c r="G2135" s="7" t="s">
        <v>19</v>
      </c>
      <c r="H2135" s="7" t="s">
        <v>4754</v>
      </c>
      <c r="I2135" s="8" t="s">
        <v>5481</v>
      </c>
    </row>
    <row r="2136" spans="1:9" x14ac:dyDescent="0.35">
      <c r="A2136" s="6">
        <v>760803</v>
      </c>
      <c r="B2136" s="7" t="str">
        <f>"3328174705810007"</f>
        <v>3328174705810007</v>
      </c>
      <c r="C2136" s="7" t="s">
        <v>5538</v>
      </c>
      <c r="D2136" s="7" t="s">
        <v>17</v>
      </c>
      <c r="E2136" s="7" t="s">
        <v>11</v>
      </c>
      <c r="F2136" s="7" t="s">
        <v>379</v>
      </c>
      <c r="G2136" s="7" t="s">
        <v>711</v>
      </c>
      <c r="H2136" s="7" t="s">
        <v>718</v>
      </c>
      <c r="I2136" s="8" t="s">
        <v>3776</v>
      </c>
    </row>
    <row r="2137" spans="1:9" x14ac:dyDescent="0.35">
      <c r="A2137" s="6">
        <v>1958960</v>
      </c>
      <c r="B2137" s="7" t="str">
        <f>"3328175101920003"</f>
        <v>3328175101920003</v>
      </c>
      <c r="C2137" s="7" t="s">
        <v>5539</v>
      </c>
      <c r="D2137" s="7" t="s">
        <v>17</v>
      </c>
      <c r="E2137" s="7" t="s">
        <v>11</v>
      </c>
      <c r="F2137" s="7" t="s">
        <v>50</v>
      </c>
      <c r="G2137" s="7" t="s">
        <v>86</v>
      </c>
      <c r="H2137" s="7" t="s">
        <v>1268</v>
      </c>
      <c r="I2137" s="8" t="s">
        <v>2503</v>
      </c>
    </row>
    <row r="2138" spans="1:9" x14ac:dyDescent="0.35">
      <c r="A2138" s="6">
        <v>2564921</v>
      </c>
      <c r="B2138" s="7" t="str">
        <f>"3328175310010002"</f>
        <v>3328175310010002</v>
      </c>
      <c r="C2138" s="7" t="s">
        <v>5540</v>
      </c>
      <c r="D2138" s="7" t="s">
        <v>17</v>
      </c>
      <c r="E2138" s="7" t="s">
        <v>11</v>
      </c>
      <c r="F2138" s="7" t="s">
        <v>18</v>
      </c>
      <c r="G2138" s="7" t="s">
        <v>19</v>
      </c>
      <c r="H2138" s="7" t="s">
        <v>4754</v>
      </c>
      <c r="I2138" s="8" t="s">
        <v>4755</v>
      </c>
    </row>
    <row r="2139" spans="1:9" x14ac:dyDescent="0.35">
      <c r="A2139" s="6">
        <v>2564250</v>
      </c>
      <c r="B2139" s="7" t="str">
        <f>"3328175402780002"</f>
        <v>3328175402780002</v>
      </c>
      <c r="C2139" s="7" t="s">
        <v>5542</v>
      </c>
      <c r="D2139" s="7" t="s">
        <v>17</v>
      </c>
      <c r="E2139" s="7" t="s">
        <v>11</v>
      </c>
      <c r="F2139" s="7" t="s">
        <v>18</v>
      </c>
      <c r="G2139" s="7" t="s">
        <v>19</v>
      </c>
      <c r="H2139" s="7" t="s">
        <v>4754</v>
      </c>
      <c r="I2139" s="8" t="s">
        <v>4754</v>
      </c>
    </row>
    <row r="2140" spans="1:9" x14ac:dyDescent="0.35">
      <c r="A2140" s="6">
        <v>2564277</v>
      </c>
      <c r="B2140" s="7" t="str">
        <f>"3328175510950002"</f>
        <v>3328175510950002</v>
      </c>
      <c r="C2140" s="7" t="s">
        <v>5544</v>
      </c>
      <c r="D2140" s="7" t="s">
        <v>17</v>
      </c>
      <c r="E2140" s="7" t="s">
        <v>11</v>
      </c>
      <c r="F2140" s="7" t="s">
        <v>18</v>
      </c>
      <c r="G2140" s="7" t="s">
        <v>19</v>
      </c>
      <c r="H2140" s="7" t="s">
        <v>4754</v>
      </c>
      <c r="I2140" s="8" t="s">
        <v>4754</v>
      </c>
    </row>
    <row r="2141" spans="1:9" x14ac:dyDescent="0.35">
      <c r="A2141" s="6">
        <v>1804071</v>
      </c>
      <c r="B2141" s="7" t="str">
        <f>"3328175512720003"</f>
        <v>3328175512720003</v>
      </c>
      <c r="C2141" s="7" t="s">
        <v>5545</v>
      </c>
      <c r="D2141" s="7" t="s">
        <v>17</v>
      </c>
      <c r="E2141" s="7" t="s">
        <v>11</v>
      </c>
      <c r="F2141" s="7" t="s">
        <v>50</v>
      </c>
      <c r="G2141" s="7" t="s">
        <v>72</v>
      </c>
      <c r="H2141" s="7" t="s">
        <v>738</v>
      </c>
      <c r="I2141" s="8" t="s">
        <v>738</v>
      </c>
    </row>
    <row r="2142" spans="1:9" x14ac:dyDescent="0.35">
      <c r="A2142" s="6">
        <v>2115535</v>
      </c>
      <c r="B2142" s="7" t="str">
        <f>"3328175602950004"</f>
        <v>3328175602950004</v>
      </c>
      <c r="C2142" s="7" t="s">
        <v>5547</v>
      </c>
      <c r="D2142" s="7" t="s">
        <v>17</v>
      </c>
      <c r="E2142" s="7" t="s">
        <v>11</v>
      </c>
      <c r="F2142" s="7" t="s">
        <v>67</v>
      </c>
      <c r="G2142" s="7" t="s">
        <v>638</v>
      </c>
      <c r="H2142" s="7" t="s">
        <v>2991</v>
      </c>
      <c r="I2142" s="8" t="s">
        <v>5548</v>
      </c>
    </row>
    <row r="2143" spans="1:9" x14ac:dyDescent="0.35">
      <c r="A2143" s="6">
        <v>1576281</v>
      </c>
      <c r="B2143" s="7" t="str">
        <f>"3328176009970007"</f>
        <v>3328176009970007</v>
      </c>
      <c r="C2143" s="7" t="s">
        <v>5549</v>
      </c>
      <c r="D2143" s="7" t="s">
        <v>17</v>
      </c>
      <c r="E2143" s="7" t="s">
        <v>11</v>
      </c>
      <c r="F2143" s="7" t="s">
        <v>18</v>
      </c>
      <c r="G2143" s="7" t="s">
        <v>195</v>
      </c>
      <c r="H2143" s="7" t="s">
        <v>5550</v>
      </c>
      <c r="I2143" s="8" t="s">
        <v>5551</v>
      </c>
    </row>
    <row r="2144" spans="1:9" x14ac:dyDescent="0.35">
      <c r="A2144" s="6">
        <v>2565034</v>
      </c>
      <c r="B2144" s="7" t="str">
        <f>"3328176108940002"</f>
        <v>3328176108940002</v>
      </c>
      <c r="C2144" s="7" t="s">
        <v>5552</v>
      </c>
      <c r="D2144" s="7" t="s">
        <v>17</v>
      </c>
      <c r="E2144" s="7" t="s">
        <v>11</v>
      </c>
      <c r="F2144" s="7" t="s">
        <v>18</v>
      </c>
      <c r="G2144" s="7" t="s">
        <v>19</v>
      </c>
      <c r="H2144" s="7" t="s">
        <v>4754</v>
      </c>
      <c r="I2144" s="8" t="s">
        <v>5438</v>
      </c>
    </row>
    <row r="2145" spans="1:9" x14ac:dyDescent="0.35">
      <c r="A2145" s="6">
        <v>2565094</v>
      </c>
      <c r="B2145" s="7" t="str">
        <f>"3328176410770004"</f>
        <v>3328176410770004</v>
      </c>
      <c r="C2145" s="7" t="s">
        <v>5556</v>
      </c>
      <c r="D2145" s="7" t="s">
        <v>17</v>
      </c>
      <c r="E2145" s="7" t="s">
        <v>11</v>
      </c>
      <c r="F2145" s="7" t="s">
        <v>18</v>
      </c>
      <c r="G2145" s="7" t="s">
        <v>19</v>
      </c>
      <c r="H2145" s="7" t="s">
        <v>4754</v>
      </c>
      <c r="I2145" s="8" t="s">
        <v>5426</v>
      </c>
    </row>
    <row r="2146" spans="1:9" x14ac:dyDescent="0.35">
      <c r="A2146" s="6">
        <v>715026</v>
      </c>
      <c r="B2146" s="7" t="str">
        <f>"3328176501010006"</f>
        <v>3328176501010006</v>
      </c>
      <c r="C2146" s="7" t="s">
        <v>5557</v>
      </c>
      <c r="D2146" s="7" t="s">
        <v>17</v>
      </c>
      <c r="E2146" s="7" t="s">
        <v>11</v>
      </c>
      <c r="F2146" s="7" t="s">
        <v>18</v>
      </c>
      <c r="G2146" s="7" t="s">
        <v>190</v>
      </c>
      <c r="H2146" s="7" t="s">
        <v>5229</v>
      </c>
      <c r="I2146" s="8" t="s">
        <v>5230</v>
      </c>
    </row>
    <row r="2147" spans="1:9" x14ac:dyDescent="0.35">
      <c r="A2147" s="6">
        <v>2565181</v>
      </c>
      <c r="B2147" s="7" t="str">
        <f>"3328176804890006"</f>
        <v>3328176804890006</v>
      </c>
      <c r="C2147" s="7" t="s">
        <v>5558</v>
      </c>
      <c r="D2147" s="7" t="s">
        <v>17</v>
      </c>
      <c r="E2147" s="7" t="s">
        <v>11</v>
      </c>
      <c r="F2147" s="7" t="s">
        <v>18</v>
      </c>
      <c r="G2147" s="7" t="s">
        <v>19</v>
      </c>
      <c r="H2147" s="7" t="s">
        <v>4754</v>
      </c>
      <c r="I2147" s="8" t="s">
        <v>5514</v>
      </c>
    </row>
    <row r="2148" spans="1:9" x14ac:dyDescent="0.35">
      <c r="A2148" s="6">
        <v>1942866</v>
      </c>
      <c r="B2148" s="7" t="str">
        <f>"3328176809780003"</f>
        <v>3328176809780003</v>
      </c>
      <c r="C2148" s="7" t="s">
        <v>5561</v>
      </c>
      <c r="D2148" s="7" t="s">
        <v>17</v>
      </c>
      <c r="E2148" s="7" t="s">
        <v>11</v>
      </c>
      <c r="F2148" s="7" t="s">
        <v>50</v>
      </c>
      <c r="G2148" s="7" t="s">
        <v>86</v>
      </c>
      <c r="H2148" s="7" t="s">
        <v>205</v>
      </c>
      <c r="I2148" s="8" t="s">
        <v>1952</v>
      </c>
    </row>
    <row r="2149" spans="1:9" x14ac:dyDescent="0.35">
      <c r="A2149" s="6">
        <v>2565010</v>
      </c>
      <c r="B2149" s="7" t="str">
        <f>"3328176910950002"</f>
        <v>3328176910950002</v>
      </c>
      <c r="C2149" s="7" t="s">
        <v>5562</v>
      </c>
      <c r="D2149" s="7" t="s">
        <v>17</v>
      </c>
      <c r="E2149" s="7" t="s">
        <v>11</v>
      </c>
      <c r="F2149" s="7" t="s">
        <v>18</v>
      </c>
      <c r="G2149" s="7" t="s">
        <v>19</v>
      </c>
      <c r="H2149" s="7" t="s">
        <v>4754</v>
      </c>
      <c r="I2149" s="8" t="s">
        <v>5438</v>
      </c>
    </row>
    <row r="2150" spans="1:9" x14ac:dyDescent="0.35">
      <c r="A2150" s="6">
        <v>2565187</v>
      </c>
      <c r="B2150" s="7" t="str">
        <f>"3329081205890006"</f>
        <v>3329081205890006</v>
      </c>
      <c r="C2150" s="7" t="s">
        <v>5563</v>
      </c>
      <c r="D2150" s="7" t="s">
        <v>17</v>
      </c>
      <c r="E2150" s="7" t="s">
        <v>11</v>
      </c>
      <c r="F2150" s="7" t="s">
        <v>18</v>
      </c>
      <c r="G2150" s="7" t="s">
        <v>19</v>
      </c>
      <c r="H2150" s="7" t="s">
        <v>4754</v>
      </c>
      <c r="I2150" s="8" t="s">
        <v>5514</v>
      </c>
    </row>
    <row r="2151" spans="1:9" x14ac:dyDescent="0.35">
      <c r="A2151" s="6">
        <v>2564614</v>
      </c>
      <c r="B2151" s="7" t="str">
        <f>"3329090107820173"</f>
        <v>3329090107820173</v>
      </c>
      <c r="C2151" s="7" t="s">
        <v>5564</v>
      </c>
      <c r="D2151" s="7" t="s">
        <v>17</v>
      </c>
      <c r="E2151" s="7" t="s">
        <v>11</v>
      </c>
      <c r="F2151" s="7" t="s">
        <v>18</v>
      </c>
      <c r="G2151" s="7" t="s">
        <v>19</v>
      </c>
      <c r="H2151" s="7" t="s">
        <v>4754</v>
      </c>
      <c r="I2151" s="8" t="s">
        <v>5440</v>
      </c>
    </row>
    <row r="2152" spans="1:9" x14ac:dyDescent="0.35">
      <c r="A2152" s="6">
        <v>1603151</v>
      </c>
      <c r="B2152" s="7" t="str">
        <f>"3329093103970003"</f>
        <v>3329093103970003</v>
      </c>
      <c r="C2152" s="7" t="s">
        <v>5566</v>
      </c>
      <c r="D2152" s="7" t="s">
        <v>17</v>
      </c>
      <c r="E2152" s="7" t="s">
        <v>11</v>
      </c>
      <c r="F2152" s="7" t="s">
        <v>18</v>
      </c>
      <c r="G2152" s="7" t="s">
        <v>264</v>
      </c>
      <c r="H2152" s="7" t="s">
        <v>264</v>
      </c>
      <c r="I2152" s="8" t="s">
        <v>5567</v>
      </c>
    </row>
    <row r="2153" spans="1:9" x14ac:dyDescent="0.35">
      <c r="A2153" s="6">
        <v>2565058</v>
      </c>
      <c r="B2153" s="7" t="str">
        <f>"3329152305980004"</f>
        <v>3329152305980004</v>
      </c>
      <c r="C2153" s="7" t="s">
        <v>5568</v>
      </c>
      <c r="D2153" s="7" t="s">
        <v>17</v>
      </c>
      <c r="E2153" s="7" t="s">
        <v>11</v>
      </c>
      <c r="F2153" s="7" t="s">
        <v>18</v>
      </c>
      <c r="G2153" s="7" t="s">
        <v>19</v>
      </c>
      <c r="H2153" s="7" t="s">
        <v>4754</v>
      </c>
      <c r="I2153" s="8" t="s">
        <v>5426</v>
      </c>
    </row>
    <row r="2154" spans="1:9" x14ac:dyDescent="0.35">
      <c r="A2154" s="6">
        <v>2564603</v>
      </c>
      <c r="B2154" s="7" t="str">
        <f>"3376024505960006"</f>
        <v>3376024505960006</v>
      </c>
      <c r="C2154" s="7" t="s">
        <v>5569</v>
      </c>
      <c r="D2154" s="7" t="s">
        <v>17</v>
      </c>
      <c r="E2154" s="7" t="s">
        <v>11</v>
      </c>
      <c r="F2154" s="7" t="s">
        <v>18</v>
      </c>
      <c r="G2154" s="7" t="s">
        <v>19</v>
      </c>
      <c r="H2154" s="7" t="s">
        <v>4754</v>
      </c>
      <c r="I2154" s="8" t="s">
        <v>5440</v>
      </c>
    </row>
    <row r="2155" spans="1:9" x14ac:dyDescent="0.35">
      <c r="A2155" s="6">
        <v>2564703</v>
      </c>
      <c r="B2155" s="7" t="str">
        <f>"3671025807020006"</f>
        <v>3671025807020006</v>
      </c>
      <c r="C2155" s="7" t="s">
        <v>5570</v>
      </c>
      <c r="D2155" s="7" t="s">
        <v>17</v>
      </c>
      <c r="E2155" s="7" t="s">
        <v>11</v>
      </c>
      <c r="F2155" s="7" t="s">
        <v>18</v>
      </c>
      <c r="G2155" s="7" t="s">
        <v>19</v>
      </c>
      <c r="H2155" s="7" t="s">
        <v>4754</v>
      </c>
      <c r="I2155" s="8" t="s">
        <v>5481</v>
      </c>
    </row>
    <row r="2156" spans="1:9" x14ac:dyDescent="0.35">
      <c r="A2156" s="6">
        <v>2564244</v>
      </c>
      <c r="B2156" s="7" t="str">
        <f>"3671034607010009"</f>
        <v>3671034607010009</v>
      </c>
      <c r="C2156" s="7" t="s">
        <v>5573</v>
      </c>
      <c r="D2156" s="7" t="s">
        <v>17</v>
      </c>
      <c r="E2156" s="7" t="s">
        <v>11</v>
      </c>
      <c r="F2156" s="7" t="s">
        <v>18</v>
      </c>
      <c r="G2156" s="7" t="s">
        <v>19</v>
      </c>
      <c r="H2156" s="7" t="s">
        <v>4754</v>
      </c>
      <c r="I2156" s="8" t="s">
        <v>4754</v>
      </c>
    </row>
    <row r="2157" spans="1:9" x14ac:dyDescent="0.35">
      <c r="A2157" s="6">
        <v>2564632</v>
      </c>
      <c r="B2157" s="7" t="str">
        <f>"8107095207900001"</f>
        <v>8107095207900001</v>
      </c>
      <c r="C2157" s="7" t="s">
        <v>5576</v>
      </c>
      <c r="D2157" s="7" t="s">
        <v>17</v>
      </c>
      <c r="E2157" s="7" t="s">
        <v>11</v>
      </c>
      <c r="F2157" s="7" t="s">
        <v>18</v>
      </c>
      <c r="G2157" s="7" t="s">
        <v>19</v>
      </c>
      <c r="H2157" s="7" t="s">
        <v>4754</v>
      </c>
      <c r="I2157" s="8" t="s">
        <v>5481</v>
      </c>
    </row>
    <row r="2158" spans="1:9" x14ac:dyDescent="0.35">
      <c r="A2158" s="6">
        <v>2564862</v>
      </c>
      <c r="B2158" s="7" t="str">
        <f>"9110053012910001"</f>
        <v>9110053012910001</v>
      </c>
      <c r="C2158" s="7" t="s">
        <v>5577</v>
      </c>
      <c r="D2158" s="7" t="s">
        <v>17</v>
      </c>
      <c r="E2158" s="7" t="s">
        <v>11</v>
      </c>
      <c r="F2158" s="7" t="s">
        <v>18</v>
      </c>
      <c r="G2158" s="7" t="s">
        <v>19</v>
      </c>
      <c r="H2158" s="7" t="s">
        <v>4754</v>
      </c>
      <c r="I2158" s="8" t="s">
        <v>4755</v>
      </c>
    </row>
    <row r="2159" spans="1:9" x14ac:dyDescent="0.35">
      <c r="A2159" s="6">
        <v>712531</v>
      </c>
      <c r="B2159" s="7" t="str">
        <f>"1371115803970005"</f>
        <v>1371115803970005</v>
      </c>
      <c r="C2159" s="7" t="s">
        <v>5580</v>
      </c>
      <c r="D2159" s="7" t="s">
        <v>17</v>
      </c>
      <c r="E2159" s="7" t="s">
        <v>11</v>
      </c>
      <c r="F2159" s="7" t="s">
        <v>12</v>
      </c>
      <c r="G2159" s="7" t="s">
        <v>1232</v>
      </c>
      <c r="H2159" s="7" t="s">
        <v>5583</v>
      </c>
      <c r="I2159" s="8" t="s">
        <v>5584</v>
      </c>
    </row>
    <row r="2160" spans="1:9" x14ac:dyDescent="0.35">
      <c r="A2160" s="6">
        <v>2566230</v>
      </c>
      <c r="B2160" s="7" t="str">
        <f>"1509042602010002"</f>
        <v>1509042602010002</v>
      </c>
      <c r="C2160" s="7" t="s">
        <v>5585</v>
      </c>
      <c r="D2160" s="7" t="s">
        <v>17</v>
      </c>
      <c r="E2160" s="7" t="s">
        <v>11</v>
      </c>
      <c r="F2160" s="7" t="s">
        <v>18</v>
      </c>
      <c r="G2160" s="7" t="s">
        <v>19</v>
      </c>
      <c r="H2160" s="7" t="s">
        <v>5581</v>
      </c>
      <c r="I2160" s="8" t="s">
        <v>5589</v>
      </c>
    </row>
    <row r="2161" spans="1:9" x14ac:dyDescent="0.35">
      <c r="A2161" s="6">
        <v>2565828</v>
      </c>
      <c r="B2161" s="7" t="str">
        <f>"2171094109939001"</f>
        <v>2171094109939001</v>
      </c>
      <c r="C2161" s="7" t="s">
        <v>5590</v>
      </c>
      <c r="D2161" s="7" t="s">
        <v>17</v>
      </c>
      <c r="E2161" s="7" t="s">
        <v>11</v>
      </c>
      <c r="F2161" s="7" t="s">
        <v>18</v>
      </c>
      <c r="G2161" s="7" t="s">
        <v>19</v>
      </c>
      <c r="H2161" s="7" t="s">
        <v>5581</v>
      </c>
      <c r="I2161" s="8" t="s">
        <v>5593</v>
      </c>
    </row>
    <row r="2162" spans="1:9" x14ac:dyDescent="0.35">
      <c r="A2162" s="6">
        <v>2566910</v>
      </c>
      <c r="B2162" s="7" t="str">
        <f>"3171070401710005"</f>
        <v>3171070401710005</v>
      </c>
      <c r="C2162" s="7" t="s">
        <v>744</v>
      </c>
      <c r="D2162" s="7" t="s">
        <v>17</v>
      </c>
      <c r="E2162" s="7" t="s">
        <v>11</v>
      </c>
      <c r="F2162" s="7" t="s">
        <v>18</v>
      </c>
      <c r="G2162" s="7" t="s">
        <v>19</v>
      </c>
      <c r="H2162" s="7" t="s">
        <v>5581</v>
      </c>
      <c r="I2162" s="8" t="s">
        <v>5581</v>
      </c>
    </row>
    <row r="2163" spans="1:9" x14ac:dyDescent="0.35">
      <c r="A2163" s="6">
        <v>2566907</v>
      </c>
      <c r="B2163" s="7" t="str">
        <f>"3171072111030004"</f>
        <v>3171072111030004</v>
      </c>
      <c r="C2163" s="7" t="s">
        <v>5594</v>
      </c>
      <c r="D2163" s="7" t="s">
        <v>17</v>
      </c>
      <c r="E2163" s="7" t="s">
        <v>11</v>
      </c>
      <c r="F2163" s="7" t="s">
        <v>18</v>
      </c>
      <c r="G2163" s="7" t="s">
        <v>19</v>
      </c>
      <c r="H2163" s="7" t="s">
        <v>5581</v>
      </c>
      <c r="I2163" s="8" t="s">
        <v>5581</v>
      </c>
    </row>
    <row r="2164" spans="1:9" x14ac:dyDescent="0.35">
      <c r="A2164" s="6">
        <v>2566906</v>
      </c>
      <c r="B2164" s="7" t="str">
        <f>"3171074501950004"</f>
        <v>3171074501950004</v>
      </c>
      <c r="C2164" s="7" t="s">
        <v>5595</v>
      </c>
      <c r="D2164" s="7" t="s">
        <v>17</v>
      </c>
      <c r="E2164" s="7" t="s">
        <v>11</v>
      </c>
      <c r="F2164" s="7" t="s">
        <v>18</v>
      </c>
      <c r="G2164" s="7" t="s">
        <v>19</v>
      </c>
      <c r="H2164" s="7" t="s">
        <v>5581</v>
      </c>
      <c r="I2164" s="8" t="s">
        <v>5581</v>
      </c>
    </row>
    <row r="2165" spans="1:9" x14ac:dyDescent="0.35">
      <c r="A2165" s="6">
        <v>2566911</v>
      </c>
      <c r="B2165" s="7" t="str">
        <f>"3171074505740007"</f>
        <v>3171074505740007</v>
      </c>
      <c r="C2165" s="7" t="s">
        <v>5596</v>
      </c>
      <c r="D2165" s="7" t="s">
        <v>17</v>
      </c>
      <c r="E2165" s="7" t="s">
        <v>11</v>
      </c>
      <c r="F2165" s="7" t="s">
        <v>18</v>
      </c>
      <c r="G2165" s="7" t="s">
        <v>19</v>
      </c>
      <c r="H2165" s="7" t="s">
        <v>5581</v>
      </c>
      <c r="I2165" s="8" t="s">
        <v>5581</v>
      </c>
    </row>
    <row r="2166" spans="1:9" x14ac:dyDescent="0.35">
      <c r="A2166" s="6">
        <v>2565996</v>
      </c>
      <c r="B2166" s="7" t="str">
        <f>"3171074808840007"</f>
        <v>3171074808840007</v>
      </c>
      <c r="C2166" s="7" t="s">
        <v>5598</v>
      </c>
      <c r="D2166" s="7" t="s">
        <v>17</v>
      </c>
      <c r="E2166" s="7" t="s">
        <v>11</v>
      </c>
      <c r="F2166" s="7" t="s">
        <v>18</v>
      </c>
      <c r="G2166" s="7" t="s">
        <v>19</v>
      </c>
      <c r="H2166" s="7" t="s">
        <v>5581</v>
      </c>
      <c r="I2166" s="8" t="s">
        <v>5599</v>
      </c>
    </row>
    <row r="2167" spans="1:9" x14ac:dyDescent="0.35">
      <c r="A2167" s="6">
        <v>2566096</v>
      </c>
      <c r="B2167" s="7" t="str">
        <f>"3172016403850004"</f>
        <v>3172016403850004</v>
      </c>
      <c r="C2167" s="7" t="s">
        <v>5600</v>
      </c>
      <c r="D2167" s="7" t="s">
        <v>17</v>
      </c>
      <c r="E2167" s="7" t="s">
        <v>11</v>
      </c>
      <c r="F2167" s="7" t="s">
        <v>18</v>
      </c>
      <c r="G2167" s="7" t="s">
        <v>19</v>
      </c>
      <c r="H2167" s="7" t="s">
        <v>5581</v>
      </c>
      <c r="I2167" s="8" t="s">
        <v>5599</v>
      </c>
    </row>
    <row r="2168" spans="1:9" x14ac:dyDescent="0.35">
      <c r="A2168" s="6">
        <v>2566095</v>
      </c>
      <c r="B2168" s="7" t="str">
        <f>"3172016408630001"</f>
        <v>3172016408630001</v>
      </c>
      <c r="C2168" s="7" t="s">
        <v>5602</v>
      </c>
      <c r="D2168" s="7" t="s">
        <v>17</v>
      </c>
      <c r="E2168" s="7" t="s">
        <v>11</v>
      </c>
      <c r="F2168" s="7" t="s">
        <v>18</v>
      </c>
      <c r="G2168" s="7" t="s">
        <v>19</v>
      </c>
      <c r="H2168" s="7" t="s">
        <v>5581</v>
      </c>
      <c r="I2168" s="8" t="s">
        <v>5599</v>
      </c>
    </row>
    <row r="2169" spans="1:9" x14ac:dyDescent="0.35">
      <c r="A2169" s="6">
        <v>2566164</v>
      </c>
      <c r="B2169" s="7" t="str">
        <f>"3172041102911004"</f>
        <v>3172041102911004</v>
      </c>
      <c r="C2169" s="7" t="s">
        <v>5603</v>
      </c>
      <c r="D2169" s="7" t="s">
        <v>17</v>
      </c>
      <c r="E2169" s="7" t="s">
        <v>11</v>
      </c>
      <c r="F2169" s="7" t="s">
        <v>18</v>
      </c>
      <c r="G2169" s="7" t="s">
        <v>19</v>
      </c>
      <c r="H2169" s="7" t="s">
        <v>5581</v>
      </c>
      <c r="I2169" s="8" t="s">
        <v>5582</v>
      </c>
    </row>
    <row r="2170" spans="1:9" x14ac:dyDescent="0.35">
      <c r="A2170" s="6">
        <v>2566841</v>
      </c>
      <c r="B2170" s="7" t="str">
        <f>"3174041506881001"</f>
        <v>3174041506881001</v>
      </c>
      <c r="C2170" s="7" t="s">
        <v>5605</v>
      </c>
      <c r="D2170" s="7" t="s">
        <v>17</v>
      </c>
      <c r="E2170" s="7" t="s">
        <v>11</v>
      </c>
      <c r="F2170" s="7" t="s">
        <v>18</v>
      </c>
      <c r="G2170" s="7" t="s">
        <v>19</v>
      </c>
      <c r="H2170" s="7" t="s">
        <v>5581</v>
      </c>
      <c r="I2170" s="8" t="s">
        <v>5581</v>
      </c>
    </row>
    <row r="2171" spans="1:9" x14ac:dyDescent="0.35">
      <c r="A2171" s="6">
        <v>2566870</v>
      </c>
      <c r="B2171" s="7" t="str">
        <f>"3174044708780005"</f>
        <v>3174044708780005</v>
      </c>
      <c r="C2171" s="7" t="s">
        <v>5606</v>
      </c>
      <c r="D2171" s="7" t="s">
        <v>17</v>
      </c>
      <c r="E2171" s="7" t="s">
        <v>11</v>
      </c>
      <c r="F2171" s="7" t="s">
        <v>18</v>
      </c>
      <c r="G2171" s="7" t="s">
        <v>19</v>
      </c>
      <c r="H2171" s="7" t="s">
        <v>5581</v>
      </c>
      <c r="I2171" s="8" t="s">
        <v>5581</v>
      </c>
    </row>
    <row r="2172" spans="1:9" x14ac:dyDescent="0.35">
      <c r="A2172" s="6">
        <v>2566954</v>
      </c>
      <c r="B2172" s="7" t="str">
        <f>"3174065901030004"</f>
        <v>3174065901030004</v>
      </c>
      <c r="C2172" s="7" t="s">
        <v>5607</v>
      </c>
      <c r="D2172" s="7" t="s">
        <v>17</v>
      </c>
      <c r="E2172" s="7" t="s">
        <v>11</v>
      </c>
      <c r="F2172" s="7" t="s">
        <v>18</v>
      </c>
      <c r="G2172" s="7" t="s">
        <v>19</v>
      </c>
      <c r="H2172" s="7" t="s">
        <v>5581</v>
      </c>
      <c r="I2172" s="8" t="s">
        <v>5609</v>
      </c>
    </row>
    <row r="2173" spans="1:9" x14ac:dyDescent="0.35">
      <c r="A2173" s="6">
        <v>2565507</v>
      </c>
      <c r="B2173" s="7" t="str">
        <f>"3174070102680009"</f>
        <v>3174070102680009</v>
      </c>
      <c r="C2173" s="7" t="s">
        <v>2757</v>
      </c>
      <c r="D2173" s="7" t="s">
        <v>17</v>
      </c>
      <c r="E2173" s="7" t="s">
        <v>11</v>
      </c>
      <c r="F2173" s="7" t="s">
        <v>18</v>
      </c>
      <c r="G2173" s="7" t="s">
        <v>19</v>
      </c>
      <c r="H2173" s="7" t="s">
        <v>5581</v>
      </c>
      <c r="I2173" s="8" t="s">
        <v>5611</v>
      </c>
    </row>
    <row r="2174" spans="1:9" x14ac:dyDescent="0.35">
      <c r="A2174" s="6">
        <v>2565813</v>
      </c>
      <c r="B2174" s="7" t="str">
        <f>"3175102805911001"</f>
        <v>3175102805911001</v>
      </c>
      <c r="C2174" s="7" t="s">
        <v>5612</v>
      </c>
      <c r="D2174" s="7" t="s">
        <v>17</v>
      </c>
      <c r="E2174" s="7" t="s">
        <v>11</v>
      </c>
      <c r="F2174" s="7" t="s">
        <v>18</v>
      </c>
      <c r="G2174" s="7" t="s">
        <v>19</v>
      </c>
      <c r="H2174" s="7" t="s">
        <v>5581</v>
      </c>
      <c r="I2174" s="8" t="s">
        <v>5593</v>
      </c>
    </row>
    <row r="2175" spans="1:9" x14ac:dyDescent="0.35">
      <c r="A2175" s="6">
        <v>2565775</v>
      </c>
      <c r="B2175" s="7" t="str">
        <f>"3201012305880009"</f>
        <v>3201012305880009</v>
      </c>
      <c r="C2175" s="7" t="s">
        <v>5619</v>
      </c>
      <c r="D2175" s="7" t="s">
        <v>17</v>
      </c>
      <c r="E2175" s="7" t="s">
        <v>11</v>
      </c>
      <c r="F2175" s="7" t="s">
        <v>18</v>
      </c>
      <c r="G2175" s="7" t="s">
        <v>19</v>
      </c>
      <c r="H2175" s="7" t="s">
        <v>5581</v>
      </c>
      <c r="I2175" s="8" t="s">
        <v>5593</v>
      </c>
    </row>
    <row r="2176" spans="1:9" x14ac:dyDescent="0.35">
      <c r="A2176" s="6">
        <v>1437866</v>
      </c>
      <c r="B2176" s="7" t="str">
        <f>"3206361711010001"</f>
        <v>3206361711010001</v>
      </c>
      <c r="C2176" s="7" t="s">
        <v>5621</v>
      </c>
      <c r="D2176" s="7" t="s">
        <v>17</v>
      </c>
      <c r="E2176" s="7" t="s">
        <v>11</v>
      </c>
      <c r="F2176" s="7" t="s">
        <v>91</v>
      </c>
      <c r="G2176" s="7" t="s">
        <v>1300</v>
      </c>
      <c r="H2176" s="7" t="s">
        <v>5622</v>
      </c>
      <c r="I2176" s="8" t="s">
        <v>5622</v>
      </c>
    </row>
    <row r="2177" spans="1:9" x14ac:dyDescent="0.35">
      <c r="A2177" s="6">
        <v>1437868</v>
      </c>
      <c r="B2177" s="7" t="str">
        <f>"3206366305780001"</f>
        <v>3206366305780001</v>
      </c>
      <c r="C2177" s="7" t="s">
        <v>5623</v>
      </c>
      <c r="D2177" s="7" t="s">
        <v>17</v>
      </c>
      <c r="E2177" s="7" t="s">
        <v>11</v>
      </c>
      <c r="F2177" s="7" t="s">
        <v>91</v>
      </c>
      <c r="G2177" s="7" t="s">
        <v>1300</v>
      </c>
      <c r="H2177" s="7" t="s">
        <v>5622</v>
      </c>
      <c r="I2177" s="8" t="s">
        <v>5622</v>
      </c>
    </row>
    <row r="2178" spans="1:9" x14ac:dyDescent="0.35">
      <c r="A2178" s="6">
        <v>2565381</v>
      </c>
      <c r="B2178" s="7" t="str">
        <f>"3209015702000005"</f>
        <v>3209015702000005</v>
      </c>
      <c r="C2178" s="7" t="s">
        <v>5624</v>
      </c>
      <c r="D2178" s="7" t="s">
        <v>17</v>
      </c>
      <c r="E2178" s="7" t="s">
        <v>11</v>
      </c>
      <c r="F2178" s="7" t="s">
        <v>18</v>
      </c>
      <c r="G2178" s="7" t="s">
        <v>19</v>
      </c>
      <c r="H2178" s="7" t="s">
        <v>5581</v>
      </c>
      <c r="I2178" s="8" t="s">
        <v>5611</v>
      </c>
    </row>
    <row r="2179" spans="1:9" x14ac:dyDescent="0.35">
      <c r="A2179" s="6">
        <v>2565382</v>
      </c>
      <c r="B2179" s="7" t="str">
        <f>"3209035009990006"</f>
        <v>3209035009990006</v>
      </c>
      <c r="C2179" s="7" t="s">
        <v>5627</v>
      </c>
      <c r="D2179" s="7" t="s">
        <v>17</v>
      </c>
      <c r="E2179" s="7" t="s">
        <v>11</v>
      </c>
      <c r="F2179" s="7" t="s">
        <v>18</v>
      </c>
      <c r="G2179" s="7" t="s">
        <v>19</v>
      </c>
      <c r="H2179" s="7" t="s">
        <v>5581</v>
      </c>
      <c r="I2179" s="8" t="s">
        <v>5611</v>
      </c>
    </row>
    <row r="2180" spans="1:9" x14ac:dyDescent="0.35">
      <c r="A2180" s="6">
        <v>2565466</v>
      </c>
      <c r="B2180" s="7" t="str">
        <f>"3211084210020004"</f>
        <v>3211084210020004</v>
      </c>
      <c r="C2180" s="7" t="s">
        <v>5629</v>
      </c>
      <c r="D2180" s="7" t="s">
        <v>17</v>
      </c>
      <c r="E2180" s="7" t="s">
        <v>11</v>
      </c>
      <c r="F2180" s="7" t="s">
        <v>18</v>
      </c>
      <c r="G2180" s="7" t="s">
        <v>19</v>
      </c>
      <c r="H2180" s="7" t="s">
        <v>5581</v>
      </c>
      <c r="I2180" s="8" t="s">
        <v>5611</v>
      </c>
    </row>
    <row r="2181" spans="1:9" x14ac:dyDescent="0.35">
      <c r="A2181" s="6">
        <v>2565586</v>
      </c>
      <c r="B2181" s="7" t="str">
        <f>"3212040311940001"</f>
        <v>3212040311940001</v>
      </c>
      <c r="C2181" s="7" t="s">
        <v>5631</v>
      </c>
      <c r="D2181" s="7" t="s">
        <v>17</v>
      </c>
      <c r="E2181" s="7" t="s">
        <v>11</v>
      </c>
      <c r="F2181" s="7" t="s">
        <v>18</v>
      </c>
      <c r="G2181" s="7" t="s">
        <v>19</v>
      </c>
      <c r="H2181" s="7" t="s">
        <v>5581</v>
      </c>
      <c r="I2181" s="8" t="s">
        <v>5634</v>
      </c>
    </row>
    <row r="2182" spans="1:9" x14ac:dyDescent="0.35">
      <c r="A2182" s="6">
        <v>1267240</v>
      </c>
      <c r="B2182" s="7" t="str">
        <f>"3213154101960015"</f>
        <v>3213154101960015</v>
      </c>
      <c r="C2182" s="7" t="s">
        <v>5635</v>
      </c>
      <c r="D2182" s="7" t="s">
        <v>17</v>
      </c>
      <c r="E2182" s="7" t="s">
        <v>11</v>
      </c>
      <c r="F2182" s="7" t="s">
        <v>91</v>
      </c>
      <c r="G2182" s="7" t="s">
        <v>2364</v>
      </c>
      <c r="H2182" s="7" t="s">
        <v>3269</v>
      </c>
      <c r="I2182" s="8" t="s">
        <v>5636</v>
      </c>
    </row>
    <row r="2183" spans="1:9" x14ac:dyDescent="0.35">
      <c r="A2183" s="6">
        <v>2565952</v>
      </c>
      <c r="B2183" s="7" t="str">
        <f>"3275040312630011"</f>
        <v>3275040312630011</v>
      </c>
      <c r="C2183" s="7" t="s">
        <v>5637</v>
      </c>
      <c r="D2183" s="7" t="s">
        <v>17</v>
      </c>
      <c r="E2183" s="7" t="s">
        <v>11</v>
      </c>
      <c r="F2183" s="7" t="s">
        <v>18</v>
      </c>
      <c r="G2183" s="7" t="s">
        <v>19</v>
      </c>
      <c r="H2183" s="7" t="s">
        <v>5581</v>
      </c>
      <c r="I2183" s="8" t="s">
        <v>5593</v>
      </c>
    </row>
    <row r="2184" spans="1:9" x14ac:dyDescent="0.35">
      <c r="A2184" s="6">
        <v>2565953</v>
      </c>
      <c r="B2184" s="7" t="str">
        <f>"3275046909640021"</f>
        <v>3275046909640021</v>
      </c>
      <c r="C2184" s="7" t="s">
        <v>5638</v>
      </c>
      <c r="D2184" s="7" t="s">
        <v>17</v>
      </c>
      <c r="E2184" s="7" t="s">
        <v>11</v>
      </c>
      <c r="F2184" s="7" t="s">
        <v>18</v>
      </c>
      <c r="G2184" s="7" t="s">
        <v>19</v>
      </c>
      <c r="H2184" s="7" t="s">
        <v>5581</v>
      </c>
      <c r="I2184" s="8" t="s">
        <v>5593</v>
      </c>
    </row>
    <row r="2185" spans="1:9" x14ac:dyDescent="0.35">
      <c r="A2185" s="6">
        <v>3088791</v>
      </c>
      <c r="B2185" s="7" t="str">
        <f>"3301172409840002"</f>
        <v>3301172409840002</v>
      </c>
      <c r="C2185" s="7" t="s">
        <v>5639</v>
      </c>
      <c r="D2185" s="7" t="s">
        <v>17</v>
      </c>
      <c r="E2185" s="7" t="s">
        <v>11</v>
      </c>
      <c r="F2185" s="7" t="s">
        <v>18</v>
      </c>
      <c r="G2185" s="7" t="s">
        <v>163</v>
      </c>
      <c r="H2185" s="7" t="s">
        <v>509</v>
      </c>
      <c r="I2185" s="8" t="s">
        <v>1976</v>
      </c>
    </row>
    <row r="2186" spans="1:9" x14ac:dyDescent="0.35">
      <c r="A2186" s="6">
        <v>2565510</v>
      </c>
      <c r="B2186" s="7" t="str">
        <f>"3302154504940001"</f>
        <v>3302154504940001</v>
      </c>
      <c r="C2186" s="7" t="s">
        <v>5640</v>
      </c>
      <c r="D2186" s="7" t="s">
        <v>17</v>
      </c>
      <c r="E2186" s="7" t="s">
        <v>11</v>
      </c>
      <c r="F2186" s="7" t="s">
        <v>18</v>
      </c>
      <c r="G2186" s="7" t="s">
        <v>19</v>
      </c>
      <c r="H2186" s="7" t="s">
        <v>5581</v>
      </c>
      <c r="I2186" s="8" t="s">
        <v>5611</v>
      </c>
    </row>
    <row r="2187" spans="1:9" x14ac:dyDescent="0.35">
      <c r="A2187" s="6">
        <v>1590452</v>
      </c>
      <c r="B2187" s="7" t="str">
        <f>"3303140808880002"</f>
        <v>3303140808880002</v>
      </c>
      <c r="C2187" s="7" t="s">
        <v>5642</v>
      </c>
      <c r="D2187" s="7" t="s">
        <v>17</v>
      </c>
      <c r="E2187" s="7" t="s">
        <v>11</v>
      </c>
      <c r="F2187" s="7" t="s">
        <v>18</v>
      </c>
      <c r="G2187" s="7" t="s">
        <v>1349</v>
      </c>
      <c r="H2187" s="7" t="s">
        <v>5643</v>
      </c>
      <c r="I2187" s="8" t="s">
        <v>1387</v>
      </c>
    </row>
    <row r="2188" spans="1:9" x14ac:dyDescent="0.35">
      <c r="A2188" s="6">
        <v>2566527</v>
      </c>
      <c r="B2188" s="7" t="str">
        <f>"3324050101880003"</f>
        <v>3324050101880003</v>
      </c>
      <c r="C2188" s="7" t="s">
        <v>5644</v>
      </c>
      <c r="D2188" s="7" t="s">
        <v>17</v>
      </c>
      <c r="E2188" s="7" t="s">
        <v>11</v>
      </c>
      <c r="F2188" s="7" t="s">
        <v>18</v>
      </c>
      <c r="G2188" s="7" t="s">
        <v>19</v>
      </c>
      <c r="H2188" s="7" t="s">
        <v>5581</v>
      </c>
      <c r="I2188" s="8" t="s">
        <v>5645</v>
      </c>
    </row>
    <row r="2189" spans="1:9" x14ac:dyDescent="0.35">
      <c r="A2189" s="6">
        <v>2566097</v>
      </c>
      <c r="B2189" s="7" t="str">
        <f>"3326111701850002"</f>
        <v>3326111701850002</v>
      </c>
      <c r="C2189" s="7" t="s">
        <v>5650</v>
      </c>
      <c r="D2189" s="7" t="s">
        <v>17</v>
      </c>
      <c r="E2189" s="7" t="s">
        <v>11</v>
      </c>
      <c r="F2189" s="7" t="s">
        <v>18</v>
      </c>
      <c r="G2189" s="7" t="s">
        <v>19</v>
      </c>
      <c r="H2189" s="7" t="s">
        <v>5581</v>
      </c>
      <c r="I2189" s="8" t="s">
        <v>5599</v>
      </c>
    </row>
    <row r="2190" spans="1:9" x14ac:dyDescent="0.35">
      <c r="A2190" s="6">
        <v>2566008</v>
      </c>
      <c r="B2190" s="7" t="str">
        <f>"3328095005870016"</f>
        <v>3328095005870016</v>
      </c>
      <c r="C2190" s="7" t="s">
        <v>5654</v>
      </c>
      <c r="D2190" s="7" t="s">
        <v>17</v>
      </c>
      <c r="E2190" s="7" t="s">
        <v>11</v>
      </c>
      <c r="F2190" s="7" t="s">
        <v>18</v>
      </c>
      <c r="G2190" s="7" t="s">
        <v>19</v>
      </c>
      <c r="H2190" s="7" t="s">
        <v>5581</v>
      </c>
      <c r="I2190" s="8" t="s">
        <v>5599</v>
      </c>
    </row>
    <row r="2191" spans="1:9" x14ac:dyDescent="0.35">
      <c r="A2191" s="6">
        <v>1437867</v>
      </c>
      <c r="B2191" s="7" t="str">
        <f>"3328100903700005"</f>
        <v>3328100903700005</v>
      </c>
      <c r="C2191" s="7" t="s">
        <v>5656</v>
      </c>
      <c r="D2191" s="7" t="s">
        <v>17</v>
      </c>
      <c r="E2191" s="7" t="s">
        <v>11</v>
      </c>
      <c r="F2191" s="7" t="s">
        <v>91</v>
      </c>
      <c r="G2191" s="7" t="s">
        <v>1300</v>
      </c>
      <c r="H2191" s="7" t="s">
        <v>5622</v>
      </c>
      <c r="I2191" s="8" t="s">
        <v>5622</v>
      </c>
    </row>
    <row r="2192" spans="1:9" x14ac:dyDescent="0.35">
      <c r="A2192" s="6">
        <v>2565714</v>
      </c>
      <c r="B2192" s="7" t="str">
        <f>"3328180107790033"</f>
        <v>3328180107790033</v>
      </c>
      <c r="C2192" s="7" t="s">
        <v>5657</v>
      </c>
      <c r="D2192" s="7" t="s">
        <v>17</v>
      </c>
      <c r="E2192" s="7" t="s">
        <v>11</v>
      </c>
      <c r="F2192" s="7" t="s">
        <v>18</v>
      </c>
      <c r="G2192" s="7" t="s">
        <v>19</v>
      </c>
      <c r="H2192" s="7" t="s">
        <v>5581</v>
      </c>
      <c r="I2192" s="8" t="s">
        <v>5593</v>
      </c>
    </row>
    <row r="2193" spans="1:9" x14ac:dyDescent="0.35">
      <c r="A2193" s="6">
        <v>2565964</v>
      </c>
      <c r="B2193" s="7" t="str">
        <f>"3328180107980074"</f>
        <v>3328180107980074</v>
      </c>
      <c r="C2193" s="7" t="s">
        <v>5664</v>
      </c>
      <c r="D2193" s="7" t="s">
        <v>17</v>
      </c>
      <c r="E2193" s="7" t="s">
        <v>11</v>
      </c>
      <c r="F2193" s="7" t="s">
        <v>18</v>
      </c>
      <c r="G2193" s="7" t="s">
        <v>19</v>
      </c>
      <c r="H2193" s="7" t="s">
        <v>5581</v>
      </c>
      <c r="I2193" s="8" t="s">
        <v>5593</v>
      </c>
    </row>
    <row r="2194" spans="1:9" x14ac:dyDescent="0.35">
      <c r="A2194" s="6">
        <v>2566472</v>
      </c>
      <c r="B2194" s="7" t="str">
        <f>"3328180205050001"</f>
        <v>3328180205050001</v>
      </c>
      <c r="C2194" s="7" t="s">
        <v>5665</v>
      </c>
      <c r="D2194" s="7" t="s">
        <v>17</v>
      </c>
      <c r="E2194" s="7" t="s">
        <v>11</v>
      </c>
      <c r="F2194" s="7" t="s">
        <v>18</v>
      </c>
      <c r="G2194" s="7" t="s">
        <v>19</v>
      </c>
      <c r="H2194" s="7" t="s">
        <v>5581</v>
      </c>
      <c r="I2194" s="8" t="s">
        <v>5653</v>
      </c>
    </row>
    <row r="2195" spans="1:9" x14ac:dyDescent="0.35">
      <c r="A2195" s="6">
        <v>2565232</v>
      </c>
      <c r="B2195" s="7" t="str">
        <f>"3328180704810004"</f>
        <v>3328180704810004</v>
      </c>
      <c r="C2195" s="7" t="s">
        <v>5669</v>
      </c>
      <c r="D2195" s="7" t="s">
        <v>17</v>
      </c>
      <c r="E2195" s="7" t="s">
        <v>11</v>
      </c>
      <c r="F2195" s="7" t="s">
        <v>18</v>
      </c>
      <c r="G2195" s="7" t="s">
        <v>19</v>
      </c>
      <c r="H2195" s="7" t="s">
        <v>5581</v>
      </c>
      <c r="I2195" s="8" t="s">
        <v>5611</v>
      </c>
    </row>
    <row r="2196" spans="1:9" x14ac:dyDescent="0.35">
      <c r="A2196" s="6">
        <v>1434631</v>
      </c>
      <c r="B2196" s="7" t="str">
        <f>"3328181004730004"</f>
        <v>3328181004730004</v>
      </c>
      <c r="C2196" s="7" t="s">
        <v>1379</v>
      </c>
      <c r="D2196" s="7" t="s">
        <v>17</v>
      </c>
      <c r="E2196" s="7" t="s">
        <v>11</v>
      </c>
      <c r="F2196" s="7" t="s">
        <v>91</v>
      </c>
      <c r="G2196" s="7" t="s">
        <v>903</v>
      </c>
      <c r="H2196" s="7" t="s">
        <v>938</v>
      </c>
      <c r="I2196" s="8" t="s">
        <v>5671</v>
      </c>
    </row>
    <row r="2197" spans="1:9" x14ac:dyDescent="0.35">
      <c r="A2197" s="6">
        <v>421489</v>
      </c>
      <c r="B2197" s="7" t="str">
        <f>"3328181006780002"</f>
        <v>3328181006780002</v>
      </c>
      <c r="C2197" s="7" t="s">
        <v>5672</v>
      </c>
      <c r="D2197" s="7" t="s">
        <v>17</v>
      </c>
      <c r="E2197" s="7" t="s">
        <v>11</v>
      </c>
      <c r="F2197" s="7" t="s">
        <v>18</v>
      </c>
      <c r="G2197" s="7" t="s">
        <v>268</v>
      </c>
      <c r="H2197" s="7" t="s">
        <v>371</v>
      </c>
      <c r="I2197" s="8" t="s">
        <v>497</v>
      </c>
    </row>
    <row r="2198" spans="1:9" x14ac:dyDescent="0.35">
      <c r="A2198" s="6">
        <v>2566774</v>
      </c>
      <c r="B2198" s="7" t="str">
        <f>"3328181012810002"</f>
        <v>3328181012810002</v>
      </c>
      <c r="C2198" s="7" t="s">
        <v>5674</v>
      </c>
      <c r="D2198" s="7" t="s">
        <v>17</v>
      </c>
      <c r="E2198" s="7" t="s">
        <v>11</v>
      </c>
      <c r="F2198" s="7" t="s">
        <v>18</v>
      </c>
      <c r="G2198" s="7" t="s">
        <v>19</v>
      </c>
      <c r="H2198" s="7" t="s">
        <v>5581</v>
      </c>
      <c r="I2198" s="8" t="s">
        <v>5581</v>
      </c>
    </row>
    <row r="2199" spans="1:9" x14ac:dyDescent="0.35">
      <c r="A2199" s="6">
        <v>2565882</v>
      </c>
      <c r="B2199" s="7" t="str">
        <f>"3328181109980004"</f>
        <v>3328181109980004</v>
      </c>
      <c r="C2199" s="7" t="s">
        <v>5675</v>
      </c>
      <c r="D2199" s="7" t="s">
        <v>17</v>
      </c>
      <c r="E2199" s="7" t="s">
        <v>11</v>
      </c>
      <c r="F2199" s="7" t="s">
        <v>18</v>
      </c>
      <c r="G2199" s="7" t="s">
        <v>19</v>
      </c>
      <c r="H2199" s="7" t="s">
        <v>5581</v>
      </c>
      <c r="I2199" s="8" t="s">
        <v>5593</v>
      </c>
    </row>
    <row r="2200" spans="1:9" x14ac:dyDescent="0.35">
      <c r="A2200" s="6">
        <v>2566217</v>
      </c>
      <c r="B2200" s="7" t="str">
        <f>"3328181211860003"</f>
        <v>3328181211860003</v>
      </c>
      <c r="C2200" s="7" t="s">
        <v>5677</v>
      </c>
      <c r="D2200" s="7" t="s">
        <v>17</v>
      </c>
      <c r="E2200" s="7" t="s">
        <v>11</v>
      </c>
      <c r="F2200" s="7" t="s">
        <v>18</v>
      </c>
      <c r="G2200" s="7" t="s">
        <v>19</v>
      </c>
      <c r="H2200" s="7" t="s">
        <v>5581</v>
      </c>
      <c r="I2200" s="8" t="s">
        <v>5582</v>
      </c>
    </row>
    <row r="2201" spans="1:9" x14ac:dyDescent="0.35">
      <c r="A2201" s="6">
        <v>2565576</v>
      </c>
      <c r="B2201" s="7" t="str">
        <f>"3328181501970001"</f>
        <v>3328181501970001</v>
      </c>
      <c r="C2201" s="7" t="s">
        <v>5679</v>
      </c>
      <c r="D2201" s="7" t="s">
        <v>17</v>
      </c>
      <c r="E2201" s="7" t="s">
        <v>11</v>
      </c>
      <c r="F2201" s="7" t="s">
        <v>18</v>
      </c>
      <c r="G2201" s="7" t="s">
        <v>19</v>
      </c>
      <c r="H2201" s="7" t="s">
        <v>5581</v>
      </c>
      <c r="I2201" s="8" t="s">
        <v>5634</v>
      </c>
    </row>
    <row r="2202" spans="1:9" x14ac:dyDescent="0.35">
      <c r="A2202" s="6">
        <v>1100921</v>
      </c>
      <c r="B2202" s="7" t="str">
        <f>"3328181808900013"</f>
        <v>3328181808900013</v>
      </c>
      <c r="C2202" s="7" t="s">
        <v>5680</v>
      </c>
      <c r="D2202" s="7" t="s">
        <v>17</v>
      </c>
      <c r="E2202" s="7" t="s">
        <v>11</v>
      </c>
      <c r="F2202" s="7" t="s">
        <v>18</v>
      </c>
      <c r="G2202" s="7" t="s">
        <v>171</v>
      </c>
      <c r="H2202" s="7" t="s">
        <v>5681</v>
      </c>
      <c r="I2202" s="8" t="s">
        <v>5682</v>
      </c>
    </row>
    <row r="2203" spans="1:9" x14ac:dyDescent="0.35">
      <c r="A2203" s="6">
        <v>2565644</v>
      </c>
      <c r="B2203" s="7" t="str">
        <f>"3328181909920001"</f>
        <v>3328181909920001</v>
      </c>
      <c r="C2203" s="7" t="s">
        <v>5683</v>
      </c>
      <c r="D2203" s="7" t="s">
        <v>17</v>
      </c>
      <c r="E2203" s="7" t="s">
        <v>11</v>
      </c>
      <c r="F2203" s="7" t="s">
        <v>18</v>
      </c>
      <c r="G2203" s="7" t="s">
        <v>19</v>
      </c>
      <c r="H2203" s="7" t="s">
        <v>5581</v>
      </c>
      <c r="I2203" s="8" t="s">
        <v>5634</v>
      </c>
    </row>
    <row r="2204" spans="1:9" x14ac:dyDescent="0.35">
      <c r="A2204" s="6">
        <v>422450</v>
      </c>
      <c r="B2204" s="7" t="str">
        <f>"3328182203960001"</f>
        <v>3328182203960001</v>
      </c>
      <c r="C2204" s="7" t="s">
        <v>5685</v>
      </c>
      <c r="D2204" s="7" t="s">
        <v>17</v>
      </c>
      <c r="E2204" s="7" t="s">
        <v>11</v>
      </c>
      <c r="F2204" s="7" t="s">
        <v>18</v>
      </c>
      <c r="G2204" s="7" t="s">
        <v>268</v>
      </c>
      <c r="H2204" s="7" t="s">
        <v>269</v>
      </c>
      <c r="I2204" s="8" t="s">
        <v>996</v>
      </c>
    </row>
    <row r="2205" spans="1:9" x14ac:dyDescent="0.35">
      <c r="A2205" s="6">
        <v>2566019</v>
      </c>
      <c r="B2205" s="7" t="str">
        <f>"3328182205030005"</f>
        <v>3328182205030005</v>
      </c>
      <c r="C2205" s="7" t="s">
        <v>5687</v>
      </c>
      <c r="D2205" s="7" t="s">
        <v>17</v>
      </c>
      <c r="E2205" s="7" t="s">
        <v>11</v>
      </c>
      <c r="F2205" s="7" t="s">
        <v>18</v>
      </c>
      <c r="G2205" s="7" t="s">
        <v>19</v>
      </c>
      <c r="H2205" s="7" t="s">
        <v>5581</v>
      </c>
      <c r="I2205" s="8" t="s">
        <v>5599</v>
      </c>
    </row>
    <row r="2206" spans="1:9" x14ac:dyDescent="0.35">
      <c r="A2206" s="6">
        <v>2565827</v>
      </c>
      <c r="B2206" s="7" t="str">
        <f>"3328182207950005"</f>
        <v>3328182207950005</v>
      </c>
      <c r="C2206" s="7" t="s">
        <v>5689</v>
      </c>
      <c r="D2206" s="7" t="s">
        <v>17</v>
      </c>
      <c r="E2206" s="7" t="s">
        <v>11</v>
      </c>
      <c r="F2206" s="7" t="s">
        <v>18</v>
      </c>
      <c r="G2206" s="7" t="s">
        <v>19</v>
      </c>
      <c r="H2206" s="7" t="s">
        <v>5581</v>
      </c>
      <c r="I2206" s="8" t="s">
        <v>5593</v>
      </c>
    </row>
    <row r="2207" spans="1:9" x14ac:dyDescent="0.35">
      <c r="A2207" s="6">
        <v>2565859</v>
      </c>
      <c r="B2207" s="7" t="str">
        <f>"3328182502900003"</f>
        <v>3328182502900003</v>
      </c>
      <c r="C2207" s="7" t="s">
        <v>5690</v>
      </c>
      <c r="D2207" s="7" t="s">
        <v>17</v>
      </c>
      <c r="E2207" s="7" t="s">
        <v>11</v>
      </c>
      <c r="F2207" s="7" t="s">
        <v>18</v>
      </c>
      <c r="G2207" s="7" t="s">
        <v>19</v>
      </c>
      <c r="H2207" s="7" t="s">
        <v>5581</v>
      </c>
      <c r="I2207" s="8" t="s">
        <v>5593</v>
      </c>
    </row>
    <row r="2208" spans="1:9" x14ac:dyDescent="0.35">
      <c r="A2208" s="6">
        <v>2566569</v>
      </c>
      <c r="B2208" s="7" t="str">
        <f>"3328182506800002"</f>
        <v>3328182506800002</v>
      </c>
      <c r="C2208" s="7" t="s">
        <v>5694</v>
      </c>
      <c r="D2208" s="7" t="s">
        <v>17</v>
      </c>
      <c r="E2208" s="7" t="s">
        <v>11</v>
      </c>
      <c r="F2208" s="7" t="s">
        <v>18</v>
      </c>
      <c r="G2208" s="7" t="s">
        <v>19</v>
      </c>
      <c r="H2208" s="7" t="s">
        <v>5581</v>
      </c>
      <c r="I2208" s="8" t="s">
        <v>5645</v>
      </c>
    </row>
    <row r="2209" spans="1:9" x14ac:dyDescent="0.35">
      <c r="A2209" s="6">
        <v>2565705</v>
      </c>
      <c r="B2209" s="7" t="str">
        <f>"3328182507800002"</f>
        <v>3328182507800002</v>
      </c>
      <c r="C2209" s="7" t="s">
        <v>5695</v>
      </c>
      <c r="D2209" s="7" t="s">
        <v>17</v>
      </c>
      <c r="E2209" s="7" t="s">
        <v>11</v>
      </c>
      <c r="F2209" s="7" t="s">
        <v>18</v>
      </c>
      <c r="G2209" s="7" t="s">
        <v>19</v>
      </c>
      <c r="H2209" s="7" t="s">
        <v>5581</v>
      </c>
      <c r="I2209" s="8" t="s">
        <v>5593</v>
      </c>
    </row>
    <row r="2210" spans="1:9" x14ac:dyDescent="0.35">
      <c r="A2210" s="6">
        <v>2566285</v>
      </c>
      <c r="B2210" s="7" t="str">
        <f>"3328182604850005"</f>
        <v>3328182604850005</v>
      </c>
      <c r="C2210" s="7" t="s">
        <v>5697</v>
      </c>
      <c r="D2210" s="7" t="s">
        <v>17</v>
      </c>
      <c r="E2210" s="7" t="s">
        <v>11</v>
      </c>
      <c r="F2210" s="7" t="s">
        <v>18</v>
      </c>
      <c r="G2210" s="7" t="s">
        <v>19</v>
      </c>
      <c r="H2210" s="7" t="s">
        <v>5581</v>
      </c>
      <c r="I2210" s="8" t="s">
        <v>5589</v>
      </c>
    </row>
    <row r="2211" spans="1:9" x14ac:dyDescent="0.35">
      <c r="A2211" s="6">
        <v>712530</v>
      </c>
      <c r="B2211" s="7" t="str">
        <f>"3328182709900003"</f>
        <v>3328182709900003</v>
      </c>
      <c r="C2211" s="7" t="s">
        <v>5699</v>
      </c>
      <c r="D2211" s="7" t="s">
        <v>17</v>
      </c>
      <c r="E2211" s="7" t="s">
        <v>11</v>
      </c>
      <c r="F2211" s="7" t="s">
        <v>12</v>
      </c>
      <c r="G2211" s="7" t="s">
        <v>1232</v>
      </c>
      <c r="H2211" s="7" t="s">
        <v>5583</v>
      </c>
      <c r="I2211" s="8" t="s">
        <v>5584</v>
      </c>
    </row>
    <row r="2212" spans="1:9" x14ac:dyDescent="0.35">
      <c r="A2212" s="6">
        <v>2565911</v>
      </c>
      <c r="B2212" s="7" t="str">
        <f>"3328183107830001"</f>
        <v>3328183107830001</v>
      </c>
      <c r="C2212" s="7" t="s">
        <v>5701</v>
      </c>
      <c r="D2212" s="7" t="s">
        <v>17</v>
      </c>
      <c r="E2212" s="7" t="s">
        <v>11</v>
      </c>
      <c r="F2212" s="7" t="s">
        <v>18</v>
      </c>
      <c r="G2212" s="7" t="s">
        <v>19</v>
      </c>
      <c r="H2212" s="7" t="s">
        <v>5581</v>
      </c>
      <c r="I2212" s="8" t="s">
        <v>5593</v>
      </c>
    </row>
    <row r="2213" spans="1:9" x14ac:dyDescent="0.35">
      <c r="A2213" s="6">
        <v>1590453</v>
      </c>
      <c r="B2213" s="7" t="str">
        <f>"3328184107870145"</f>
        <v>3328184107870145</v>
      </c>
      <c r="C2213" s="7" t="s">
        <v>5702</v>
      </c>
      <c r="D2213" s="7" t="s">
        <v>17</v>
      </c>
      <c r="E2213" s="7" t="s">
        <v>11</v>
      </c>
      <c r="F2213" s="7" t="s">
        <v>18</v>
      </c>
      <c r="G2213" s="7" t="s">
        <v>1349</v>
      </c>
      <c r="H2213" s="7" t="s">
        <v>5643</v>
      </c>
      <c r="I2213" s="8" t="s">
        <v>1387</v>
      </c>
    </row>
    <row r="2214" spans="1:9" x14ac:dyDescent="0.35">
      <c r="A2214" s="6">
        <v>2104709</v>
      </c>
      <c r="B2214" s="7" t="str">
        <f>"3328184202770003"</f>
        <v>3328184202770003</v>
      </c>
      <c r="C2214" s="7" t="s">
        <v>5704</v>
      </c>
      <c r="D2214" s="7" t="s">
        <v>17</v>
      </c>
      <c r="E2214" s="7" t="s">
        <v>11</v>
      </c>
      <c r="F2214" s="7" t="s">
        <v>67</v>
      </c>
      <c r="G2214" s="7" t="s">
        <v>638</v>
      </c>
      <c r="H2214" s="7" t="s">
        <v>3820</v>
      </c>
      <c r="I2214" s="8" t="s">
        <v>3820</v>
      </c>
    </row>
    <row r="2215" spans="1:9" x14ac:dyDescent="0.35">
      <c r="A2215" s="6">
        <v>2565537</v>
      </c>
      <c r="B2215" s="7" t="str">
        <f>"3328184203040001"</f>
        <v>3328184203040001</v>
      </c>
      <c r="C2215" s="7" t="s">
        <v>5705</v>
      </c>
      <c r="D2215" s="7" t="s">
        <v>17</v>
      </c>
      <c r="E2215" s="7" t="s">
        <v>11</v>
      </c>
      <c r="F2215" s="7" t="s">
        <v>18</v>
      </c>
      <c r="G2215" s="7" t="s">
        <v>19</v>
      </c>
      <c r="H2215" s="7" t="s">
        <v>5581</v>
      </c>
      <c r="I2215" s="8" t="s">
        <v>5634</v>
      </c>
    </row>
    <row r="2216" spans="1:9" x14ac:dyDescent="0.35">
      <c r="A2216" s="6">
        <v>342776</v>
      </c>
      <c r="B2216" s="7" t="str">
        <f>"3328184301930006"</f>
        <v>3328184301930006</v>
      </c>
      <c r="C2216" s="7" t="s">
        <v>5710</v>
      </c>
      <c r="D2216" s="7" t="s">
        <v>17</v>
      </c>
      <c r="E2216" s="7" t="s">
        <v>11</v>
      </c>
      <c r="F2216" s="7" t="s">
        <v>2820</v>
      </c>
      <c r="G2216" s="7" t="s">
        <v>3646</v>
      </c>
      <c r="H2216" s="7" t="s">
        <v>5711</v>
      </c>
      <c r="I2216" s="8" t="s">
        <v>5712</v>
      </c>
    </row>
    <row r="2217" spans="1:9" x14ac:dyDescent="0.35">
      <c r="A2217" s="6">
        <v>2565459</v>
      </c>
      <c r="B2217" s="7" t="str">
        <f>"3328184804950003"</f>
        <v>3328184804950003</v>
      </c>
      <c r="C2217" s="7" t="s">
        <v>5713</v>
      </c>
      <c r="D2217" s="7" t="s">
        <v>17</v>
      </c>
      <c r="E2217" s="7" t="s">
        <v>11</v>
      </c>
      <c r="F2217" s="7" t="s">
        <v>18</v>
      </c>
      <c r="G2217" s="7" t="s">
        <v>19</v>
      </c>
      <c r="H2217" s="7" t="s">
        <v>5581</v>
      </c>
      <c r="I2217" s="8" t="s">
        <v>5611</v>
      </c>
    </row>
    <row r="2218" spans="1:9" x14ac:dyDescent="0.35">
      <c r="A2218" s="6">
        <v>2565706</v>
      </c>
      <c r="B2218" s="7" t="str">
        <f>"3328184905890003"</f>
        <v>3328184905890003</v>
      </c>
      <c r="C2218" s="7" t="s">
        <v>5715</v>
      </c>
      <c r="D2218" s="7" t="s">
        <v>17</v>
      </c>
      <c r="E2218" s="7" t="s">
        <v>11</v>
      </c>
      <c r="F2218" s="7" t="s">
        <v>18</v>
      </c>
      <c r="G2218" s="7" t="s">
        <v>19</v>
      </c>
      <c r="H2218" s="7" t="s">
        <v>5581</v>
      </c>
      <c r="I2218" s="8" t="s">
        <v>5593</v>
      </c>
    </row>
    <row r="2219" spans="1:9" x14ac:dyDescent="0.35">
      <c r="A2219" s="6">
        <v>2565404</v>
      </c>
      <c r="B2219" s="7" t="str">
        <f>"3328185006980001"</f>
        <v>3328185006980001</v>
      </c>
      <c r="C2219" s="7" t="s">
        <v>5718</v>
      </c>
      <c r="D2219" s="7" t="s">
        <v>17</v>
      </c>
      <c r="E2219" s="7" t="s">
        <v>11</v>
      </c>
      <c r="F2219" s="7" t="s">
        <v>18</v>
      </c>
      <c r="G2219" s="7" t="s">
        <v>19</v>
      </c>
      <c r="H2219" s="7" t="s">
        <v>5581</v>
      </c>
      <c r="I2219" s="8" t="s">
        <v>5611</v>
      </c>
    </row>
    <row r="2220" spans="1:9" x14ac:dyDescent="0.35">
      <c r="A2220" s="6">
        <v>2565774</v>
      </c>
      <c r="B2220" s="7" t="str">
        <f>"3328185006990004"</f>
        <v>3328185006990004</v>
      </c>
      <c r="C2220" s="7" t="s">
        <v>5722</v>
      </c>
      <c r="D2220" s="7" t="s">
        <v>17</v>
      </c>
      <c r="E2220" s="7" t="s">
        <v>11</v>
      </c>
      <c r="F2220" s="7" t="s">
        <v>18</v>
      </c>
      <c r="G2220" s="7" t="s">
        <v>19</v>
      </c>
      <c r="H2220" s="7" t="s">
        <v>5581</v>
      </c>
      <c r="I2220" s="8" t="s">
        <v>5593</v>
      </c>
    </row>
    <row r="2221" spans="1:9" x14ac:dyDescent="0.35">
      <c r="A2221" s="6">
        <v>1269827</v>
      </c>
      <c r="B2221" s="7" t="str">
        <f>"3328185104050002"</f>
        <v>3328185104050002</v>
      </c>
      <c r="C2221" s="7" t="s">
        <v>5723</v>
      </c>
      <c r="D2221" s="7" t="s">
        <v>17</v>
      </c>
      <c r="E2221" s="7" t="s">
        <v>57</v>
      </c>
      <c r="F2221" s="7" t="s">
        <v>303</v>
      </c>
      <c r="G2221" s="7" t="s">
        <v>5375</v>
      </c>
      <c r="H2221" s="7" t="s">
        <v>3561</v>
      </c>
      <c r="I2221" s="8" t="s">
        <v>5724</v>
      </c>
    </row>
    <row r="2222" spans="1:9" x14ac:dyDescent="0.35">
      <c r="A2222" s="6">
        <v>2565913</v>
      </c>
      <c r="B2222" s="7" t="str">
        <f>"3328185212780002"</f>
        <v>3328185212780002</v>
      </c>
      <c r="C2222" s="7" t="s">
        <v>5725</v>
      </c>
      <c r="D2222" s="7" t="s">
        <v>17</v>
      </c>
      <c r="E2222" s="7" t="s">
        <v>11</v>
      </c>
      <c r="F2222" s="7" t="s">
        <v>18</v>
      </c>
      <c r="G2222" s="7" t="s">
        <v>19</v>
      </c>
      <c r="H2222" s="7" t="s">
        <v>5581</v>
      </c>
      <c r="I2222" s="8" t="s">
        <v>5593</v>
      </c>
    </row>
    <row r="2223" spans="1:9" x14ac:dyDescent="0.35">
      <c r="A2223" s="6">
        <v>2566697</v>
      </c>
      <c r="B2223" s="7" t="str">
        <f>"3328185212850002"</f>
        <v>3328185212850002</v>
      </c>
      <c r="C2223" s="7" t="s">
        <v>5728</v>
      </c>
      <c r="D2223" s="7" t="s">
        <v>17</v>
      </c>
      <c r="E2223" s="7" t="s">
        <v>11</v>
      </c>
      <c r="F2223" s="7" t="s">
        <v>18</v>
      </c>
      <c r="G2223" s="7" t="s">
        <v>19</v>
      </c>
      <c r="H2223" s="7" t="s">
        <v>5581</v>
      </c>
      <c r="I2223" s="8" t="s">
        <v>5645</v>
      </c>
    </row>
    <row r="2224" spans="1:9" x14ac:dyDescent="0.35">
      <c r="A2224" s="6">
        <v>1683930</v>
      </c>
      <c r="B2224" s="7" t="str">
        <f>"3328185307960004"</f>
        <v>3328185307960004</v>
      </c>
      <c r="C2224" s="7" t="s">
        <v>5729</v>
      </c>
      <c r="D2224" s="7" t="s">
        <v>17</v>
      </c>
      <c r="E2224" s="7" t="s">
        <v>11</v>
      </c>
      <c r="F2224" s="7" t="s">
        <v>18</v>
      </c>
      <c r="G2224" s="7" t="s">
        <v>264</v>
      </c>
      <c r="H2224" s="7" t="s">
        <v>265</v>
      </c>
      <c r="I2224" s="8" t="s">
        <v>5730</v>
      </c>
    </row>
    <row r="2225" spans="1:9" x14ac:dyDescent="0.35">
      <c r="A2225" s="6">
        <v>2565707</v>
      </c>
      <c r="B2225" s="7" t="str">
        <f>"3328185310870002"</f>
        <v>3328185310870002</v>
      </c>
      <c r="C2225" s="7" t="s">
        <v>5731</v>
      </c>
      <c r="D2225" s="7" t="s">
        <v>17</v>
      </c>
      <c r="E2225" s="7" t="s">
        <v>11</v>
      </c>
      <c r="F2225" s="7" t="s">
        <v>18</v>
      </c>
      <c r="G2225" s="7" t="s">
        <v>19</v>
      </c>
      <c r="H2225" s="7" t="s">
        <v>5581</v>
      </c>
      <c r="I2225" s="8" t="s">
        <v>5593</v>
      </c>
    </row>
    <row r="2226" spans="1:9" x14ac:dyDescent="0.35">
      <c r="A2226" s="6">
        <v>2566035</v>
      </c>
      <c r="B2226" s="7" t="str">
        <f>"3328185508000001"</f>
        <v>3328185508000001</v>
      </c>
      <c r="C2226" s="7" t="s">
        <v>5735</v>
      </c>
      <c r="D2226" s="7" t="s">
        <v>17</v>
      </c>
      <c r="E2226" s="7" t="s">
        <v>11</v>
      </c>
      <c r="F2226" s="7" t="s">
        <v>18</v>
      </c>
      <c r="G2226" s="7" t="s">
        <v>19</v>
      </c>
      <c r="H2226" s="7" t="s">
        <v>5581</v>
      </c>
      <c r="I2226" s="8" t="s">
        <v>5599</v>
      </c>
    </row>
    <row r="2227" spans="1:9" x14ac:dyDescent="0.35">
      <c r="A2227" s="6">
        <v>2565786</v>
      </c>
      <c r="B2227" s="7" t="str">
        <f>"3328185508000004"</f>
        <v>3328185508000004</v>
      </c>
      <c r="C2227" s="7" t="s">
        <v>5736</v>
      </c>
      <c r="D2227" s="7" t="s">
        <v>17</v>
      </c>
      <c r="E2227" s="7" t="s">
        <v>11</v>
      </c>
      <c r="F2227" s="7" t="s">
        <v>18</v>
      </c>
      <c r="G2227" s="7" t="s">
        <v>19</v>
      </c>
      <c r="H2227" s="7" t="s">
        <v>5581</v>
      </c>
      <c r="I2227" s="8" t="s">
        <v>5593</v>
      </c>
    </row>
    <row r="2228" spans="1:9" x14ac:dyDescent="0.35">
      <c r="A2228" s="6">
        <v>2565884</v>
      </c>
      <c r="B2228" s="7" t="str">
        <f>"3328185701830003"</f>
        <v>3328185701830003</v>
      </c>
      <c r="C2228" s="7" t="s">
        <v>450</v>
      </c>
      <c r="D2228" s="7" t="s">
        <v>17</v>
      </c>
      <c r="E2228" s="7" t="s">
        <v>11</v>
      </c>
      <c r="F2228" s="7" t="s">
        <v>18</v>
      </c>
      <c r="G2228" s="7" t="s">
        <v>19</v>
      </c>
      <c r="H2228" s="7" t="s">
        <v>5581</v>
      </c>
      <c r="I2228" s="8" t="s">
        <v>5593</v>
      </c>
    </row>
    <row r="2229" spans="1:9" x14ac:dyDescent="0.35">
      <c r="A2229" s="6">
        <v>2566872</v>
      </c>
      <c r="B2229" s="7" t="str">
        <f>"3328185712840003"</f>
        <v>3328185712840003</v>
      </c>
      <c r="C2229" s="7" t="s">
        <v>5738</v>
      </c>
      <c r="D2229" s="7" t="s">
        <v>17</v>
      </c>
      <c r="E2229" s="7" t="s">
        <v>11</v>
      </c>
      <c r="F2229" s="7" t="s">
        <v>18</v>
      </c>
      <c r="G2229" s="7" t="s">
        <v>19</v>
      </c>
      <c r="H2229" s="7" t="s">
        <v>5581</v>
      </c>
      <c r="I2229" s="8" t="s">
        <v>5581</v>
      </c>
    </row>
    <row r="2230" spans="1:9" x14ac:dyDescent="0.35">
      <c r="A2230" s="6">
        <v>2566622</v>
      </c>
      <c r="B2230" s="7" t="str">
        <f>"3328185801050004"</f>
        <v>3328185801050004</v>
      </c>
      <c r="C2230" s="7" t="s">
        <v>5741</v>
      </c>
      <c r="D2230" s="7" t="s">
        <v>17</v>
      </c>
      <c r="E2230" s="7" t="s">
        <v>11</v>
      </c>
      <c r="F2230" s="7" t="s">
        <v>18</v>
      </c>
      <c r="G2230" s="7" t="s">
        <v>19</v>
      </c>
      <c r="H2230" s="7" t="s">
        <v>5581</v>
      </c>
      <c r="I2230" s="8" t="s">
        <v>5645</v>
      </c>
    </row>
    <row r="2231" spans="1:9" x14ac:dyDescent="0.35">
      <c r="A2231" s="6">
        <v>2566842</v>
      </c>
      <c r="B2231" s="7" t="str">
        <f>"3328187112840012"</f>
        <v>3328187112840012</v>
      </c>
      <c r="C2231" s="7" t="s">
        <v>5746</v>
      </c>
      <c r="D2231" s="7" t="s">
        <v>17</v>
      </c>
      <c r="E2231" s="7" t="s">
        <v>11</v>
      </c>
      <c r="F2231" s="7" t="s">
        <v>18</v>
      </c>
      <c r="G2231" s="7" t="s">
        <v>19</v>
      </c>
      <c r="H2231" s="7" t="s">
        <v>5581</v>
      </c>
      <c r="I2231" s="8" t="s">
        <v>5581</v>
      </c>
    </row>
    <row r="2232" spans="1:9" x14ac:dyDescent="0.35">
      <c r="A2232" s="6">
        <v>1610933</v>
      </c>
      <c r="B2232" s="7" t="str">
        <f>"3329032008800004"</f>
        <v>3329032008800004</v>
      </c>
      <c r="C2232" s="7" t="s">
        <v>5747</v>
      </c>
      <c r="D2232" s="7" t="s">
        <v>17</v>
      </c>
      <c r="E2232" s="7" t="s">
        <v>11</v>
      </c>
      <c r="F2232" s="7" t="s">
        <v>18</v>
      </c>
      <c r="G2232" s="7" t="s">
        <v>264</v>
      </c>
      <c r="H2232" s="7" t="s">
        <v>461</v>
      </c>
      <c r="I2232" s="8" t="s">
        <v>1458</v>
      </c>
    </row>
    <row r="2233" spans="1:9" x14ac:dyDescent="0.35">
      <c r="A2233" s="6">
        <v>2565776</v>
      </c>
      <c r="B2233" s="7" t="str">
        <f>"3329032008800004"</f>
        <v>3329032008800004</v>
      </c>
      <c r="C2233" s="7" t="s">
        <v>5747</v>
      </c>
      <c r="D2233" s="7" t="s">
        <v>17</v>
      </c>
      <c r="E2233" s="7" t="s">
        <v>11</v>
      </c>
      <c r="F2233" s="7" t="s">
        <v>18</v>
      </c>
      <c r="G2233" s="7" t="s">
        <v>19</v>
      </c>
      <c r="H2233" s="7" t="s">
        <v>5581</v>
      </c>
      <c r="I2233" s="8" t="s">
        <v>5593</v>
      </c>
    </row>
    <row r="2234" spans="1:9" x14ac:dyDescent="0.35">
      <c r="A2234" s="6">
        <v>1679656</v>
      </c>
      <c r="B2234" s="7" t="str">
        <f>"3329050112570002"</f>
        <v>3329050112570002</v>
      </c>
      <c r="C2234" s="7" t="s">
        <v>3155</v>
      </c>
      <c r="D2234" s="7" t="s">
        <v>17</v>
      </c>
      <c r="E2234" s="7" t="s">
        <v>11</v>
      </c>
      <c r="F2234" s="7" t="s">
        <v>18</v>
      </c>
      <c r="G2234" s="7" t="s">
        <v>264</v>
      </c>
      <c r="H2234" s="7" t="s">
        <v>289</v>
      </c>
      <c r="I2234" s="8" t="s">
        <v>5748</v>
      </c>
    </row>
    <row r="2235" spans="1:9" x14ac:dyDescent="0.35">
      <c r="A2235" s="6">
        <v>2565784</v>
      </c>
      <c r="B2235" s="7" t="str">
        <f>"3329064607980002"</f>
        <v>3329064607980002</v>
      </c>
      <c r="C2235" s="7" t="s">
        <v>5750</v>
      </c>
      <c r="D2235" s="7" t="s">
        <v>17</v>
      </c>
      <c r="E2235" s="7" t="s">
        <v>11</v>
      </c>
      <c r="F2235" s="7" t="s">
        <v>18</v>
      </c>
      <c r="G2235" s="7" t="s">
        <v>19</v>
      </c>
      <c r="H2235" s="7" t="s">
        <v>5581</v>
      </c>
      <c r="I2235" s="8" t="s">
        <v>5593</v>
      </c>
    </row>
    <row r="2236" spans="1:9" x14ac:dyDescent="0.35">
      <c r="A2236" s="6">
        <v>2565205</v>
      </c>
      <c r="B2236" s="7" t="str">
        <f>"3329070508910002"</f>
        <v>3329070508910002</v>
      </c>
      <c r="C2236" s="7" t="s">
        <v>5752</v>
      </c>
      <c r="D2236" s="7" t="s">
        <v>17</v>
      </c>
      <c r="E2236" s="7" t="s">
        <v>11</v>
      </c>
      <c r="F2236" s="7" t="s">
        <v>18</v>
      </c>
      <c r="G2236" s="7" t="s">
        <v>19</v>
      </c>
      <c r="H2236" s="7" t="s">
        <v>5581</v>
      </c>
      <c r="I2236" s="8" t="s">
        <v>5611</v>
      </c>
    </row>
    <row r="2237" spans="1:9" x14ac:dyDescent="0.35">
      <c r="A2237" s="6">
        <v>2565792</v>
      </c>
      <c r="B2237" s="7" t="str">
        <f>"3329070606860001"</f>
        <v>3329070606860001</v>
      </c>
      <c r="C2237" s="7" t="s">
        <v>5753</v>
      </c>
      <c r="D2237" s="7" t="s">
        <v>17</v>
      </c>
      <c r="E2237" s="7" t="s">
        <v>11</v>
      </c>
      <c r="F2237" s="7" t="s">
        <v>18</v>
      </c>
      <c r="G2237" s="7" t="s">
        <v>19</v>
      </c>
      <c r="H2237" s="7" t="s">
        <v>5581</v>
      </c>
      <c r="I2237" s="8" t="s">
        <v>5593</v>
      </c>
    </row>
    <row r="2238" spans="1:9" x14ac:dyDescent="0.35">
      <c r="A2238" s="6">
        <v>2565798</v>
      </c>
      <c r="B2238" s="7" t="str">
        <f>"3329070609960006"</f>
        <v>3329070609960006</v>
      </c>
      <c r="C2238" s="7" t="s">
        <v>5754</v>
      </c>
      <c r="D2238" s="7" t="s">
        <v>17</v>
      </c>
      <c r="E2238" s="7" t="s">
        <v>11</v>
      </c>
      <c r="F2238" s="7" t="s">
        <v>18</v>
      </c>
      <c r="G2238" s="7" t="s">
        <v>19</v>
      </c>
      <c r="H2238" s="7" t="s">
        <v>5581</v>
      </c>
      <c r="I2238" s="8" t="s">
        <v>5593</v>
      </c>
    </row>
    <row r="2239" spans="1:9" x14ac:dyDescent="0.35">
      <c r="A2239" s="6">
        <v>2566739</v>
      </c>
      <c r="B2239" s="7" t="str">
        <f>"3329070903750001"</f>
        <v>3329070903750001</v>
      </c>
      <c r="C2239" s="7" t="s">
        <v>5756</v>
      </c>
      <c r="D2239" s="7" t="s">
        <v>17</v>
      </c>
      <c r="E2239" s="7" t="s">
        <v>11</v>
      </c>
      <c r="F2239" s="7" t="s">
        <v>18</v>
      </c>
      <c r="G2239" s="7" t="s">
        <v>19</v>
      </c>
      <c r="H2239" s="7" t="s">
        <v>5581</v>
      </c>
      <c r="I2239" s="8" t="s">
        <v>5581</v>
      </c>
    </row>
    <row r="2240" spans="1:9" x14ac:dyDescent="0.35">
      <c r="A2240" s="6">
        <v>2565940</v>
      </c>
      <c r="B2240" s="7" t="str">
        <f>"3329070911980001"</f>
        <v>3329070911980001</v>
      </c>
      <c r="C2240" s="7" t="s">
        <v>5757</v>
      </c>
      <c r="D2240" s="7" t="s">
        <v>17</v>
      </c>
      <c r="E2240" s="7" t="s">
        <v>11</v>
      </c>
      <c r="F2240" s="7" t="s">
        <v>18</v>
      </c>
      <c r="G2240" s="7" t="s">
        <v>19</v>
      </c>
      <c r="H2240" s="7" t="s">
        <v>5581</v>
      </c>
      <c r="I2240" s="8" t="s">
        <v>5593</v>
      </c>
    </row>
    <row r="2241" spans="1:9" x14ac:dyDescent="0.35">
      <c r="A2241" s="6">
        <v>1694878</v>
      </c>
      <c r="B2241" s="7" t="str">
        <f>"3329072101730004"</f>
        <v>3329072101730004</v>
      </c>
      <c r="C2241" s="7" t="s">
        <v>458</v>
      </c>
      <c r="D2241" s="7" t="s">
        <v>17</v>
      </c>
      <c r="E2241" s="7" t="s">
        <v>11</v>
      </c>
      <c r="F2241" s="7" t="s">
        <v>18</v>
      </c>
      <c r="G2241" s="7" t="s">
        <v>264</v>
      </c>
      <c r="H2241" s="7" t="s">
        <v>265</v>
      </c>
      <c r="I2241" s="8" t="s">
        <v>1598</v>
      </c>
    </row>
    <row r="2242" spans="1:9" x14ac:dyDescent="0.35">
      <c r="A2242" s="6">
        <v>1685760</v>
      </c>
      <c r="B2242" s="7" t="str">
        <f>"3329072104860003"</f>
        <v>3329072104860003</v>
      </c>
      <c r="C2242" s="7" t="s">
        <v>5759</v>
      </c>
      <c r="D2242" s="7" t="s">
        <v>17</v>
      </c>
      <c r="E2242" s="7" t="s">
        <v>11</v>
      </c>
      <c r="F2242" s="7" t="s">
        <v>18</v>
      </c>
      <c r="G2242" s="7" t="s">
        <v>264</v>
      </c>
      <c r="H2242" s="7" t="s">
        <v>265</v>
      </c>
      <c r="I2242" s="8" t="s">
        <v>3944</v>
      </c>
    </row>
    <row r="2243" spans="1:9" x14ac:dyDescent="0.35">
      <c r="A2243" s="6">
        <v>2565708</v>
      </c>
      <c r="B2243" s="7" t="str">
        <f>"3329072302880002"</f>
        <v>3329072302880002</v>
      </c>
      <c r="C2243" s="7" t="s">
        <v>5760</v>
      </c>
      <c r="D2243" s="7" t="s">
        <v>17</v>
      </c>
      <c r="E2243" s="7" t="s">
        <v>11</v>
      </c>
      <c r="F2243" s="7" t="s">
        <v>18</v>
      </c>
      <c r="G2243" s="7" t="s">
        <v>19</v>
      </c>
      <c r="H2243" s="7" t="s">
        <v>5581</v>
      </c>
      <c r="I2243" s="8" t="s">
        <v>5593</v>
      </c>
    </row>
    <row r="2244" spans="1:9" x14ac:dyDescent="0.35">
      <c r="A2244" s="6">
        <v>2565966</v>
      </c>
      <c r="B2244" s="7" t="str">
        <f>"3329072701800003"</f>
        <v>3329072701800003</v>
      </c>
      <c r="C2244" s="7" t="s">
        <v>5761</v>
      </c>
      <c r="D2244" s="7" t="s">
        <v>17</v>
      </c>
      <c r="E2244" s="7" t="s">
        <v>11</v>
      </c>
      <c r="F2244" s="7" t="s">
        <v>18</v>
      </c>
      <c r="G2244" s="7" t="s">
        <v>19</v>
      </c>
      <c r="H2244" s="7" t="s">
        <v>5581</v>
      </c>
      <c r="I2244" s="8" t="s">
        <v>5593</v>
      </c>
    </row>
    <row r="2245" spans="1:9" x14ac:dyDescent="0.35">
      <c r="A2245" s="6">
        <v>2565535</v>
      </c>
      <c r="B2245" s="7" t="str">
        <f>"3329073110030001"</f>
        <v>3329073110030001</v>
      </c>
      <c r="C2245" s="7" t="s">
        <v>5762</v>
      </c>
      <c r="D2245" s="7" t="s">
        <v>17</v>
      </c>
      <c r="E2245" s="7" t="s">
        <v>11</v>
      </c>
      <c r="F2245" s="7" t="s">
        <v>18</v>
      </c>
      <c r="G2245" s="7" t="s">
        <v>19</v>
      </c>
      <c r="H2245" s="7" t="s">
        <v>5581</v>
      </c>
      <c r="I2245" s="8" t="s">
        <v>5634</v>
      </c>
    </row>
    <row r="2246" spans="1:9" x14ac:dyDescent="0.35">
      <c r="A2246" s="6">
        <v>2566218</v>
      </c>
      <c r="B2246" s="7" t="str">
        <f>"3329075109900001"</f>
        <v>3329075109900001</v>
      </c>
      <c r="C2246" s="7" t="s">
        <v>5763</v>
      </c>
      <c r="D2246" s="7" t="s">
        <v>17</v>
      </c>
      <c r="E2246" s="7" t="s">
        <v>11</v>
      </c>
      <c r="F2246" s="7" t="s">
        <v>18</v>
      </c>
      <c r="G2246" s="7" t="s">
        <v>19</v>
      </c>
      <c r="H2246" s="7" t="s">
        <v>5581</v>
      </c>
      <c r="I2246" s="8" t="s">
        <v>5582</v>
      </c>
    </row>
    <row r="2247" spans="1:9" x14ac:dyDescent="0.35">
      <c r="A2247" s="6">
        <v>2565534</v>
      </c>
      <c r="B2247" s="7" t="str">
        <f>"3329075303010001"</f>
        <v>3329075303010001</v>
      </c>
      <c r="C2247" s="7" t="s">
        <v>5764</v>
      </c>
      <c r="D2247" s="7" t="s">
        <v>17</v>
      </c>
      <c r="E2247" s="7" t="s">
        <v>11</v>
      </c>
      <c r="F2247" s="7" t="s">
        <v>18</v>
      </c>
      <c r="G2247" s="7" t="s">
        <v>19</v>
      </c>
      <c r="H2247" s="7" t="s">
        <v>5581</v>
      </c>
      <c r="I2247" s="8" t="s">
        <v>5634</v>
      </c>
    </row>
    <row r="2248" spans="1:9" x14ac:dyDescent="0.35">
      <c r="A2248" s="6">
        <v>1661115</v>
      </c>
      <c r="B2248" s="7" t="str">
        <f>"3329092002040004"</f>
        <v>3329092002040004</v>
      </c>
      <c r="C2248" s="7" t="s">
        <v>5765</v>
      </c>
      <c r="D2248" s="7" t="s">
        <v>17</v>
      </c>
      <c r="E2248" s="7" t="s">
        <v>11</v>
      </c>
      <c r="F2248" s="7" t="s">
        <v>18</v>
      </c>
      <c r="G2248" s="7" t="s">
        <v>264</v>
      </c>
      <c r="H2248" s="7" t="s">
        <v>264</v>
      </c>
      <c r="I2248" s="8" t="s">
        <v>5766</v>
      </c>
    </row>
    <row r="2249" spans="1:9" x14ac:dyDescent="0.35">
      <c r="A2249" s="6">
        <v>2566121</v>
      </c>
      <c r="B2249" s="7" t="str">
        <f>"3329094101020002"</f>
        <v>3329094101020002</v>
      </c>
      <c r="C2249" s="7" t="s">
        <v>5767</v>
      </c>
      <c r="D2249" s="7" t="s">
        <v>17</v>
      </c>
      <c r="E2249" s="7" t="s">
        <v>11</v>
      </c>
      <c r="F2249" s="7" t="s">
        <v>18</v>
      </c>
      <c r="G2249" s="7" t="s">
        <v>19</v>
      </c>
      <c r="H2249" s="7" t="s">
        <v>5581</v>
      </c>
      <c r="I2249" s="8" t="s">
        <v>5582</v>
      </c>
    </row>
    <row r="2250" spans="1:9" x14ac:dyDescent="0.35">
      <c r="A2250" s="6">
        <v>1661229</v>
      </c>
      <c r="B2250" s="7" t="str">
        <f>"3329094101020002"</f>
        <v>3329094101020002</v>
      </c>
      <c r="C2250" s="7" t="s">
        <v>5768</v>
      </c>
      <c r="D2250" s="7" t="s">
        <v>17</v>
      </c>
      <c r="E2250" s="7" t="s">
        <v>11</v>
      </c>
      <c r="F2250" s="7" t="s">
        <v>18</v>
      </c>
      <c r="G2250" s="7" t="s">
        <v>264</v>
      </c>
      <c r="H2250" s="7" t="s">
        <v>264</v>
      </c>
      <c r="I2250" s="8" t="s">
        <v>5766</v>
      </c>
    </row>
    <row r="2251" spans="1:9" x14ac:dyDescent="0.35">
      <c r="A2251" s="6">
        <v>1610267</v>
      </c>
      <c r="B2251" s="7" t="str">
        <f>"3329094612950009"</f>
        <v>3329094612950009</v>
      </c>
      <c r="C2251" s="7" t="s">
        <v>5770</v>
      </c>
      <c r="D2251" s="7" t="s">
        <v>17</v>
      </c>
      <c r="E2251" s="7" t="s">
        <v>11</v>
      </c>
      <c r="F2251" s="7" t="s">
        <v>18</v>
      </c>
      <c r="G2251" s="7" t="s">
        <v>264</v>
      </c>
      <c r="H2251" s="7" t="s">
        <v>264</v>
      </c>
      <c r="I2251" s="8" t="s">
        <v>2004</v>
      </c>
    </row>
    <row r="2252" spans="1:9" x14ac:dyDescent="0.35">
      <c r="A2252" s="6">
        <v>2565748</v>
      </c>
      <c r="B2252" s="7" t="str">
        <f>"3329095605990009"</f>
        <v>3329095605990009</v>
      </c>
      <c r="C2252" s="7" t="s">
        <v>5771</v>
      </c>
      <c r="D2252" s="7" t="s">
        <v>17</v>
      </c>
      <c r="E2252" s="7" t="s">
        <v>11</v>
      </c>
      <c r="F2252" s="7" t="s">
        <v>18</v>
      </c>
      <c r="G2252" s="7" t="s">
        <v>19</v>
      </c>
      <c r="H2252" s="7" t="s">
        <v>5581</v>
      </c>
      <c r="I2252" s="8" t="s">
        <v>5593</v>
      </c>
    </row>
    <row r="2253" spans="1:9" x14ac:dyDescent="0.35">
      <c r="A2253" s="6">
        <v>2565994</v>
      </c>
      <c r="B2253" s="7" t="str">
        <f>"3329142610790004"</f>
        <v>3329142610790004</v>
      </c>
      <c r="C2253" s="7" t="s">
        <v>5774</v>
      </c>
      <c r="D2253" s="7" t="s">
        <v>17</v>
      </c>
      <c r="E2253" s="7" t="s">
        <v>11</v>
      </c>
      <c r="F2253" s="7" t="s">
        <v>18</v>
      </c>
      <c r="G2253" s="7" t="s">
        <v>19</v>
      </c>
      <c r="H2253" s="7" t="s">
        <v>5581</v>
      </c>
      <c r="I2253" s="8" t="s">
        <v>5599</v>
      </c>
    </row>
    <row r="2254" spans="1:9" x14ac:dyDescent="0.35">
      <c r="A2254" s="6">
        <v>2566084</v>
      </c>
      <c r="B2254" s="7" t="str">
        <f>"3329156711980001"</f>
        <v>3329156711980001</v>
      </c>
      <c r="C2254" s="7" t="s">
        <v>5775</v>
      </c>
      <c r="D2254" s="7" t="s">
        <v>17</v>
      </c>
      <c r="E2254" s="7" t="s">
        <v>11</v>
      </c>
      <c r="F2254" s="7" t="s">
        <v>18</v>
      </c>
      <c r="G2254" s="7" t="s">
        <v>19</v>
      </c>
      <c r="H2254" s="7" t="s">
        <v>5581</v>
      </c>
      <c r="I2254" s="8" t="s">
        <v>5599</v>
      </c>
    </row>
    <row r="2255" spans="1:9" x14ac:dyDescent="0.35">
      <c r="A2255" s="6">
        <v>494088</v>
      </c>
      <c r="B2255" s="7" t="str">
        <f>"3375011306980003"</f>
        <v>3375011306980003</v>
      </c>
      <c r="C2255" s="7" t="s">
        <v>5776</v>
      </c>
      <c r="D2255" s="7" t="s">
        <v>17</v>
      </c>
      <c r="E2255" s="7" t="s">
        <v>11</v>
      </c>
      <c r="F2255" s="7" t="s">
        <v>18</v>
      </c>
      <c r="G2255" s="7" t="s">
        <v>2753</v>
      </c>
      <c r="H2255" s="7" t="s">
        <v>5777</v>
      </c>
      <c r="I2255" s="8" t="s">
        <v>5778</v>
      </c>
    </row>
    <row r="2256" spans="1:9" x14ac:dyDescent="0.35">
      <c r="A2256" s="6">
        <v>494089</v>
      </c>
      <c r="B2256" s="7" t="str">
        <f>"3375011312000003"</f>
        <v>3375011312000003</v>
      </c>
      <c r="C2256" s="7" t="s">
        <v>5779</v>
      </c>
      <c r="D2256" s="7" t="s">
        <v>17</v>
      </c>
      <c r="E2256" s="7" t="s">
        <v>11</v>
      </c>
      <c r="F2256" s="7" t="s">
        <v>18</v>
      </c>
      <c r="G2256" s="7" t="s">
        <v>2753</v>
      </c>
      <c r="H2256" s="7" t="s">
        <v>5777</v>
      </c>
      <c r="I2256" s="8" t="s">
        <v>5778</v>
      </c>
    </row>
    <row r="2257" spans="1:9" x14ac:dyDescent="0.35">
      <c r="A2257" s="6">
        <v>494090</v>
      </c>
      <c r="B2257" s="7" t="str">
        <f>"3375012203030006"</f>
        <v>3375012203030006</v>
      </c>
      <c r="C2257" s="7" t="s">
        <v>5780</v>
      </c>
      <c r="D2257" s="7" t="s">
        <v>17</v>
      </c>
      <c r="E2257" s="7" t="s">
        <v>11</v>
      </c>
      <c r="F2257" s="7" t="s">
        <v>18</v>
      </c>
      <c r="G2257" s="7" t="s">
        <v>2753</v>
      </c>
      <c r="H2257" s="7" t="s">
        <v>5777</v>
      </c>
      <c r="I2257" s="8" t="s">
        <v>5778</v>
      </c>
    </row>
    <row r="2258" spans="1:9" x14ac:dyDescent="0.35">
      <c r="A2258" s="6">
        <v>494091</v>
      </c>
      <c r="B2258" s="7" t="str">
        <f>"3375014308060004"</f>
        <v>3375014308060004</v>
      </c>
      <c r="C2258" s="7" t="s">
        <v>5781</v>
      </c>
      <c r="D2258" s="7" t="s">
        <v>17</v>
      </c>
      <c r="E2258" s="7" t="s">
        <v>11</v>
      </c>
      <c r="F2258" s="7" t="s">
        <v>18</v>
      </c>
      <c r="G2258" s="7" t="s">
        <v>2753</v>
      </c>
      <c r="H2258" s="7" t="s">
        <v>5777</v>
      </c>
      <c r="I2258" s="8" t="s">
        <v>5778</v>
      </c>
    </row>
    <row r="2259" spans="1:9" x14ac:dyDescent="0.35">
      <c r="A2259" s="6">
        <v>2566609</v>
      </c>
      <c r="B2259" s="7" t="str">
        <f>"3376015503960002"</f>
        <v>3376015503960002</v>
      </c>
      <c r="C2259" s="7" t="s">
        <v>5783</v>
      </c>
      <c r="D2259" s="7" t="s">
        <v>17</v>
      </c>
      <c r="E2259" s="7" t="s">
        <v>11</v>
      </c>
      <c r="F2259" s="7" t="s">
        <v>18</v>
      </c>
      <c r="G2259" s="7" t="s">
        <v>19</v>
      </c>
      <c r="H2259" s="7" t="s">
        <v>5581</v>
      </c>
      <c r="I2259" s="8" t="s">
        <v>5645</v>
      </c>
    </row>
    <row r="2260" spans="1:9" x14ac:dyDescent="0.35">
      <c r="A2260" s="6">
        <v>2566847</v>
      </c>
      <c r="B2260" s="7" t="str">
        <f>"3376022109980001"</f>
        <v>3376022109980001</v>
      </c>
      <c r="C2260" s="7" t="s">
        <v>5784</v>
      </c>
      <c r="D2260" s="7" t="s">
        <v>17</v>
      </c>
      <c r="E2260" s="7" t="s">
        <v>11</v>
      </c>
      <c r="F2260" s="7" t="s">
        <v>18</v>
      </c>
      <c r="G2260" s="7" t="s">
        <v>19</v>
      </c>
      <c r="H2260" s="7" t="s">
        <v>5581</v>
      </c>
      <c r="I2260" s="8" t="s">
        <v>5581</v>
      </c>
    </row>
    <row r="2261" spans="1:9" x14ac:dyDescent="0.35">
      <c r="A2261" s="6">
        <v>2566890</v>
      </c>
      <c r="B2261" s="7" t="str">
        <f>"3376026301980003"</f>
        <v>3376026301980003</v>
      </c>
      <c r="C2261" s="7" t="s">
        <v>5785</v>
      </c>
      <c r="D2261" s="7" t="s">
        <v>17</v>
      </c>
      <c r="E2261" s="7" t="s">
        <v>11</v>
      </c>
      <c r="F2261" s="7" t="s">
        <v>18</v>
      </c>
      <c r="G2261" s="7" t="s">
        <v>19</v>
      </c>
      <c r="H2261" s="7" t="s">
        <v>5581</v>
      </c>
      <c r="I2261" s="8" t="s">
        <v>5581</v>
      </c>
    </row>
    <row r="2262" spans="1:9" x14ac:dyDescent="0.35">
      <c r="A2262" s="6">
        <v>2566920</v>
      </c>
      <c r="B2262" s="7" t="str">
        <f>"3376032801030001"</f>
        <v>3376032801030001</v>
      </c>
      <c r="C2262" s="7" t="s">
        <v>5787</v>
      </c>
      <c r="D2262" s="7" t="s">
        <v>17</v>
      </c>
      <c r="E2262" s="7" t="s">
        <v>11</v>
      </c>
      <c r="F2262" s="7" t="s">
        <v>18</v>
      </c>
      <c r="G2262" s="7" t="s">
        <v>19</v>
      </c>
      <c r="H2262" s="7" t="s">
        <v>5581</v>
      </c>
      <c r="I2262" s="8" t="s">
        <v>5581</v>
      </c>
    </row>
    <row r="2263" spans="1:9" x14ac:dyDescent="0.35">
      <c r="A2263" s="6">
        <v>2566921</v>
      </c>
      <c r="B2263" s="7" t="str">
        <f>"3376036407060001"</f>
        <v>3376036407060001</v>
      </c>
      <c r="C2263" s="7" t="s">
        <v>5788</v>
      </c>
      <c r="D2263" s="7" t="s">
        <v>17</v>
      </c>
      <c r="E2263" s="7" t="s">
        <v>11</v>
      </c>
      <c r="F2263" s="7" t="s">
        <v>18</v>
      </c>
      <c r="G2263" s="7" t="s">
        <v>19</v>
      </c>
      <c r="H2263" s="7" t="s">
        <v>5581</v>
      </c>
      <c r="I2263" s="8" t="s">
        <v>5581</v>
      </c>
    </row>
    <row r="2264" spans="1:9" x14ac:dyDescent="0.35">
      <c r="A2264" s="6">
        <v>2566594</v>
      </c>
      <c r="B2264" s="7" t="str">
        <f>"3501042905880006"</f>
        <v>3501042905880006</v>
      </c>
      <c r="C2264" s="7" t="s">
        <v>5789</v>
      </c>
      <c r="D2264" s="7" t="s">
        <v>17</v>
      </c>
      <c r="E2264" s="7" t="s">
        <v>11</v>
      </c>
      <c r="F2264" s="7" t="s">
        <v>18</v>
      </c>
      <c r="G2264" s="7" t="s">
        <v>19</v>
      </c>
      <c r="H2264" s="7" t="s">
        <v>5581</v>
      </c>
      <c r="I2264" s="8" t="s">
        <v>5645</v>
      </c>
    </row>
    <row r="2265" spans="1:9" x14ac:dyDescent="0.35">
      <c r="A2265" s="6">
        <v>2566261</v>
      </c>
      <c r="B2265" s="7" t="str">
        <f>"3603175307740001"</f>
        <v>3603175307740001</v>
      </c>
      <c r="C2265" s="7" t="s">
        <v>5792</v>
      </c>
      <c r="D2265" s="7" t="s">
        <v>17</v>
      </c>
      <c r="E2265" s="7" t="s">
        <v>11</v>
      </c>
      <c r="F2265" s="7" t="s">
        <v>18</v>
      </c>
      <c r="G2265" s="7" t="s">
        <v>19</v>
      </c>
      <c r="H2265" s="7" t="s">
        <v>5581</v>
      </c>
      <c r="I2265" s="8" t="s">
        <v>5589</v>
      </c>
    </row>
    <row r="2266" spans="1:9" x14ac:dyDescent="0.35">
      <c r="A2266" s="6">
        <v>2565811</v>
      </c>
      <c r="B2266" s="7" t="str">
        <f>"3674031310720010"</f>
        <v>3674031310720010</v>
      </c>
      <c r="C2266" s="7" t="s">
        <v>5793</v>
      </c>
      <c r="D2266" s="7" t="s">
        <v>17</v>
      </c>
      <c r="E2266" s="7" t="s">
        <v>11</v>
      </c>
      <c r="F2266" s="7" t="s">
        <v>18</v>
      </c>
      <c r="G2266" s="7" t="s">
        <v>19</v>
      </c>
      <c r="H2266" s="7" t="s">
        <v>5581</v>
      </c>
      <c r="I2266" s="8" t="s">
        <v>5593</v>
      </c>
    </row>
    <row r="2267" spans="1:9" x14ac:dyDescent="0.35">
      <c r="A2267" s="6">
        <v>2565812</v>
      </c>
      <c r="B2267" s="7" t="str">
        <f>"3674034708740010"</f>
        <v>3674034708740010</v>
      </c>
      <c r="C2267" s="7" t="s">
        <v>5794</v>
      </c>
      <c r="D2267" s="7" t="s">
        <v>17</v>
      </c>
      <c r="E2267" s="7" t="s">
        <v>11</v>
      </c>
      <c r="F2267" s="7" t="s">
        <v>18</v>
      </c>
      <c r="G2267" s="7" t="s">
        <v>19</v>
      </c>
      <c r="H2267" s="7" t="s">
        <v>5581</v>
      </c>
      <c r="I2267" s="8" t="s">
        <v>5593</v>
      </c>
    </row>
    <row r="2268" spans="1:9" x14ac:dyDescent="0.35">
      <c r="A2268" s="6">
        <v>2565814</v>
      </c>
      <c r="B2268" s="7" t="str">
        <f>"6106037012930002"</f>
        <v>6106037012930002</v>
      </c>
      <c r="C2268" s="7" t="s">
        <v>5795</v>
      </c>
      <c r="D2268" s="7" t="s">
        <v>17</v>
      </c>
      <c r="E2268" s="7" t="s">
        <v>11</v>
      </c>
      <c r="F2268" s="7" t="s">
        <v>18</v>
      </c>
      <c r="G2268" s="7" t="s">
        <v>19</v>
      </c>
      <c r="H2268" s="7" t="s">
        <v>5581</v>
      </c>
      <c r="I2268" s="8" t="s">
        <v>5593</v>
      </c>
    </row>
    <row r="2269" spans="1:9" x14ac:dyDescent="0.35">
      <c r="A2269" s="6">
        <v>2566007</v>
      </c>
      <c r="B2269" s="7" t="str">
        <f>"6403062711850001"</f>
        <v>6403062711850001</v>
      </c>
      <c r="C2269" s="7" t="s">
        <v>5796</v>
      </c>
      <c r="D2269" s="7" t="s">
        <v>17</v>
      </c>
      <c r="E2269" s="7" t="s">
        <v>11</v>
      </c>
      <c r="F2269" s="7" t="s">
        <v>18</v>
      </c>
      <c r="G2269" s="7" t="s">
        <v>19</v>
      </c>
      <c r="H2269" s="7" t="s">
        <v>5581</v>
      </c>
      <c r="I2269" s="8" t="s">
        <v>5599</v>
      </c>
    </row>
    <row r="2270" spans="1:9" x14ac:dyDescent="0.35">
      <c r="A2270" s="6">
        <v>2565773</v>
      </c>
      <c r="B2270" s="7" t="str">
        <f>"7371102411920009"</f>
        <v>7371102411920009</v>
      </c>
      <c r="C2270" s="7" t="s">
        <v>4394</v>
      </c>
      <c r="D2270" s="7" t="s">
        <v>17</v>
      </c>
      <c r="E2270" s="7" t="s">
        <v>11</v>
      </c>
      <c r="F2270" s="7" t="s">
        <v>18</v>
      </c>
      <c r="G2270" s="7" t="s">
        <v>19</v>
      </c>
      <c r="H2270" s="7" t="s">
        <v>5581</v>
      </c>
      <c r="I2270" s="8" t="s">
        <v>5593</v>
      </c>
    </row>
    <row r="2271" spans="1:9" x14ac:dyDescent="0.35">
      <c r="A2271" s="9">
        <v>2565694</v>
      </c>
      <c r="B2271" s="10" t="str">
        <f>"7373095605950001"</f>
        <v>7373095605950001</v>
      </c>
      <c r="C2271" s="10" t="s">
        <v>5801</v>
      </c>
      <c r="D2271" s="10" t="s">
        <v>17</v>
      </c>
      <c r="E2271" s="10" t="s">
        <v>11</v>
      </c>
      <c r="F2271" s="10" t="s">
        <v>18</v>
      </c>
      <c r="G2271" s="10" t="s">
        <v>19</v>
      </c>
      <c r="H2271" s="10" t="s">
        <v>5581</v>
      </c>
      <c r="I2271" s="11" t="s">
        <v>5634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922A4-BFF8-49F6-A299-E3BC893489F7}">
  <sheetPr>
    <tabColor rgb="FFFF0000"/>
  </sheetPr>
  <dimension ref="A1:L574"/>
  <sheetViews>
    <sheetView workbookViewId="0">
      <selection activeCell="C16" sqref="C16"/>
    </sheetView>
  </sheetViews>
  <sheetFormatPr defaultRowHeight="14.5" x14ac:dyDescent="0.35"/>
  <cols>
    <col min="1" max="1" width="9" bestFit="1" customWidth="1"/>
    <col min="2" max="2" width="15.453125" bestFit="1" customWidth="1"/>
    <col min="3" max="3" width="52.81640625" bestFit="1" customWidth="1"/>
    <col min="4" max="4" width="10.08984375" bestFit="1" customWidth="1"/>
    <col min="5" max="5" width="12.7265625" bestFit="1" customWidth="1"/>
    <col min="6" max="6" width="26.453125" bestFit="1" customWidth="1"/>
    <col min="7" max="7" width="26" bestFit="1" customWidth="1"/>
    <col min="8" max="8" width="20.7265625" bestFit="1" customWidth="1"/>
    <col min="9" max="9" width="26.90625" bestFit="1" customWidth="1"/>
    <col min="10" max="10" width="24.453125" bestFit="1" customWidth="1"/>
    <col min="11" max="11" width="29.08984375" bestFit="1" customWidth="1"/>
    <col min="12" max="12" width="13.1796875" bestFit="1" customWidth="1"/>
  </cols>
  <sheetData>
    <row r="1" spans="1:12" x14ac:dyDescent="0.3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12" t="s">
        <v>5802</v>
      </c>
      <c r="K1" s="12" t="s">
        <v>5803</v>
      </c>
      <c r="L1" s="12" t="s">
        <v>5804</v>
      </c>
    </row>
    <row r="2" spans="1:12" x14ac:dyDescent="0.35">
      <c r="A2" s="6">
        <v>1683527</v>
      </c>
      <c r="B2" s="7" t="str">
        <f>"1505021401740001"</f>
        <v>1505021401740001</v>
      </c>
      <c r="C2" s="7" t="s">
        <v>22</v>
      </c>
      <c r="D2" s="7" t="s">
        <v>10</v>
      </c>
      <c r="E2" s="7" t="s">
        <v>11</v>
      </c>
      <c r="F2" s="7" t="s">
        <v>18</v>
      </c>
      <c r="G2" s="7" t="s">
        <v>19</v>
      </c>
      <c r="H2" s="7" t="s">
        <v>20</v>
      </c>
      <c r="I2" s="8" t="s">
        <v>23</v>
      </c>
      <c r="J2" t="str">
        <f>VLOOKUP(B2,baru!$B$2:$I$2271,4,FALSE)</f>
        <v>Reguler</v>
      </c>
      <c r="K2" t="str">
        <f>VLOOKUP(B2,baru!$B$2:$I$2271,5,FALSE)</f>
        <v>JAMBI</v>
      </c>
      <c r="L2" t="str">
        <f>VLOOKUP(B2,baru!$B$2:$I$2271,6,FALSE)</f>
        <v>MUARO JAMBI</v>
      </c>
    </row>
    <row r="3" spans="1:12" x14ac:dyDescent="0.35">
      <c r="A3" s="6">
        <v>1683529</v>
      </c>
      <c r="B3" s="7" t="str">
        <f>"1505022105040003"</f>
        <v>1505022105040003</v>
      </c>
      <c r="C3" s="7" t="s">
        <v>28</v>
      </c>
      <c r="D3" s="7" t="s">
        <v>10</v>
      </c>
      <c r="E3" s="7" t="s">
        <v>11</v>
      </c>
      <c r="F3" s="7" t="s">
        <v>18</v>
      </c>
      <c r="G3" s="7" t="s">
        <v>19</v>
      </c>
      <c r="H3" s="7" t="s">
        <v>20</v>
      </c>
      <c r="I3" s="8" t="s">
        <v>23</v>
      </c>
      <c r="J3" t="str">
        <f>VLOOKUP(B3,baru!$B$2:$I$2271,4,FALSE)</f>
        <v>Reguler</v>
      </c>
      <c r="K3" t="str">
        <f>VLOOKUP(B3,baru!$B$2:$I$2271,5,FALSE)</f>
        <v>JAMBI</v>
      </c>
      <c r="L3" t="str">
        <f>VLOOKUP(B3,baru!$B$2:$I$2271,6,FALSE)</f>
        <v>MUARO JAMBI</v>
      </c>
    </row>
    <row r="4" spans="1:12" x14ac:dyDescent="0.35">
      <c r="A4" s="6">
        <v>1683531</v>
      </c>
      <c r="B4" s="7" t="str">
        <f>"1505024409770002"</f>
        <v>1505024409770002</v>
      </c>
      <c r="C4" s="7" t="s">
        <v>30</v>
      </c>
      <c r="D4" s="7" t="s">
        <v>10</v>
      </c>
      <c r="E4" s="7" t="s">
        <v>11</v>
      </c>
      <c r="F4" s="7" t="s">
        <v>18</v>
      </c>
      <c r="G4" s="7" t="s">
        <v>19</v>
      </c>
      <c r="H4" s="7" t="s">
        <v>20</v>
      </c>
      <c r="I4" s="8" t="s">
        <v>23</v>
      </c>
      <c r="J4" t="str">
        <f>VLOOKUP(B4,baru!$B$2:$I$2271,4,FALSE)</f>
        <v>Reguler</v>
      </c>
      <c r="K4" t="str">
        <f>VLOOKUP(B4,baru!$B$2:$I$2271,5,FALSE)</f>
        <v>JAMBI</v>
      </c>
      <c r="L4" t="str">
        <f>VLOOKUP(B4,baru!$B$2:$I$2271,6,FALSE)</f>
        <v>MUARO JAMBI</v>
      </c>
    </row>
    <row r="5" spans="1:12" x14ac:dyDescent="0.35">
      <c r="A5" s="6">
        <v>1531164</v>
      </c>
      <c r="B5" s="7" t="str">
        <f>"3301021404830009"</f>
        <v>3301021404830009</v>
      </c>
      <c r="C5" s="7" t="s">
        <v>162</v>
      </c>
      <c r="D5" s="7" t="s">
        <v>10</v>
      </c>
      <c r="E5" s="7" t="s">
        <v>11</v>
      </c>
      <c r="F5" s="7" t="s">
        <v>18</v>
      </c>
      <c r="G5" s="7" t="s">
        <v>19</v>
      </c>
      <c r="H5" s="7" t="s">
        <v>20</v>
      </c>
      <c r="I5" s="8" t="s">
        <v>21</v>
      </c>
      <c r="J5" t="str">
        <f>VLOOKUP(B5,baru!$B$2:$I$2271,4,FALSE)</f>
        <v>Reguler</v>
      </c>
      <c r="K5" t="str">
        <f>VLOOKUP(B5,baru!$B$2:$I$2271,5,FALSE)</f>
        <v>JAWA TENGAH</v>
      </c>
      <c r="L5" t="str">
        <f>VLOOKUP(B5,baru!$B$2:$I$2271,6,FALSE)</f>
        <v>CILACAP</v>
      </c>
    </row>
    <row r="6" spans="1:12" x14ac:dyDescent="0.35">
      <c r="A6" s="6">
        <v>1465633</v>
      </c>
      <c r="B6" s="7" t="str">
        <f>"3315023112020009"</f>
        <v>3315023112020009</v>
      </c>
      <c r="C6" s="7" t="s">
        <v>174</v>
      </c>
      <c r="D6" s="7" t="s">
        <v>10</v>
      </c>
      <c r="E6" s="7" t="s">
        <v>11</v>
      </c>
      <c r="F6" s="7" t="s">
        <v>18</v>
      </c>
      <c r="G6" s="7" t="s">
        <v>19</v>
      </c>
      <c r="H6" s="7" t="s">
        <v>20</v>
      </c>
      <c r="I6" s="8" t="s">
        <v>145</v>
      </c>
      <c r="J6" t="str">
        <f>VLOOKUP(B6,baru!$B$2:$I$2271,4,FALSE)</f>
        <v>Reguler</v>
      </c>
      <c r="K6" t="str">
        <f>VLOOKUP(B6,baru!$B$2:$I$2271,5,FALSE)</f>
        <v>JAWA TENGAH</v>
      </c>
      <c r="L6" t="str">
        <f>VLOOKUP(B6,baru!$B$2:$I$2271,6,FALSE)</f>
        <v>CILACAP</v>
      </c>
    </row>
    <row r="7" spans="1:12" x14ac:dyDescent="0.35">
      <c r="A7" s="6">
        <v>2058305</v>
      </c>
      <c r="B7" s="7" t="str">
        <f>"3326094308770002"</f>
        <v>3326094308770002</v>
      </c>
      <c r="C7" s="7" t="s">
        <v>193</v>
      </c>
      <c r="D7" s="7" t="s">
        <v>10</v>
      </c>
      <c r="E7" s="7" t="s">
        <v>11</v>
      </c>
      <c r="F7" s="7" t="s">
        <v>18</v>
      </c>
      <c r="G7" s="7" t="s">
        <v>19</v>
      </c>
      <c r="H7" s="7" t="s">
        <v>20</v>
      </c>
      <c r="I7" s="8" t="s">
        <v>20</v>
      </c>
      <c r="J7" t="str">
        <f>VLOOKUP(B7,baru!$B$2:$I$2271,4,FALSE)</f>
        <v>Reguler</v>
      </c>
      <c r="K7" t="str">
        <f>VLOOKUP(B7,baru!$B$2:$I$2271,5,FALSE)</f>
        <v>JAWA TENGAH</v>
      </c>
      <c r="L7" t="str">
        <f>VLOOKUP(B7,baru!$B$2:$I$2271,6,FALSE)</f>
        <v>PEKALONGAN</v>
      </c>
    </row>
    <row r="8" spans="1:12" x14ac:dyDescent="0.35">
      <c r="A8" s="6">
        <v>2411174</v>
      </c>
      <c r="B8" s="7" t="str">
        <f>"3327103005870001"</f>
        <v>3327103005870001</v>
      </c>
      <c r="C8" s="7" t="s">
        <v>198</v>
      </c>
      <c r="D8" s="7" t="s">
        <v>10</v>
      </c>
      <c r="E8" s="7" t="s">
        <v>11</v>
      </c>
      <c r="F8" s="7" t="s">
        <v>18</v>
      </c>
      <c r="G8" s="7" t="s">
        <v>19</v>
      </c>
      <c r="H8" s="7" t="s">
        <v>20</v>
      </c>
      <c r="I8" s="8" t="s">
        <v>55</v>
      </c>
      <c r="J8" t="str">
        <f>VLOOKUP(B8,baru!$B$2:$I$2271,4,FALSE)</f>
        <v>Reguler</v>
      </c>
      <c r="K8" t="str">
        <f>VLOOKUP(B8,baru!$B$2:$I$2271,5,FALSE)</f>
        <v>JAWA TENGAH</v>
      </c>
      <c r="L8" t="str">
        <f>VLOOKUP(B8,baru!$B$2:$I$2271,6,FALSE)</f>
        <v>PEMALANG</v>
      </c>
    </row>
    <row r="9" spans="1:12" x14ac:dyDescent="0.35">
      <c r="A9" s="6">
        <v>2057049</v>
      </c>
      <c r="B9" s="7" t="str">
        <f>"3328010107810080"</f>
        <v>3328010107810080</v>
      </c>
      <c r="C9" s="7" t="s">
        <v>204</v>
      </c>
      <c r="D9" s="7" t="s">
        <v>10</v>
      </c>
      <c r="E9" s="7" t="s">
        <v>11</v>
      </c>
      <c r="F9" s="7" t="s">
        <v>18</v>
      </c>
      <c r="G9" s="7" t="s">
        <v>19</v>
      </c>
      <c r="H9" s="7" t="s">
        <v>20</v>
      </c>
      <c r="I9" s="8" t="s">
        <v>20</v>
      </c>
      <c r="J9" t="str">
        <f>VLOOKUP(B9,baru!$B$2:$I$2271,4,FALSE)</f>
        <v>Reguler</v>
      </c>
      <c r="K9" t="str">
        <f>VLOOKUP(B9,baru!$B$2:$I$2271,5,FALSE)</f>
        <v>DKI JAKARTA</v>
      </c>
      <c r="L9" t="str">
        <f>VLOOKUP(B9,baru!$B$2:$I$2271,6,FALSE)</f>
        <v>KOTA JAKARTA BARAT</v>
      </c>
    </row>
    <row r="10" spans="1:12" x14ac:dyDescent="0.35">
      <c r="A10" s="6">
        <v>2067555</v>
      </c>
      <c r="B10" s="7" t="str">
        <f>"3328010112900007"</f>
        <v>3328010112900007</v>
      </c>
      <c r="C10" s="7" t="s">
        <v>216</v>
      </c>
      <c r="D10" s="7" t="s">
        <v>10</v>
      </c>
      <c r="E10" s="7" t="s">
        <v>11</v>
      </c>
      <c r="F10" s="7" t="s">
        <v>18</v>
      </c>
      <c r="G10" s="7" t="s">
        <v>19</v>
      </c>
      <c r="H10" s="7" t="s">
        <v>20</v>
      </c>
      <c r="I10" s="8" t="s">
        <v>37</v>
      </c>
      <c r="J10" t="str">
        <f>VLOOKUP(B10,baru!$B$2:$I$2271,4,FALSE)</f>
        <v>Reguler</v>
      </c>
      <c r="K10" t="str">
        <f>VLOOKUP(B10,baru!$B$2:$I$2271,5,FALSE)</f>
        <v>JAWA BARAT</v>
      </c>
      <c r="L10" t="str">
        <f>VLOOKUP(B10,baru!$B$2:$I$2271,6,FALSE)</f>
        <v>BANDUNG BARAT</v>
      </c>
    </row>
    <row r="11" spans="1:12" x14ac:dyDescent="0.35">
      <c r="A11" s="6">
        <v>1469913</v>
      </c>
      <c r="B11" s="7" t="str">
        <f>"3328010305910006"</f>
        <v>3328010305910006</v>
      </c>
      <c r="C11" s="7" t="s">
        <v>224</v>
      </c>
      <c r="D11" s="7" t="s">
        <v>10</v>
      </c>
      <c r="E11" s="7" t="s">
        <v>11</v>
      </c>
      <c r="F11" s="7" t="s">
        <v>18</v>
      </c>
      <c r="G11" s="7" t="s">
        <v>19</v>
      </c>
      <c r="H11" s="7" t="s">
        <v>20</v>
      </c>
      <c r="I11" s="8" t="s">
        <v>145</v>
      </c>
      <c r="J11" t="str">
        <f>VLOOKUP(B11,baru!$B$2:$I$2271,4,FALSE)</f>
        <v>Reguler</v>
      </c>
      <c r="K11" t="str">
        <f>VLOOKUP(B11,baru!$B$2:$I$2271,5,FALSE)</f>
        <v>KEPULAUAN BANGKA BELITUNG</v>
      </c>
      <c r="L11" t="str">
        <f>VLOOKUP(B11,baru!$B$2:$I$2271,6,FALSE)</f>
        <v>BANGKA</v>
      </c>
    </row>
    <row r="12" spans="1:12" x14ac:dyDescent="0.35">
      <c r="A12" s="6">
        <v>1466667</v>
      </c>
      <c r="B12" s="7" t="str">
        <f>"3328010703040001"</f>
        <v>3328010703040001</v>
      </c>
      <c r="C12" s="7" t="s">
        <v>249</v>
      </c>
      <c r="D12" s="7" t="s">
        <v>10</v>
      </c>
      <c r="E12" s="7" t="s">
        <v>11</v>
      </c>
      <c r="F12" s="7" t="s">
        <v>18</v>
      </c>
      <c r="G12" s="7" t="s">
        <v>19</v>
      </c>
      <c r="H12" s="7" t="s">
        <v>20</v>
      </c>
      <c r="I12" s="8" t="s">
        <v>145</v>
      </c>
      <c r="J12" t="str">
        <f>VLOOKUP(B12,baru!$B$2:$I$2271,4,FALSE)</f>
        <v>Reguler</v>
      </c>
      <c r="K12" t="str">
        <f>VLOOKUP(B12,baru!$B$2:$I$2271,5,FALSE)</f>
        <v>JAWA TENGAH</v>
      </c>
      <c r="L12" t="str">
        <f>VLOOKUP(B12,baru!$B$2:$I$2271,6,FALSE)</f>
        <v>TEGAL</v>
      </c>
    </row>
    <row r="13" spans="1:12" x14ac:dyDescent="0.35">
      <c r="A13" s="6">
        <v>1460690</v>
      </c>
      <c r="B13" s="7" t="str">
        <f>"3328011103880005"</f>
        <v>3328011103880005</v>
      </c>
      <c r="C13" s="7" t="s">
        <v>262</v>
      </c>
      <c r="D13" s="7" t="s">
        <v>10</v>
      </c>
      <c r="E13" s="7" t="s">
        <v>11</v>
      </c>
      <c r="F13" s="7" t="s">
        <v>18</v>
      </c>
      <c r="G13" s="7" t="s">
        <v>19</v>
      </c>
      <c r="H13" s="7" t="s">
        <v>20</v>
      </c>
      <c r="I13" s="8" t="s">
        <v>65</v>
      </c>
      <c r="J13" t="str">
        <f>VLOOKUP(B13,baru!$B$2:$I$2271,4,FALSE)</f>
        <v>Reguler</v>
      </c>
      <c r="K13" t="str">
        <f>VLOOKUP(B13,baru!$B$2:$I$2271,5,FALSE)</f>
        <v>JAWA TENGAH</v>
      </c>
      <c r="L13" t="str">
        <f>VLOOKUP(B13,baru!$B$2:$I$2271,6,FALSE)</f>
        <v>BREBES</v>
      </c>
    </row>
    <row r="14" spans="1:12" x14ac:dyDescent="0.35">
      <c r="A14" s="6">
        <v>1452269</v>
      </c>
      <c r="B14" s="7" t="str">
        <f>"3328011209950006"</f>
        <v>3328011209950006</v>
      </c>
      <c r="C14" s="7" t="s">
        <v>271</v>
      </c>
      <c r="D14" s="7" t="s">
        <v>189</v>
      </c>
      <c r="E14" s="7" t="s">
        <v>11</v>
      </c>
      <c r="F14" s="7" t="s">
        <v>18</v>
      </c>
      <c r="G14" s="7" t="s">
        <v>19</v>
      </c>
      <c r="H14" s="7" t="s">
        <v>20</v>
      </c>
      <c r="I14" s="8" t="s">
        <v>53</v>
      </c>
      <c r="J14" t="str">
        <f>VLOOKUP(B14,baru!$B$2:$I$2271,4,FALSE)</f>
        <v>Reguler</v>
      </c>
      <c r="K14" t="str">
        <f>VLOOKUP(B14,baru!$B$2:$I$2271,5,FALSE)</f>
        <v>JAWA TENGAH</v>
      </c>
      <c r="L14" t="str">
        <f>VLOOKUP(B14,baru!$B$2:$I$2271,6,FALSE)</f>
        <v>KOTA TEGAL</v>
      </c>
    </row>
    <row r="15" spans="1:12" x14ac:dyDescent="0.35">
      <c r="A15" s="6">
        <v>1531152</v>
      </c>
      <c r="B15" s="7" t="str">
        <f>"3328011210850007"</f>
        <v>3328011210850007</v>
      </c>
      <c r="C15" s="7" t="s">
        <v>272</v>
      </c>
      <c r="D15" s="7" t="s">
        <v>10</v>
      </c>
      <c r="E15" s="7" t="s">
        <v>11</v>
      </c>
      <c r="F15" s="7" t="s">
        <v>18</v>
      </c>
      <c r="G15" s="7" t="s">
        <v>19</v>
      </c>
      <c r="H15" s="7" t="s">
        <v>20</v>
      </c>
      <c r="I15" s="8" t="s">
        <v>21</v>
      </c>
      <c r="J15" t="str">
        <f>VLOOKUP(B15,baru!$B$2:$I$2271,4,FALSE)</f>
        <v>Reguler</v>
      </c>
      <c r="K15" t="str">
        <f>VLOOKUP(B15,baru!$B$2:$I$2271,5,FALSE)</f>
        <v>JAWA TENGAH</v>
      </c>
      <c r="L15" t="str">
        <f>VLOOKUP(B15,baru!$B$2:$I$2271,6,FALSE)</f>
        <v>BREBES</v>
      </c>
    </row>
    <row r="16" spans="1:12" x14ac:dyDescent="0.35">
      <c r="A16" s="6">
        <v>1931531</v>
      </c>
      <c r="B16" s="7" t="str">
        <f>"3328011503930008"</f>
        <v>3328011503930008</v>
      </c>
      <c r="C16" s="7" t="s">
        <v>288</v>
      </c>
      <c r="D16" s="7" t="s">
        <v>10</v>
      </c>
      <c r="E16" s="7" t="s">
        <v>11</v>
      </c>
      <c r="F16" s="7" t="s">
        <v>18</v>
      </c>
      <c r="G16" s="7" t="s">
        <v>19</v>
      </c>
      <c r="H16" s="7" t="s">
        <v>20</v>
      </c>
      <c r="I16" s="8" t="s">
        <v>48</v>
      </c>
      <c r="J16" t="str">
        <f>VLOOKUP(B16,baru!$B$2:$I$2271,4,FALSE)</f>
        <v>Reguler</v>
      </c>
      <c r="K16" t="str">
        <f>VLOOKUP(B16,baru!$B$2:$I$2271,5,FALSE)</f>
        <v>JAWA TENGAH</v>
      </c>
      <c r="L16" t="str">
        <f>VLOOKUP(B16,baru!$B$2:$I$2271,6,FALSE)</f>
        <v>BREBES</v>
      </c>
    </row>
    <row r="17" spans="1:12" x14ac:dyDescent="0.35">
      <c r="A17" s="6">
        <v>1677528</v>
      </c>
      <c r="B17" s="7" t="str">
        <f>"3328011511980004"</f>
        <v>3328011511980004</v>
      </c>
      <c r="C17" s="7" t="s">
        <v>291</v>
      </c>
      <c r="D17" s="7" t="s">
        <v>10</v>
      </c>
      <c r="E17" s="7" t="s">
        <v>11</v>
      </c>
      <c r="F17" s="7" t="s">
        <v>18</v>
      </c>
      <c r="G17" s="7" t="s">
        <v>19</v>
      </c>
      <c r="H17" s="7" t="s">
        <v>20</v>
      </c>
      <c r="I17" s="8" t="s">
        <v>23</v>
      </c>
      <c r="J17" t="str">
        <f>VLOOKUP(B17,baru!$B$2:$I$2271,4,FALSE)</f>
        <v>Reguler</v>
      </c>
      <c r="K17" t="str">
        <f>VLOOKUP(B17,baru!$B$2:$I$2271,5,FALSE)</f>
        <v>JAWA TENGAH</v>
      </c>
      <c r="L17" t="str">
        <f>VLOOKUP(B17,baru!$B$2:$I$2271,6,FALSE)</f>
        <v>CILACAP</v>
      </c>
    </row>
    <row r="18" spans="1:12" x14ac:dyDescent="0.35">
      <c r="A18" s="6">
        <v>1446587</v>
      </c>
      <c r="B18" s="7" t="str">
        <f>"3328011705820008"</f>
        <v>3328011705820008</v>
      </c>
      <c r="C18" s="7" t="s">
        <v>302</v>
      </c>
      <c r="D18" s="7" t="s">
        <v>10</v>
      </c>
      <c r="E18" s="7" t="s">
        <v>11</v>
      </c>
      <c r="F18" s="7" t="s">
        <v>18</v>
      </c>
      <c r="G18" s="7" t="s">
        <v>19</v>
      </c>
      <c r="H18" s="7" t="s">
        <v>20</v>
      </c>
      <c r="I18" s="8" t="s">
        <v>53</v>
      </c>
      <c r="J18" t="str">
        <f>VLOOKUP(B18,baru!$B$2:$I$2271,4,FALSE)</f>
        <v>Reguler</v>
      </c>
      <c r="K18" t="str">
        <f>VLOOKUP(B18,baru!$B$2:$I$2271,5,FALSE)</f>
        <v>JAWA TIMUR</v>
      </c>
      <c r="L18" t="str">
        <f>VLOOKUP(B18,baru!$B$2:$I$2271,6,FALSE)</f>
        <v>NGAWI</v>
      </c>
    </row>
    <row r="19" spans="1:12" x14ac:dyDescent="0.35">
      <c r="A19" s="6">
        <v>1679564</v>
      </c>
      <c r="B19" s="7" t="str">
        <f>"3328011707960003"</f>
        <v>3328011707960003</v>
      </c>
      <c r="C19" s="7" t="s">
        <v>306</v>
      </c>
      <c r="D19" s="7" t="s">
        <v>10</v>
      </c>
      <c r="E19" s="7" t="s">
        <v>11</v>
      </c>
      <c r="F19" s="7" t="s">
        <v>18</v>
      </c>
      <c r="G19" s="7" t="s">
        <v>19</v>
      </c>
      <c r="H19" s="7" t="s">
        <v>20</v>
      </c>
      <c r="I19" s="8" t="s">
        <v>23</v>
      </c>
      <c r="J19" t="str">
        <f>VLOOKUP(B19,baru!$B$2:$I$2271,4,FALSE)</f>
        <v>Reguler</v>
      </c>
      <c r="K19" t="str">
        <f>VLOOKUP(B19,baru!$B$2:$I$2271,5,FALSE)</f>
        <v>JAWA TENGAH</v>
      </c>
      <c r="L19" t="str">
        <f>VLOOKUP(B19,baru!$B$2:$I$2271,6,FALSE)</f>
        <v>PEKALONGAN</v>
      </c>
    </row>
    <row r="20" spans="1:12" x14ac:dyDescent="0.35">
      <c r="A20" s="6">
        <v>1445479</v>
      </c>
      <c r="B20" s="7" t="str">
        <f>"3328012109870002"</f>
        <v>3328012109870002</v>
      </c>
      <c r="C20" s="7" t="s">
        <v>314</v>
      </c>
      <c r="D20" s="7" t="s">
        <v>10</v>
      </c>
      <c r="E20" s="7" t="s">
        <v>11</v>
      </c>
      <c r="F20" s="7" t="s">
        <v>18</v>
      </c>
      <c r="G20" s="7" t="s">
        <v>19</v>
      </c>
      <c r="H20" s="7" t="s">
        <v>20</v>
      </c>
      <c r="I20" s="8" t="s">
        <v>53</v>
      </c>
      <c r="J20" t="str">
        <f>VLOOKUP(B20,baru!$B$2:$I$2271,4,FALSE)</f>
        <v>Reguler</v>
      </c>
      <c r="K20" t="str">
        <f>VLOOKUP(B20,baru!$B$2:$I$2271,5,FALSE)</f>
        <v>DKI JAKARTA</v>
      </c>
      <c r="L20" t="str">
        <f>VLOOKUP(B20,baru!$B$2:$I$2271,6,FALSE)</f>
        <v>KOTA JAKARTA TIMUR</v>
      </c>
    </row>
    <row r="21" spans="1:12" x14ac:dyDescent="0.35">
      <c r="A21" s="6">
        <v>1529288</v>
      </c>
      <c r="B21" s="7" t="str">
        <f>"3328012204990007"</f>
        <v>3328012204990007</v>
      </c>
      <c r="C21" s="7" t="s">
        <v>318</v>
      </c>
      <c r="D21" s="7" t="s">
        <v>10</v>
      </c>
      <c r="E21" s="7" t="s">
        <v>11</v>
      </c>
      <c r="F21" s="7" t="s">
        <v>18</v>
      </c>
      <c r="G21" s="7" t="s">
        <v>19</v>
      </c>
      <c r="H21" s="7" t="s">
        <v>20</v>
      </c>
      <c r="I21" s="8" t="s">
        <v>21</v>
      </c>
      <c r="J21" t="str">
        <f>VLOOKUP(B21,baru!$B$2:$I$2271,4,FALSE)</f>
        <v>Reguler</v>
      </c>
      <c r="K21" t="str">
        <f>VLOOKUP(B21,baru!$B$2:$I$2271,5,FALSE)</f>
        <v>JAWA BARAT</v>
      </c>
      <c r="L21" t="str">
        <f>VLOOKUP(B21,baru!$B$2:$I$2271,6,FALSE)</f>
        <v>KARAWANG</v>
      </c>
    </row>
    <row r="22" spans="1:12" x14ac:dyDescent="0.35">
      <c r="A22" s="6">
        <v>1452096</v>
      </c>
      <c r="B22" s="7" t="str">
        <f>"3328012205990008"</f>
        <v>3328012205990008</v>
      </c>
      <c r="C22" s="7" t="s">
        <v>322</v>
      </c>
      <c r="D22" s="7" t="s">
        <v>10</v>
      </c>
      <c r="E22" s="7" t="s">
        <v>11</v>
      </c>
      <c r="F22" s="7" t="s">
        <v>18</v>
      </c>
      <c r="G22" s="7" t="s">
        <v>19</v>
      </c>
      <c r="H22" s="7" t="s">
        <v>20</v>
      </c>
      <c r="I22" s="8" t="s">
        <v>53</v>
      </c>
      <c r="J22" t="str">
        <f>VLOOKUP(B22,baru!$B$2:$I$2271,4,FALSE)</f>
        <v>Reguler</v>
      </c>
      <c r="K22" t="str">
        <f>VLOOKUP(B22,baru!$B$2:$I$2271,5,FALSE)</f>
        <v>JAWA TENGAH</v>
      </c>
      <c r="L22" t="str">
        <f>VLOOKUP(B22,baru!$B$2:$I$2271,6,FALSE)</f>
        <v>BREBES</v>
      </c>
    </row>
    <row r="23" spans="1:12" x14ac:dyDescent="0.35">
      <c r="A23" s="6">
        <v>2071840</v>
      </c>
      <c r="B23" s="7" t="str">
        <f>"3328012708940001"</f>
        <v>3328012708940001</v>
      </c>
      <c r="C23" s="7" t="s">
        <v>335</v>
      </c>
      <c r="D23" s="7" t="s">
        <v>10</v>
      </c>
      <c r="E23" s="7" t="s">
        <v>11</v>
      </c>
      <c r="F23" s="7" t="s">
        <v>18</v>
      </c>
      <c r="G23" s="7" t="s">
        <v>19</v>
      </c>
      <c r="H23" s="7" t="s">
        <v>20</v>
      </c>
      <c r="I23" s="8" t="s">
        <v>37</v>
      </c>
      <c r="J23" t="str">
        <f>VLOOKUP(B23,baru!$B$2:$I$2271,4,FALSE)</f>
        <v>Reguler</v>
      </c>
      <c r="K23" t="str">
        <f>VLOOKUP(B23,baru!$B$2:$I$2271,5,FALSE)</f>
        <v>JAWA TENGAH</v>
      </c>
      <c r="L23" t="str">
        <f>VLOOKUP(B23,baru!$B$2:$I$2271,6,FALSE)</f>
        <v>TEGAL</v>
      </c>
    </row>
    <row r="24" spans="1:12" x14ac:dyDescent="0.35">
      <c r="A24" s="6">
        <v>2016159</v>
      </c>
      <c r="B24" s="7" t="str">
        <f>"3328012904910002"</f>
        <v>3328012904910002</v>
      </c>
      <c r="C24" s="7" t="s">
        <v>347</v>
      </c>
      <c r="D24" s="7" t="s">
        <v>189</v>
      </c>
      <c r="E24" s="7" t="s">
        <v>11</v>
      </c>
      <c r="F24" s="7" t="s">
        <v>18</v>
      </c>
      <c r="G24" s="7" t="s">
        <v>19</v>
      </c>
      <c r="H24" s="7" t="s">
        <v>348</v>
      </c>
      <c r="I24" s="8" t="s">
        <v>349</v>
      </c>
      <c r="J24" t="str">
        <f>VLOOKUP(B24,baru!$B$2:$I$2271,4,FALSE)</f>
        <v>Reguler</v>
      </c>
      <c r="K24" t="str">
        <f>VLOOKUP(B24,baru!$B$2:$I$2271,5,FALSE)</f>
        <v>JAWA TENGAH</v>
      </c>
      <c r="L24" t="str">
        <f>VLOOKUP(B24,baru!$B$2:$I$2271,6,FALSE)</f>
        <v>TEGAL</v>
      </c>
    </row>
    <row r="25" spans="1:12" x14ac:dyDescent="0.35">
      <c r="A25" s="6">
        <v>2415239</v>
      </c>
      <c r="B25" s="7" t="str">
        <f>"3328013006870006"</f>
        <v>3328013006870006</v>
      </c>
      <c r="C25" s="7" t="s">
        <v>350</v>
      </c>
      <c r="D25" s="7" t="s">
        <v>10</v>
      </c>
      <c r="E25" s="7" t="s">
        <v>11</v>
      </c>
      <c r="F25" s="7" t="s">
        <v>18</v>
      </c>
      <c r="G25" s="7" t="s">
        <v>19</v>
      </c>
      <c r="H25" s="7" t="s">
        <v>20</v>
      </c>
      <c r="I25" s="8" t="s">
        <v>55</v>
      </c>
      <c r="J25" t="str">
        <f>VLOOKUP(B25,baru!$B$2:$I$2271,4,FALSE)</f>
        <v>Reguler</v>
      </c>
      <c r="K25" t="str">
        <f>VLOOKUP(B25,baru!$B$2:$I$2271,5,FALSE)</f>
        <v>JAWA TENGAH</v>
      </c>
      <c r="L25" t="str">
        <f>VLOOKUP(B25,baru!$B$2:$I$2271,6,FALSE)</f>
        <v>BANYUMAS</v>
      </c>
    </row>
    <row r="26" spans="1:12" x14ac:dyDescent="0.35">
      <c r="A26" s="6">
        <v>1535076</v>
      </c>
      <c r="B26" s="7" t="str">
        <f>"3328013008970006"</f>
        <v>3328013008970006</v>
      </c>
      <c r="C26" s="7" t="s">
        <v>354</v>
      </c>
      <c r="D26" s="7" t="s">
        <v>10</v>
      </c>
      <c r="E26" s="7" t="s">
        <v>11</v>
      </c>
      <c r="F26" s="7" t="s">
        <v>18</v>
      </c>
      <c r="G26" s="7" t="s">
        <v>19</v>
      </c>
      <c r="H26" s="7" t="s">
        <v>20</v>
      </c>
      <c r="I26" s="8" t="s">
        <v>21</v>
      </c>
      <c r="J26" t="str">
        <f>VLOOKUP(B26,baru!$B$2:$I$2271,4,FALSE)</f>
        <v>Reguler</v>
      </c>
      <c r="K26" t="str">
        <f>VLOOKUP(B26,baru!$B$2:$I$2271,5,FALSE)</f>
        <v>JAWA TENGAH</v>
      </c>
      <c r="L26" t="str">
        <f>VLOOKUP(B26,baru!$B$2:$I$2271,6,FALSE)</f>
        <v>KEBUMEN</v>
      </c>
    </row>
    <row r="27" spans="1:12" x14ac:dyDescent="0.35">
      <c r="A27" s="6">
        <v>1456558</v>
      </c>
      <c r="B27" s="7" t="str">
        <f>"3328013112920013"</f>
        <v>3328013112920013</v>
      </c>
      <c r="C27" s="7" t="s">
        <v>359</v>
      </c>
      <c r="D27" s="7" t="s">
        <v>10</v>
      </c>
      <c r="E27" s="7" t="s">
        <v>11</v>
      </c>
      <c r="F27" s="7" t="s">
        <v>18</v>
      </c>
      <c r="G27" s="7" t="s">
        <v>19</v>
      </c>
      <c r="H27" s="7" t="s">
        <v>20</v>
      </c>
      <c r="I27" s="8" t="s">
        <v>76</v>
      </c>
      <c r="J27" t="str">
        <f>VLOOKUP(B27,baru!$B$2:$I$2271,4,FALSE)</f>
        <v>Reguler</v>
      </c>
      <c r="K27" t="str">
        <f>VLOOKUP(B27,baru!$B$2:$I$2271,5,FALSE)</f>
        <v>JAWA BARAT</v>
      </c>
      <c r="L27" t="str">
        <f>VLOOKUP(B27,baru!$B$2:$I$2271,6,FALSE)</f>
        <v>KARAWANG</v>
      </c>
    </row>
    <row r="28" spans="1:12" x14ac:dyDescent="0.35">
      <c r="A28" s="6">
        <v>1458342</v>
      </c>
      <c r="B28" s="7" t="str">
        <f>"3328014102870003"</f>
        <v>3328014102870003</v>
      </c>
      <c r="C28" s="7" t="s">
        <v>362</v>
      </c>
      <c r="D28" s="7" t="s">
        <v>189</v>
      </c>
      <c r="E28" s="7" t="s">
        <v>11</v>
      </c>
      <c r="F28" s="7" t="s">
        <v>18</v>
      </c>
      <c r="G28" s="7" t="s">
        <v>19</v>
      </c>
      <c r="H28" s="7" t="s">
        <v>20</v>
      </c>
      <c r="I28" s="8" t="s">
        <v>76</v>
      </c>
      <c r="J28" t="str">
        <f>VLOOKUP(B28,baru!$B$2:$I$2271,4,FALSE)</f>
        <v>Reguler</v>
      </c>
      <c r="K28" t="str">
        <f>VLOOKUP(B28,baru!$B$2:$I$2271,5,FALSE)</f>
        <v>JAWA TENGAH</v>
      </c>
      <c r="L28" t="str">
        <f>VLOOKUP(B28,baru!$B$2:$I$2271,6,FALSE)</f>
        <v>KEBUMEN</v>
      </c>
    </row>
    <row r="29" spans="1:12" x14ac:dyDescent="0.35">
      <c r="A29" s="6">
        <v>1457396</v>
      </c>
      <c r="B29" s="7" t="str">
        <f>"3328014107860008"</f>
        <v>3328014107860008</v>
      </c>
      <c r="C29" s="7" t="s">
        <v>365</v>
      </c>
      <c r="D29" s="7" t="s">
        <v>10</v>
      </c>
      <c r="E29" s="7" t="s">
        <v>11</v>
      </c>
      <c r="F29" s="7" t="s">
        <v>18</v>
      </c>
      <c r="G29" s="7" t="s">
        <v>19</v>
      </c>
      <c r="H29" s="7" t="s">
        <v>20</v>
      </c>
      <c r="I29" s="8" t="s">
        <v>76</v>
      </c>
      <c r="J29" t="str">
        <f>VLOOKUP(B29,baru!$B$2:$I$2271,4,FALSE)</f>
        <v>Reguler</v>
      </c>
      <c r="K29" t="str">
        <f>VLOOKUP(B29,baru!$B$2:$I$2271,5,FALSE)</f>
        <v>DKI JAKARTA</v>
      </c>
      <c r="L29" t="str">
        <f>VLOOKUP(B29,baru!$B$2:$I$2271,6,FALSE)</f>
        <v>KOTA JAKARTA BARAT</v>
      </c>
    </row>
    <row r="30" spans="1:12" x14ac:dyDescent="0.35">
      <c r="A30" s="6">
        <v>2415020</v>
      </c>
      <c r="B30" s="7" t="str">
        <f>"3328014306870013"</f>
        <v>3328014306870013</v>
      </c>
      <c r="C30" s="7" t="s">
        <v>384</v>
      </c>
      <c r="D30" s="7" t="s">
        <v>10</v>
      </c>
      <c r="E30" s="7" t="s">
        <v>11</v>
      </c>
      <c r="F30" s="7" t="s">
        <v>18</v>
      </c>
      <c r="G30" s="7" t="s">
        <v>19</v>
      </c>
      <c r="H30" s="7" t="s">
        <v>20</v>
      </c>
      <c r="I30" s="8" t="s">
        <v>55</v>
      </c>
      <c r="J30" t="str">
        <f>VLOOKUP(B30,baru!$B$2:$I$2271,4,FALSE)</f>
        <v>Reguler</v>
      </c>
      <c r="K30" t="str">
        <f>VLOOKUP(B30,baru!$B$2:$I$2271,5,FALSE)</f>
        <v>JAWA TENGAH</v>
      </c>
      <c r="L30" t="str">
        <f>VLOOKUP(B30,baru!$B$2:$I$2271,6,FALSE)</f>
        <v>KLATEN</v>
      </c>
    </row>
    <row r="31" spans="1:12" x14ac:dyDescent="0.35">
      <c r="A31" s="6">
        <v>1465458</v>
      </c>
      <c r="B31" s="7" t="str">
        <f>"3328014308860005"</f>
        <v>3328014308860005</v>
      </c>
      <c r="C31" s="7" t="s">
        <v>388</v>
      </c>
      <c r="D31" s="7" t="s">
        <v>10</v>
      </c>
      <c r="E31" s="7" t="s">
        <v>11</v>
      </c>
      <c r="F31" s="7" t="s">
        <v>18</v>
      </c>
      <c r="G31" s="7" t="s">
        <v>19</v>
      </c>
      <c r="H31" s="7" t="s">
        <v>20</v>
      </c>
      <c r="I31" s="8" t="s">
        <v>145</v>
      </c>
      <c r="J31" t="str">
        <f>VLOOKUP(B31,baru!$B$2:$I$2271,4,FALSE)</f>
        <v>Reguler</v>
      </c>
      <c r="K31" t="str">
        <f>VLOOKUP(B31,baru!$B$2:$I$2271,5,FALSE)</f>
        <v>JAWA TENGAH</v>
      </c>
      <c r="L31" t="str">
        <f>VLOOKUP(B31,baru!$B$2:$I$2271,6,FALSE)</f>
        <v>BREBES</v>
      </c>
    </row>
    <row r="32" spans="1:12" x14ac:dyDescent="0.35">
      <c r="A32" s="6">
        <v>1463046</v>
      </c>
      <c r="B32" s="7" t="str">
        <f>"3328014507820008"</f>
        <v>3328014507820008</v>
      </c>
      <c r="C32" s="7" t="s">
        <v>391</v>
      </c>
      <c r="D32" s="7" t="s">
        <v>10</v>
      </c>
      <c r="E32" s="7" t="s">
        <v>11</v>
      </c>
      <c r="F32" s="7" t="s">
        <v>18</v>
      </c>
      <c r="G32" s="7" t="s">
        <v>19</v>
      </c>
      <c r="H32" s="7" t="s">
        <v>20</v>
      </c>
      <c r="I32" s="8" t="s">
        <v>145</v>
      </c>
      <c r="J32" t="str">
        <f>VLOOKUP(B32,baru!$B$2:$I$2271,4,FALSE)</f>
        <v>Reguler</v>
      </c>
      <c r="K32" t="str">
        <f>VLOOKUP(B32,baru!$B$2:$I$2271,5,FALSE)</f>
        <v>JAWA TENGAH</v>
      </c>
      <c r="L32" t="str">
        <f>VLOOKUP(B32,baru!$B$2:$I$2271,6,FALSE)</f>
        <v>WONOSOBO</v>
      </c>
    </row>
    <row r="33" spans="1:12" x14ac:dyDescent="0.35">
      <c r="A33" s="6">
        <v>1457089</v>
      </c>
      <c r="B33" s="7" t="str">
        <f>"3328014508990005"</f>
        <v>3328014508990005</v>
      </c>
      <c r="C33" s="7" t="s">
        <v>395</v>
      </c>
      <c r="D33" s="7" t="s">
        <v>10</v>
      </c>
      <c r="E33" s="7" t="s">
        <v>11</v>
      </c>
      <c r="F33" s="7" t="s">
        <v>18</v>
      </c>
      <c r="G33" s="7" t="s">
        <v>19</v>
      </c>
      <c r="H33" s="7" t="s">
        <v>20</v>
      </c>
      <c r="I33" s="8" t="s">
        <v>76</v>
      </c>
      <c r="J33" t="str">
        <f>VLOOKUP(B33,baru!$B$2:$I$2271,4,FALSE)</f>
        <v>Reguler</v>
      </c>
      <c r="K33" t="str">
        <f>VLOOKUP(B33,baru!$B$2:$I$2271,5,FALSE)</f>
        <v>JAWA TENGAH</v>
      </c>
      <c r="L33" t="str">
        <f>VLOOKUP(B33,baru!$B$2:$I$2271,6,FALSE)</f>
        <v>BREBES</v>
      </c>
    </row>
    <row r="34" spans="1:12" x14ac:dyDescent="0.35">
      <c r="A34" s="6">
        <v>2412348</v>
      </c>
      <c r="B34" s="7" t="str">
        <f>"3328014705960007"</f>
        <v>3328014705960007</v>
      </c>
      <c r="C34" s="7" t="s">
        <v>398</v>
      </c>
      <c r="D34" s="7" t="s">
        <v>10</v>
      </c>
      <c r="E34" s="7" t="s">
        <v>11</v>
      </c>
      <c r="F34" s="7" t="s">
        <v>18</v>
      </c>
      <c r="G34" s="7" t="s">
        <v>19</v>
      </c>
      <c r="H34" s="7" t="s">
        <v>20</v>
      </c>
      <c r="I34" s="8" t="s">
        <v>55</v>
      </c>
      <c r="J34" t="str">
        <f>VLOOKUP(B34,baru!$B$2:$I$2271,4,FALSE)</f>
        <v>Reguler</v>
      </c>
      <c r="K34" t="str">
        <f>VLOOKUP(B34,baru!$B$2:$I$2271,5,FALSE)</f>
        <v>DKI JAKARTA</v>
      </c>
      <c r="L34" t="str">
        <f>VLOOKUP(B34,baru!$B$2:$I$2271,6,FALSE)</f>
        <v>KOTA JAKARTA UTARA</v>
      </c>
    </row>
    <row r="35" spans="1:12" x14ac:dyDescent="0.35">
      <c r="A35" s="6">
        <v>2414525</v>
      </c>
      <c r="B35" s="7" t="str">
        <f>"3328015002880012"</f>
        <v>3328015002880012</v>
      </c>
      <c r="C35" s="7" t="s">
        <v>405</v>
      </c>
      <c r="D35" s="7" t="s">
        <v>10</v>
      </c>
      <c r="E35" s="7" t="s">
        <v>11</v>
      </c>
      <c r="F35" s="7" t="s">
        <v>18</v>
      </c>
      <c r="G35" s="7" t="s">
        <v>19</v>
      </c>
      <c r="H35" s="7" t="s">
        <v>20</v>
      </c>
      <c r="I35" s="8" t="s">
        <v>55</v>
      </c>
      <c r="J35" t="str">
        <f>VLOOKUP(B35,baru!$B$2:$I$2271,4,FALSE)</f>
        <v>Reguler</v>
      </c>
      <c r="K35" t="str">
        <f>VLOOKUP(B35,baru!$B$2:$I$2271,5,FALSE)</f>
        <v>DKI JAKARTA</v>
      </c>
      <c r="L35" t="str">
        <f>VLOOKUP(B35,baru!$B$2:$I$2271,6,FALSE)</f>
        <v>KOTA JAKARTA TIMUR</v>
      </c>
    </row>
    <row r="36" spans="1:12" x14ac:dyDescent="0.35">
      <c r="A36" s="6">
        <v>2418124</v>
      </c>
      <c r="B36" s="7" t="str">
        <f>"3328015306940001"</f>
        <v>3328015306940001</v>
      </c>
      <c r="C36" s="7" t="s">
        <v>421</v>
      </c>
      <c r="D36" s="7" t="s">
        <v>10</v>
      </c>
      <c r="E36" s="7" t="s">
        <v>11</v>
      </c>
      <c r="F36" s="7" t="s">
        <v>18</v>
      </c>
      <c r="G36" s="7" t="s">
        <v>19</v>
      </c>
      <c r="H36" s="7" t="s">
        <v>20</v>
      </c>
      <c r="I36" s="8" t="s">
        <v>55</v>
      </c>
      <c r="J36" t="str">
        <f>VLOOKUP(B36,baru!$B$2:$I$2271,4,FALSE)</f>
        <v>Reguler</v>
      </c>
      <c r="K36" t="str">
        <f>VLOOKUP(B36,baru!$B$2:$I$2271,5,FALSE)</f>
        <v>JAWA TENGAH</v>
      </c>
      <c r="L36" t="str">
        <f>VLOOKUP(B36,baru!$B$2:$I$2271,6,FALSE)</f>
        <v>KLATEN</v>
      </c>
    </row>
    <row r="37" spans="1:12" x14ac:dyDescent="0.35">
      <c r="A37" s="6">
        <v>2064912</v>
      </c>
      <c r="B37" s="7" t="str">
        <f>"3328015811970002"</f>
        <v>3328015811970002</v>
      </c>
      <c r="C37" s="7" t="s">
        <v>427</v>
      </c>
      <c r="D37" s="7" t="s">
        <v>10</v>
      </c>
      <c r="E37" s="7" t="s">
        <v>11</v>
      </c>
      <c r="F37" s="7" t="s">
        <v>18</v>
      </c>
      <c r="G37" s="7" t="s">
        <v>19</v>
      </c>
      <c r="H37" s="7" t="s">
        <v>20</v>
      </c>
      <c r="I37" s="8" t="s">
        <v>20</v>
      </c>
      <c r="J37" t="str">
        <f>VLOOKUP(B37,baru!$B$2:$I$2271,4,FALSE)</f>
        <v>Reguler</v>
      </c>
      <c r="K37" t="str">
        <f>VLOOKUP(B37,baru!$B$2:$I$2271,5,FALSE)</f>
        <v>JAWA TENGAH</v>
      </c>
      <c r="L37" t="str">
        <f>VLOOKUP(B37,baru!$B$2:$I$2271,6,FALSE)</f>
        <v>CILACAP</v>
      </c>
    </row>
    <row r="38" spans="1:12" x14ac:dyDescent="0.35">
      <c r="A38" s="6">
        <v>2413840</v>
      </c>
      <c r="B38" s="7" t="str">
        <f>"3328016009880010"</f>
        <v>3328016009880010</v>
      </c>
      <c r="C38" s="7" t="s">
        <v>430</v>
      </c>
      <c r="D38" s="7" t="s">
        <v>10</v>
      </c>
      <c r="E38" s="7" t="s">
        <v>11</v>
      </c>
      <c r="F38" s="7" t="s">
        <v>18</v>
      </c>
      <c r="G38" s="7" t="s">
        <v>19</v>
      </c>
      <c r="H38" s="7" t="s">
        <v>20</v>
      </c>
      <c r="I38" s="8" t="s">
        <v>55</v>
      </c>
      <c r="J38" t="str">
        <f>VLOOKUP(B38,baru!$B$2:$I$2271,4,FALSE)</f>
        <v>Reguler</v>
      </c>
      <c r="K38" t="str">
        <f>VLOOKUP(B38,baru!$B$2:$I$2271,5,FALSE)</f>
        <v>DKI JAKARTA</v>
      </c>
      <c r="L38" t="str">
        <f>VLOOKUP(B38,baru!$B$2:$I$2271,6,FALSE)</f>
        <v>KOTA JAKARTA UTARA</v>
      </c>
    </row>
    <row r="39" spans="1:12" x14ac:dyDescent="0.35">
      <c r="A39" s="6">
        <v>1459919</v>
      </c>
      <c r="B39" s="7" t="str">
        <f>"3328016208910016"</f>
        <v>3328016208910016</v>
      </c>
      <c r="C39" s="7" t="s">
        <v>434</v>
      </c>
      <c r="D39" s="7" t="s">
        <v>10</v>
      </c>
      <c r="E39" s="7" t="s">
        <v>11</v>
      </c>
      <c r="F39" s="7" t="s">
        <v>18</v>
      </c>
      <c r="G39" s="7" t="s">
        <v>19</v>
      </c>
      <c r="H39" s="7" t="s">
        <v>20</v>
      </c>
      <c r="I39" s="8" t="s">
        <v>76</v>
      </c>
      <c r="J39" t="str">
        <f>VLOOKUP(B39,baru!$B$2:$I$2271,4,FALSE)</f>
        <v>Reguler</v>
      </c>
      <c r="K39" t="str">
        <f>VLOOKUP(B39,baru!$B$2:$I$2271,5,FALSE)</f>
        <v>DKI JAKARTA</v>
      </c>
      <c r="L39" t="str">
        <f>VLOOKUP(B39,baru!$B$2:$I$2271,6,FALSE)</f>
        <v>KOTA JAKARTA UTARA</v>
      </c>
    </row>
    <row r="40" spans="1:12" x14ac:dyDescent="0.35">
      <c r="A40" s="6">
        <v>1468522</v>
      </c>
      <c r="B40" s="7" t="str">
        <f>"3328016703640001"</f>
        <v>3328016703640001</v>
      </c>
      <c r="C40" s="7" t="s">
        <v>442</v>
      </c>
      <c r="D40" s="7" t="s">
        <v>10</v>
      </c>
      <c r="E40" s="7" t="s">
        <v>11</v>
      </c>
      <c r="F40" s="7" t="s">
        <v>18</v>
      </c>
      <c r="G40" s="7" t="s">
        <v>19</v>
      </c>
      <c r="H40" s="7" t="s">
        <v>20</v>
      </c>
      <c r="I40" s="8" t="s">
        <v>145</v>
      </c>
      <c r="J40" t="str">
        <f>VLOOKUP(B40,baru!$B$2:$I$2271,4,FALSE)</f>
        <v>Reguler</v>
      </c>
      <c r="K40" t="str">
        <f>VLOOKUP(B40,baru!$B$2:$I$2271,5,FALSE)</f>
        <v>JAWA TENGAH</v>
      </c>
      <c r="L40" t="str">
        <f>VLOOKUP(B40,baru!$B$2:$I$2271,6,FALSE)</f>
        <v>TEGAL</v>
      </c>
    </row>
    <row r="41" spans="1:12" x14ac:dyDescent="0.35">
      <c r="A41" s="6">
        <v>2421743</v>
      </c>
      <c r="B41" s="7" t="str">
        <f>"3328016809000004"</f>
        <v>3328016809000004</v>
      </c>
      <c r="C41" s="7" t="s">
        <v>447</v>
      </c>
      <c r="D41" s="7" t="s">
        <v>10</v>
      </c>
      <c r="E41" s="7" t="s">
        <v>11</v>
      </c>
      <c r="F41" s="7" t="s">
        <v>18</v>
      </c>
      <c r="G41" s="7" t="s">
        <v>19</v>
      </c>
      <c r="H41" s="7" t="s">
        <v>20</v>
      </c>
      <c r="I41" s="8" t="s">
        <v>55</v>
      </c>
      <c r="J41" t="str">
        <f>VLOOKUP(B41,baru!$B$2:$I$2271,4,FALSE)</f>
        <v>Reguler</v>
      </c>
      <c r="K41" t="str">
        <f>VLOOKUP(B41,baru!$B$2:$I$2271,5,FALSE)</f>
        <v>JAWA TENGAH</v>
      </c>
      <c r="L41" t="str">
        <f>VLOOKUP(B41,baru!$B$2:$I$2271,6,FALSE)</f>
        <v>KOTA TEGAL</v>
      </c>
    </row>
    <row r="42" spans="1:12" x14ac:dyDescent="0.35">
      <c r="A42" s="6">
        <v>1444376</v>
      </c>
      <c r="B42" s="7" t="str">
        <f>"3329032002930004"</f>
        <v>3329032002930004</v>
      </c>
      <c r="C42" s="7" t="s">
        <v>460</v>
      </c>
      <c r="D42" s="7" t="s">
        <v>10</v>
      </c>
      <c r="E42" s="7" t="s">
        <v>11</v>
      </c>
      <c r="F42" s="7" t="s">
        <v>18</v>
      </c>
      <c r="G42" s="7" t="s">
        <v>19</v>
      </c>
      <c r="H42" s="7" t="s">
        <v>20</v>
      </c>
      <c r="I42" s="8" t="s">
        <v>53</v>
      </c>
      <c r="J42" t="str">
        <f>VLOOKUP(B42,baru!$B$2:$I$2271,4,FALSE)</f>
        <v>Reguler</v>
      </c>
      <c r="K42" t="str">
        <f>VLOOKUP(B42,baru!$B$2:$I$2271,5,FALSE)</f>
        <v>JAWA TENGAH</v>
      </c>
      <c r="L42" t="str">
        <f>VLOOKUP(B42,baru!$B$2:$I$2271,6,FALSE)</f>
        <v>BREBES</v>
      </c>
    </row>
    <row r="43" spans="1:12" x14ac:dyDescent="0.35">
      <c r="A43" s="6">
        <v>1444378</v>
      </c>
      <c r="B43" s="7" t="str">
        <f>"3329035203730006"</f>
        <v>3329035203730006</v>
      </c>
      <c r="C43" s="7" t="s">
        <v>463</v>
      </c>
      <c r="D43" s="7" t="s">
        <v>10</v>
      </c>
      <c r="E43" s="7" t="s">
        <v>11</v>
      </c>
      <c r="F43" s="7" t="s">
        <v>18</v>
      </c>
      <c r="G43" s="7" t="s">
        <v>19</v>
      </c>
      <c r="H43" s="7" t="s">
        <v>20</v>
      </c>
      <c r="I43" s="8" t="s">
        <v>53</v>
      </c>
      <c r="J43" t="str">
        <f>VLOOKUP(B43,baru!$B$2:$I$2271,4,FALSE)</f>
        <v>Reguler</v>
      </c>
      <c r="K43" t="str">
        <f>VLOOKUP(B43,baru!$B$2:$I$2271,5,FALSE)</f>
        <v>JAWA TENGAH</v>
      </c>
      <c r="L43" t="str">
        <f>VLOOKUP(B43,baru!$B$2:$I$2271,6,FALSE)</f>
        <v>BREBES</v>
      </c>
    </row>
    <row r="44" spans="1:12" x14ac:dyDescent="0.35">
      <c r="A44" s="6">
        <v>1933382</v>
      </c>
      <c r="B44" s="7" t="str">
        <f>"3329055208680003"</f>
        <v>3329055208680003</v>
      </c>
      <c r="C44" s="7" t="s">
        <v>464</v>
      </c>
      <c r="D44" s="7" t="s">
        <v>10</v>
      </c>
      <c r="E44" s="7" t="s">
        <v>11</v>
      </c>
      <c r="F44" s="7" t="s">
        <v>18</v>
      </c>
      <c r="G44" s="7" t="s">
        <v>19</v>
      </c>
      <c r="H44" s="7" t="s">
        <v>20</v>
      </c>
      <c r="I44" s="8" t="s">
        <v>48</v>
      </c>
      <c r="J44" t="str">
        <f>VLOOKUP(B44,baru!$B$2:$I$2271,4,FALSE)</f>
        <v>Reguler</v>
      </c>
      <c r="K44" t="str">
        <f>VLOOKUP(B44,baru!$B$2:$I$2271,5,FALSE)</f>
        <v>JAWA TENGAH</v>
      </c>
      <c r="L44" t="str">
        <f>VLOOKUP(B44,baru!$B$2:$I$2271,6,FALSE)</f>
        <v>BREBES</v>
      </c>
    </row>
    <row r="45" spans="1:12" x14ac:dyDescent="0.35">
      <c r="A45" s="6">
        <v>1684032</v>
      </c>
      <c r="B45" s="7" t="str">
        <f>"3329145002880015"</f>
        <v>3329145002880015</v>
      </c>
      <c r="C45" s="7" t="s">
        <v>476</v>
      </c>
      <c r="D45" s="7" t="s">
        <v>10</v>
      </c>
      <c r="E45" s="7" t="s">
        <v>11</v>
      </c>
      <c r="F45" s="7" t="s">
        <v>18</v>
      </c>
      <c r="G45" s="7" t="s">
        <v>19</v>
      </c>
      <c r="H45" s="7" t="s">
        <v>20</v>
      </c>
      <c r="I45" s="8" t="s">
        <v>23</v>
      </c>
      <c r="J45" t="str">
        <f>VLOOKUP(B45,baru!$B$2:$I$2271,4,FALSE)</f>
        <v>Reguler</v>
      </c>
      <c r="K45" t="str">
        <f>VLOOKUP(B45,baru!$B$2:$I$2271,5,FALSE)</f>
        <v>JAWA TENGAH</v>
      </c>
      <c r="L45" t="str">
        <f>VLOOKUP(B45,baru!$B$2:$I$2271,6,FALSE)</f>
        <v>BREBES</v>
      </c>
    </row>
    <row r="46" spans="1:12" x14ac:dyDescent="0.35">
      <c r="A46" s="6">
        <v>1685188</v>
      </c>
      <c r="B46" s="7" t="str">
        <f>"3329146811610001"</f>
        <v>3329146811610001</v>
      </c>
      <c r="C46" s="7" t="s">
        <v>479</v>
      </c>
      <c r="D46" s="7" t="s">
        <v>10</v>
      </c>
      <c r="E46" s="7" t="s">
        <v>11</v>
      </c>
      <c r="F46" s="7" t="s">
        <v>18</v>
      </c>
      <c r="G46" s="7" t="s">
        <v>19</v>
      </c>
      <c r="H46" s="7" t="s">
        <v>20</v>
      </c>
      <c r="I46" s="8" t="s">
        <v>23</v>
      </c>
      <c r="J46" t="str">
        <f>VLOOKUP(B46,baru!$B$2:$I$2271,4,FALSE)</f>
        <v>Reguler</v>
      </c>
      <c r="K46" t="str">
        <f>VLOOKUP(B46,baru!$B$2:$I$2271,5,FALSE)</f>
        <v>JAWA TENGAH</v>
      </c>
      <c r="L46" t="str">
        <f>VLOOKUP(B46,baru!$B$2:$I$2271,6,FALSE)</f>
        <v>BREBES</v>
      </c>
    </row>
    <row r="47" spans="1:12" x14ac:dyDescent="0.35">
      <c r="A47" s="6">
        <v>2418193</v>
      </c>
      <c r="B47" s="7" t="str">
        <f>"3329163103590003"</f>
        <v>3329163103590003</v>
      </c>
      <c r="C47" s="7" t="s">
        <v>288</v>
      </c>
      <c r="D47" s="7" t="s">
        <v>10</v>
      </c>
      <c r="E47" s="7" t="s">
        <v>11</v>
      </c>
      <c r="F47" s="7" t="s">
        <v>18</v>
      </c>
      <c r="G47" s="7" t="s">
        <v>19</v>
      </c>
      <c r="H47" s="7" t="s">
        <v>20</v>
      </c>
      <c r="I47" s="8" t="s">
        <v>55</v>
      </c>
      <c r="J47" t="str">
        <f>VLOOKUP(B47,baru!$B$2:$I$2271,4,FALSE)</f>
        <v>Reguler</v>
      </c>
      <c r="K47" t="str">
        <f>VLOOKUP(B47,baru!$B$2:$I$2271,5,FALSE)</f>
        <v>JAWA TENGAH</v>
      </c>
      <c r="L47" t="str">
        <f>VLOOKUP(B47,baru!$B$2:$I$2271,6,FALSE)</f>
        <v>BREBES</v>
      </c>
    </row>
    <row r="48" spans="1:12" x14ac:dyDescent="0.35">
      <c r="A48" s="6">
        <v>1680866</v>
      </c>
      <c r="B48" s="7" t="str">
        <f>"3329165706770006"</f>
        <v>3329165706770006</v>
      </c>
      <c r="C48" s="7" t="s">
        <v>493</v>
      </c>
      <c r="D48" s="7" t="s">
        <v>10</v>
      </c>
      <c r="E48" s="7" t="s">
        <v>11</v>
      </c>
      <c r="F48" s="7" t="s">
        <v>18</v>
      </c>
      <c r="G48" s="7" t="s">
        <v>19</v>
      </c>
      <c r="H48" s="7" t="s">
        <v>20</v>
      </c>
      <c r="I48" s="8" t="s">
        <v>23</v>
      </c>
      <c r="J48" t="str">
        <f>VLOOKUP(B48,baru!$B$2:$I$2271,4,FALSE)</f>
        <v>Reguler</v>
      </c>
      <c r="K48" t="str">
        <f>VLOOKUP(B48,baru!$B$2:$I$2271,5,FALSE)</f>
        <v>JAWA TENGAH</v>
      </c>
      <c r="L48" t="str">
        <f>VLOOKUP(B48,baru!$B$2:$I$2271,6,FALSE)</f>
        <v>BREBES</v>
      </c>
    </row>
    <row r="49" spans="1:12" x14ac:dyDescent="0.35">
      <c r="A49" s="6">
        <v>1446723</v>
      </c>
      <c r="B49" s="7" t="str">
        <f>"3507320502910002"</f>
        <v>3507320502910002</v>
      </c>
      <c r="C49" s="7" t="s">
        <v>499</v>
      </c>
      <c r="D49" s="7" t="s">
        <v>10</v>
      </c>
      <c r="E49" s="7" t="s">
        <v>11</v>
      </c>
      <c r="F49" s="7" t="s">
        <v>18</v>
      </c>
      <c r="G49" s="7" t="s">
        <v>19</v>
      </c>
      <c r="H49" s="7" t="s">
        <v>20</v>
      </c>
      <c r="I49" s="8" t="s">
        <v>53</v>
      </c>
      <c r="J49" t="str">
        <f>VLOOKUP(B49,baru!$B$2:$I$2271,4,FALSE)</f>
        <v>Reguler</v>
      </c>
      <c r="K49" t="str">
        <f>VLOOKUP(B49,baru!$B$2:$I$2271,5,FALSE)</f>
        <v>JAWA TIMUR</v>
      </c>
      <c r="L49" t="str">
        <f>VLOOKUP(B49,baru!$B$2:$I$2271,6,FALSE)</f>
        <v>MALANG</v>
      </c>
    </row>
    <row r="50" spans="1:12" x14ac:dyDescent="0.35">
      <c r="A50" s="6">
        <v>1446724</v>
      </c>
      <c r="B50" s="7" t="str">
        <f>"3507320601020003"</f>
        <v>3507320601020003</v>
      </c>
      <c r="C50" s="7" t="s">
        <v>502</v>
      </c>
      <c r="D50" s="7" t="s">
        <v>10</v>
      </c>
      <c r="E50" s="7" t="s">
        <v>11</v>
      </c>
      <c r="F50" s="7" t="s">
        <v>18</v>
      </c>
      <c r="G50" s="7" t="s">
        <v>19</v>
      </c>
      <c r="H50" s="7" t="s">
        <v>20</v>
      </c>
      <c r="I50" s="8" t="s">
        <v>53</v>
      </c>
      <c r="J50" t="str">
        <f>VLOOKUP(B50,baru!$B$2:$I$2271,4,FALSE)</f>
        <v>Reguler</v>
      </c>
      <c r="K50" t="str">
        <f>VLOOKUP(B50,baru!$B$2:$I$2271,5,FALSE)</f>
        <v>JAWA TIMUR</v>
      </c>
      <c r="L50" t="str">
        <f>VLOOKUP(B50,baru!$B$2:$I$2271,6,FALSE)</f>
        <v>MALANG</v>
      </c>
    </row>
    <row r="51" spans="1:12" x14ac:dyDescent="0.35">
      <c r="A51" s="6">
        <v>1446725</v>
      </c>
      <c r="B51" s="7" t="str">
        <f>"3507322806960001"</f>
        <v>3507322806960001</v>
      </c>
      <c r="C51" s="7" t="s">
        <v>503</v>
      </c>
      <c r="D51" s="7" t="s">
        <v>10</v>
      </c>
      <c r="E51" s="7" t="s">
        <v>11</v>
      </c>
      <c r="F51" s="7" t="s">
        <v>18</v>
      </c>
      <c r="G51" s="7" t="s">
        <v>19</v>
      </c>
      <c r="H51" s="7" t="s">
        <v>20</v>
      </c>
      <c r="I51" s="8" t="s">
        <v>53</v>
      </c>
      <c r="J51" t="str">
        <f>VLOOKUP(B51,baru!$B$2:$I$2271,4,FALSE)</f>
        <v>Reguler</v>
      </c>
      <c r="K51" t="str">
        <f>VLOOKUP(B51,baru!$B$2:$I$2271,5,FALSE)</f>
        <v>JAWA TIMUR</v>
      </c>
      <c r="L51" t="str">
        <f>VLOOKUP(B51,baru!$B$2:$I$2271,6,FALSE)</f>
        <v>MALANG</v>
      </c>
    </row>
    <row r="52" spans="1:12" x14ac:dyDescent="0.35">
      <c r="A52" s="6">
        <v>2060209</v>
      </c>
      <c r="B52" s="7" t="str">
        <f>"3527071609970001"</f>
        <v>3527071609970001</v>
      </c>
      <c r="C52" s="7" t="s">
        <v>508</v>
      </c>
      <c r="D52" s="7" t="s">
        <v>10</v>
      </c>
      <c r="E52" s="7" t="s">
        <v>11</v>
      </c>
      <c r="F52" s="7" t="s">
        <v>18</v>
      </c>
      <c r="G52" s="7" t="s">
        <v>19</v>
      </c>
      <c r="H52" s="7" t="s">
        <v>20</v>
      </c>
      <c r="I52" s="8" t="s">
        <v>20</v>
      </c>
      <c r="J52" t="str">
        <f>VLOOKUP(B52,baru!$B$2:$I$2271,4,FALSE)</f>
        <v>Reguler</v>
      </c>
      <c r="K52" t="str">
        <f>VLOOKUP(B52,baru!$B$2:$I$2271,5,FALSE)</f>
        <v>JAWA TIMUR</v>
      </c>
      <c r="L52" t="str">
        <f>VLOOKUP(B52,baru!$B$2:$I$2271,6,FALSE)</f>
        <v>SAMPANG</v>
      </c>
    </row>
    <row r="53" spans="1:12" x14ac:dyDescent="0.35">
      <c r="A53" s="6">
        <v>1536984</v>
      </c>
      <c r="B53" s="7" t="str">
        <f>"6107030711940001"</f>
        <v>6107030711940001</v>
      </c>
      <c r="C53" s="7" t="s">
        <v>515</v>
      </c>
      <c r="D53" s="7" t="s">
        <v>10</v>
      </c>
      <c r="E53" s="7" t="s">
        <v>11</v>
      </c>
      <c r="F53" s="7" t="s">
        <v>18</v>
      </c>
      <c r="G53" s="7" t="s">
        <v>19</v>
      </c>
      <c r="H53" s="7" t="s">
        <v>20</v>
      </c>
      <c r="I53" s="8" t="s">
        <v>21</v>
      </c>
      <c r="J53" t="str">
        <f>VLOOKUP(B53,baru!$B$2:$I$2271,4,FALSE)</f>
        <v>Reguler</v>
      </c>
      <c r="K53" t="str">
        <f>VLOOKUP(B53,baru!$B$2:$I$2271,5,FALSE)</f>
        <v>KALIMANTAN BARAT</v>
      </c>
      <c r="L53" t="str">
        <f>VLOOKUP(B53,baru!$B$2:$I$2271,6,FALSE)</f>
        <v>BENGKAYANG</v>
      </c>
    </row>
    <row r="54" spans="1:12" x14ac:dyDescent="0.35">
      <c r="A54" s="6">
        <v>2495861</v>
      </c>
      <c r="B54" s="7" t="str">
        <f>"3328020106980005"</f>
        <v>3328020106980005</v>
      </c>
      <c r="C54" s="7" t="s">
        <v>611</v>
      </c>
      <c r="D54" s="7" t="s">
        <v>189</v>
      </c>
      <c r="E54" s="7" t="s">
        <v>11</v>
      </c>
      <c r="F54" s="7" t="s">
        <v>18</v>
      </c>
      <c r="G54" s="7" t="s">
        <v>19</v>
      </c>
      <c r="H54" s="7" t="s">
        <v>527</v>
      </c>
      <c r="I54" s="8" t="s">
        <v>528</v>
      </c>
      <c r="J54" t="str">
        <f>VLOOKUP(B54,baru!$B$2:$I$2271,4,FALSE)</f>
        <v>Reguler</v>
      </c>
      <c r="K54" t="str">
        <f>VLOOKUP(B54,baru!$B$2:$I$2271,5,FALSE)</f>
        <v>JAWA TENGAH</v>
      </c>
      <c r="L54" t="str">
        <f>VLOOKUP(B54,baru!$B$2:$I$2271,6,FALSE)</f>
        <v>BREBES</v>
      </c>
    </row>
    <row r="55" spans="1:12" x14ac:dyDescent="0.35">
      <c r="A55" s="6">
        <v>2437831</v>
      </c>
      <c r="B55" s="7" t="str">
        <f>"3328020804730005"</f>
        <v>3328020804730005</v>
      </c>
      <c r="C55" s="7" t="s">
        <v>630</v>
      </c>
      <c r="D55" s="7" t="s">
        <v>10</v>
      </c>
      <c r="E55" s="7" t="s">
        <v>11</v>
      </c>
      <c r="F55" s="7" t="s">
        <v>18</v>
      </c>
      <c r="G55" s="7" t="s">
        <v>19</v>
      </c>
      <c r="H55" s="7" t="s">
        <v>527</v>
      </c>
      <c r="I55" s="8" t="s">
        <v>535</v>
      </c>
      <c r="J55" t="str">
        <f>VLOOKUP(B55,baru!$B$2:$I$2271,4,FALSE)</f>
        <v>Reguler</v>
      </c>
      <c r="K55" t="str">
        <f>VLOOKUP(B55,baru!$B$2:$I$2271,5,FALSE)</f>
        <v>JAWA BARAT</v>
      </c>
      <c r="L55" t="str">
        <f>VLOOKUP(B55,baru!$B$2:$I$2271,6,FALSE)</f>
        <v>MAJALENGKA</v>
      </c>
    </row>
    <row r="56" spans="1:12" x14ac:dyDescent="0.35">
      <c r="A56" s="6">
        <v>2471959</v>
      </c>
      <c r="B56" s="7" t="str">
        <f>"3328021002990002"</f>
        <v>3328021002990002</v>
      </c>
      <c r="C56" s="7" t="s">
        <v>639</v>
      </c>
      <c r="D56" s="7" t="s">
        <v>10</v>
      </c>
      <c r="E56" s="7" t="s">
        <v>11</v>
      </c>
      <c r="F56" s="7" t="s">
        <v>18</v>
      </c>
      <c r="G56" s="7" t="s">
        <v>19</v>
      </c>
      <c r="H56" s="7" t="s">
        <v>527</v>
      </c>
      <c r="I56" s="8" t="s">
        <v>640</v>
      </c>
      <c r="J56" t="str">
        <f>VLOOKUP(B56,baru!$B$2:$I$2271,4,FALSE)</f>
        <v>Reguler</v>
      </c>
      <c r="K56" t="str">
        <f>VLOOKUP(B56,baru!$B$2:$I$2271,5,FALSE)</f>
        <v>KALIMANTAN TIMUR</v>
      </c>
      <c r="L56" t="str">
        <f>VLOOKUP(B56,baru!$B$2:$I$2271,6,FALSE)</f>
        <v>BERAU</v>
      </c>
    </row>
    <row r="57" spans="1:12" x14ac:dyDescent="0.35">
      <c r="A57" s="6">
        <v>2480151</v>
      </c>
      <c r="B57" s="7" t="str">
        <f>"3328021707950024"</f>
        <v>3328021707950024</v>
      </c>
      <c r="C57" s="7" t="s">
        <v>692</v>
      </c>
      <c r="D57" s="7" t="s">
        <v>189</v>
      </c>
      <c r="E57" s="7" t="s">
        <v>11</v>
      </c>
      <c r="F57" s="7" t="s">
        <v>18</v>
      </c>
      <c r="G57" s="7" t="s">
        <v>19</v>
      </c>
      <c r="H57" s="7" t="s">
        <v>527</v>
      </c>
      <c r="I57" s="8" t="s">
        <v>543</v>
      </c>
      <c r="J57" t="str">
        <f>VLOOKUP(B57,baru!$B$2:$I$2271,4,FALSE)</f>
        <v>Reguler</v>
      </c>
      <c r="K57" t="str">
        <f>VLOOKUP(B57,baru!$B$2:$I$2271,5,FALSE)</f>
        <v>JAWA TENGAH</v>
      </c>
      <c r="L57" t="str">
        <f>VLOOKUP(B57,baru!$B$2:$I$2271,6,FALSE)</f>
        <v>KENDAL</v>
      </c>
    </row>
    <row r="58" spans="1:12" x14ac:dyDescent="0.35">
      <c r="A58" s="6">
        <v>2431763</v>
      </c>
      <c r="B58" s="7" t="str">
        <f>"3328022105960002"</f>
        <v>3328022105960002</v>
      </c>
      <c r="C58" s="7" t="s">
        <v>710</v>
      </c>
      <c r="D58" s="7" t="s">
        <v>10</v>
      </c>
      <c r="E58" s="7" t="s">
        <v>11</v>
      </c>
      <c r="F58" s="7" t="s">
        <v>18</v>
      </c>
      <c r="G58" s="7" t="s">
        <v>19</v>
      </c>
      <c r="H58" s="7" t="s">
        <v>527</v>
      </c>
      <c r="I58" s="8" t="s">
        <v>539</v>
      </c>
      <c r="J58" t="str">
        <f>VLOOKUP(B58,baru!$B$2:$I$2271,4,FALSE)</f>
        <v>Reguler</v>
      </c>
      <c r="K58" t="str">
        <f>VLOOKUP(B58,baru!$B$2:$I$2271,5,FALSE)</f>
        <v>DAERAH ISTIMEWA YOGYAKARTA</v>
      </c>
      <c r="L58" t="str">
        <f>VLOOKUP(B58,baru!$B$2:$I$2271,6,FALSE)</f>
        <v>BANTUL</v>
      </c>
    </row>
    <row r="59" spans="1:12" x14ac:dyDescent="0.35">
      <c r="A59" s="6">
        <v>2131316</v>
      </c>
      <c r="B59" s="7" t="str">
        <f>"3328022211910009"</f>
        <v>3328022211910009</v>
      </c>
      <c r="C59" s="7" t="s">
        <v>714</v>
      </c>
      <c r="D59" s="7" t="s">
        <v>189</v>
      </c>
      <c r="E59" s="7" t="s">
        <v>11</v>
      </c>
      <c r="F59" s="7" t="s">
        <v>18</v>
      </c>
      <c r="G59" s="7" t="s">
        <v>19</v>
      </c>
      <c r="H59" s="7" t="s">
        <v>527</v>
      </c>
      <c r="I59" s="8" t="s">
        <v>682</v>
      </c>
      <c r="J59" t="str">
        <f>VLOOKUP(B59,baru!$B$2:$I$2271,4,FALSE)</f>
        <v>Reguler</v>
      </c>
      <c r="K59" t="str">
        <f>VLOOKUP(B59,baru!$B$2:$I$2271,5,FALSE)</f>
        <v>JAWA TENGAH</v>
      </c>
      <c r="L59" t="str">
        <f>VLOOKUP(B59,baru!$B$2:$I$2271,6,FALSE)</f>
        <v>BREBES</v>
      </c>
    </row>
    <row r="60" spans="1:12" x14ac:dyDescent="0.35">
      <c r="A60" s="6">
        <v>2425902</v>
      </c>
      <c r="B60" s="7" t="str">
        <f>"3328022305780001"</f>
        <v>3328022305780001</v>
      </c>
      <c r="C60" s="7" t="s">
        <v>720</v>
      </c>
      <c r="D60" s="7" t="s">
        <v>10</v>
      </c>
      <c r="E60" s="7" t="s">
        <v>11</v>
      </c>
      <c r="F60" s="7" t="s">
        <v>18</v>
      </c>
      <c r="G60" s="7" t="s">
        <v>19</v>
      </c>
      <c r="H60" s="7" t="s">
        <v>527</v>
      </c>
      <c r="I60" s="8" t="s">
        <v>684</v>
      </c>
      <c r="J60" t="str">
        <f>VLOOKUP(B60,baru!$B$2:$I$2271,4,FALSE)</f>
        <v>Reguler</v>
      </c>
      <c r="K60" t="str">
        <f>VLOOKUP(B60,baru!$B$2:$I$2271,5,FALSE)</f>
        <v>JAWA TENGAH</v>
      </c>
      <c r="L60" t="str">
        <f>VLOOKUP(B60,baru!$B$2:$I$2271,6,FALSE)</f>
        <v>BREBES</v>
      </c>
    </row>
    <row r="61" spans="1:12" x14ac:dyDescent="0.35">
      <c r="A61" s="6">
        <v>2479870</v>
      </c>
      <c r="B61" s="7" t="str">
        <f>"3328022807010003"</f>
        <v>3328022807010003</v>
      </c>
      <c r="C61" s="7" t="s">
        <v>741</v>
      </c>
      <c r="D61" s="7" t="s">
        <v>10</v>
      </c>
      <c r="E61" s="7" t="s">
        <v>11</v>
      </c>
      <c r="F61" s="7" t="s">
        <v>18</v>
      </c>
      <c r="G61" s="7" t="s">
        <v>19</v>
      </c>
      <c r="H61" s="7" t="s">
        <v>527</v>
      </c>
      <c r="I61" s="8" t="s">
        <v>543</v>
      </c>
      <c r="J61" t="str">
        <f>VLOOKUP(B61,baru!$B$2:$I$2271,4,FALSE)</f>
        <v>Reguler</v>
      </c>
      <c r="K61" t="str">
        <f>VLOOKUP(B61,baru!$B$2:$I$2271,5,FALSE)</f>
        <v>DKI JAKARTA</v>
      </c>
      <c r="L61" t="str">
        <f>VLOOKUP(B61,baru!$B$2:$I$2271,6,FALSE)</f>
        <v>KOTA JAKARTA TIMUR</v>
      </c>
    </row>
    <row r="62" spans="1:12" x14ac:dyDescent="0.35">
      <c r="A62" s="6">
        <v>2449115</v>
      </c>
      <c r="B62" s="7" t="str">
        <f>"3328023112750077"</f>
        <v>3328023112750077</v>
      </c>
      <c r="C62" s="7" t="s">
        <v>744</v>
      </c>
      <c r="D62" s="7" t="s">
        <v>10</v>
      </c>
      <c r="E62" s="7" t="s">
        <v>11</v>
      </c>
      <c r="F62" s="7" t="s">
        <v>18</v>
      </c>
      <c r="G62" s="7" t="s">
        <v>19</v>
      </c>
      <c r="H62" s="7" t="s">
        <v>527</v>
      </c>
      <c r="I62" s="8" t="s">
        <v>616</v>
      </c>
      <c r="J62" t="str">
        <f>VLOOKUP(B62,baru!$B$2:$I$2271,4,FALSE)</f>
        <v>Reguler</v>
      </c>
      <c r="K62" t="str">
        <f>VLOOKUP(B62,baru!$B$2:$I$2271,5,FALSE)</f>
        <v>JAWA TENGAH</v>
      </c>
      <c r="L62" t="str">
        <f>VLOOKUP(B62,baru!$B$2:$I$2271,6,FALSE)</f>
        <v>TEGAL</v>
      </c>
    </row>
    <row r="63" spans="1:12" x14ac:dyDescent="0.35">
      <c r="A63" s="6">
        <v>2448109</v>
      </c>
      <c r="B63" s="7" t="str">
        <f>"3328024405020009"</f>
        <v>3328024405020009</v>
      </c>
      <c r="C63" s="7" t="s">
        <v>751</v>
      </c>
      <c r="D63" s="7" t="s">
        <v>10</v>
      </c>
      <c r="E63" s="7" t="s">
        <v>11</v>
      </c>
      <c r="F63" s="7" t="s">
        <v>18</v>
      </c>
      <c r="G63" s="7" t="s">
        <v>19</v>
      </c>
      <c r="H63" s="7" t="s">
        <v>527</v>
      </c>
      <c r="I63" s="8" t="s">
        <v>616</v>
      </c>
      <c r="J63" t="str">
        <f>VLOOKUP(B63,baru!$B$2:$I$2271,4,FALSE)</f>
        <v>Reguler</v>
      </c>
      <c r="K63" t="str">
        <f>VLOOKUP(B63,baru!$B$2:$I$2271,5,FALSE)</f>
        <v>JAWA TENGAH</v>
      </c>
      <c r="L63" t="str">
        <f>VLOOKUP(B63,baru!$B$2:$I$2271,6,FALSE)</f>
        <v>BREBES</v>
      </c>
    </row>
    <row r="64" spans="1:12" x14ac:dyDescent="0.35">
      <c r="A64" s="6">
        <v>2493391</v>
      </c>
      <c r="B64" s="7" t="str">
        <f>"3328024410870002"</f>
        <v>3328024410870002</v>
      </c>
      <c r="C64" s="7" t="s">
        <v>752</v>
      </c>
      <c r="D64" s="7" t="s">
        <v>10</v>
      </c>
      <c r="E64" s="7" t="s">
        <v>11</v>
      </c>
      <c r="F64" s="7" t="s">
        <v>18</v>
      </c>
      <c r="G64" s="7" t="s">
        <v>19</v>
      </c>
      <c r="H64" s="7" t="s">
        <v>527</v>
      </c>
      <c r="I64" s="8" t="s">
        <v>532</v>
      </c>
      <c r="J64" t="str">
        <f>VLOOKUP(B64,baru!$B$2:$I$2271,4,FALSE)</f>
        <v>Reguler</v>
      </c>
      <c r="K64" t="str">
        <f>VLOOKUP(B64,baru!$B$2:$I$2271,5,FALSE)</f>
        <v>JAWA BARAT</v>
      </c>
      <c r="L64" t="str">
        <f>VLOOKUP(B64,baru!$B$2:$I$2271,6,FALSE)</f>
        <v>PANGANDARAN</v>
      </c>
    </row>
    <row r="65" spans="1:12" x14ac:dyDescent="0.35">
      <c r="A65" s="6">
        <v>2478082</v>
      </c>
      <c r="B65" s="7" t="str">
        <f>"3328024701770003"</f>
        <v>3328024701770003</v>
      </c>
      <c r="C65" s="7" t="s">
        <v>764</v>
      </c>
      <c r="D65" s="7" t="s">
        <v>10</v>
      </c>
      <c r="E65" s="7" t="s">
        <v>11</v>
      </c>
      <c r="F65" s="7" t="s">
        <v>18</v>
      </c>
      <c r="G65" s="7" t="s">
        <v>19</v>
      </c>
      <c r="H65" s="7" t="s">
        <v>527</v>
      </c>
      <c r="I65" s="8" t="s">
        <v>543</v>
      </c>
      <c r="J65" t="str">
        <f>VLOOKUP(B65,baru!$B$2:$I$2271,4,FALSE)</f>
        <v>Reguler</v>
      </c>
      <c r="K65" t="str">
        <f>VLOOKUP(B65,baru!$B$2:$I$2271,5,FALSE)</f>
        <v>DKI JAKARTA</v>
      </c>
      <c r="L65" t="str">
        <f>VLOOKUP(B65,baru!$B$2:$I$2271,6,FALSE)</f>
        <v>KOTA JAKARTA TIMUR</v>
      </c>
    </row>
    <row r="66" spans="1:12" x14ac:dyDescent="0.35">
      <c r="A66" s="6">
        <v>2499607</v>
      </c>
      <c r="B66" s="7" t="str">
        <f>"3328024811920002"</f>
        <v>3328024811920002</v>
      </c>
      <c r="C66" s="7" t="s">
        <v>768</v>
      </c>
      <c r="D66" s="7" t="s">
        <v>10</v>
      </c>
      <c r="E66" s="7" t="s">
        <v>11</v>
      </c>
      <c r="F66" s="7" t="s">
        <v>18</v>
      </c>
      <c r="G66" s="7" t="s">
        <v>19</v>
      </c>
      <c r="H66" s="7" t="s">
        <v>527</v>
      </c>
      <c r="I66" s="8" t="s">
        <v>528</v>
      </c>
      <c r="J66" t="str">
        <f>VLOOKUP(B66,baru!$B$2:$I$2271,4,FALSE)</f>
        <v>Reguler</v>
      </c>
      <c r="K66" t="str">
        <f>VLOOKUP(B66,baru!$B$2:$I$2271,5,FALSE)</f>
        <v>DKI JAKARTA</v>
      </c>
      <c r="L66" t="str">
        <f>VLOOKUP(B66,baru!$B$2:$I$2271,6,FALSE)</f>
        <v>KOTA JAKARTA TIMUR</v>
      </c>
    </row>
    <row r="67" spans="1:12" x14ac:dyDescent="0.35">
      <c r="A67" s="6">
        <v>2472019</v>
      </c>
      <c r="B67" s="7" t="str">
        <f>"3328025005930011"</f>
        <v>3328025005930011</v>
      </c>
      <c r="C67" s="7" t="s">
        <v>775</v>
      </c>
      <c r="D67" s="7" t="s">
        <v>10</v>
      </c>
      <c r="E67" s="7" t="s">
        <v>11</v>
      </c>
      <c r="F67" s="7" t="s">
        <v>18</v>
      </c>
      <c r="G67" s="7" t="s">
        <v>19</v>
      </c>
      <c r="H67" s="7" t="s">
        <v>527</v>
      </c>
      <c r="I67" s="8" t="s">
        <v>640</v>
      </c>
      <c r="J67" t="str">
        <f>VLOOKUP(B67,baru!$B$2:$I$2271,4,FALSE)</f>
        <v>Reguler</v>
      </c>
      <c r="K67" t="str">
        <f>VLOOKUP(B67,baru!$B$2:$I$2271,5,FALSE)</f>
        <v>DKI JAKARTA</v>
      </c>
      <c r="L67" t="str">
        <f>VLOOKUP(B67,baru!$B$2:$I$2271,6,FALSE)</f>
        <v>KOTA JAKARTA PUSAT</v>
      </c>
    </row>
    <row r="68" spans="1:12" x14ac:dyDescent="0.35">
      <c r="A68" s="6">
        <v>2488796</v>
      </c>
      <c r="B68" s="7" t="str">
        <f>"3328025109920002"</f>
        <v>3328025109920002</v>
      </c>
      <c r="C68" s="7" t="s">
        <v>787</v>
      </c>
      <c r="D68" s="7" t="s">
        <v>10</v>
      </c>
      <c r="E68" s="7" t="s">
        <v>11</v>
      </c>
      <c r="F68" s="7" t="s">
        <v>18</v>
      </c>
      <c r="G68" s="7" t="s">
        <v>19</v>
      </c>
      <c r="H68" s="7" t="s">
        <v>527</v>
      </c>
      <c r="I68" s="8" t="s">
        <v>564</v>
      </c>
      <c r="J68" t="str">
        <f>VLOOKUP(B68,baru!$B$2:$I$2271,4,FALSE)</f>
        <v>Reguler</v>
      </c>
      <c r="K68" t="str">
        <f>VLOOKUP(B68,baru!$B$2:$I$2271,5,FALSE)</f>
        <v>DKI JAKARTA</v>
      </c>
      <c r="L68" t="str">
        <f>VLOOKUP(B68,baru!$B$2:$I$2271,6,FALSE)</f>
        <v>KOTA JAKARTA BARAT</v>
      </c>
    </row>
    <row r="69" spans="1:12" x14ac:dyDescent="0.35">
      <c r="A69" s="6">
        <v>2426036</v>
      </c>
      <c r="B69" s="7" t="str">
        <f>"3328025406920007"</f>
        <v>3328025406920007</v>
      </c>
      <c r="C69" s="7" t="s">
        <v>798</v>
      </c>
      <c r="D69" s="7" t="s">
        <v>10</v>
      </c>
      <c r="E69" s="7" t="s">
        <v>11</v>
      </c>
      <c r="F69" s="7" t="s">
        <v>18</v>
      </c>
      <c r="G69" s="7" t="s">
        <v>19</v>
      </c>
      <c r="H69" s="7" t="s">
        <v>527</v>
      </c>
      <c r="I69" s="8" t="s">
        <v>684</v>
      </c>
      <c r="J69" t="str">
        <f>VLOOKUP(B69,baru!$B$2:$I$2271,4,FALSE)</f>
        <v>Reguler</v>
      </c>
      <c r="K69" t="str">
        <f>VLOOKUP(B69,baru!$B$2:$I$2271,5,FALSE)</f>
        <v>JAWA TENGAH</v>
      </c>
      <c r="L69" t="str">
        <f>VLOOKUP(B69,baru!$B$2:$I$2271,6,FALSE)</f>
        <v>BREBES</v>
      </c>
    </row>
    <row r="70" spans="1:12" x14ac:dyDescent="0.35">
      <c r="A70" s="6">
        <v>2448093</v>
      </c>
      <c r="B70" s="7" t="str">
        <f>"3328025902050003"</f>
        <v>3328025902050003</v>
      </c>
      <c r="C70" s="7" t="s">
        <v>820</v>
      </c>
      <c r="D70" s="7" t="s">
        <v>10</v>
      </c>
      <c r="E70" s="7" t="s">
        <v>11</v>
      </c>
      <c r="F70" s="7" t="s">
        <v>18</v>
      </c>
      <c r="G70" s="7" t="s">
        <v>19</v>
      </c>
      <c r="H70" s="7" t="s">
        <v>527</v>
      </c>
      <c r="I70" s="8" t="s">
        <v>616</v>
      </c>
      <c r="J70" t="str">
        <f>VLOOKUP(B70,baru!$B$2:$I$2271,4,FALSE)</f>
        <v>Reguler</v>
      </c>
      <c r="K70" t="str">
        <f>VLOOKUP(B70,baru!$B$2:$I$2271,5,FALSE)</f>
        <v>JAWA TENGAH</v>
      </c>
      <c r="L70" t="str">
        <f>VLOOKUP(B70,baru!$B$2:$I$2271,6,FALSE)</f>
        <v>BREBES</v>
      </c>
    </row>
    <row r="71" spans="1:12" x14ac:dyDescent="0.35">
      <c r="A71" s="6">
        <v>2446795</v>
      </c>
      <c r="B71" s="7" t="str">
        <f>"3328027112030004"</f>
        <v>3328027112030004</v>
      </c>
      <c r="C71" s="7" t="s">
        <v>833</v>
      </c>
      <c r="D71" s="7" t="s">
        <v>10</v>
      </c>
      <c r="E71" s="7" t="s">
        <v>11</v>
      </c>
      <c r="F71" s="7" t="s">
        <v>18</v>
      </c>
      <c r="G71" s="7" t="s">
        <v>19</v>
      </c>
      <c r="H71" s="7" t="s">
        <v>527</v>
      </c>
      <c r="I71" s="8" t="s">
        <v>616</v>
      </c>
      <c r="J71" t="str">
        <f>VLOOKUP(B71,baru!$B$2:$I$2271,4,FALSE)</f>
        <v>Reguler</v>
      </c>
      <c r="K71" t="str">
        <f>VLOOKUP(B71,baru!$B$2:$I$2271,5,FALSE)</f>
        <v>JAWA TENGAH</v>
      </c>
      <c r="L71" t="str">
        <f>VLOOKUP(B71,baru!$B$2:$I$2271,6,FALSE)</f>
        <v>BREBES</v>
      </c>
    </row>
    <row r="72" spans="1:12" x14ac:dyDescent="0.35">
      <c r="A72" s="6">
        <v>2471357</v>
      </c>
      <c r="B72" s="7" t="str">
        <f>"3328040906920010"</f>
        <v>3328040906920010</v>
      </c>
      <c r="C72" s="7" t="s">
        <v>835</v>
      </c>
      <c r="D72" s="7" t="s">
        <v>10</v>
      </c>
      <c r="E72" s="7" t="s">
        <v>11</v>
      </c>
      <c r="F72" s="7" t="s">
        <v>18</v>
      </c>
      <c r="G72" s="7" t="s">
        <v>19</v>
      </c>
      <c r="H72" s="7" t="s">
        <v>527</v>
      </c>
      <c r="I72" s="8" t="s">
        <v>605</v>
      </c>
      <c r="J72" t="str">
        <f>VLOOKUP(B72,baru!$B$2:$I$2271,4,FALSE)</f>
        <v>Reguler</v>
      </c>
      <c r="K72" t="str">
        <f>VLOOKUP(B72,baru!$B$2:$I$2271,5,FALSE)</f>
        <v>JAWA TENGAH</v>
      </c>
      <c r="L72" t="str">
        <f>VLOOKUP(B72,baru!$B$2:$I$2271,6,FALSE)</f>
        <v>TEGAL</v>
      </c>
    </row>
    <row r="73" spans="1:12" x14ac:dyDescent="0.35">
      <c r="A73" s="6">
        <v>2490448</v>
      </c>
      <c r="B73" s="7" t="str">
        <f>"3329034511940004"</f>
        <v>3329034511940004</v>
      </c>
      <c r="C73" s="7" t="s">
        <v>840</v>
      </c>
      <c r="D73" s="7" t="s">
        <v>10</v>
      </c>
      <c r="E73" s="7" t="s">
        <v>11</v>
      </c>
      <c r="F73" s="7" t="s">
        <v>18</v>
      </c>
      <c r="G73" s="7" t="s">
        <v>19</v>
      </c>
      <c r="H73" s="7" t="s">
        <v>527</v>
      </c>
      <c r="I73" s="8" t="s">
        <v>532</v>
      </c>
      <c r="J73" t="str">
        <f>VLOOKUP(B73,baru!$B$2:$I$2271,4,FALSE)</f>
        <v>Reguler</v>
      </c>
      <c r="K73" t="str">
        <f>VLOOKUP(B73,baru!$B$2:$I$2271,5,FALSE)</f>
        <v>JAWA TENGAH</v>
      </c>
      <c r="L73" t="str">
        <f>VLOOKUP(B73,baru!$B$2:$I$2271,6,FALSE)</f>
        <v>BREBES</v>
      </c>
    </row>
    <row r="74" spans="1:12" x14ac:dyDescent="0.35">
      <c r="A74" s="6">
        <v>2447997</v>
      </c>
      <c r="B74" s="7" t="str">
        <f>"3329050107990033"</f>
        <v>3329050107990033</v>
      </c>
      <c r="C74" s="7" t="s">
        <v>848</v>
      </c>
      <c r="D74" s="7" t="s">
        <v>10</v>
      </c>
      <c r="E74" s="7" t="s">
        <v>11</v>
      </c>
      <c r="F74" s="7" t="s">
        <v>18</v>
      </c>
      <c r="G74" s="7" t="s">
        <v>19</v>
      </c>
      <c r="H74" s="7" t="s">
        <v>527</v>
      </c>
      <c r="I74" s="8" t="s">
        <v>616</v>
      </c>
      <c r="J74" t="str">
        <f>VLOOKUP(B74,baru!$B$2:$I$2271,4,FALSE)</f>
        <v>Reguler</v>
      </c>
      <c r="K74" t="str">
        <f>VLOOKUP(B74,baru!$B$2:$I$2271,5,FALSE)</f>
        <v>JAWA TENGAH</v>
      </c>
      <c r="L74" t="str">
        <f>VLOOKUP(B74,baru!$B$2:$I$2271,6,FALSE)</f>
        <v>BREBES</v>
      </c>
    </row>
    <row r="75" spans="1:12" x14ac:dyDescent="0.35">
      <c r="A75" s="6">
        <v>2447998</v>
      </c>
      <c r="B75" s="7" t="str">
        <f>"3329051811950001"</f>
        <v>3329051811950001</v>
      </c>
      <c r="C75" s="7" t="s">
        <v>855</v>
      </c>
      <c r="D75" s="7" t="s">
        <v>10</v>
      </c>
      <c r="E75" s="7" t="s">
        <v>11</v>
      </c>
      <c r="F75" s="7" t="s">
        <v>18</v>
      </c>
      <c r="G75" s="7" t="s">
        <v>19</v>
      </c>
      <c r="H75" s="7" t="s">
        <v>527</v>
      </c>
      <c r="I75" s="8" t="s">
        <v>616</v>
      </c>
      <c r="J75" t="str">
        <f>VLOOKUP(B75,baru!$B$2:$I$2271,4,FALSE)</f>
        <v>Reguler</v>
      </c>
      <c r="K75" t="str">
        <f>VLOOKUP(B75,baru!$B$2:$I$2271,5,FALSE)</f>
        <v>JAWA TENGAH</v>
      </c>
      <c r="L75" t="str">
        <f>VLOOKUP(B75,baru!$B$2:$I$2271,6,FALSE)</f>
        <v>BREBES</v>
      </c>
    </row>
    <row r="76" spans="1:12" x14ac:dyDescent="0.35">
      <c r="A76" s="6">
        <v>2491837</v>
      </c>
      <c r="B76" s="7" t="str">
        <f>"3329071911850003"</f>
        <v>3329071911850003</v>
      </c>
      <c r="C76" s="7" t="s">
        <v>862</v>
      </c>
      <c r="D76" s="7" t="s">
        <v>10</v>
      </c>
      <c r="E76" s="7" t="s">
        <v>11</v>
      </c>
      <c r="F76" s="7" t="s">
        <v>18</v>
      </c>
      <c r="G76" s="7" t="s">
        <v>19</v>
      </c>
      <c r="H76" s="7" t="s">
        <v>527</v>
      </c>
      <c r="I76" s="8" t="s">
        <v>532</v>
      </c>
      <c r="J76" t="str">
        <f>VLOOKUP(B76,baru!$B$2:$I$2271,4,FALSE)</f>
        <v>Reguler</v>
      </c>
      <c r="K76" t="str">
        <f>VLOOKUP(B76,baru!$B$2:$I$2271,5,FALSE)</f>
        <v>JAWA TENGAH</v>
      </c>
      <c r="L76" t="str">
        <f>VLOOKUP(B76,baru!$B$2:$I$2271,6,FALSE)</f>
        <v>BREBES</v>
      </c>
    </row>
    <row r="77" spans="1:12" x14ac:dyDescent="0.35">
      <c r="A77" s="6">
        <v>2493907</v>
      </c>
      <c r="B77" s="7" t="str">
        <f>"3603135703960001"</f>
        <v>3603135703960001</v>
      </c>
      <c r="C77" s="7" t="s">
        <v>896</v>
      </c>
      <c r="D77" s="7" t="s">
        <v>10</v>
      </c>
      <c r="E77" s="7" t="s">
        <v>11</v>
      </c>
      <c r="F77" s="7" t="s">
        <v>18</v>
      </c>
      <c r="G77" s="7" t="s">
        <v>19</v>
      </c>
      <c r="H77" s="7" t="s">
        <v>527</v>
      </c>
      <c r="I77" s="8" t="s">
        <v>532</v>
      </c>
      <c r="J77" t="str">
        <f>VLOOKUP(B77,baru!$B$2:$I$2271,4,FALSE)</f>
        <v>Reguler</v>
      </c>
      <c r="K77" t="str">
        <f>VLOOKUP(B77,baru!$B$2:$I$2271,5,FALSE)</f>
        <v>BANTEN</v>
      </c>
      <c r="L77" t="str">
        <f>VLOOKUP(B77,baru!$B$2:$I$2271,6,FALSE)</f>
        <v>TANGERANG</v>
      </c>
    </row>
    <row r="78" spans="1:12" x14ac:dyDescent="0.35">
      <c r="A78" s="6">
        <v>2498966</v>
      </c>
      <c r="B78" s="7" t="str">
        <f>"3604295407880006"</f>
        <v>3604295407880006</v>
      </c>
      <c r="C78" s="7" t="s">
        <v>900</v>
      </c>
      <c r="D78" s="7" t="s">
        <v>10</v>
      </c>
      <c r="E78" s="7" t="s">
        <v>11</v>
      </c>
      <c r="F78" s="7" t="s">
        <v>18</v>
      </c>
      <c r="G78" s="7" t="s">
        <v>19</v>
      </c>
      <c r="H78" s="7" t="s">
        <v>527</v>
      </c>
      <c r="I78" s="8" t="s">
        <v>528</v>
      </c>
      <c r="J78" t="str">
        <f>VLOOKUP(B78,baru!$B$2:$I$2271,4,FALSE)</f>
        <v>Reguler</v>
      </c>
      <c r="K78" t="str">
        <f>VLOOKUP(B78,baru!$B$2:$I$2271,5,FALSE)</f>
        <v>BANTEN</v>
      </c>
      <c r="L78" t="str">
        <f>VLOOKUP(B78,baru!$B$2:$I$2271,6,FALSE)</f>
        <v>SERANG</v>
      </c>
    </row>
    <row r="79" spans="1:12" x14ac:dyDescent="0.35">
      <c r="A79" s="6">
        <v>1589651</v>
      </c>
      <c r="B79" s="7" t="str">
        <f>"3216082004890006"</f>
        <v>3216082004890006</v>
      </c>
      <c r="C79" s="7" t="s">
        <v>946</v>
      </c>
      <c r="D79" s="7" t="s">
        <v>10</v>
      </c>
      <c r="E79" s="7" t="s">
        <v>11</v>
      </c>
      <c r="F79" s="7" t="s">
        <v>18</v>
      </c>
      <c r="G79" s="7" t="s">
        <v>19</v>
      </c>
      <c r="H79" s="7" t="s">
        <v>906</v>
      </c>
      <c r="I79" s="8" t="s">
        <v>929</v>
      </c>
      <c r="J79" t="str">
        <f>VLOOKUP(B79,baru!$B$2:$I$2271,4,FALSE)</f>
        <v>Reguler</v>
      </c>
      <c r="K79" t="str">
        <f>VLOOKUP(B79,baru!$B$2:$I$2271,5,FALSE)</f>
        <v>JAWA TENGAH</v>
      </c>
      <c r="L79" t="str">
        <f>VLOOKUP(B79,baru!$B$2:$I$2271,6,FALSE)</f>
        <v>TEGAL</v>
      </c>
    </row>
    <row r="80" spans="1:12" x14ac:dyDescent="0.35">
      <c r="A80" s="6">
        <v>1935947</v>
      </c>
      <c r="B80" s="7" t="str">
        <f>"3325090609860003"</f>
        <v>3325090609860003</v>
      </c>
      <c r="C80" s="7" t="s">
        <v>967</v>
      </c>
      <c r="D80" s="7" t="s">
        <v>10</v>
      </c>
      <c r="E80" s="7" t="s">
        <v>11</v>
      </c>
      <c r="F80" s="7" t="s">
        <v>18</v>
      </c>
      <c r="G80" s="7" t="s">
        <v>19</v>
      </c>
      <c r="H80" s="7" t="s">
        <v>906</v>
      </c>
      <c r="I80" s="8" t="s">
        <v>913</v>
      </c>
      <c r="J80" t="str">
        <f>VLOOKUP(B80,baru!$B$2:$I$2271,4,FALSE)</f>
        <v>Reguler</v>
      </c>
      <c r="K80" t="str">
        <f>VLOOKUP(B80,baru!$B$2:$I$2271,5,FALSE)</f>
        <v>JAWA TENGAH</v>
      </c>
      <c r="L80" t="str">
        <f>VLOOKUP(B80,baru!$B$2:$I$2271,6,FALSE)</f>
        <v>BATANG</v>
      </c>
    </row>
    <row r="81" spans="1:12" x14ac:dyDescent="0.35">
      <c r="A81" s="6">
        <v>1603043</v>
      </c>
      <c r="B81" s="7" t="str">
        <f>"3328030306950010"</f>
        <v>3328030306950010</v>
      </c>
      <c r="C81" s="7" t="s">
        <v>997</v>
      </c>
      <c r="D81" s="7" t="s">
        <v>189</v>
      </c>
      <c r="E81" s="7" t="s">
        <v>11</v>
      </c>
      <c r="F81" s="7" t="s">
        <v>18</v>
      </c>
      <c r="G81" s="7" t="s">
        <v>19</v>
      </c>
      <c r="H81" s="7" t="s">
        <v>906</v>
      </c>
      <c r="I81" s="8" t="s">
        <v>907</v>
      </c>
      <c r="J81" t="str">
        <f>VLOOKUP(B81,baru!$B$2:$I$2271,4,FALSE)</f>
        <v>Reguler</v>
      </c>
      <c r="K81" t="str">
        <f>VLOOKUP(B81,baru!$B$2:$I$2271,5,FALSE)</f>
        <v>JAWA TENGAH</v>
      </c>
      <c r="L81" t="str">
        <f>VLOOKUP(B81,baru!$B$2:$I$2271,6,FALSE)</f>
        <v>KOTA TEGAL</v>
      </c>
    </row>
    <row r="82" spans="1:12" x14ac:dyDescent="0.35">
      <c r="A82" s="6">
        <v>1601309</v>
      </c>
      <c r="B82" s="7" t="str">
        <f>"3328030504850007"</f>
        <v>3328030504850007</v>
      </c>
      <c r="C82" s="7" t="s">
        <v>1006</v>
      </c>
      <c r="D82" s="7" t="s">
        <v>189</v>
      </c>
      <c r="E82" s="7" t="s">
        <v>11</v>
      </c>
      <c r="F82" s="7" t="s">
        <v>18</v>
      </c>
      <c r="G82" s="7" t="s">
        <v>19</v>
      </c>
      <c r="H82" s="7" t="s">
        <v>906</v>
      </c>
      <c r="I82" s="8" t="s">
        <v>920</v>
      </c>
      <c r="J82" t="str">
        <f>VLOOKUP(B82,baru!$B$2:$I$2271,4,FALSE)</f>
        <v>Reguler</v>
      </c>
      <c r="K82" t="str">
        <f>VLOOKUP(B82,baru!$B$2:$I$2271,5,FALSE)</f>
        <v>JAWA TENGAH</v>
      </c>
      <c r="L82" t="str">
        <f>VLOOKUP(B82,baru!$B$2:$I$2271,6,FALSE)</f>
        <v>BREBES</v>
      </c>
    </row>
    <row r="83" spans="1:12" x14ac:dyDescent="0.35">
      <c r="A83" s="6">
        <v>1589179</v>
      </c>
      <c r="B83" s="7" t="str">
        <f>"3328031005990008"</f>
        <v>3328031005990008</v>
      </c>
      <c r="C83" s="7" t="s">
        <v>1029</v>
      </c>
      <c r="D83" s="7" t="s">
        <v>10</v>
      </c>
      <c r="E83" s="7" t="s">
        <v>11</v>
      </c>
      <c r="F83" s="7" t="s">
        <v>18</v>
      </c>
      <c r="G83" s="7" t="s">
        <v>19</v>
      </c>
      <c r="H83" s="7" t="s">
        <v>906</v>
      </c>
      <c r="I83" s="8" t="s">
        <v>929</v>
      </c>
      <c r="J83" t="str">
        <f>VLOOKUP(B83,baru!$B$2:$I$2271,4,FALSE)</f>
        <v>Reguler</v>
      </c>
      <c r="K83" t="str">
        <f>VLOOKUP(B83,baru!$B$2:$I$2271,5,FALSE)</f>
        <v>JAWA TENGAH</v>
      </c>
      <c r="L83" t="str">
        <f>VLOOKUP(B83,baru!$B$2:$I$2271,6,FALSE)</f>
        <v>TEGAL</v>
      </c>
    </row>
    <row r="84" spans="1:12" x14ac:dyDescent="0.35">
      <c r="A84" s="6">
        <v>1565675</v>
      </c>
      <c r="B84" s="7" t="str">
        <f>"3328032004850005"</f>
        <v>3328032004850005</v>
      </c>
      <c r="C84" s="7" t="s">
        <v>1064</v>
      </c>
      <c r="D84" s="7" t="s">
        <v>10</v>
      </c>
      <c r="E84" s="7" t="s">
        <v>11</v>
      </c>
      <c r="F84" s="7" t="s">
        <v>18</v>
      </c>
      <c r="G84" s="7" t="s">
        <v>19</v>
      </c>
      <c r="H84" s="7" t="s">
        <v>906</v>
      </c>
      <c r="I84" s="8" t="s">
        <v>959</v>
      </c>
      <c r="J84" t="str">
        <f>VLOOKUP(B84,baru!$B$2:$I$2271,4,FALSE)</f>
        <v>Reguler</v>
      </c>
      <c r="K84" t="str">
        <f>VLOOKUP(B84,baru!$B$2:$I$2271,5,FALSE)</f>
        <v>JAWA TENGAH</v>
      </c>
      <c r="L84" t="str">
        <f>VLOOKUP(B84,baru!$B$2:$I$2271,6,FALSE)</f>
        <v>KOTA TEGAL</v>
      </c>
    </row>
    <row r="85" spans="1:12" x14ac:dyDescent="0.35">
      <c r="A85" s="6">
        <v>1581726</v>
      </c>
      <c r="B85" s="7" t="str">
        <f>"3328032005890006"</f>
        <v>3328032005890006</v>
      </c>
      <c r="C85" s="7" t="s">
        <v>967</v>
      </c>
      <c r="D85" s="7" t="s">
        <v>10</v>
      </c>
      <c r="E85" s="7" t="s">
        <v>11</v>
      </c>
      <c r="F85" s="7" t="s">
        <v>18</v>
      </c>
      <c r="G85" s="7" t="s">
        <v>19</v>
      </c>
      <c r="H85" s="7" t="s">
        <v>906</v>
      </c>
      <c r="I85" s="8" t="s">
        <v>906</v>
      </c>
      <c r="J85" t="str">
        <f>VLOOKUP(B85,baru!$B$2:$I$2271,4,FALSE)</f>
        <v>Reguler</v>
      </c>
      <c r="K85" t="str">
        <f>VLOOKUP(B85,baru!$B$2:$I$2271,5,FALSE)</f>
        <v>JAWA TENGAH</v>
      </c>
      <c r="L85" t="str">
        <f>VLOOKUP(B85,baru!$B$2:$I$2271,6,FALSE)</f>
        <v>TEGAL</v>
      </c>
    </row>
    <row r="86" spans="1:12" x14ac:dyDescent="0.35">
      <c r="A86" s="6">
        <v>1599669</v>
      </c>
      <c r="B86" s="7" t="str">
        <f>"3328032006950013"</f>
        <v>3328032006950013</v>
      </c>
      <c r="C86" s="7" t="s">
        <v>1068</v>
      </c>
      <c r="D86" s="7" t="s">
        <v>10</v>
      </c>
      <c r="E86" s="7" t="s">
        <v>11</v>
      </c>
      <c r="F86" s="7" t="s">
        <v>18</v>
      </c>
      <c r="G86" s="7" t="s">
        <v>19</v>
      </c>
      <c r="H86" s="7" t="s">
        <v>906</v>
      </c>
      <c r="I86" s="8" t="s">
        <v>920</v>
      </c>
      <c r="J86" t="str">
        <f>VLOOKUP(B86,baru!$B$2:$I$2271,4,FALSE)</f>
        <v>Reguler</v>
      </c>
      <c r="K86" t="str">
        <f>VLOOKUP(B86,baru!$B$2:$I$2271,5,FALSE)</f>
        <v>DKI JAKARTA</v>
      </c>
      <c r="L86" t="str">
        <f>VLOOKUP(B86,baru!$B$2:$I$2271,6,FALSE)</f>
        <v>KOTA JAKARTA TIMUR</v>
      </c>
    </row>
    <row r="87" spans="1:12" x14ac:dyDescent="0.35">
      <c r="A87" s="6">
        <v>1591855</v>
      </c>
      <c r="B87" s="7" t="str">
        <f>"3328034404020001"</f>
        <v>3328034404020001</v>
      </c>
      <c r="C87" s="7" t="s">
        <v>1128</v>
      </c>
      <c r="D87" s="7" t="s">
        <v>10</v>
      </c>
      <c r="E87" s="7" t="s">
        <v>11</v>
      </c>
      <c r="F87" s="7" t="s">
        <v>18</v>
      </c>
      <c r="G87" s="7" t="s">
        <v>19</v>
      </c>
      <c r="H87" s="7" t="s">
        <v>906</v>
      </c>
      <c r="I87" s="8" t="s">
        <v>992</v>
      </c>
      <c r="J87" t="str">
        <f>VLOOKUP(B87,baru!$B$2:$I$2271,4,FALSE)</f>
        <v>Reguler</v>
      </c>
      <c r="K87" t="str">
        <f>VLOOKUP(B87,baru!$B$2:$I$2271,5,FALSE)</f>
        <v>JAWA TENGAH</v>
      </c>
      <c r="L87" t="str">
        <f>VLOOKUP(B87,baru!$B$2:$I$2271,6,FALSE)</f>
        <v>PEKALONGAN</v>
      </c>
    </row>
    <row r="88" spans="1:12" x14ac:dyDescent="0.35">
      <c r="A88" s="6">
        <v>1565717</v>
      </c>
      <c r="B88" s="7" t="str">
        <f>"3328034406580002"</f>
        <v>3328034406580002</v>
      </c>
      <c r="C88" s="7" t="s">
        <v>1130</v>
      </c>
      <c r="D88" s="7" t="s">
        <v>10</v>
      </c>
      <c r="E88" s="7" t="s">
        <v>11</v>
      </c>
      <c r="F88" s="7" t="s">
        <v>18</v>
      </c>
      <c r="G88" s="7" t="s">
        <v>19</v>
      </c>
      <c r="H88" s="7" t="s">
        <v>906</v>
      </c>
      <c r="I88" s="8" t="s">
        <v>959</v>
      </c>
      <c r="J88" t="str">
        <f>VLOOKUP(B88,baru!$B$2:$I$2271,4,FALSE)</f>
        <v>Reguler</v>
      </c>
      <c r="K88" t="str">
        <f>VLOOKUP(B88,baru!$B$2:$I$2271,5,FALSE)</f>
        <v>DKI JAKARTA</v>
      </c>
      <c r="L88" t="str">
        <f>VLOOKUP(B88,baru!$B$2:$I$2271,6,FALSE)</f>
        <v>KOTA JAKARTA TIMUR</v>
      </c>
    </row>
    <row r="89" spans="1:12" x14ac:dyDescent="0.35">
      <c r="A89" s="6">
        <v>1604749</v>
      </c>
      <c r="B89" s="7" t="str">
        <f>"3328036703780001"</f>
        <v>3328036703780001</v>
      </c>
      <c r="C89" s="7" t="s">
        <v>1164</v>
      </c>
      <c r="D89" s="7" t="s">
        <v>10</v>
      </c>
      <c r="E89" s="7" t="s">
        <v>11</v>
      </c>
      <c r="F89" s="7" t="s">
        <v>18</v>
      </c>
      <c r="G89" s="7" t="s">
        <v>19</v>
      </c>
      <c r="H89" s="7" t="s">
        <v>906</v>
      </c>
      <c r="I89" s="8" t="s">
        <v>907</v>
      </c>
      <c r="J89" t="str">
        <f>VLOOKUP(B89,baru!$B$2:$I$2271,4,FALSE)</f>
        <v>Reguler</v>
      </c>
      <c r="K89" t="str">
        <f>VLOOKUP(B89,baru!$B$2:$I$2271,5,FALSE)</f>
        <v>JAWA TENGAH</v>
      </c>
      <c r="L89" t="str">
        <f>VLOOKUP(B89,baru!$B$2:$I$2271,6,FALSE)</f>
        <v>BANJARNEGARA</v>
      </c>
    </row>
    <row r="90" spans="1:12" x14ac:dyDescent="0.35">
      <c r="A90" s="6">
        <v>1588556</v>
      </c>
      <c r="B90" s="7" t="str">
        <f>"3328042702840001"</f>
        <v>3328042702840001</v>
      </c>
      <c r="C90" s="7" t="s">
        <v>1175</v>
      </c>
      <c r="D90" s="7" t="s">
        <v>10</v>
      </c>
      <c r="E90" s="7" t="s">
        <v>11</v>
      </c>
      <c r="F90" s="7" t="s">
        <v>18</v>
      </c>
      <c r="G90" s="7" t="s">
        <v>19</v>
      </c>
      <c r="H90" s="7" t="s">
        <v>906</v>
      </c>
      <c r="I90" s="8" t="s">
        <v>929</v>
      </c>
      <c r="J90" t="str">
        <f>VLOOKUP(B90,baru!$B$2:$I$2271,4,FALSE)</f>
        <v>Reguler</v>
      </c>
      <c r="K90" t="str">
        <f>VLOOKUP(B90,baru!$B$2:$I$2271,5,FALSE)</f>
        <v>JAWA TENGAH</v>
      </c>
      <c r="L90" t="str">
        <f>VLOOKUP(B90,baru!$B$2:$I$2271,6,FALSE)</f>
        <v>TEGAL</v>
      </c>
    </row>
    <row r="91" spans="1:12" x14ac:dyDescent="0.35">
      <c r="A91" s="6">
        <v>1599065</v>
      </c>
      <c r="B91" s="7" t="str">
        <f>"3329030508910006"</f>
        <v>3329030508910006</v>
      </c>
      <c r="C91" s="7" t="s">
        <v>1179</v>
      </c>
      <c r="D91" s="7" t="s">
        <v>10</v>
      </c>
      <c r="E91" s="7" t="s">
        <v>11</v>
      </c>
      <c r="F91" s="7" t="s">
        <v>18</v>
      </c>
      <c r="G91" s="7" t="s">
        <v>19</v>
      </c>
      <c r="H91" s="7" t="s">
        <v>906</v>
      </c>
      <c r="I91" s="8" t="s">
        <v>920</v>
      </c>
      <c r="J91" t="str">
        <f>VLOOKUP(B91,baru!$B$2:$I$2271,4,FALSE)</f>
        <v>Reguler</v>
      </c>
      <c r="K91" t="str">
        <f>VLOOKUP(B91,baru!$B$2:$I$2271,5,FALSE)</f>
        <v>JAWA TENGAH</v>
      </c>
      <c r="L91" t="str">
        <f>VLOOKUP(B91,baru!$B$2:$I$2271,6,FALSE)</f>
        <v>BREBES</v>
      </c>
    </row>
    <row r="92" spans="1:12" x14ac:dyDescent="0.35">
      <c r="A92" s="6">
        <v>1565923</v>
      </c>
      <c r="B92" s="7" t="str">
        <f>"3329050604740001"</f>
        <v>3329050604740001</v>
      </c>
      <c r="C92" s="7" t="s">
        <v>1183</v>
      </c>
      <c r="D92" s="7" t="s">
        <v>10</v>
      </c>
      <c r="E92" s="7" t="s">
        <v>11</v>
      </c>
      <c r="F92" s="7" t="s">
        <v>18</v>
      </c>
      <c r="G92" s="7" t="s">
        <v>19</v>
      </c>
      <c r="H92" s="7" t="s">
        <v>906</v>
      </c>
      <c r="I92" s="8" t="s">
        <v>959</v>
      </c>
      <c r="J92" t="str">
        <f>VLOOKUP(B92,baru!$B$2:$I$2271,4,FALSE)</f>
        <v>Reguler</v>
      </c>
      <c r="K92" t="str">
        <f>VLOOKUP(B92,baru!$B$2:$I$2271,5,FALSE)</f>
        <v>JAWA TENGAH</v>
      </c>
      <c r="L92" t="str">
        <f>VLOOKUP(B92,baru!$B$2:$I$2271,6,FALSE)</f>
        <v>BREBES</v>
      </c>
    </row>
    <row r="93" spans="1:12" x14ac:dyDescent="0.35">
      <c r="A93" s="6">
        <v>1565922</v>
      </c>
      <c r="B93" s="7" t="str">
        <f>"3329056807750001"</f>
        <v>3329056807750001</v>
      </c>
      <c r="C93" s="7" t="s">
        <v>1185</v>
      </c>
      <c r="D93" s="7" t="s">
        <v>10</v>
      </c>
      <c r="E93" s="7" t="s">
        <v>11</v>
      </c>
      <c r="F93" s="7" t="s">
        <v>18</v>
      </c>
      <c r="G93" s="7" t="s">
        <v>19</v>
      </c>
      <c r="H93" s="7" t="s">
        <v>906</v>
      </c>
      <c r="I93" s="8" t="s">
        <v>959</v>
      </c>
      <c r="J93" t="str">
        <f>VLOOKUP(B93,baru!$B$2:$I$2271,4,FALSE)</f>
        <v>Reguler</v>
      </c>
      <c r="K93" t="str">
        <f>VLOOKUP(B93,baru!$B$2:$I$2271,5,FALSE)</f>
        <v>JAWA TENGAH</v>
      </c>
      <c r="L93" t="str">
        <f>VLOOKUP(B93,baru!$B$2:$I$2271,6,FALSE)</f>
        <v>BREBES</v>
      </c>
    </row>
    <row r="94" spans="1:12" x14ac:dyDescent="0.35">
      <c r="A94" s="6">
        <v>1594987</v>
      </c>
      <c r="B94" s="7" t="str">
        <f>"3404071111810012"</f>
        <v>3404071111810012</v>
      </c>
      <c r="C94" s="7" t="s">
        <v>1205</v>
      </c>
      <c r="D94" s="7" t="s">
        <v>10</v>
      </c>
      <c r="E94" s="7" t="s">
        <v>11</v>
      </c>
      <c r="F94" s="7" t="s">
        <v>18</v>
      </c>
      <c r="G94" s="7" t="s">
        <v>19</v>
      </c>
      <c r="H94" s="7" t="s">
        <v>906</v>
      </c>
      <c r="I94" s="8" t="s">
        <v>978</v>
      </c>
      <c r="J94" t="str">
        <f>VLOOKUP(B94,baru!$B$2:$I$2271,4,FALSE)</f>
        <v>Reguler</v>
      </c>
      <c r="K94" t="str">
        <f>VLOOKUP(B94,baru!$B$2:$I$2271,5,FALSE)</f>
        <v>DAERAH ISTIMEWA YOGYAKARTA</v>
      </c>
      <c r="L94" t="str">
        <f>VLOOKUP(B94,baru!$B$2:$I$2271,6,FALSE)</f>
        <v>SLEMAN</v>
      </c>
    </row>
    <row r="95" spans="1:12" x14ac:dyDescent="0.35">
      <c r="A95" s="6">
        <v>1590036</v>
      </c>
      <c r="B95" s="7" t="str">
        <f>"3602071604970001"</f>
        <v>3602071604970001</v>
      </c>
      <c r="C95" s="7" t="s">
        <v>1209</v>
      </c>
      <c r="D95" s="7" t="s">
        <v>10</v>
      </c>
      <c r="E95" s="7" t="s">
        <v>11</v>
      </c>
      <c r="F95" s="7" t="s">
        <v>18</v>
      </c>
      <c r="G95" s="7" t="s">
        <v>19</v>
      </c>
      <c r="H95" s="7" t="s">
        <v>906</v>
      </c>
      <c r="I95" s="8" t="s">
        <v>929</v>
      </c>
      <c r="J95" t="str">
        <f>VLOOKUP(B95,baru!$B$2:$I$2271,4,FALSE)</f>
        <v>Reguler</v>
      </c>
      <c r="K95" t="str">
        <f>VLOOKUP(B95,baru!$B$2:$I$2271,5,FALSE)</f>
        <v>BANTEN</v>
      </c>
      <c r="L95" t="str">
        <f>VLOOKUP(B95,baru!$B$2:$I$2271,6,FALSE)</f>
        <v>LEBAK</v>
      </c>
    </row>
    <row r="96" spans="1:12" x14ac:dyDescent="0.35">
      <c r="A96" s="6">
        <v>2405439</v>
      </c>
      <c r="B96" s="7" t="str">
        <f>"1205016609940001"</f>
        <v>1205016609940001</v>
      </c>
      <c r="C96" s="7" t="s">
        <v>1229</v>
      </c>
      <c r="D96" s="7" t="s">
        <v>189</v>
      </c>
      <c r="E96" s="7" t="s">
        <v>11</v>
      </c>
      <c r="F96" s="7" t="s">
        <v>18</v>
      </c>
      <c r="G96" s="7" t="s">
        <v>19</v>
      </c>
      <c r="H96" s="7" t="s">
        <v>745</v>
      </c>
      <c r="I96" s="8" t="s">
        <v>1230</v>
      </c>
      <c r="J96" t="str">
        <f>VLOOKUP(B96,baru!$B$2:$I$2271,4,FALSE)</f>
        <v>Reguler</v>
      </c>
      <c r="K96" t="str">
        <f>VLOOKUP(B96,baru!$B$2:$I$2271,5,FALSE)</f>
        <v>SUMATERA UTARA</v>
      </c>
      <c r="L96" t="str">
        <f>VLOOKUP(B96,baru!$B$2:$I$2271,6,FALSE)</f>
        <v>LANGKAT</v>
      </c>
    </row>
    <row r="97" spans="1:12" x14ac:dyDescent="0.35">
      <c r="A97" s="6">
        <v>2360492</v>
      </c>
      <c r="B97" s="7" t="str">
        <f>"3215024711010001"</f>
        <v>3215024711010001</v>
      </c>
      <c r="C97" s="7" t="s">
        <v>1313</v>
      </c>
      <c r="D97" s="7" t="s">
        <v>10</v>
      </c>
      <c r="E97" s="7" t="s">
        <v>11</v>
      </c>
      <c r="F97" s="7" t="s">
        <v>18</v>
      </c>
      <c r="G97" s="7" t="s">
        <v>19</v>
      </c>
      <c r="H97" s="7" t="s">
        <v>745</v>
      </c>
      <c r="I97" s="8" t="s">
        <v>1314</v>
      </c>
      <c r="J97" t="str">
        <f>VLOOKUP(B97,baru!$B$2:$I$2271,4,FALSE)</f>
        <v>Reguler</v>
      </c>
      <c r="K97" t="str">
        <f>VLOOKUP(B97,baru!$B$2:$I$2271,5,FALSE)</f>
        <v>JAWA BARAT</v>
      </c>
      <c r="L97" t="str">
        <f>VLOOKUP(B97,baru!$B$2:$I$2271,6,FALSE)</f>
        <v>KARAWANG</v>
      </c>
    </row>
    <row r="98" spans="1:12" x14ac:dyDescent="0.35">
      <c r="A98" s="6">
        <v>2346201</v>
      </c>
      <c r="B98" s="7" t="str">
        <f>"3301051010990005"</f>
        <v>3301051010990005</v>
      </c>
      <c r="C98" s="7" t="s">
        <v>1344</v>
      </c>
      <c r="D98" s="7" t="s">
        <v>10</v>
      </c>
      <c r="E98" s="7" t="s">
        <v>11</v>
      </c>
      <c r="F98" s="7" t="s">
        <v>18</v>
      </c>
      <c r="G98" s="7" t="s">
        <v>19</v>
      </c>
      <c r="H98" s="7" t="s">
        <v>745</v>
      </c>
      <c r="I98" s="8" t="s">
        <v>1262</v>
      </c>
      <c r="J98" t="str">
        <f>VLOOKUP(B98,baru!$B$2:$I$2271,4,FALSE)</f>
        <v>Reguler</v>
      </c>
      <c r="K98" t="str">
        <f>VLOOKUP(B98,baru!$B$2:$I$2271,5,FALSE)</f>
        <v>JAWA TENGAH</v>
      </c>
      <c r="L98" t="str">
        <f>VLOOKUP(B98,baru!$B$2:$I$2271,6,FALSE)</f>
        <v>CILACAP</v>
      </c>
    </row>
    <row r="99" spans="1:12" x14ac:dyDescent="0.35">
      <c r="A99" s="6">
        <v>2273981</v>
      </c>
      <c r="B99" s="7" t="str">
        <f>"3303082105030003"</f>
        <v>3303082105030003</v>
      </c>
      <c r="C99" s="7" t="s">
        <v>1347</v>
      </c>
      <c r="D99" s="7" t="s">
        <v>189</v>
      </c>
      <c r="E99" s="7" t="s">
        <v>11</v>
      </c>
      <c r="F99" s="7" t="s">
        <v>18</v>
      </c>
      <c r="G99" s="7" t="s">
        <v>19</v>
      </c>
      <c r="H99" s="7" t="s">
        <v>745</v>
      </c>
      <c r="I99" s="8" t="s">
        <v>1348</v>
      </c>
      <c r="J99" t="str">
        <f>VLOOKUP(B99,baru!$B$2:$I$2271,4,FALSE)</f>
        <v>Reguler</v>
      </c>
      <c r="K99" t="str">
        <f>VLOOKUP(B99,baru!$B$2:$I$2271,5,FALSE)</f>
        <v>JAWA TENGAH</v>
      </c>
      <c r="L99" t="str">
        <f>VLOOKUP(B99,baru!$B$2:$I$2271,6,FALSE)</f>
        <v>PURBALINGGA</v>
      </c>
    </row>
    <row r="100" spans="1:12" x14ac:dyDescent="0.35">
      <c r="A100" s="6">
        <v>2371761</v>
      </c>
      <c r="B100" s="7" t="str">
        <f>"3328040110900008"</f>
        <v>3328040110900008</v>
      </c>
      <c r="C100" s="7" t="s">
        <v>1379</v>
      </c>
      <c r="D100" s="7" t="s">
        <v>10</v>
      </c>
      <c r="E100" s="7" t="s">
        <v>11</v>
      </c>
      <c r="F100" s="7" t="s">
        <v>18</v>
      </c>
      <c r="G100" s="7" t="s">
        <v>19</v>
      </c>
      <c r="H100" s="7" t="s">
        <v>745</v>
      </c>
      <c r="I100" s="8" t="s">
        <v>746</v>
      </c>
      <c r="J100" t="str">
        <f>VLOOKUP(B100,baru!$B$2:$I$2271,4,FALSE)</f>
        <v>Reguler</v>
      </c>
      <c r="K100" t="str">
        <f>VLOOKUP(B100,baru!$B$2:$I$2271,5,FALSE)</f>
        <v>JAWA TIMUR</v>
      </c>
      <c r="L100" t="str">
        <f>VLOOKUP(B100,baru!$B$2:$I$2271,6,FALSE)</f>
        <v>NGAWI</v>
      </c>
    </row>
    <row r="101" spans="1:12" x14ac:dyDescent="0.35">
      <c r="A101" s="6">
        <v>2395267</v>
      </c>
      <c r="B101" s="7" t="str">
        <f>"3328040112860008"</f>
        <v>3328040112860008</v>
      </c>
      <c r="C101" s="7" t="s">
        <v>1386</v>
      </c>
      <c r="D101" s="7" t="s">
        <v>189</v>
      </c>
      <c r="E101" s="7" t="s">
        <v>11</v>
      </c>
      <c r="F101" s="7" t="s">
        <v>18</v>
      </c>
      <c r="G101" s="7" t="s">
        <v>19</v>
      </c>
      <c r="H101" s="7" t="s">
        <v>745</v>
      </c>
      <c r="I101" s="8" t="s">
        <v>1274</v>
      </c>
      <c r="J101" t="str">
        <f>VLOOKUP(B101,baru!$B$2:$I$2271,4,FALSE)</f>
        <v>Reguler</v>
      </c>
      <c r="K101" t="str">
        <f>VLOOKUP(B101,baru!$B$2:$I$2271,5,FALSE)</f>
        <v>JAWA TENGAH</v>
      </c>
      <c r="L101" t="str">
        <f>VLOOKUP(B101,baru!$B$2:$I$2271,6,FALSE)</f>
        <v>WONOSOBO</v>
      </c>
    </row>
    <row r="102" spans="1:12" x14ac:dyDescent="0.35">
      <c r="A102" s="6">
        <v>2393638</v>
      </c>
      <c r="B102" s="7" t="str">
        <f>"3328040508600002"</f>
        <v>3328040508600002</v>
      </c>
      <c r="C102" s="7" t="s">
        <v>1414</v>
      </c>
      <c r="D102" s="7" t="s">
        <v>10</v>
      </c>
      <c r="E102" s="7" t="s">
        <v>11</v>
      </c>
      <c r="F102" s="7" t="s">
        <v>18</v>
      </c>
      <c r="G102" s="7" t="s">
        <v>19</v>
      </c>
      <c r="H102" s="7" t="s">
        <v>745</v>
      </c>
      <c r="I102" s="8" t="s">
        <v>1274</v>
      </c>
      <c r="J102" t="str">
        <f>VLOOKUP(B102,baru!$B$2:$I$2271,4,FALSE)</f>
        <v>Reguler</v>
      </c>
      <c r="K102" t="str">
        <f>VLOOKUP(B102,baru!$B$2:$I$2271,5,FALSE)</f>
        <v>JAWA TENGAH</v>
      </c>
      <c r="L102" t="str">
        <f>VLOOKUP(B102,baru!$B$2:$I$2271,6,FALSE)</f>
        <v>TEGAL</v>
      </c>
    </row>
    <row r="103" spans="1:12" x14ac:dyDescent="0.35">
      <c r="A103" s="6">
        <v>2395938</v>
      </c>
      <c r="B103" s="7" t="str">
        <f>"3328040604590001"</f>
        <v>3328040604590001</v>
      </c>
      <c r="C103" s="7" t="s">
        <v>1425</v>
      </c>
      <c r="D103" s="7" t="s">
        <v>10</v>
      </c>
      <c r="E103" s="7" t="s">
        <v>11</v>
      </c>
      <c r="F103" s="7" t="s">
        <v>18</v>
      </c>
      <c r="G103" s="7" t="s">
        <v>19</v>
      </c>
      <c r="H103" s="7" t="s">
        <v>745</v>
      </c>
      <c r="I103" s="8" t="s">
        <v>1274</v>
      </c>
      <c r="J103" t="str">
        <f>VLOOKUP(B103,baru!$B$2:$I$2271,4,FALSE)</f>
        <v>Reguler</v>
      </c>
      <c r="K103" t="str">
        <f>VLOOKUP(B103,baru!$B$2:$I$2271,5,FALSE)</f>
        <v>JAWA TENGAH</v>
      </c>
      <c r="L103" t="str">
        <f>VLOOKUP(B103,baru!$B$2:$I$2271,6,FALSE)</f>
        <v>KEBUMEN</v>
      </c>
    </row>
    <row r="104" spans="1:12" x14ac:dyDescent="0.35">
      <c r="A104" s="6">
        <v>2343065</v>
      </c>
      <c r="B104" s="7" t="str">
        <f>"3328040608850004"</f>
        <v>3328040608850004</v>
      </c>
      <c r="C104" s="7" t="s">
        <v>1430</v>
      </c>
      <c r="D104" s="7" t="s">
        <v>189</v>
      </c>
      <c r="E104" s="7" t="s">
        <v>11</v>
      </c>
      <c r="F104" s="7" t="s">
        <v>18</v>
      </c>
      <c r="G104" s="7" t="s">
        <v>19</v>
      </c>
      <c r="H104" s="7" t="s">
        <v>745</v>
      </c>
      <c r="I104" s="8" t="s">
        <v>1277</v>
      </c>
      <c r="J104" t="str">
        <f>VLOOKUP(B104,baru!$B$2:$I$2271,4,FALSE)</f>
        <v>Reguler</v>
      </c>
      <c r="K104" t="str">
        <f>VLOOKUP(B104,baru!$B$2:$I$2271,5,FALSE)</f>
        <v>JAWA TENGAH</v>
      </c>
      <c r="L104" t="str">
        <f>VLOOKUP(B104,baru!$B$2:$I$2271,6,FALSE)</f>
        <v>PURBALINGGA</v>
      </c>
    </row>
    <row r="105" spans="1:12" x14ac:dyDescent="0.35">
      <c r="A105" s="6">
        <v>2338873</v>
      </c>
      <c r="B105" s="7" t="str">
        <f>"3328040608990003"</f>
        <v>3328040608990003</v>
      </c>
      <c r="C105" s="7" t="s">
        <v>1433</v>
      </c>
      <c r="D105" s="7" t="s">
        <v>10</v>
      </c>
      <c r="E105" s="7" t="s">
        <v>11</v>
      </c>
      <c r="F105" s="7" t="s">
        <v>18</v>
      </c>
      <c r="G105" s="7" t="s">
        <v>19</v>
      </c>
      <c r="H105" s="7" t="s">
        <v>745</v>
      </c>
      <c r="I105" s="8" t="s">
        <v>1277</v>
      </c>
      <c r="J105" t="str">
        <f>VLOOKUP(B105,baru!$B$2:$I$2271,4,FALSE)</f>
        <v>Reguler</v>
      </c>
      <c r="K105" t="str">
        <f>VLOOKUP(B105,baru!$B$2:$I$2271,5,FALSE)</f>
        <v>JAWA TENGAH</v>
      </c>
      <c r="L105" t="str">
        <f>VLOOKUP(B105,baru!$B$2:$I$2271,6,FALSE)</f>
        <v>PEKALONGAN</v>
      </c>
    </row>
    <row r="106" spans="1:12" x14ac:dyDescent="0.35">
      <c r="A106" s="6">
        <v>2337769</v>
      </c>
      <c r="B106" s="7" t="str">
        <f>"3328040708950001"</f>
        <v>3328040708950001</v>
      </c>
      <c r="C106" s="7" t="s">
        <v>1443</v>
      </c>
      <c r="D106" s="7" t="s">
        <v>10</v>
      </c>
      <c r="E106" s="7" t="s">
        <v>11</v>
      </c>
      <c r="F106" s="7" t="s">
        <v>18</v>
      </c>
      <c r="G106" s="7" t="s">
        <v>19</v>
      </c>
      <c r="H106" s="7" t="s">
        <v>745</v>
      </c>
      <c r="I106" s="8" t="s">
        <v>1277</v>
      </c>
      <c r="J106" t="str">
        <f>VLOOKUP(B106,baru!$B$2:$I$2271,4,FALSE)</f>
        <v>Reguler</v>
      </c>
      <c r="K106" t="str">
        <f>VLOOKUP(B106,baru!$B$2:$I$2271,5,FALSE)</f>
        <v>JAWA TENGAH</v>
      </c>
      <c r="L106" t="str">
        <f>VLOOKUP(B106,baru!$B$2:$I$2271,6,FALSE)</f>
        <v>KOTA TEGAL</v>
      </c>
    </row>
    <row r="107" spans="1:12" x14ac:dyDescent="0.35">
      <c r="A107" s="6">
        <v>2359082</v>
      </c>
      <c r="B107" s="7" t="str">
        <f>"3328040804860001"</f>
        <v>3328040804860001</v>
      </c>
      <c r="C107" s="7" t="s">
        <v>350</v>
      </c>
      <c r="D107" s="7" t="s">
        <v>10</v>
      </c>
      <c r="E107" s="7" t="s">
        <v>11</v>
      </c>
      <c r="F107" s="7" t="s">
        <v>18</v>
      </c>
      <c r="G107" s="7" t="s">
        <v>19</v>
      </c>
      <c r="H107" s="7" t="s">
        <v>745</v>
      </c>
      <c r="I107" s="8" t="s">
        <v>1314</v>
      </c>
      <c r="J107" t="str">
        <f>VLOOKUP(B107,baru!$B$2:$I$2271,4,FALSE)</f>
        <v>Reguler</v>
      </c>
      <c r="K107" t="str">
        <f>VLOOKUP(B107,baru!$B$2:$I$2271,5,FALSE)</f>
        <v>DKI JAKARTA</v>
      </c>
      <c r="L107" t="str">
        <f>VLOOKUP(B107,baru!$B$2:$I$2271,6,FALSE)</f>
        <v>KOTA JAKARTA BARAT</v>
      </c>
    </row>
    <row r="108" spans="1:12" x14ac:dyDescent="0.35">
      <c r="A108" s="6">
        <v>2383941</v>
      </c>
      <c r="B108" s="7" t="str">
        <f>"3328041502940004"</f>
        <v>3328041502940004</v>
      </c>
      <c r="C108" s="7" t="s">
        <v>1467</v>
      </c>
      <c r="D108" s="7" t="s">
        <v>10</v>
      </c>
      <c r="E108" s="7" t="s">
        <v>11</v>
      </c>
      <c r="F108" s="7" t="s">
        <v>18</v>
      </c>
      <c r="G108" s="7" t="s">
        <v>19</v>
      </c>
      <c r="H108" s="7" t="s">
        <v>745</v>
      </c>
      <c r="I108" s="8" t="s">
        <v>1306</v>
      </c>
      <c r="J108" t="str">
        <f>VLOOKUP(B108,baru!$B$2:$I$2271,4,FALSE)</f>
        <v>Reguler</v>
      </c>
      <c r="K108" t="str">
        <f>VLOOKUP(B108,baru!$B$2:$I$2271,5,FALSE)</f>
        <v>DKI JAKARTA</v>
      </c>
      <c r="L108" t="str">
        <f>VLOOKUP(B108,baru!$B$2:$I$2271,6,FALSE)</f>
        <v>KOTA JAKARTA BARAT</v>
      </c>
    </row>
    <row r="109" spans="1:12" x14ac:dyDescent="0.35">
      <c r="A109" s="6">
        <v>2351750</v>
      </c>
      <c r="B109" s="7" t="str">
        <f>"3328041706970003"</f>
        <v>3328041706970003</v>
      </c>
      <c r="C109" s="7" t="s">
        <v>1474</v>
      </c>
      <c r="D109" s="7" t="s">
        <v>189</v>
      </c>
      <c r="E109" s="7" t="s">
        <v>11</v>
      </c>
      <c r="F109" s="7" t="s">
        <v>18</v>
      </c>
      <c r="G109" s="7" t="s">
        <v>19</v>
      </c>
      <c r="H109" s="7" t="s">
        <v>745</v>
      </c>
      <c r="I109" s="8" t="s">
        <v>1406</v>
      </c>
      <c r="J109" t="str">
        <f>VLOOKUP(B109,baru!$B$2:$I$2271,4,FALSE)</f>
        <v>Reguler</v>
      </c>
      <c r="K109" t="str">
        <f>VLOOKUP(B109,baru!$B$2:$I$2271,5,FALSE)</f>
        <v>JAWA TENGAH</v>
      </c>
      <c r="L109" t="str">
        <f>VLOOKUP(B109,baru!$B$2:$I$2271,6,FALSE)</f>
        <v>WONOSOBO</v>
      </c>
    </row>
    <row r="110" spans="1:12" x14ac:dyDescent="0.35">
      <c r="A110" s="6">
        <v>2400811</v>
      </c>
      <c r="B110" s="7" t="str">
        <f>"3328041902970002"</f>
        <v>3328041902970002</v>
      </c>
      <c r="C110" s="7" t="s">
        <v>1481</v>
      </c>
      <c r="D110" s="7" t="s">
        <v>189</v>
      </c>
      <c r="E110" s="7" t="s">
        <v>11</v>
      </c>
      <c r="F110" s="7" t="s">
        <v>18</v>
      </c>
      <c r="G110" s="7" t="s">
        <v>19</v>
      </c>
      <c r="H110" s="7" t="s">
        <v>745</v>
      </c>
      <c r="I110" s="8" t="s">
        <v>1482</v>
      </c>
      <c r="J110" t="str">
        <f>VLOOKUP(B110,baru!$B$2:$I$2271,4,FALSE)</f>
        <v>Reguler</v>
      </c>
      <c r="K110" t="str">
        <f>VLOOKUP(B110,baru!$B$2:$I$2271,5,FALSE)</f>
        <v>JAWA TENGAH</v>
      </c>
      <c r="L110" t="str">
        <f>VLOOKUP(B110,baru!$B$2:$I$2271,6,FALSE)</f>
        <v>BREBES</v>
      </c>
    </row>
    <row r="111" spans="1:12" x14ac:dyDescent="0.35">
      <c r="A111" s="6">
        <v>2217441</v>
      </c>
      <c r="B111" s="7" t="str">
        <f>"3328042008010008"</f>
        <v>3328042008010008</v>
      </c>
      <c r="C111" s="7" t="s">
        <v>1486</v>
      </c>
      <c r="D111" s="7" t="s">
        <v>189</v>
      </c>
      <c r="E111" s="7" t="s">
        <v>11</v>
      </c>
      <c r="F111" s="7" t="s">
        <v>18</v>
      </c>
      <c r="G111" s="7" t="s">
        <v>19</v>
      </c>
      <c r="H111" s="7" t="s">
        <v>745</v>
      </c>
      <c r="I111" s="8" t="s">
        <v>1235</v>
      </c>
      <c r="J111" t="str">
        <f>VLOOKUP(B111,baru!$B$2:$I$2271,4,FALSE)</f>
        <v>Reguler</v>
      </c>
      <c r="K111" t="str">
        <f>VLOOKUP(B111,baru!$B$2:$I$2271,5,FALSE)</f>
        <v>SUMATERA BARAT</v>
      </c>
      <c r="L111" t="str">
        <f>VLOOKUP(B111,baru!$B$2:$I$2271,6,FALSE)</f>
        <v>KOTA PADANG PANJANG</v>
      </c>
    </row>
    <row r="112" spans="1:12" x14ac:dyDescent="0.35">
      <c r="A112" s="6">
        <v>2349964</v>
      </c>
      <c r="B112" s="7" t="str">
        <f>"3328042110060002"</f>
        <v>3328042110060002</v>
      </c>
      <c r="C112" s="7" t="s">
        <v>1495</v>
      </c>
      <c r="D112" s="7" t="s">
        <v>10</v>
      </c>
      <c r="E112" s="7" t="s">
        <v>11</v>
      </c>
      <c r="F112" s="7" t="s">
        <v>18</v>
      </c>
      <c r="G112" s="7" t="s">
        <v>19</v>
      </c>
      <c r="H112" s="7" t="s">
        <v>745</v>
      </c>
      <c r="I112" s="8" t="s">
        <v>1406</v>
      </c>
      <c r="J112" t="str">
        <f>VLOOKUP(B112,baru!$B$2:$I$2271,4,FALSE)</f>
        <v>Reguler</v>
      </c>
      <c r="K112" t="str">
        <f>VLOOKUP(B112,baru!$B$2:$I$2271,5,FALSE)</f>
        <v>JAWA TENGAH</v>
      </c>
      <c r="L112" t="str">
        <f>VLOOKUP(B112,baru!$B$2:$I$2271,6,FALSE)</f>
        <v>BATANG</v>
      </c>
    </row>
    <row r="113" spans="1:12" x14ac:dyDescent="0.35">
      <c r="A113" s="6">
        <v>2288331</v>
      </c>
      <c r="B113" s="7" t="str">
        <f>"3328042504030001"</f>
        <v>3328042504030001</v>
      </c>
      <c r="C113" s="7" t="s">
        <v>1506</v>
      </c>
      <c r="D113" s="7" t="s">
        <v>10</v>
      </c>
      <c r="E113" s="7" t="s">
        <v>11</v>
      </c>
      <c r="F113" s="7" t="s">
        <v>18</v>
      </c>
      <c r="G113" s="7" t="s">
        <v>19</v>
      </c>
      <c r="H113" s="7" t="s">
        <v>745</v>
      </c>
      <c r="I113" s="8" t="s">
        <v>1264</v>
      </c>
      <c r="J113" t="str">
        <f>VLOOKUP(B113,baru!$B$2:$I$2271,4,FALSE)</f>
        <v>Reguler</v>
      </c>
      <c r="K113" t="str">
        <f>VLOOKUP(B113,baru!$B$2:$I$2271,5,FALSE)</f>
        <v>JAWA TENGAH</v>
      </c>
      <c r="L113" t="str">
        <f>VLOOKUP(B113,baru!$B$2:$I$2271,6,FALSE)</f>
        <v>KOTA TEGAL</v>
      </c>
    </row>
    <row r="114" spans="1:12" x14ac:dyDescent="0.35">
      <c r="A114" s="6">
        <v>2345574</v>
      </c>
      <c r="B114" s="7" t="str">
        <f>"3328042906970003"</f>
        <v>3328042906970003</v>
      </c>
      <c r="C114" s="7" t="s">
        <v>1517</v>
      </c>
      <c r="D114" s="7" t="s">
        <v>10</v>
      </c>
      <c r="E114" s="7" t="s">
        <v>11</v>
      </c>
      <c r="F114" s="7" t="s">
        <v>18</v>
      </c>
      <c r="G114" s="7" t="s">
        <v>19</v>
      </c>
      <c r="H114" s="7" t="s">
        <v>745</v>
      </c>
      <c r="I114" s="8" t="s">
        <v>1262</v>
      </c>
      <c r="J114" t="str">
        <f>VLOOKUP(B114,baru!$B$2:$I$2271,4,FALSE)</f>
        <v>Reguler</v>
      </c>
      <c r="K114" t="str">
        <f>VLOOKUP(B114,baru!$B$2:$I$2271,5,FALSE)</f>
        <v>DKI JAKARTA</v>
      </c>
      <c r="L114" t="str">
        <f>VLOOKUP(B114,baru!$B$2:$I$2271,6,FALSE)</f>
        <v>KOTA JAKARTA TIMUR</v>
      </c>
    </row>
    <row r="115" spans="1:12" x14ac:dyDescent="0.35">
      <c r="A115" s="6">
        <v>2351323</v>
      </c>
      <c r="B115" s="7" t="str">
        <f>"3328043112850010"</f>
        <v>3328043112850010</v>
      </c>
      <c r="C115" s="7" t="s">
        <v>1525</v>
      </c>
      <c r="D115" s="7" t="s">
        <v>10</v>
      </c>
      <c r="E115" s="7" t="s">
        <v>11</v>
      </c>
      <c r="F115" s="7" t="s">
        <v>18</v>
      </c>
      <c r="G115" s="7" t="s">
        <v>19</v>
      </c>
      <c r="H115" s="7" t="s">
        <v>745</v>
      </c>
      <c r="I115" s="8" t="s">
        <v>1406</v>
      </c>
      <c r="J115" t="str">
        <f>VLOOKUP(B115,baru!$B$2:$I$2271,4,FALSE)</f>
        <v>Reguler</v>
      </c>
      <c r="K115" t="str">
        <f>VLOOKUP(B115,baru!$B$2:$I$2271,5,FALSE)</f>
        <v>DAERAH ISTIMEWA YOGYAKARTA</v>
      </c>
      <c r="L115" t="str">
        <f>VLOOKUP(B115,baru!$B$2:$I$2271,6,FALSE)</f>
        <v>SLEMAN</v>
      </c>
    </row>
    <row r="116" spans="1:12" x14ac:dyDescent="0.35">
      <c r="A116" s="6">
        <v>2395797</v>
      </c>
      <c r="B116" s="7" t="str">
        <f>"3328044101950007"</f>
        <v>3328044101950007</v>
      </c>
      <c r="C116" s="7" t="s">
        <v>1528</v>
      </c>
      <c r="D116" s="7" t="s">
        <v>10</v>
      </c>
      <c r="E116" s="7" t="s">
        <v>11</v>
      </c>
      <c r="F116" s="7" t="s">
        <v>18</v>
      </c>
      <c r="G116" s="7" t="s">
        <v>19</v>
      </c>
      <c r="H116" s="7" t="s">
        <v>745</v>
      </c>
      <c r="I116" s="8" t="s">
        <v>1274</v>
      </c>
      <c r="J116" t="str">
        <f>VLOOKUP(B116,baru!$B$2:$I$2271,4,FALSE)</f>
        <v>Reguler</v>
      </c>
      <c r="K116" t="str">
        <f>VLOOKUP(B116,baru!$B$2:$I$2271,5,FALSE)</f>
        <v>DKI JAKARTA</v>
      </c>
      <c r="L116" t="str">
        <f>VLOOKUP(B116,baru!$B$2:$I$2271,6,FALSE)</f>
        <v>KOTA JAKARTA BARAT</v>
      </c>
    </row>
    <row r="117" spans="1:12" x14ac:dyDescent="0.35">
      <c r="A117" s="6">
        <v>2250774</v>
      </c>
      <c r="B117" s="7" t="str">
        <f>"3328044101960011"</f>
        <v>3328044101960011</v>
      </c>
      <c r="C117" s="7" t="s">
        <v>1529</v>
      </c>
      <c r="D117" s="7" t="s">
        <v>10</v>
      </c>
      <c r="E117" s="7" t="s">
        <v>11</v>
      </c>
      <c r="F117" s="7" t="s">
        <v>18</v>
      </c>
      <c r="G117" s="7" t="s">
        <v>19</v>
      </c>
      <c r="H117" s="7" t="s">
        <v>745</v>
      </c>
      <c r="I117" s="8" t="s">
        <v>1257</v>
      </c>
      <c r="J117" t="str">
        <f>VLOOKUP(B117,baru!$B$2:$I$2271,4,FALSE)</f>
        <v>Reguler</v>
      </c>
      <c r="K117" t="str">
        <f>VLOOKUP(B117,baru!$B$2:$I$2271,5,FALSE)</f>
        <v>JAWA TENGAH</v>
      </c>
      <c r="L117" t="str">
        <f>VLOOKUP(B117,baru!$B$2:$I$2271,6,FALSE)</f>
        <v>KOTA SEMARANG</v>
      </c>
    </row>
    <row r="118" spans="1:12" x14ac:dyDescent="0.35">
      <c r="A118" s="6">
        <v>2219905</v>
      </c>
      <c r="B118" s="7" t="str">
        <f>"3328044107950035"</f>
        <v>3328044107950035</v>
      </c>
      <c r="C118" s="7" t="s">
        <v>1532</v>
      </c>
      <c r="D118" s="7" t="s">
        <v>189</v>
      </c>
      <c r="E118" s="7" t="s">
        <v>11</v>
      </c>
      <c r="F118" s="7" t="s">
        <v>18</v>
      </c>
      <c r="G118" s="7" t="s">
        <v>19</v>
      </c>
      <c r="H118" s="7" t="s">
        <v>745</v>
      </c>
      <c r="I118" s="8" t="s">
        <v>1235</v>
      </c>
      <c r="J118" t="str">
        <f>VLOOKUP(B118,baru!$B$2:$I$2271,4,FALSE)</f>
        <v>Reguler</v>
      </c>
      <c r="K118" t="str">
        <f>VLOOKUP(B118,baru!$B$2:$I$2271,5,FALSE)</f>
        <v>SUMATERA BARAT</v>
      </c>
      <c r="L118" t="str">
        <f>VLOOKUP(B118,baru!$B$2:$I$2271,6,FALSE)</f>
        <v>KOTA PADANG PANJANG</v>
      </c>
    </row>
    <row r="119" spans="1:12" x14ac:dyDescent="0.35">
      <c r="A119" s="6">
        <v>2396086</v>
      </c>
      <c r="B119" s="7" t="str">
        <f>"3328044202916888"</f>
        <v>3328044202916888</v>
      </c>
      <c r="C119" s="7" t="s">
        <v>1536</v>
      </c>
      <c r="D119" s="7" t="s">
        <v>10</v>
      </c>
      <c r="E119" s="7" t="s">
        <v>11</v>
      </c>
      <c r="F119" s="7" t="s">
        <v>18</v>
      </c>
      <c r="G119" s="7" t="s">
        <v>19</v>
      </c>
      <c r="H119" s="7" t="s">
        <v>745</v>
      </c>
      <c r="I119" s="8" t="s">
        <v>1274</v>
      </c>
      <c r="J119" t="str">
        <f>VLOOKUP(B119,baru!$B$2:$I$2271,4,FALSE)</f>
        <v>Reguler</v>
      </c>
      <c r="K119" t="str">
        <f>VLOOKUP(B119,baru!$B$2:$I$2271,5,FALSE)</f>
        <v>JAWA BARAT</v>
      </c>
      <c r="L119" t="str">
        <f>VLOOKUP(B119,baru!$B$2:$I$2271,6,FALSE)</f>
        <v>PANGANDARAN</v>
      </c>
    </row>
    <row r="120" spans="1:12" x14ac:dyDescent="0.35">
      <c r="A120" s="6">
        <v>2349139</v>
      </c>
      <c r="B120" s="7" t="str">
        <f>"3328044509950002"</f>
        <v>3328044509950002</v>
      </c>
      <c r="C120" s="7" t="s">
        <v>1550</v>
      </c>
      <c r="D120" s="7" t="s">
        <v>189</v>
      </c>
      <c r="E120" s="7" t="s">
        <v>11</v>
      </c>
      <c r="F120" s="7" t="s">
        <v>18</v>
      </c>
      <c r="G120" s="7" t="s">
        <v>19</v>
      </c>
      <c r="H120" s="7" t="s">
        <v>745</v>
      </c>
      <c r="I120" s="8" t="s">
        <v>1406</v>
      </c>
      <c r="J120" t="str">
        <f>VLOOKUP(B120,baru!$B$2:$I$2271,4,FALSE)</f>
        <v>Reguler</v>
      </c>
      <c r="K120" t="str">
        <f>VLOOKUP(B120,baru!$B$2:$I$2271,5,FALSE)</f>
        <v>DKI JAKARTA</v>
      </c>
      <c r="L120" t="str">
        <f>VLOOKUP(B120,baru!$B$2:$I$2271,6,FALSE)</f>
        <v>KOTA JAKARTA TIMUR</v>
      </c>
    </row>
    <row r="121" spans="1:12" x14ac:dyDescent="0.35">
      <c r="A121" s="6">
        <v>2386259</v>
      </c>
      <c r="B121" s="7" t="str">
        <f>"3328044603970004"</f>
        <v>3328044603970004</v>
      </c>
      <c r="C121" s="7" t="s">
        <v>1559</v>
      </c>
      <c r="D121" s="7" t="s">
        <v>10</v>
      </c>
      <c r="E121" s="7" t="s">
        <v>11</v>
      </c>
      <c r="F121" s="7" t="s">
        <v>18</v>
      </c>
      <c r="G121" s="7" t="s">
        <v>19</v>
      </c>
      <c r="H121" s="7" t="s">
        <v>745</v>
      </c>
      <c r="I121" s="8" t="s">
        <v>352</v>
      </c>
      <c r="J121" t="str">
        <f>VLOOKUP(B121,baru!$B$2:$I$2271,4,FALSE)</f>
        <v>Reguler</v>
      </c>
      <c r="K121" t="str">
        <f>VLOOKUP(B121,baru!$B$2:$I$2271,5,FALSE)</f>
        <v>DKI JAKARTA</v>
      </c>
      <c r="L121" t="str">
        <f>VLOOKUP(B121,baru!$B$2:$I$2271,6,FALSE)</f>
        <v>KOTA JAKARTA PUSAT</v>
      </c>
    </row>
    <row r="122" spans="1:12" x14ac:dyDescent="0.35">
      <c r="A122" s="6">
        <v>2393987</v>
      </c>
      <c r="B122" s="7" t="str">
        <f>"3328045107850002"</f>
        <v>3328045107850002</v>
      </c>
      <c r="C122" s="7" t="s">
        <v>1574</v>
      </c>
      <c r="D122" s="7" t="s">
        <v>10</v>
      </c>
      <c r="E122" s="7" t="s">
        <v>11</v>
      </c>
      <c r="F122" s="7" t="s">
        <v>18</v>
      </c>
      <c r="G122" s="7" t="s">
        <v>19</v>
      </c>
      <c r="H122" s="7" t="s">
        <v>745</v>
      </c>
      <c r="I122" s="8" t="s">
        <v>1274</v>
      </c>
      <c r="J122" t="str">
        <f>VLOOKUP(B122,baru!$B$2:$I$2271,4,FALSE)</f>
        <v>Reguler</v>
      </c>
      <c r="K122" t="str">
        <f>VLOOKUP(B122,baru!$B$2:$I$2271,5,FALSE)</f>
        <v>JAWA TENGAH</v>
      </c>
      <c r="L122" t="str">
        <f>VLOOKUP(B122,baru!$B$2:$I$2271,6,FALSE)</f>
        <v>BREBES</v>
      </c>
    </row>
    <row r="123" spans="1:12" x14ac:dyDescent="0.35">
      <c r="A123" s="6">
        <v>2345665</v>
      </c>
      <c r="B123" s="7" t="str">
        <f>"3328045404830003"</f>
        <v>3328045404830003</v>
      </c>
      <c r="C123" s="7" t="s">
        <v>1579</v>
      </c>
      <c r="D123" s="7" t="s">
        <v>10</v>
      </c>
      <c r="E123" s="7" t="s">
        <v>11</v>
      </c>
      <c r="F123" s="7" t="s">
        <v>18</v>
      </c>
      <c r="G123" s="7" t="s">
        <v>19</v>
      </c>
      <c r="H123" s="7" t="s">
        <v>745</v>
      </c>
      <c r="I123" s="8" t="s">
        <v>1262</v>
      </c>
      <c r="J123" t="str">
        <f>VLOOKUP(B123,baru!$B$2:$I$2271,4,FALSE)</f>
        <v>Reguler</v>
      </c>
      <c r="K123" t="str">
        <f>VLOOKUP(B123,baru!$B$2:$I$2271,5,FALSE)</f>
        <v>DKI JAKARTA</v>
      </c>
      <c r="L123" t="str">
        <f>VLOOKUP(B123,baru!$B$2:$I$2271,6,FALSE)</f>
        <v>KOTA JAKARTA TIMUR</v>
      </c>
    </row>
    <row r="124" spans="1:12" x14ac:dyDescent="0.35">
      <c r="A124" s="6">
        <v>2353287</v>
      </c>
      <c r="B124" s="7" t="str">
        <f>"3328045501960005"</f>
        <v>3328045501960005</v>
      </c>
      <c r="C124" s="7" t="s">
        <v>1582</v>
      </c>
      <c r="D124" s="7" t="s">
        <v>10</v>
      </c>
      <c r="E124" s="7" t="s">
        <v>11</v>
      </c>
      <c r="F124" s="7" t="s">
        <v>18</v>
      </c>
      <c r="G124" s="7" t="s">
        <v>19</v>
      </c>
      <c r="H124" s="7" t="s">
        <v>745</v>
      </c>
      <c r="I124" s="8" t="s">
        <v>1406</v>
      </c>
      <c r="J124" t="str">
        <f>VLOOKUP(B124,baru!$B$2:$I$2271,4,FALSE)</f>
        <v>Reguler</v>
      </c>
      <c r="K124" t="str">
        <f>VLOOKUP(B124,baru!$B$2:$I$2271,5,FALSE)</f>
        <v>JAWA TIMUR</v>
      </c>
      <c r="L124" t="str">
        <f>VLOOKUP(B124,baru!$B$2:$I$2271,6,FALSE)</f>
        <v>NGAWI</v>
      </c>
    </row>
    <row r="125" spans="1:12" x14ac:dyDescent="0.35">
      <c r="A125" s="6">
        <v>2260554</v>
      </c>
      <c r="B125" s="7" t="str">
        <f>"3328045506870004"</f>
        <v>3328045506870004</v>
      </c>
      <c r="C125" s="7" t="s">
        <v>1143</v>
      </c>
      <c r="D125" s="7" t="s">
        <v>10</v>
      </c>
      <c r="E125" s="7" t="s">
        <v>11</v>
      </c>
      <c r="F125" s="7" t="s">
        <v>18</v>
      </c>
      <c r="G125" s="7" t="s">
        <v>19</v>
      </c>
      <c r="H125" s="7" t="s">
        <v>745</v>
      </c>
      <c r="I125" s="8" t="s">
        <v>1298</v>
      </c>
      <c r="J125" t="str">
        <f>VLOOKUP(B125,baru!$B$2:$I$2271,4,FALSE)</f>
        <v>Reguler</v>
      </c>
      <c r="K125" t="str">
        <f>VLOOKUP(B125,baru!$B$2:$I$2271,5,FALSE)</f>
        <v>JAWA TIMUR</v>
      </c>
      <c r="L125" t="str">
        <f>VLOOKUP(B125,baru!$B$2:$I$2271,6,FALSE)</f>
        <v>MAGETAN</v>
      </c>
    </row>
    <row r="126" spans="1:12" x14ac:dyDescent="0.35">
      <c r="A126" s="6">
        <v>2344857</v>
      </c>
      <c r="B126" s="7" t="str">
        <f>"3328045607900001"</f>
        <v>3328045607900001</v>
      </c>
      <c r="C126" s="7" t="s">
        <v>1587</v>
      </c>
      <c r="D126" s="7" t="s">
        <v>10</v>
      </c>
      <c r="E126" s="7" t="s">
        <v>11</v>
      </c>
      <c r="F126" s="7" t="s">
        <v>18</v>
      </c>
      <c r="G126" s="7" t="s">
        <v>19</v>
      </c>
      <c r="H126" s="7" t="s">
        <v>745</v>
      </c>
      <c r="I126" s="8" t="s">
        <v>1262</v>
      </c>
      <c r="J126" t="str">
        <f>VLOOKUP(B126,baru!$B$2:$I$2271,4,FALSE)</f>
        <v>Reguler</v>
      </c>
      <c r="K126" t="str">
        <f>VLOOKUP(B126,baru!$B$2:$I$2271,5,FALSE)</f>
        <v>DAERAH ISTIMEWA YOGYAKARTA</v>
      </c>
      <c r="L126" t="str">
        <f>VLOOKUP(B126,baru!$B$2:$I$2271,6,FALSE)</f>
        <v>SLEMAN</v>
      </c>
    </row>
    <row r="127" spans="1:12" x14ac:dyDescent="0.35">
      <c r="A127" s="6">
        <v>2292418</v>
      </c>
      <c r="B127" s="7" t="str">
        <f>"3328045805970006"</f>
        <v>3328045805970006</v>
      </c>
      <c r="C127" s="7" t="s">
        <v>1597</v>
      </c>
      <c r="D127" s="7" t="s">
        <v>10</v>
      </c>
      <c r="E127" s="7" t="s">
        <v>11</v>
      </c>
      <c r="F127" s="7" t="s">
        <v>18</v>
      </c>
      <c r="G127" s="7" t="s">
        <v>19</v>
      </c>
      <c r="H127" s="7" t="s">
        <v>745</v>
      </c>
      <c r="I127" s="8" t="s">
        <v>1264</v>
      </c>
      <c r="J127" t="str">
        <f>VLOOKUP(B127,baru!$B$2:$I$2271,4,FALSE)</f>
        <v>Reguler</v>
      </c>
      <c r="K127" t="str">
        <f>VLOOKUP(B127,baru!$B$2:$I$2271,5,FALSE)</f>
        <v>JAWA TENGAH</v>
      </c>
      <c r="L127" t="str">
        <f>VLOOKUP(B127,baru!$B$2:$I$2271,6,FALSE)</f>
        <v>BREBES</v>
      </c>
    </row>
    <row r="128" spans="1:12" x14ac:dyDescent="0.35">
      <c r="A128" s="6">
        <v>2336269</v>
      </c>
      <c r="B128" s="7" t="str">
        <f>"3328046506790002"</f>
        <v>3328046506790002</v>
      </c>
      <c r="C128" s="7" t="s">
        <v>1605</v>
      </c>
      <c r="D128" s="7" t="s">
        <v>10</v>
      </c>
      <c r="E128" s="7" t="s">
        <v>11</v>
      </c>
      <c r="F128" s="7" t="s">
        <v>18</v>
      </c>
      <c r="G128" s="7" t="s">
        <v>19</v>
      </c>
      <c r="H128" s="7" t="s">
        <v>745</v>
      </c>
      <c r="I128" s="8" t="s">
        <v>1277</v>
      </c>
      <c r="J128" t="str">
        <f>VLOOKUP(B128,baru!$B$2:$I$2271,4,FALSE)</f>
        <v>Reguler</v>
      </c>
      <c r="K128" t="str">
        <f>VLOOKUP(B128,baru!$B$2:$I$2271,5,FALSE)</f>
        <v>DKI JAKARTA</v>
      </c>
      <c r="L128" t="str">
        <f>VLOOKUP(B128,baru!$B$2:$I$2271,6,FALSE)</f>
        <v>KOTA JAKARTA TIMUR</v>
      </c>
    </row>
    <row r="129" spans="1:12" x14ac:dyDescent="0.35">
      <c r="A129" s="6">
        <v>2355959</v>
      </c>
      <c r="B129" s="7" t="str">
        <f>"3328046710880003"</f>
        <v>3328046710880003</v>
      </c>
      <c r="C129" s="7" t="s">
        <v>1607</v>
      </c>
      <c r="D129" s="7" t="s">
        <v>189</v>
      </c>
      <c r="E129" s="7" t="s">
        <v>11</v>
      </c>
      <c r="F129" s="7" t="s">
        <v>18</v>
      </c>
      <c r="G129" s="7" t="s">
        <v>19</v>
      </c>
      <c r="H129" s="7" t="s">
        <v>745</v>
      </c>
      <c r="I129" s="8" t="s">
        <v>1314</v>
      </c>
      <c r="J129" t="str">
        <f>VLOOKUP(B129,baru!$B$2:$I$2271,4,FALSE)</f>
        <v>Reguler</v>
      </c>
      <c r="K129" t="str">
        <f>VLOOKUP(B129,baru!$B$2:$I$2271,5,FALSE)</f>
        <v>DAERAH ISTIMEWA YOGYAKARTA</v>
      </c>
      <c r="L129" t="str">
        <f>VLOOKUP(B129,baru!$B$2:$I$2271,6,FALSE)</f>
        <v>SLEMAN</v>
      </c>
    </row>
    <row r="130" spans="1:12" x14ac:dyDescent="0.35">
      <c r="A130" s="6">
        <v>2350485</v>
      </c>
      <c r="B130" s="7" t="str">
        <f>"3328047112590022"</f>
        <v>3328047112590022</v>
      </c>
      <c r="C130" s="7" t="s">
        <v>1614</v>
      </c>
      <c r="D130" s="7" t="s">
        <v>10</v>
      </c>
      <c r="E130" s="7" t="s">
        <v>11</v>
      </c>
      <c r="F130" s="7" t="s">
        <v>18</v>
      </c>
      <c r="G130" s="7" t="s">
        <v>19</v>
      </c>
      <c r="H130" s="7" t="s">
        <v>745</v>
      </c>
      <c r="I130" s="8" t="s">
        <v>1406</v>
      </c>
      <c r="J130" t="str">
        <f>VLOOKUP(B130,baru!$B$2:$I$2271,4,FALSE)</f>
        <v>Reguler</v>
      </c>
      <c r="K130" t="str">
        <f>VLOOKUP(B130,baru!$B$2:$I$2271,5,FALSE)</f>
        <v>JAWA TENGAH</v>
      </c>
      <c r="L130" t="str">
        <f>VLOOKUP(B130,baru!$B$2:$I$2271,6,FALSE)</f>
        <v>TEGAL</v>
      </c>
    </row>
    <row r="131" spans="1:12" x14ac:dyDescent="0.35">
      <c r="A131" s="6">
        <v>2347222</v>
      </c>
      <c r="B131" s="7" t="str">
        <f>"3329160711860005"</f>
        <v>3329160711860005</v>
      </c>
      <c r="C131" s="7" t="s">
        <v>1651</v>
      </c>
      <c r="D131" s="7" t="s">
        <v>10</v>
      </c>
      <c r="E131" s="7" t="s">
        <v>11</v>
      </c>
      <c r="F131" s="7" t="s">
        <v>18</v>
      </c>
      <c r="G131" s="7" t="s">
        <v>19</v>
      </c>
      <c r="H131" s="7" t="s">
        <v>745</v>
      </c>
      <c r="I131" s="8" t="s">
        <v>1262</v>
      </c>
      <c r="J131" t="str">
        <f>VLOOKUP(B131,baru!$B$2:$I$2271,4,FALSE)</f>
        <v>Reguler</v>
      </c>
      <c r="K131" t="str">
        <f>VLOOKUP(B131,baru!$B$2:$I$2271,5,FALSE)</f>
        <v>JAWA TENGAH</v>
      </c>
      <c r="L131" t="str">
        <f>VLOOKUP(B131,baru!$B$2:$I$2271,6,FALSE)</f>
        <v>BREBES</v>
      </c>
    </row>
    <row r="132" spans="1:12" x14ac:dyDescent="0.35">
      <c r="A132" s="6">
        <v>2342778</v>
      </c>
      <c r="B132" s="7" t="str">
        <f>"3329174502910007"</f>
        <v>3329174502910007</v>
      </c>
      <c r="C132" s="7" t="s">
        <v>1654</v>
      </c>
      <c r="D132" s="7" t="s">
        <v>10</v>
      </c>
      <c r="E132" s="7" t="s">
        <v>11</v>
      </c>
      <c r="F132" s="7" t="s">
        <v>18</v>
      </c>
      <c r="G132" s="7" t="s">
        <v>19</v>
      </c>
      <c r="H132" s="7" t="s">
        <v>745</v>
      </c>
      <c r="I132" s="8" t="s">
        <v>1277</v>
      </c>
      <c r="J132" t="str">
        <f>VLOOKUP(B132,baru!$B$2:$I$2271,4,FALSE)</f>
        <v>Reguler</v>
      </c>
      <c r="K132" t="str">
        <f>VLOOKUP(B132,baru!$B$2:$I$2271,5,FALSE)</f>
        <v>JAWA TENGAH</v>
      </c>
      <c r="L132" t="str">
        <f>VLOOKUP(B132,baru!$B$2:$I$2271,6,FALSE)</f>
        <v>BREBES</v>
      </c>
    </row>
    <row r="133" spans="1:12" x14ac:dyDescent="0.35">
      <c r="A133" s="6">
        <v>2371272</v>
      </c>
      <c r="B133" s="7" t="str">
        <f>"3671061407840003"</f>
        <v>3671061407840003</v>
      </c>
      <c r="C133" s="7" t="s">
        <v>1691</v>
      </c>
      <c r="D133" s="7" t="s">
        <v>10</v>
      </c>
      <c r="E133" s="7" t="s">
        <v>11</v>
      </c>
      <c r="F133" s="7" t="s">
        <v>18</v>
      </c>
      <c r="G133" s="7" t="s">
        <v>19</v>
      </c>
      <c r="H133" s="7" t="s">
        <v>745</v>
      </c>
      <c r="I133" s="8" t="s">
        <v>746</v>
      </c>
      <c r="J133" t="str">
        <f>VLOOKUP(B133,baru!$B$2:$I$2271,4,FALSE)</f>
        <v>Reguler</v>
      </c>
      <c r="K133" t="str">
        <f>VLOOKUP(B133,baru!$B$2:$I$2271,5,FALSE)</f>
        <v>JAWA TENGAH</v>
      </c>
      <c r="L133" t="str">
        <f>VLOOKUP(B133,baru!$B$2:$I$2271,6,FALSE)</f>
        <v>BREBES</v>
      </c>
    </row>
    <row r="134" spans="1:12" x14ac:dyDescent="0.35">
      <c r="A134" s="6">
        <v>2387541</v>
      </c>
      <c r="B134" s="7" t="str">
        <f>"9109011708880016"</f>
        <v>9109011708880016</v>
      </c>
      <c r="C134" s="7" t="s">
        <v>1711</v>
      </c>
      <c r="D134" s="7" t="s">
        <v>10</v>
      </c>
      <c r="E134" s="7" t="s">
        <v>11</v>
      </c>
      <c r="F134" s="7" t="s">
        <v>18</v>
      </c>
      <c r="G134" s="7" t="s">
        <v>19</v>
      </c>
      <c r="H134" s="7" t="s">
        <v>745</v>
      </c>
      <c r="I134" s="8" t="s">
        <v>1401</v>
      </c>
      <c r="J134" t="str">
        <f>VLOOKUP(B134,baru!$B$2:$I$2271,4,FALSE)</f>
        <v>Reguler</v>
      </c>
      <c r="K134" t="str">
        <f>VLOOKUP(B134,baru!$B$2:$I$2271,5,FALSE)</f>
        <v>JAWA TENGAH</v>
      </c>
      <c r="L134" t="str">
        <f>VLOOKUP(B134,baru!$B$2:$I$2271,6,FALSE)</f>
        <v>BREBES</v>
      </c>
    </row>
    <row r="135" spans="1:12" x14ac:dyDescent="0.35">
      <c r="A135" s="6">
        <v>1615502</v>
      </c>
      <c r="B135" s="7" t="str">
        <f>"3211251511910009"</f>
        <v>3211251511910009</v>
      </c>
      <c r="C135" s="7" t="s">
        <v>1762</v>
      </c>
      <c r="D135" s="7" t="s">
        <v>10</v>
      </c>
      <c r="E135" s="7" t="s">
        <v>11</v>
      </c>
      <c r="F135" s="7" t="s">
        <v>18</v>
      </c>
      <c r="G135" s="7" t="s">
        <v>19</v>
      </c>
      <c r="H135" s="7" t="s">
        <v>1720</v>
      </c>
      <c r="I135" s="8" t="s">
        <v>1721</v>
      </c>
      <c r="J135" t="str">
        <f>VLOOKUP(B135,baru!$B$2:$I$2271,4,FALSE)</f>
        <v>Reguler</v>
      </c>
      <c r="K135" t="str">
        <f>VLOOKUP(B135,baru!$B$2:$I$2271,5,FALSE)</f>
        <v>JAWA BARAT</v>
      </c>
      <c r="L135" t="str">
        <f>VLOOKUP(B135,baru!$B$2:$I$2271,6,FALSE)</f>
        <v>SUMEDANG</v>
      </c>
    </row>
    <row r="136" spans="1:12" x14ac:dyDescent="0.35">
      <c r="A136" s="6">
        <v>1623033</v>
      </c>
      <c r="B136" s="7" t="str">
        <f>"3302086110900002"</f>
        <v>3302086110900002</v>
      </c>
      <c r="C136" s="7" t="s">
        <v>1782</v>
      </c>
      <c r="D136" s="7" t="s">
        <v>10</v>
      </c>
      <c r="E136" s="7" t="s">
        <v>11</v>
      </c>
      <c r="F136" s="7" t="s">
        <v>18</v>
      </c>
      <c r="G136" s="7" t="s">
        <v>19</v>
      </c>
      <c r="H136" s="7" t="s">
        <v>1720</v>
      </c>
      <c r="I136" s="8" t="s">
        <v>1777</v>
      </c>
      <c r="J136" t="str">
        <f>VLOOKUP(B136,baru!$B$2:$I$2271,4,FALSE)</f>
        <v>Reguler</v>
      </c>
      <c r="K136" t="str">
        <f>VLOOKUP(B136,baru!$B$2:$I$2271,5,FALSE)</f>
        <v>JAWA TENGAH</v>
      </c>
      <c r="L136" t="str">
        <f>VLOOKUP(B136,baru!$B$2:$I$2271,6,FALSE)</f>
        <v>KEBUMEN</v>
      </c>
    </row>
    <row r="137" spans="1:12" x14ac:dyDescent="0.35">
      <c r="A137" s="6">
        <v>1623059</v>
      </c>
      <c r="B137" s="7" t="str">
        <f>"3328050107920008"</f>
        <v>3328050107920008</v>
      </c>
      <c r="C137" s="7" t="s">
        <v>1798</v>
      </c>
      <c r="D137" s="7" t="s">
        <v>10</v>
      </c>
      <c r="E137" s="7" t="s">
        <v>11</v>
      </c>
      <c r="F137" s="7" t="s">
        <v>18</v>
      </c>
      <c r="G137" s="7" t="s">
        <v>19</v>
      </c>
      <c r="H137" s="7" t="s">
        <v>1720</v>
      </c>
      <c r="I137" s="8" t="s">
        <v>1777</v>
      </c>
      <c r="J137" t="str">
        <f>VLOOKUP(B137,baru!$B$2:$I$2271,4,FALSE)</f>
        <v>Reguler</v>
      </c>
      <c r="K137" t="str">
        <f>VLOOKUP(B137,baru!$B$2:$I$2271,5,FALSE)</f>
        <v>JAWA TENGAH</v>
      </c>
      <c r="L137" t="str">
        <f>VLOOKUP(B137,baru!$B$2:$I$2271,6,FALSE)</f>
        <v>BREBES</v>
      </c>
    </row>
    <row r="138" spans="1:12" x14ac:dyDescent="0.35">
      <c r="A138" s="6">
        <v>1548470</v>
      </c>
      <c r="B138" s="7" t="str">
        <f>"3328050107950006"</f>
        <v>3328050107950006</v>
      </c>
      <c r="C138" s="7" t="s">
        <v>1799</v>
      </c>
      <c r="D138" s="7" t="s">
        <v>10</v>
      </c>
      <c r="E138" s="7" t="s">
        <v>11</v>
      </c>
      <c r="F138" s="7" t="s">
        <v>18</v>
      </c>
      <c r="G138" s="7" t="s">
        <v>19</v>
      </c>
      <c r="H138" s="7" t="s">
        <v>1720</v>
      </c>
      <c r="I138" s="8" t="s">
        <v>1771</v>
      </c>
      <c r="J138" t="str">
        <f>VLOOKUP(B138,baru!$B$2:$I$2271,4,FALSE)</f>
        <v>Reguler</v>
      </c>
      <c r="K138" t="str">
        <f>VLOOKUP(B138,baru!$B$2:$I$2271,5,FALSE)</f>
        <v>JAWA TENGAH</v>
      </c>
      <c r="L138" t="str">
        <f>VLOOKUP(B138,baru!$B$2:$I$2271,6,FALSE)</f>
        <v>BANJARNEGARA</v>
      </c>
    </row>
    <row r="139" spans="1:12" x14ac:dyDescent="0.35">
      <c r="A139" s="6">
        <v>1614065</v>
      </c>
      <c r="B139" s="7" t="str">
        <f>"3328050205030002"</f>
        <v>3328050205030002</v>
      </c>
      <c r="C139" s="7" t="s">
        <v>1806</v>
      </c>
      <c r="D139" s="7" t="s">
        <v>10</v>
      </c>
      <c r="E139" s="7" t="s">
        <v>11</v>
      </c>
      <c r="F139" s="7" t="s">
        <v>18</v>
      </c>
      <c r="G139" s="7" t="s">
        <v>19</v>
      </c>
      <c r="H139" s="7" t="s">
        <v>1720</v>
      </c>
      <c r="I139" s="8" t="s">
        <v>1721</v>
      </c>
      <c r="J139" t="str">
        <f>VLOOKUP(B139,baru!$B$2:$I$2271,4,FALSE)</f>
        <v>Reguler</v>
      </c>
      <c r="K139" t="str">
        <f>VLOOKUP(B139,baru!$B$2:$I$2271,5,FALSE)</f>
        <v>JAWA TIMUR</v>
      </c>
      <c r="L139" t="str">
        <f>VLOOKUP(B139,baru!$B$2:$I$2271,6,FALSE)</f>
        <v>BOJONEGORO</v>
      </c>
    </row>
    <row r="140" spans="1:12" x14ac:dyDescent="0.35">
      <c r="A140" s="6">
        <v>1364443</v>
      </c>
      <c r="B140" s="7" t="str">
        <f>"3328050304920002"</f>
        <v>3328050304920002</v>
      </c>
      <c r="C140" s="7" t="s">
        <v>1813</v>
      </c>
      <c r="D140" s="7" t="s">
        <v>10</v>
      </c>
      <c r="E140" s="7" t="s">
        <v>11</v>
      </c>
      <c r="F140" s="7" t="s">
        <v>18</v>
      </c>
      <c r="G140" s="7" t="s">
        <v>19</v>
      </c>
      <c r="H140" s="7" t="s">
        <v>1720</v>
      </c>
      <c r="I140" s="8" t="s">
        <v>1740</v>
      </c>
      <c r="J140" t="str">
        <f>VLOOKUP(B140,baru!$B$2:$I$2271,4,FALSE)</f>
        <v>Reguler</v>
      </c>
      <c r="K140" t="str">
        <f>VLOOKUP(B140,baru!$B$2:$I$2271,5,FALSE)</f>
        <v>BANTEN</v>
      </c>
      <c r="L140" t="str">
        <f>VLOOKUP(B140,baru!$B$2:$I$2271,6,FALSE)</f>
        <v>SERANG</v>
      </c>
    </row>
    <row r="141" spans="1:12" x14ac:dyDescent="0.35">
      <c r="A141" s="6">
        <v>1554524</v>
      </c>
      <c r="B141" s="7" t="str">
        <f>"3328050409700001"</f>
        <v>3328050409700001</v>
      </c>
      <c r="C141" s="7" t="s">
        <v>1816</v>
      </c>
      <c r="D141" s="7" t="s">
        <v>10</v>
      </c>
      <c r="E141" s="7" t="s">
        <v>11</v>
      </c>
      <c r="F141" s="7" t="s">
        <v>18</v>
      </c>
      <c r="G141" s="7" t="s">
        <v>19</v>
      </c>
      <c r="H141" s="7" t="s">
        <v>1720</v>
      </c>
      <c r="I141" s="8" t="s">
        <v>1720</v>
      </c>
      <c r="J141" t="str">
        <f>VLOOKUP(B141,baru!$B$2:$I$2271,4,FALSE)</f>
        <v>Reguler</v>
      </c>
      <c r="K141" t="str">
        <f>VLOOKUP(B141,baru!$B$2:$I$2271,5,FALSE)</f>
        <v>JAWA TENGAH</v>
      </c>
      <c r="L141" t="str">
        <f>VLOOKUP(B141,baru!$B$2:$I$2271,6,FALSE)</f>
        <v>BREBES</v>
      </c>
    </row>
    <row r="142" spans="1:12" x14ac:dyDescent="0.35">
      <c r="A142" s="6">
        <v>1363050</v>
      </c>
      <c r="B142" s="7" t="str">
        <f>"3328050503930001"</f>
        <v>3328050503930001</v>
      </c>
      <c r="C142" s="7" t="s">
        <v>1819</v>
      </c>
      <c r="D142" s="7" t="s">
        <v>10</v>
      </c>
      <c r="E142" s="7" t="s">
        <v>11</v>
      </c>
      <c r="F142" s="7" t="s">
        <v>18</v>
      </c>
      <c r="G142" s="7" t="s">
        <v>19</v>
      </c>
      <c r="H142" s="7" t="s">
        <v>1720</v>
      </c>
      <c r="I142" s="8" t="s">
        <v>1740</v>
      </c>
      <c r="J142" t="str">
        <f>VLOOKUP(B142,baru!$B$2:$I$2271,4,FALSE)</f>
        <v>Reguler</v>
      </c>
      <c r="K142" t="str">
        <f>VLOOKUP(B142,baru!$B$2:$I$2271,5,FALSE)</f>
        <v>JAWA TENGAH</v>
      </c>
      <c r="L142" t="str">
        <f>VLOOKUP(B142,baru!$B$2:$I$2271,6,FALSE)</f>
        <v>BATANG</v>
      </c>
    </row>
    <row r="143" spans="1:12" x14ac:dyDescent="0.35">
      <c r="A143" s="6">
        <v>1351817</v>
      </c>
      <c r="B143" s="7" t="str">
        <f>"3328050812950001"</f>
        <v>3328050812950001</v>
      </c>
      <c r="C143" s="7" t="s">
        <v>1830</v>
      </c>
      <c r="D143" s="7" t="s">
        <v>10</v>
      </c>
      <c r="E143" s="7" t="s">
        <v>11</v>
      </c>
      <c r="F143" s="7" t="s">
        <v>18</v>
      </c>
      <c r="G143" s="7" t="s">
        <v>19</v>
      </c>
      <c r="H143" s="7" t="s">
        <v>1720</v>
      </c>
      <c r="I143" s="8" t="s">
        <v>789</v>
      </c>
      <c r="J143" t="str">
        <f>VLOOKUP(B143,baru!$B$2:$I$2271,4,FALSE)</f>
        <v>Reguler</v>
      </c>
      <c r="K143" t="str">
        <f>VLOOKUP(B143,baru!$B$2:$I$2271,5,FALSE)</f>
        <v>JAWA TENGAH</v>
      </c>
      <c r="L143" t="str">
        <f>VLOOKUP(B143,baru!$B$2:$I$2271,6,FALSE)</f>
        <v>BREBES</v>
      </c>
    </row>
    <row r="144" spans="1:12" x14ac:dyDescent="0.35">
      <c r="A144" s="6">
        <v>1352475</v>
      </c>
      <c r="B144" s="7" t="str">
        <f>"3328050907890002"</f>
        <v>3328050907890002</v>
      </c>
      <c r="C144" s="7" t="s">
        <v>1839</v>
      </c>
      <c r="D144" s="7" t="s">
        <v>10</v>
      </c>
      <c r="E144" s="7" t="s">
        <v>11</v>
      </c>
      <c r="F144" s="7" t="s">
        <v>18</v>
      </c>
      <c r="G144" s="7" t="s">
        <v>19</v>
      </c>
      <c r="H144" s="7" t="s">
        <v>1720</v>
      </c>
      <c r="I144" s="8" t="s">
        <v>789</v>
      </c>
      <c r="J144" t="str">
        <f>VLOOKUP(B144,baru!$B$2:$I$2271,4,FALSE)</f>
        <v>Reguler</v>
      </c>
      <c r="K144" t="str">
        <f>VLOOKUP(B144,baru!$B$2:$I$2271,5,FALSE)</f>
        <v>DKI JAKARTA</v>
      </c>
      <c r="L144" t="str">
        <f>VLOOKUP(B144,baru!$B$2:$I$2271,6,FALSE)</f>
        <v>KOTA JAKARTA SELATAN</v>
      </c>
    </row>
    <row r="145" spans="1:12" x14ac:dyDescent="0.35">
      <c r="A145" s="6">
        <v>2127883</v>
      </c>
      <c r="B145" s="7" t="str">
        <f>"3328051007780001"</f>
        <v>3328051007780001</v>
      </c>
      <c r="C145" s="7" t="s">
        <v>1842</v>
      </c>
      <c r="D145" s="7" t="s">
        <v>10</v>
      </c>
      <c r="E145" s="7" t="s">
        <v>11</v>
      </c>
      <c r="F145" s="7" t="s">
        <v>18</v>
      </c>
      <c r="G145" s="7" t="s">
        <v>19</v>
      </c>
      <c r="H145" s="7" t="s">
        <v>1720</v>
      </c>
      <c r="I145" s="8" t="s">
        <v>1731</v>
      </c>
      <c r="J145" t="str">
        <f>VLOOKUP(B145,baru!$B$2:$I$2271,4,FALSE)</f>
        <v>Reguler</v>
      </c>
      <c r="K145" t="str">
        <f>VLOOKUP(B145,baru!$B$2:$I$2271,5,FALSE)</f>
        <v>JAWA TENGAH</v>
      </c>
      <c r="L145" t="str">
        <f>VLOOKUP(B145,baru!$B$2:$I$2271,6,FALSE)</f>
        <v>CILACAP</v>
      </c>
    </row>
    <row r="146" spans="1:12" x14ac:dyDescent="0.35">
      <c r="A146" s="6">
        <v>1549014</v>
      </c>
      <c r="B146" s="7" t="str">
        <f>"3328051103900001"</f>
        <v>3328051103900001</v>
      </c>
      <c r="C146" s="7" t="s">
        <v>1849</v>
      </c>
      <c r="D146" s="7" t="s">
        <v>10</v>
      </c>
      <c r="E146" s="7" t="s">
        <v>11</v>
      </c>
      <c r="F146" s="7" t="s">
        <v>18</v>
      </c>
      <c r="G146" s="7" t="s">
        <v>19</v>
      </c>
      <c r="H146" s="7" t="s">
        <v>1720</v>
      </c>
      <c r="I146" s="8" t="s">
        <v>1771</v>
      </c>
      <c r="J146" t="str">
        <f>VLOOKUP(B146,baru!$B$2:$I$2271,4,FALSE)</f>
        <v>Reguler</v>
      </c>
      <c r="K146" t="str">
        <f>VLOOKUP(B146,baru!$B$2:$I$2271,5,FALSE)</f>
        <v>JAWA TENGAH</v>
      </c>
      <c r="L146" t="str">
        <f>VLOOKUP(B146,baru!$B$2:$I$2271,6,FALSE)</f>
        <v>BREBES</v>
      </c>
    </row>
    <row r="147" spans="1:12" x14ac:dyDescent="0.35">
      <c r="A147" s="6">
        <v>2142556</v>
      </c>
      <c r="B147" s="7" t="str">
        <f>"3328051208900001"</f>
        <v>3328051208900001</v>
      </c>
      <c r="C147" s="7" t="s">
        <v>1858</v>
      </c>
      <c r="D147" s="7" t="s">
        <v>10</v>
      </c>
      <c r="E147" s="7" t="s">
        <v>11</v>
      </c>
      <c r="F147" s="7" t="s">
        <v>18</v>
      </c>
      <c r="G147" s="7" t="s">
        <v>19</v>
      </c>
      <c r="H147" s="7" t="s">
        <v>1720</v>
      </c>
      <c r="I147" s="8" t="s">
        <v>1737</v>
      </c>
      <c r="J147" t="str">
        <f>VLOOKUP(B147,baru!$B$2:$I$2271,4,FALSE)</f>
        <v>Reguler</v>
      </c>
      <c r="K147" t="str">
        <f>VLOOKUP(B147,baru!$B$2:$I$2271,5,FALSE)</f>
        <v>JAWA TENGAH</v>
      </c>
      <c r="L147" t="str">
        <f>VLOOKUP(B147,baru!$B$2:$I$2271,6,FALSE)</f>
        <v>PEMALANG</v>
      </c>
    </row>
    <row r="148" spans="1:12" x14ac:dyDescent="0.35">
      <c r="A148" s="6">
        <v>2138771</v>
      </c>
      <c r="B148" s="7" t="str">
        <f>"3328051212890006"</f>
        <v>3328051212890006</v>
      </c>
      <c r="C148" s="7" t="s">
        <v>1871</v>
      </c>
      <c r="D148" s="7" t="s">
        <v>10</v>
      </c>
      <c r="E148" s="7" t="s">
        <v>11</v>
      </c>
      <c r="F148" s="7" t="s">
        <v>18</v>
      </c>
      <c r="G148" s="7" t="s">
        <v>19</v>
      </c>
      <c r="H148" s="7" t="s">
        <v>1720</v>
      </c>
      <c r="I148" s="8" t="s">
        <v>1723</v>
      </c>
      <c r="J148" t="str">
        <f>VLOOKUP(B148,baru!$B$2:$I$2271,4,FALSE)</f>
        <v>Reguler</v>
      </c>
      <c r="K148" t="str">
        <f>VLOOKUP(B148,baru!$B$2:$I$2271,5,FALSE)</f>
        <v>JAWA TENGAH</v>
      </c>
      <c r="L148" t="str">
        <f>VLOOKUP(B148,baru!$B$2:$I$2271,6,FALSE)</f>
        <v>BREBES</v>
      </c>
    </row>
    <row r="149" spans="1:12" x14ac:dyDescent="0.35">
      <c r="A149" s="6">
        <v>1613239</v>
      </c>
      <c r="B149" s="7" t="str">
        <f>"3328051507820007"</f>
        <v>3328051507820007</v>
      </c>
      <c r="C149" s="7" t="s">
        <v>1879</v>
      </c>
      <c r="D149" s="7" t="s">
        <v>10</v>
      </c>
      <c r="E149" s="7" t="s">
        <v>11</v>
      </c>
      <c r="F149" s="7" t="s">
        <v>18</v>
      </c>
      <c r="G149" s="7" t="s">
        <v>19</v>
      </c>
      <c r="H149" s="7" t="s">
        <v>1720</v>
      </c>
      <c r="I149" s="8" t="s">
        <v>1721</v>
      </c>
      <c r="J149" t="str">
        <f>VLOOKUP(B149,baru!$B$2:$I$2271,4,FALSE)</f>
        <v>Reguler</v>
      </c>
      <c r="K149" t="str">
        <f>VLOOKUP(B149,baru!$B$2:$I$2271,5,FALSE)</f>
        <v>JAWA TENGAH</v>
      </c>
      <c r="L149" t="str">
        <f>VLOOKUP(B149,baru!$B$2:$I$2271,6,FALSE)</f>
        <v>PATI</v>
      </c>
    </row>
    <row r="150" spans="1:12" x14ac:dyDescent="0.35">
      <c r="A150" s="6">
        <v>1361521</v>
      </c>
      <c r="B150" s="7" t="str">
        <f>"3328051512970003"</f>
        <v>3328051512970003</v>
      </c>
      <c r="C150" s="7" t="s">
        <v>1882</v>
      </c>
      <c r="D150" s="7" t="s">
        <v>10</v>
      </c>
      <c r="E150" s="7" t="s">
        <v>11</v>
      </c>
      <c r="F150" s="7" t="s">
        <v>18</v>
      </c>
      <c r="G150" s="7" t="s">
        <v>19</v>
      </c>
      <c r="H150" s="7" t="s">
        <v>1720</v>
      </c>
      <c r="I150" s="8" t="s">
        <v>1740</v>
      </c>
      <c r="J150" t="str">
        <f>VLOOKUP(B150,baru!$B$2:$I$2271,4,FALSE)</f>
        <v>Reguler</v>
      </c>
      <c r="K150" t="str">
        <f>VLOOKUP(B150,baru!$B$2:$I$2271,5,FALSE)</f>
        <v>JAWA TENGAH</v>
      </c>
      <c r="L150" t="str">
        <f>VLOOKUP(B150,baru!$B$2:$I$2271,6,FALSE)</f>
        <v>BREBES</v>
      </c>
    </row>
    <row r="151" spans="1:12" x14ac:dyDescent="0.35">
      <c r="A151" s="6">
        <v>1366942</v>
      </c>
      <c r="B151" s="7" t="str">
        <f>"3328051512970004"</f>
        <v>3328051512970004</v>
      </c>
      <c r="C151" s="7" t="s">
        <v>1887</v>
      </c>
      <c r="D151" s="7" t="s">
        <v>189</v>
      </c>
      <c r="E151" s="7" t="s">
        <v>11</v>
      </c>
      <c r="F151" s="7" t="s">
        <v>18</v>
      </c>
      <c r="G151" s="7" t="s">
        <v>19</v>
      </c>
      <c r="H151" s="7" t="s">
        <v>1720</v>
      </c>
      <c r="I151" s="8" t="s">
        <v>1740</v>
      </c>
      <c r="J151" t="str">
        <f>VLOOKUP(B151,baru!$B$2:$I$2271,4,FALSE)</f>
        <v>Reguler</v>
      </c>
      <c r="K151" t="str">
        <f>VLOOKUP(B151,baru!$B$2:$I$2271,5,FALSE)</f>
        <v>JAWA TENGAH</v>
      </c>
      <c r="L151" t="str">
        <f>VLOOKUP(B151,baru!$B$2:$I$2271,6,FALSE)</f>
        <v>BANYUMAS</v>
      </c>
    </row>
    <row r="152" spans="1:12" x14ac:dyDescent="0.35">
      <c r="A152" s="6">
        <v>2142760</v>
      </c>
      <c r="B152" s="7" t="str">
        <f>"3328051707870002"</f>
        <v>3328051707870002</v>
      </c>
      <c r="C152" s="7" t="s">
        <v>1890</v>
      </c>
      <c r="D152" s="7" t="s">
        <v>10</v>
      </c>
      <c r="E152" s="7" t="s">
        <v>11</v>
      </c>
      <c r="F152" s="7" t="s">
        <v>18</v>
      </c>
      <c r="G152" s="7" t="s">
        <v>19</v>
      </c>
      <c r="H152" s="7" t="s">
        <v>1720</v>
      </c>
      <c r="I152" s="8" t="s">
        <v>1737</v>
      </c>
      <c r="J152" t="str">
        <f>VLOOKUP(B152,baru!$B$2:$I$2271,4,FALSE)</f>
        <v>Reguler</v>
      </c>
      <c r="K152" t="str">
        <f>VLOOKUP(B152,baru!$B$2:$I$2271,5,FALSE)</f>
        <v>JAWA TENGAH</v>
      </c>
      <c r="L152" t="str">
        <f>VLOOKUP(B152,baru!$B$2:$I$2271,6,FALSE)</f>
        <v>BREBES</v>
      </c>
    </row>
    <row r="153" spans="1:12" x14ac:dyDescent="0.35">
      <c r="A153" s="6">
        <v>1342727</v>
      </c>
      <c r="B153" s="7" t="str">
        <f>"3328052005880004"</f>
        <v>3328052005880004</v>
      </c>
      <c r="C153" s="7" t="s">
        <v>1901</v>
      </c>
      <c r="D153" s="7" t="s">
        <v>189</v>
      </c>
      <c r="E153" s="7" t="s">
        <v>11</v>
      </c>
      <c r="F153" s="7" t="s">
        <v>18</v>
      </c>
      <c r="G153" s="7" t="s">
        <v>19</v>
      </c>
      <c r="H153" s="7" t="s">
        <v>1720</v>
      </c>
      <c r="I153" s="8" t="s">
        <v>1381</v>
      </c>
      <c r="J153" t="str">
        <f>VLOOKUP(B153,baru!$B$2:$I$2271,4,FALSE)</f>
        <v>Reguler</v>
      </c>
      <c r="K153" t="str">
        <f>VLOOKUP(B153,baru!$B$2:$I$2271,5,FALSE)</f>
        <v>JAWA TENGAH</v>
      </c>
      <c r="L153" t="str">
        <f>VLOOKUP(B153,baru!$B$2:$I$2271,6,FALSE)</f>
        <v>MAGELANG</v>
      </c>
    </row>
    <row r="154" spans="1:12" x14ac:dyDescent="0.35">
      <c r="A154" s="6">
        <v>1546962</v>
      </c>
      <c r="B154" s="7" t="str">
        <f>"3328052009060001"</f>
        <v>3328052009060001</v>
      </c>
      <c r="C154" s="7" t="s">
        <v>1902</v>
      </c>
      <c r="D154" s="7" t="s">
        <v>10</v>
      </c>
      <c r="E154" s="7" t="s">
        <v>11</v>
      </c>
      <c r="F154" s="7" t="s">
        <v>18</v>
      </c>
      <c r="G154" s="7" t="s">
        <v>19</v>
      </c>
      <c r="H154" s="7" t="s">
        <v>1720</v>
      </c>
      <c r="I154" s="8" t="s">
        <v>1771</v>
      </c>
      <c r="J154" t="str">
        <f>VLOOKUP(B154,baru!$B$2:$I$2271,4,FALSE)</f>
        <v>Reguler</v>
      </c>
      <c r="K154" t="str">
        <f>VLOOKUP(B154,baru!$B$2:$I$2271,5,FALSE)</f>
        <v>JAWA TENGAH</v>
      </c>
      <c r="L154" t="str">
        <f>VLOOKUP(B154,baru!$B$2:$I$2271,6,FALSE)</f>
        <v>BREBES</v>
      </c>
    </row>
    <row r="155" spans="1:12" x14ac:dyDescent="0.35">
      <c r="A155" s="6">
        <v>2142151</v>
      </c>
      <c r="B155" s="7" t="str">
        <f>"3328052201940006"</f>
        <v>3328052201940006</v>
      </c>
      <c r="C155" s="7" t="s">
        <v>1904</v>
      </c>
      <c r="D155" s="7" t="s">
        <v>10</v>
      </c>
      <c r="E155" s="7" t="s">
        <v>11</v>
      </c>
      <c r="F155" s="7" t="s">
        <v>18</v>
      </c>
      <c r="G155" s="7" t="s">
        <v>19</v>
      </c>
      <c r="H155" s="7" t="s">
        <v>1720</v>
      </c>
      <c r="I155" s="8" t="s">
        <v>1737</v>
      </c>
      <c r="J155" t="str">
        <f>VLOOKUP(B155,baru!$B$2:$I$2271,4,FALSE)</f>
        <v>Reguler</v>
      </c>
      <c r="K155" t="str">
        <f>VLOOKUP(B155,baru!$B$2:$I$2271,5,FALSE)</f>
        <v>JAWA TENGAH</v>
      </c>
      <c r="L155" t="str">
        <f>VLOOKUP(B155,baru!$B$2:$I$2271,6,FALSE)</f>
        <v>BREBES</v>
      </c>
    </row>
    <row r="156" spans="1:12" x14ac:dyDescent="0.35">
      <c r="A156" s="6">
        <v>2141905</v>
      </c>
      <c r="B156" s="7" t="str">
        <f>"3328052308970002"</f>
        <v>3328052308970002</v>
      </c>
      <c r="C156" s="7" t="s">
        <v>1911</v>
      </c>
      <c r="D156" s="7" t="s">
        <v>10</v>
      </c>
      <c r="E156" s="7" t="s">
        <v>11</v>
      </c>
      <c r="F156" s="7" t="s">
        <v>18</v>
      </c>
      <c r="G156" s="7" t="s">
        <v>19</v>
      </c>
      <c r="H156" s="7" t="s">
        <v>1720</v>
      </c>
      <c r="I156" s="8" t="s">
        <v>1737</v>
      </c>
      <c r="J156" t="str">
        <f>VLOOKUP(B156,baru!$B$2:$I$2271,4,FALSE)</f>
        <v>Reguler</v>
      </c>
      <c r="K156" t="str">
        <f>VLOOKUP(B156,baru!$B$2:$I$2271,5,FALSE)</f>
        <v>JAWA TENGAH</v>
      </c>
      <c r="L156" t="str">
        <f>VLOOKUP(B156,baru!$B$2:$I$2271,6,FALSE)</f>
        <v>BREBES</v>
      </c>
    </row>
    <row r="157" spans="1:12" x14ac:dyDescent="0.35">
      <c r="A157" s="6">
        <v>1625565</v>
      </c>
      <c r="B157" s="7" t="str">
        <f>"3328052504850001"</f>
        <v>3328052504850001</v>
      </c>
      <c r="C157" s="7" t="s">
        <v>1916</v>
      </c>
      <c r="D157" s="7" t="s">
        <v>10</v>
      </c>
      <c r="E157" s="7" t="s">
        <v>11</v>
      </c>
      <c r="F157" s="7" t="s">
        <v>18</v>
      </c>
      <c r="G157" s="7" t="s">
        <v>19</v>
      </c>
      <c r="H157" s="7" t="s">
        <v>1720</v>
      </c>
      <c r="I157" s="8" t="s">
        <v>1777</v>
      </c>
      <c r="J157" t="str">
        <f>VLOOKUP(B157,baru!$B$2:$I$2271,4,FALSE)</f>
        <v>Reguler</v>
      </c>
      <c r="K157" t="str">
        <f>VLOOKUP(B157,baru!$B$2:$I$2271,5,FALSE)</f>
        <v>JAWA TENGAH</v>
      </c>
      <c r="L157" t="str">
        <f>VLOOKUP(B157,baru!$B$2:$I$2271,6,FALSE)</f>
        <v>BREBES</v>
      </c>
    </row>
    <row r="158" spans="1:12" x14ac:dyDescent="0.35">
      <c r="A158" s="6">
        <v>2142656</v>
      </c>
      <c r="B158" s="7" t="str">
        <f>"3328052612040002"</f>
        <v>3328052612040002</v>
      </c>
      <c r="C158" s="7" t="s">
        <v>1919</v>
      </c>
      <c r="D158" s="7" t="s">
        <v>10</v>
      </c>
      <c r="E158" s="7" t="s">
        <v>11</v>
      </c>
      <c r="F158" s="7" t="s">
        <v>18</v>
      </c>
      <c r="G158" s="7" t="s">
        <v>19</v>
      </c>
      <c r="H158" s="7" t="s">
        <v>1720</v>
      </c>
      <c r="I158" s="8" t="s">
        <v>1737</v>
      </c>
      <c r="J158" t="str">
        <f>VLOOKUP(B158,baru!$B$2:$I$2271,4,FALSE)</f>
        <v>Reguler</v>
      </c>
      <c r="K158" t="str">
        <f>VLOOKUP(B158,baru!$B$2:$I$2271,5,FALSE)</f>
        <v>JAWA TENGAH</v>
      </c>
      <c r="L158" t="str">
        <f>VLOOKUP(B158,baru!$B$2:$I$2271,6,FALSE)</f>
        <v>PURWOREJO</v>
      </c>
    </row>
    <row r="159" spans="1:12" x14ac:dyDescent="0.35">
      <c r="A159" s="6">
        <v>1549533</v>
      </c>
      <c r="B159" s="7" t="str">
        <f>"3328052706980003"</f>
        <v>3328052706980003</v>
      </c>
      <c r="C159" s="7" t="s">
        <v>1923</v>
      </c>
      <c r="D159" s="7" t="s">
        <v>10</v>
      </c>
      <c r="E159" s="7" t="s">
        <v>11</v>
      </c>
      <c r="F159" s="7" t="s">
        <v>18</v>
      </c>
      <c r="G159" s="7" t="s">
        <v>19</v>
      </c>
      <c r="H159" s="7" t="s">
        <v>1720</v>
      </c>
      <c r="I159" s="8" t="s">
        <v>1720</v>
      </c>
      <c r="J159" t="str">
        <f>VLOOKUP(B159,baru!$B$2:$I$2271,4,FALSE)</f>
        <v>Reguler</v>
      </c>
      <c r="K159" t="str">
        <f>VLOOKUP(B159,baru!$B$2:$I$2271,5,FALSE)</f>
        <v>JAWA TENGAH</v>
      </c>
      <c r="L159" t="str">
        <f>VLOOKUP(B159,baru!$B$2:$I$2271,6,FALSE)</f>
        <v>BREBES</v>
      </c>
    </row>
    <row r="160" spans="1:12" x14ac:dyDescent="0.35">
      <c r="A160" s="6">
        <v>1552795</v>
      </c>
      <c r="B160" s="7" t="str">
        <f>"3328054103010001"</f>
        <v>3328054103010001</v>
      </c>
      <c r="C160" s="7" t="s">
        <v>1931</v>
      </c>
      <c r="D160" s="7" t="s">
        <v>10</v>
      </c>
      <c r="E160" s="7" t="s">
        <v>11</v>
      </c>
      <c r="F160" s="7" t="s">
        <v>18</v>
      </c>
      <c r="G160" s="7" t="s">
        <v>19</v>
      </c>
      <c r="H160" s="7" t="s">
        <v>1720</v>
      </c>
      <c r="I160" s="8" t="s">
        <v>1720</v>
      </c>
      <c r="J160" t="str">
        <f>VLOOKUP(B160,baru!$B$2:$I$2271,4,FALSE)</f>
        <v>Reguler</v>
      </c>
      <c r="K160" t="str">
        <f>VLOOKUP(B160,baru!$B$2:$I$2271,5,FALSE)</f>
        <v>JAWA TENGAH</v>
      </c>
      <c r="L160" t="str">
        <f>VLOOKUP(B160,baru!$B$2:$I$2271,6,FALSE)</f>
        <v>KOTA SEMARANG</v>
      </c>
    </row>
    <row r="161" spans="1:12" x14ac:dyDescent="0.35">
      <c r="A161" s="6">
        <v>2146155</v>
      </c>
      <c r="B161" s="7" t="str">
        <f>"3328054103010002"</f>
        <v>3328054103010002</v>
      </c>
      <c r="C161" s="7" t="s">
        <v>1934</v>
      </c>
      <c r="D161" s="7" t="s">
        <v>10</v>
      </c>
      <c r="E161" s="7" t="s">
        <v>11</v>
      </c>
      <c r="F161" s="7" t="s">
        <v>18</v>
      </c>
      <c r="G161" s="7" t="s">
        <v>19</v>
      </c>
      <c r="H161" s="7" t="s">
        <v>1720</v>
      </c>
      <c r="I161" s="8" t="s">
        <v>1857</v>
      </c>
      <c r="J161" t="str">
        <f>VLOOKUP(B161,baru!$B$2:$I$2271,4,FALSE)</f>
        <v>Reguler</v>
      </c>
      <c r="K161" t="str">
        <f>VLOOKUP(B161,baru!$B$2:$I$2271,5,FALSE)</f>
        <v>JAWA TENGAH</v>
      </c>
      <c r="L161" t="str">
        <f>VLOOKUP(B161,baru!$B$2:$I$2271,6,FALSE)</f>
        <v>BREBES</v>
      </c>
    </row>
    <row r="162" spans="1:12" x14ac:dyDescent="0.35">
      <c r="A162" s="6">
        <v>1343760</v>
      </c>
      <c r="B162" s="7" t="str">
        <f>"3328054107050022"</f>
        <v>3328054107050022</v>
      </c>
      <c r="C162" s="7" t="s">
        <v>1935</v>
      </c>
      <c r="D162" s="7" t="s">
        <v>10</v>
      </c>
      <c r="E162" s="7" t="s">
        <v>11</v>
      </c>
      <c r="F162" s="7" t="s">
        <v>18</v>
      </c>
      <c r="G162" s="7" t="s">
        <v>19</v>
      </c>
      <c r="H162" s="7" t="s">
        <v>1720</v>
      </c>
      <c r="I162" s="8" t="s">
        <v>1381</v>
      </c>
      <c r="J162" t="str">
        <f>VLOOKUP(B162,baru!$B$2:$I$2271,4,FALSE)</f>
        <v>Reguler</v>
      </c>
      <c r="K162" t="str">
        <f>VLOOKUP(B162,baru!$B$2:$I$2271,5,FALSE)</f>
        <v>DKI JAKARTA</v>
      </c>
      <c r="L162" t="str">
        <f>VLOOKUP(B162,baru!$B$2:$I$2271,6,FALSE)</f>
        <v>KOTA JAKARTA TIMUR</v>
      </c>
    </row>
    <row r="163" spans="1:12" x14ac:dyDescent="0.35">
      <c r="A163" s="6">
        <v>1553231</v>
      </c>
      <c r="B163" s="7" t="str">
        <f>"3328054107770108"</f>
        <v>3328054107770108</v>
      </c>
      <c r="C163" s="7" t="s">
        <v>1938</v>
      </c>
      <c r="D163" s="7" t="s">
        <v>10</v>
      </c>
      <c r="E163" s="7" t="s">
        <v>11</v>
      </c>
      <c r="F163" s="7" t="s">
        <v>18</v>
      </c>
      <c r="G163" s="7" t="s">
        <v>19</v>
      </c>
      <c r="H163" s="7" t="s">
        <v>1720</v>
      </c>
      <c r="I163" s="8" t="s">
        <v>1720</v>
      </c>
      <c r="J163" t="str">
        <f>VLOOKUP(B163,baru!$B$2:$I$2271,4,FALSE)</f>
        <v>Reguler</v>
      </c>
      <c r="K163" t="str">
        <f>VLOOKUP(B163,baru!$B$2:$I$2271,5,FALSE)</f>
        <v>JAWA TENGAH</v>
      </c>
      <c r="L163" t="str">
        <f>VLOOKUP(B163,baru!$B$2:$I$2271,6,FALSE)</f>
        <v>BREBES</v>
      </c>
    </row>
    <row r="164" spans="1:12" x14ac:dyDescent="0.35">
      <c r="A164" s="6">
        <v>2119958</v>
      </c>
      <c r="B164" s="7" t="str">
        <f>"3328054205010001"</f>
        <v>3328054205010001</v>
      </c>
      <c r="C164" s="7" t="s">
        <v>1941</v>
      </c>
      <c r="D164" s="7" t="s">
        <v>10</v>
      </c>
      <c r="E164" s="7" t="s">
        <v>11</v>
      </c>
      <c r="F164" s="7" t="s">
        <v>18</v>
      </c>
      <c r="G164" s="7" t="s">
        <v>19</v>
      </c>
      <c r="H164" s="7" t="s">
        <v>1720</v>
      </c>
      <c r="I164" s="8" t="s">
        <v>1774</v>
      </c>
      <c r="J164" t="str">
        <f>VLOOKUP(B164,baru!$B$2:$I$2271,4,FALSE)</f>
        <v>Reguler</v>
      </c>
      <c r="K164" t="str">
        <f>VLOOKUP(B164,baru!$B$2:$I$2271,5,FALSE)</f>
        <v>JAWA TENGAH</v>
      </c>
      <c r="L164" t="str">
        <f>VLOOKUP(B164,baru!$B$2:$I$2271,6,FALSE)</f>
        <v>BREBES</v>
      </c>
    </row>
    <row r="165" spans="1:12" x14ac:dyDescent="0.35">
      <c r="A165" s="6">
        <v>2142642</v>
      </c>
      <c r="B165" s="7" t="str">
        <f>"3328054405800001"</f>
        <v>3328054405800001</v>
      </c>
      <c r="C165" s="7" t="s">
        <v>1949</v>
      </c>
      <c r="D165" s="7" t="s">
        <v>10</v>
      </c>
      <c r="E165" s="7" t="s">
        <v>11</v>
      </c>
      <c r="F165" s="7" t="s">
        <v>18</v>
      </c>
      <c r="G165" s="7" t="s">
        <v>19</v>
      </c>
      <c r="H165" s="7" t="s">
        <v>1720</v>
      </c>
      <c r="I165" s="8" t="s">
        <v>1737</v>
      </c>
      <c r="J165" t="str">
        <f>VLOOKUP(B165,baru!$B$2:$I$2271,4,FALSE)</f>
        <v>Reguler</v>
      </c>
      <c r="K165" t="str">
        <f>VLOOKUP(B165,baru!$B$2:$I$2271,5,FALSE)</f>
        <v>JAWA TENGAH</v>
      </c>
      <c r="L165" t="str">
        <f>VLOOKUP(B165,baru!$B$2:$I$2271,6,FALSE)</f>
        <v>PURWOREJO</v>
      </c>
    </row>
    <row r="166" spans="1:12" x14ac:dyDescent="0.35">
      <c r="A166" s="6">
        <v>2132753</v>
      </c>
      <c r="B166" s="7" t="str">
        <f>"3328054506920005"</f>
        <v>3328054506920005</v>
      </c>
      <c r="C166" s="7" t="s">
        <v>1951</v>
      </c>
      <c r="D166" s="7" t="s">
        <v>10</v>
      </c>
      <c r="E166" s="7" t="s">
        <v>11</v>
      </c>
      <c r="F166" s="7" t="s">
        <v>18</v>
      </c>
      <c r="G166" s="7" t="s">
        <v>19</v>
      </c>
      <c r="H166" s="7" t="s">
        <v>1720</v>
      </c>
      <c r="I166" s="8" t="s">
        <v>1727</v>
      </c>
      <c r="J166" t="str">
        <f>VLOOKUP(B166,baru!$B$2:$I$2271,4,FALSE)</f>
        <v>Reguler</v>
      </c>
      <c r="K166" t="str">
        <f>VLOOKUP(B166,baru!$B$2:$I$2271,5,FALSE)</f>
        <v>DKI JAKARTA</v>
      </c>
      <c r="L166" t="str">
        <f>VLOOKUP(B166,baru!$B$2:$I$2271,6,FALSE)</f>
        <v>KOTA JAKARTA BARAT</v>
      </c>
    </row>
    <row r="167" spans="1:12" x14ac:dyDescent="0.35">
      <c r="A167" s="6">
        <v>2119960</v>
      </c>
      <c r="B167" s="7" t="str">
        <f>"3328054506950001"</f>
        <v>3328054506950001</v>
      </c>
      <c r="C167" s="7" t="s">
        <v>1953</v>
      </c>
      <c r="D167" s="7" t="s">
        <v>10</v>
      </c>
      <c r="E167" s="7" t="s">
        <v>11</v>
      </c>
      <c r="F167" s="7" t="s">
        <v>18</v>
      </c>
      <c r="G167" s="7" t="s">
        <v>19</v>
      </c>
      <c r="H167" s="7" t="s">
        <v>1720</v>
      </c>
      <c r="I167" s="8" t="s">
        <v>1774</v>
      </c>
      <c r="J167" t="str">
        <f>VLOOKUP(B167,baru!$B$2:$I$2271,4,FALSE)</f>
        <v>Reguler</v>
      </c>
      <c r="K167" t="str">
        <f>VLOOKUP(B167,baru!$B$2:$I$2271,5,FALSE)</f>
        <v>JAWA TENGAH</v>
      </c>
      <c r="L167" t="str">
        <f>VLOOKUP(B167,baru!$B$2:$I$2271,6,FALSE)</f>
        <v>BANYUMAS</v>
      </c>
    </row>
    <row r="168" spans="1:12" x14ac:dyDescent="0.35">
      <c r="A168" s="6">
        <v>1625227</v>
      </c>
      <c r="B168" s="7" t="str">
        <f>"3328054510870001"</f>
        <v>3328054510870001</v>
      </c>
      <c r="C168" s="7" t="s">
        <v>383</v>
      </c>
      <c r="D168" s="7" t="s">
        <v>189</v>
      </c>
      <c r="E168" s="7" t="s">
        <v>11</v>
      </c>
      <c r="F168" s="7" t="s">
        <v>18</v>
      </c>
      <c r="G168" s="7" t="s">
        <v>19</v>
      </c>
      <c r="H168" s="7" t="s">
        <v>1720</v>
      </c>
      <c r="I168" s="8" t="s">
        <v>1777</v>
      </c>
      <c r="J168" t="str">
        <f>VLOOKUP(B168,baru!$B$2:$I$2271,4,FALSE)</f>
        <v>Reguler</v>
      </c>
      <c r="K168" t="str">
        <f>VLOOKUP(B168,baru!$B$2:$I$2271,5,FALSE)</f>
        <v>JAWA TENGAH</v>
      </c>
      <c r="L168" t="str">
        <f>VLOOKUP(B168,baru!$B$2:$I$2271,6,FALSE)</f>
        <v>BREBES</v>
      </c>
    </row>
    <row r="169" spans="1:12" x14ac:dyDescent="0.35">
      <c r="A169" s="6">
        <v>1350259</v>
      </c>
      <c r="B169" s="7" t="str">
        <f>"3328054603900002"</f>
        <v>3328054603900002</v>
      </c>
      <c r="C169" s="7" t="s">
        <v>1956</v>
      </c>
      <c r="D169" s="7" t="s">
        <v>10</v>
      </c>
      <c r="E169" s="7" t="s">
        <v>11</v>
      </c>
      <c r="F169" s="7" t="s">
        <v>18</v>
      </c>
      <c r="G169" s="7" t="s">
        <v>19</v>
      </c>
      <c r="H169" s="7" t="s">
        <v>1720</v>
      </c>
      <c r="I169" s="8" t="s">
        <v>789</v>
      </c>
      <c r="J169" t="str">
        <f>VLOOKUP(B169,baru!$B$2:$I$2271,4,FALSE)</f>
        <v>Reguler</v>
      </c>
      <c r="K169" t="str">
        <f>VLOOKUP(B169,baru!$B$2:$I$2271,5,FALSE)</f>
        <v>DKI JAKARTA</v>
      </c>
      <c r="L169" t="str">
        <f>VLOOKUP(B169,baru!$B$2:$I$2271,6,FALSE)</f>
        <v>KOTA JAKARTA SELATAN</v>
      </c>
    </row>
    <row r="170" spans="1:12" x14ac:dyDescent="0.35">
      <c r="A170" s="6">
        <v>1358918</v>
      </c>
      <c r="B170" s="7" t="str">
        <f>"3328054802930001"</f>
        <v>3328054802930001</v>
      </c>
      <c r="C170" s="7" t="s">
        <v>1965</v>
      </c>
      <c r="D170" s="7" t="s">
        <v>10</v>
      </c>
      <c r="E170" s="7" t="s">
        <v>11</v>
      </c>
      <c r="F170" s="7" t="s">
        <v>18</v>
      </c>
      <c r="G170" s="7" t="s">
        <v>19</v>
      </c>
      <c r="H170" s="7" t="s">
        <v>1720</v>
      </c>
      <c r="I170" s="8" t="s">
        <v>1740</v>
      </c>
      <c r="J170" t="str">
        <f>VLOOKUP(B170,baru!$B$2:$I$2271,4,FALSE)</f>
        <v>Reguler</v>
      </c>
      <c r="K170" t="str">
        <f>VLOOKUP(B170,baru!$B$2:$I$2271,5,FALSE)</f>
        <v>JAWA TENGAH</v>
      </c>
      <c r="L170" t="str">
        <f>VLOOKUP(B170,baru!$B$2:$I$2271,6,FALSE)</f>
        <v>BREBES</v>
      </c>
    </row>
    <row r="171" spans="1:12" x14ac:dyDescent="0.35">
      <c r="A171" s="6">
        <v>1547787</v>
      </c>
      <c r="B171" s="7" t="str">
        <f>"3328054804930003"</f>
        <v>3328054804930003</v>
      </c>
      <c r="C171" s="7" t="s">
        <v>1967</v>
      </c>
      <c r="D171" s="7" t="s">
        <v>10</v>
      </c>
      <c r="E171" s="7" t="s">
        <v>11</v>
      </c>
      <c r="F171" s="7" t="s">
        <v>18</v>
      </c>
      <c r="G171" s="7" t="s">
        <v>19</v>
      </c>
      <c r="H171" s="7" t="s">
        <v>1720</v>
      </c>
      <c r="I171" s="8" t="s">
        <v>1771</v>
      </c>
      <c r="J171" t="str">
        <f>VLOOKUP(B171,baru!$B$2:$I$2271,4,FALSE)</f>
        <v>Reguler</v>
      </c>
      <c r="K171" t="str">
        <f>VLOOKUP(B171,baru!$B$2:$I$2271,5,FALSE)</f>
        <v>JAWA TENGAH</v>
      </c>
      <c r="L171" t="str">
        <f>VLOOKUP(B171,baru!$B$2:$I$2271,6,FALSE)</f>
        <v>BREBES</v>
      </c>
    </row>
    <row r="172" spans="1:12" x14ac:dyDescent="0.35">
      <c r="A172" s="6">
        <v>2144181</v>
      </c>
      <c r="B172" s="7" t="str">
        <f>"3328054808890001"</f>
        <v>3328054808890001</v>
      </c>
      <c r="C172" s="7" t="s">
        <v>1969</v>
      </c>
      <c r="D172" s="7" t="s">
        <v>10</v>
      </c>
      <c r="E172" s="7" t="s">
        <v>11</v>
      </c>
      <c r="F172" s="7" t="s">
        <v>18</v>
      </c>
      <c r="G172" s="7" t="s">
        <v>19</v>
      </c>
      <c r="H172" s="7" t="s">
        <v>1720</v>
      </c>
      <c r="I172" s="8" t="s">
        <v>1857</v>
      </c>
      <c r="J172" t="str">
        <f>VLOOKUP(B172,baru!$B$2:$I$2271,4,FALSE)</f>
        <v>Reguler</v>
      </c>
      <c r="K172" t="str">
        <f>VLOOKUP(B172,baru!$B$2:$I$2271,5,FALSE)</f>
        <v>DKI JAKARTA</v>
      </c>
      <c r="L172" t="str">
        <f>VLOOKUP(B172,baru!$B$2:$I$2271,6,FALSE)</f>
        <v>KOTA JAKARTA TIMUR</v>
      </c>
    </row>
    <row r="173" spans="1:12" x14ac:dyDescent="0.35">
      <c r="A173" s="6">
        <v>2141004</v>
      </c>
      <c r="B173" s="7" t="str">
        <f>"3328055001900005"</f>
        <v>3328055001900005</v>
      </c>
      <c r="C173" s="7" t="s">
        <v>1973</v>
      </c>
      <c r="D173" s="7" t="s">
        <v>10</v>
      </c>
      <c r="E173" s="7" t="s">
        <v>11</v>
      </c>
      <c r="F173" s="7" t="s">
        <v>18</v>
      </c>
      <c r="G173" s="7" t="s">
        <v>19</v>
      </c>
      <c r="H173" s="7" t="s">
        <v>1720</v>
      </c>
      <c r="I173" s="8" t="s">
        <v>1737</v>
      </c>
      <c r="J173" t="str">
        <f>VLOOKUP(B173,baru!$B$2:$I$2271,4,FALSE)</f>
        <v>Reguler</v>
      </c>
      <c r="K173" t="str">
        <f>VLOOKUP(B173,baru!$B$2:$I$2271,5,FALSE)</f>
        <v>JAWA TENGAH</v>
      </c>
      <c r="L173" t="str">
        <f>VLOOKUP(B173,baru!$B$2:$I$2271,6,FALSE)</f>
        <v>PEKALONGAN</v>
      </c>
    </row>
    <row r="174" spans="1:12" x14ac:dyDescent="0.35">
      <c r="A174" s="6">
        <v>1623169</v>
      </c>
      <c r="B174" s="7" t="str">
        <f>"3328055206980004"</f>
        <v>3328055206980004</v>
      </c>
      <c r="C174" s="7" t="s">
        <v>1975</v>
      </c>
      <c r="D174" s="7" t="s">
        <v>10</v>
      </c>
      <c r="E174" s="7" t="s">
        <v>11</v>
      </c>
      <c r="F174" s="7" t="s">
        <v>18</v>
      </c>
      <c r="G174" s="7" t="s">
        <v>19</v>
      </c>
      <c r="H174" s="7" t="s">
        <v>1720</v>
      </c>
      <c r="I174" s="8" t="s">
        <v>1777</v>
      </c>
      <c r="J174" t="str">
        <f>VLOOKUP(B174,baru!$B$2:$I$2271,4,FALSE)</f>
        <v>Reguler</v>
      </c>
      <c r="K174" t="str">
        <f>VLOOKUP(B174,baru!$B$2:$I$2271,5,FALSE)</f>
        <v>JAWA TENGAH</v>
      </c>
      <c r="L174" t="str">
        <f>VLOOKUP(B174,baru!$B$2:$I$2271,6,FALSE)</f>
        <v>CILACAP</v>
      </c>
    </row>
    <row r="175" spans="1:12" x14ac:dyDescent="0.35">
      <c r="A175" s="6">
        <v>2145532</v>
      </c>
      <c r="B175" s="7" t="str">
        <f>"3328055404990003"</f>
        <v>3328055404990003</v>
      </c>
      <c r="C175" s="7" t="s">
        <v>1984</v>
      </c>
      <c r="D175" s="7" t="s">
        <v>10</v>
      </c>
      <c r="E175" s="7" t="s">
        <v>11</v>
      </c>
      <c r="F175" s="7" t="s">
        <v>18</v>
      </c>
      <c r="G175" s="7" t="s">
        <v>19</v>
      </c>
      <c r="H175" s="7" t="s">
        <v>1720</v>
      </c>
      <c r="I175" s="8" t="s">
        <v>1857</v>
      </c>
      <c r="J175" t="str">
        <f>VLOOKUP(B175,baru!$B$2:$I$2271,4,FALSE)</f>
        <v>Reguler</v>
      </c>
      <c r="K175" t="str">
        <f>VLOOKUP(B175,baru!$B$2:$I$2271,5,FALSE)</f>
        <v>JAWA TENGAH</v>
      </c>
      <c r="L175" t="str">
        <f>VLOOKUP(B175,baru!$B$2:$I$2271,6,FALSE)</f>
        <v>BREBES</v>
      </c>
    </row>
    <row r="176" spans="1:12" x14ac:dyDescent="0.35">
      <c r="A176" s="6">
        <v>1360972</v>
      </c>
      <c r="B176" s="7" t="str">
        <f>"3328055510010001"</f>
        <v>3328055510010001</v>
      </c>
      <c r="C176" s="7" t="s">
        <v>1985</v>
      </c>
      <c r="D176" s="7" t="s">
        <v>10</v>
      </c>
      <c r="E176" s="7" t="s">
        <v>11</v>
      </c>
      <c r="F176" s="7" t="s">
        <v>18</v>
      </c>
      <c r="G176" s="7" t="s">
        <v>19</v>
      </c>
      <c r="H176" s="7" t="s">
        <v>1720</v>
      </c>
      <c r="I176" s="8" t="s">
        <v>1740</v>
      </c>
      <c r="J176" t="str">
        <f>VLOOKUP(B176,baru!$B$2:$I$2271,4,FALSE)</f>
        <v>Reguler</v>
      </c>
      <c r="K176" t="str">
        <f>VLOOKUP(B176,baru!$B$2:$I$2271,5,FALSE)</f>
        <v>JAWA TIMUR</v>
      </c>
      <c r="L176" t="str">
        <f>VLOOKUP(B176,baru!$B$2:$I$2271,6,FALSE)</f>
        <v>LAMONGAN</v>
      </c>
    </row>
    <row r="177" spans="1:12" x14ac:dyDescent="0.35">
      <c r="A177" s="6">
        <v>1349034</v>
      </c>
      <c r="B177" s="7" t="str">
        <f>"3328055606940001"</f>
        <v>3328055606940001</v>
      </c>
      <c r="C177" s="7" t="s">
        <v>1990</v>
      </c>
      <c r="D177" s="7" t="s">
        <v>10</v>
      </c>
      <c r="E177" s="7" t="s">
        <v>11</v>
      </c>
      <c r="F177" s="7" t="s">
        <v>18</v>
      </c>
      <c r="G177" s="7" t="s">
        <v>19</v>
      </c>
      <c r="H177" s="7" t="s">
        <v>1720</v>
      </c>
      <c r="I177" s="8" t="s">
        <v>1381</v>
      </c>
      <c r="J177" t="str">
        <f>VLOOKUP(B177,baru!$B$2:$I$2271,4,FALSE)</f>
        <v>Reguler</v>
      </c>
      <c r="K177" t="str">
        <f>VLOOKUP(B177,baru!$B$2:$I$2271,5,FALSE)</f>
        <v>JAWA TENGAH</v>
      </c>
      <c r="L177" t="str">
        <f>VLOOKUP(B177,baru!$B$2:$I$2271,6,FALSE)</f>
        <v>BREBES</v>
      </c>
    </row>
    <row r="178" spans="1:12" x14ac:dyDescent="0.35">
      <c r="A178" s="6">
        <v>1362019</v>
      </c>
      <c r="B178" s="7" t="str">
        <f>"3328055803970001"</f>
        <v>3328055803970001</v>
      </c>
      <c r="C178" s="7" t="s">
        <v>1993</v>
      </c>
      <c r="D178" s="7" t="s">
        <v>10</v>
      </c>
      <c r="E178" s="7" t="s">
        <v>11</v>
      </c>
      <c r="F178" s="7" t="s">
        <v>18</v>
      </c>
      <c r="G178" s="7" t="s">
        <v>19</v>
      </c>
      <c r="H178" s="7" t="s">
        <v>1720</v>
      </c>
      <c r="I178" s="8" t="s">
        <v>1740</v>
      </c>
      <c r="J178" t="str">
        <f>VLOOKUP(B178,baru!$B$2:$I$2271,4,FALSE)</f>
        <v>Reguler</v>
      </c>
      <c r="K178" t="str">
        <f>VLOOKUP(B178,baru!$B$2:$I$2271,5,FALSE)</f>
        <v>JAWA TIMUR</v>
      </c>
      <c r="L178" t="str">
        <f>VLOOKUP(B178,baru!$B$2:$I$2271,6,FALSE)</f>
        <v>SIDOARJO</v>
      </c>
    </row>
    <row r="179" spans="1:12" x14ac:dyDescent="0.35">
      <c r="A179" s="6">
        <v>1365815</v>
      </c>
      <c r="B179" s="7" t="str">
        <f>"3328055806030004"</f>
        <v>3328055806030004</v>
      </c>
      <c r="C179" s="7" t="s">
        <v>1996</v>
      </c>
      <c r="D179" s="7" t="s">
        <v>10</v>
      </c>
      <c r="E179" s="7" t="s">
        <v>11</v>
      </c>
      <c r="F179" s="7" t="s">
        <v>18</v>
      </c>
      <c r="G179" s="7" t="s">
        <v>19</v>
      </c>
      <c r="H179" s="7" t="s">
        <v>1720</v>
      </c>
      <c r="I179" s="8" t="s">
        <v>1740</v>
      </c>
      <c r="J179" t="str">
        <f>VLOOKUP(B179,baru!$B$2:$I$2271,4,FALSE)</f>
        <v>Reguler</v>
      </c>
      <c r="K179" t="str">
        <f>VLOOKUP(B179,baru!$B$2:$I$2271,5,FALSE)</f>
        <v>JAWA TENGAH</v>
      </c>
      <c r="L179" t="str">
        <f>VLOOKUP(B179,baru!$B$2:$I$2271,6,FALSE)</f>
        <v>BREBES</v>
      </c>
    </row>
    <row r="180" spans="1:12" x14ac:dyDescent="0.35">
      <c r="A180" s="6">
        <v>1613874</v>
      </c>
      <c r="B180" s="7" t="str">
        <f>"3328055806950001"</f>
        <v>3328055806950001</v>
      </c>
      <c r="C180" s="7" t="s">
        <v>1997</v>
      </c>
      <c r="D180" s="7" t="s">
        <v>10</v>
      </c>
      <c r="E180" s="7" t="s">
        <v>11</v>
      </c>
      <c r="F180" s="7" t="s">
        <v>18</v>
      </c>
      <c r="G180" s="7" t="s">
        <v>19</v>
      </c>
      <c r="H180" s="7" t="s">
        <v>1720</v>
      </c>
      <c r="I180" s="8" t="s">
        <v>1721</v>
      </c>
      <c r="J180" t="str">
        <f>VLOOKUP(B180,baru!$B$2:$I$2271,4,FALSE)</f>
        <v>Reguler</v>
      </c>
      <c r="K180" t="str">
        <f>VLOOKUP(B180,baru!$B$2:$I$2271,5,FALSE)</f>
        <v>JAWA BARAT</v>
      </c>
      <c r="L180" t="str">
        <f>VLOOKUP(B180,baru!$B$2:$I$2271,6,FALSE)</f>
        <v>KUNINGAN</v>
      </c>
    </row>
    <row r="181" spans="1:12" x14ac:dyDescent="0.35">
      <c r="A181" s="6">
        <v>1549228</v>
      </c>
      <c r="B181" s="7" t="str">
        <f>"3328056006920001"</f>
        <v>3328056006920001</v>
      </c>
      <c r="C181" s="7" t="s">
        <v>2010</v>
      </c>
      <c r="D181" s="7" t="s">
        <v>10</v>
      </c>
      <c r="E181" s="7" t="s">
        <v>11</v>
      </c>
      <c r="F181" s="7" t="s">
        <v>18</v>
      </c>
      <c r="G181" s="7" t="s">
        <v>19</v>
      </c>
      <c r="H181" s="7" t="s">
        <v>1720</v>
      </c>
      <c r="I181" s="8" t="s">
        <v>1771</v>
      </c>
      <c r="J181" t="str">
        <f>VLOOKUP(B181,baru!$B$2:$I$2271,4,FALSE)</f>
        <v>Reguler</v>
      </c>
      <c r="K181" t="str">
        <f>VLOOKUP(B181,baru!$B$2:$I$2271,5,FALSE)</f>
        <v>DKI JAKARTA</v>
      </c>
      <c r="L181" t="str">
        <f>VLOOKUP(B181,baru!$B$2:$I$2271,6,FALSE)</f>
        <v>KOTA JAKARTA PUSAT</v>
      </c>
    </row>
    <row r="182" spans="1:12" x14ac:dyDescent="0.35">
      <c r="A182" s="6">
        <v>1624253</v>
      </c>
      <c r="B182" s="7" t="str">
        <f>"3328056104960003"</f>
        <v>3328056104960003</v>
      </c>
      <c r="C182" s="7" t="s">
        <v>2011</v>
      </c>
      <c r="D182" s="7" t="s">
        <v>10</v>
      </c>
      <c r="E182" s="7" t="s">
        <v>11</v>
      </c>
      <c r="F182" s="7" t="s">
        <v>18</v>
      </c>
      <c r="G182" s="7" t="s">
        <v>19</v>
      </c>
      <c r="H182" s="7" t="s">
        <v>1720</v>
      </c>
      <c r="I182" s="8" t="s">
        <v>1777</v>
      </c>
      <c r="J182" t="str">
        <f>VLOOKUP(B182,baru!$B$2:$I$2271,4,FALSE)</f>
        <v>Reguler</v>
      </c>
      <c r="K182" t="str">
        <f>VLOOKUP(B182,baru!$B$2:$I$2271,5,FALSE)</f>
        <v>JAWA TENGAH</v>
      </c>
      <c r="L182" t="str">
        <f>VLOOKUP(B182,baru!$B$2:$I$2271,6,FALSE)</f>
        <v>PURWOREJO</v>
      </c>
    </row>
    <row r="183" spans="1:12" x14ac:dyDescent="0.35">
      <c r="A183" s="6">
        <v>1614064</v>
      </c>
      <c r="B183" s="7" t="str">
        <f>"3328056509760001"</f>
        <v>3328056509760001</v>
      </c>
      <c r="C183" s="7" t="s">
        <v>2023</v>
      </c>
      <c r="D183" s="7" t="s">
        <v>10</v>
      </c>
      <c r="E183" s="7" t="s">
        <v>11</v>
      </c>
      <c r="F183" s="7" t="s">
        <v>18</v>
      </c>
      <c r="G183" s="7" t="s">
        <v>19</v>
      </c>
      <c r="H183" s="7" t="s">
        <v>1720</v>
      </c>
      <c r="I183" s="8" t="s">
        <v>1721</v>
      </c>
      <c r="J183" t="str">
        <f>VLOOKUP(B183,baru!$B$2:$I$2271,4,FALSE)</f>
        <v>Reguler</v>
      </c>
      <c r="K183" t="str">
        <f>VLOOKUP(B183,baru!$B$2:$I$2271,5,FALSE)</f>
        <v>JAWA TIMUR</v>
      </c>
      <c r="L183" t="str">
        <f>VLOOKUP(B183,baru!$B$2:$I$2271,6,FALSE)</f>
        <v>BOJONEGORO</v>
      </c>
    </row>
    <row r="184" spans="1:12" x14ac:dyDescent="0.35">
      <c r="A184" s="6">
        <v>1360493</v>
      </c>
      <c r="B184" s="7" t="str">
        <f>"3328056512940002"</f>
        <v>3328056512940002</v>
      </c>
      <c r="C184" s="7" t="s">
        <v>2024</v>
      </c>
      <c r="D184" s="7" t="s">
        <v>10</v>
      </c>
      <c r="E184" s="7" t="s">
        <v>11</v>
      </c>
      <c r="F184" s="7" t="s">
        <v>18</v>
      </c>
      <c r="G184" s="7" t="s">
        <v>19</v>
      </c>
      <c r="H184" s="7" t="s">
        <v>1720</v>
      </c>
      <c r="I184" s="8" t="s">
        <v>1740</v>
      </c>
      <c r="J184" t="str">
        <f>VLOOKUP(B184,baru!$B$2:$I$2271,4,FALSE)</f>
        <v>Reguler</v>
      </c>
      <c r="K184" t="str">
        <f>VLOOKUP(B184,baru!$B$2:$I$2271,5,FALSE)</f>
        <v>JAWA TENGAH</v>
      </c>
      <c r="L184" t="str">
        <f>VLOOKUP(B184,baru!$B$2:$I$2271,6,FALSE)</f>
        <v>WONOGIRI</v>
      </c>
    </row>
    <row r="185" spans="1:12" x14ac:dyDescent="0.35">
      <c r="A185" s="6">
        <v>1553682</v>
      </c>
      <c r="B185" s="7" t="str">
        <f>"3328056706760002"</f>
        <v>3328056706760002</v>
      </c>
      <c r="C185" s="7" t="s">
        <v>2027</v>
      </c>
      <c r="D185" s="7" t="s">
        <v>10</v>
      </c>
      <c r="E185" s="7" t="s">
        <v>11</v>
      </c>
      <c r="F185" s="7" t="s">
        <v>18</v>
      </c>
      <c r="G185" s="7" t="s">
        <v>19</v>
      </c>
      <c r="H185" s="7" t="s">
        <v>1720</v>
      </c>
      <c r="I185" s="8" t="s">
        <v>1720</v>
      </c>
      <c r="J185" t="str">
        <f>VLOOKUP(B185,baru!$B$2:$I$2271,4,FALSE)</f>
        <v>Reguler</v>
      </c>
      <c r="K185" t="str">
        <f>VLOOKUP(B185,baru!$B$2:$I$2271,5,FALSE)</f>
        <v>DKI JAKARTA</v>
      </c>
      <c r="L185" t="str">
        <f>VLOOKUP(B185,baru!$B$2:$I$2271,6,FALSE)</f>
        <v>KOTA JAKARTA TIMUR</v>
      </c>
    </row>
    <row r="186" spans="1:12" x14ac:dyDescent="0.35">
      <c r="A186" s="6">
        <v>2141747</v>
      </c>
      <c r="B186" s="7" t="str">
        <f>"3328057008000001"</f>
        <v>3328057008000001</v>
      </c>
      <c r="C186" s="7" t="s">
        <v>2031</v>
      </c>
      <c r="D186" s="7" t="s">
        <v>10</v>
      </c>
      <c r="E186" s="7" t="s">
        <v>11</v>
      </c>
      <c r="F186" s="7" t="s">
        <v>18</v>
      </c>
      <c r="G186" s="7" t="s">
        <v>19</v>
      </c>
      <c r="H186" s="7" t="s">
        <v>1720</v>
      </c>
      <c r="I186" s="8" t="s">
        <v>1737</v>
      </c>
      <c r="J186" t="str">
        <f>VLOOKUP(B186,baru!$B$2:$I$2271,4,FALSE)</f>
        <v>Reguler</v>
      </c>
      <c r="K186" t="str">
        <f>VLOOKUP(B186,baru!$B$2:$I$2271,5,FALSE)</f>
        <v>JAWA TENGAH</v>
      </c>
      <c r="L186" t="str">
        <f>VLOOKUP(B186,baru!$B$2:$I$2271,6,FALSE)</f>
        <v>BREBES</v>
      </c>
    </row>
    <row r="187" spans="1:12" x14ac:dyDescent="0.35">
      <c r="A187" s="6">
        <v>1364437</v>
      </c>
      <c r="B187" s="7" t="str">
        <f>"3328057112630019"</f>
        <v>3328057112630019</v>
      </c>
      <c r="C187" s="7" t="s">
        <v>2032</v>
      </c>
      <c r="D187" s="7" t="s">
        <v>10</v>
      </c>
      <c r="E187" s="7" t="s">
        <v>11</v>
      </c>
      <c r="F187" s="7" t="s">
        <v>18</v>
      </c>
      <c r="G187" s="7" t="s">
        <v>19</v>
      </c>
      <c r="H187" s="7" t="s">
        <v>1720</v>
      </c>
      <c r="I187" s="8" t="s">
        <v>1740</v>
      </c>
      <c r="J187" t="str">
        <f>VLOOKUP(B187,baru!$B$2:$I$2271,4,FALSE)</f>
        <v>Reguler</v>
      </c>
      <c r="K187" t="str">
        <f>VLOOKUP(B187,baru!$B$2:$I$2271,5,FALSE)</f>
        <v>DKI JAKARTA</v>
      </c>
      <c r="L187" t="str">
        <f>VLOOKUP(B187,baru!$B$2:$I$2271,6,FALSE)</f>
        <v>KOTA JAKARTA SELATAN</v>
      </c>
    </row>
    <row r="188" spans="1:12" x14ac:dyDescent="0.35">
      <c r="A188" s="6">
        <v>2138772</v>
      </c>
      <c r="B188" s="7" t="str">
        <f>"3329035006930009"</f>
        <v>3329035006930009</v>
      </c>
      <c r="C188" s="7" t="s">
        <v>1997</v>
      </c>
      <c r="D188" s="7" t="s">
        <v>10</v>
      </c>
      <c r="E188" s="7" t="s">
        <v>11</v>
      </c>
      <c r="F188" s="7" t="s">
        <v>18</v>
      </c>
      <c r="G188" s="7" t="s">
        <v>19</v>
      </c>
      <c r="H188" s="7" t="s">
        <v>1720</v>
      </c>
      <c r="I188" s="8" t="s">
        <v>1723</v>
      </c>
      <c r="J188" t="str">
        <f>VLOOKUP(B188,baru!$B$2:$I$2271,4,FALSE)</f>
        <v>Reguler</v>
      </c>
      <c r="K188" t="str">
        <f>VLOOKUP(B188,baru!$B$2:$I$2271,5,FALSE)</f>
        <v>JAWA TENGAH</v>
      </c>
      <c r="L188" t="str">
        <f>VLOOKUP(B188,baru!$B$2:$I$2271,6,FALSE)</f>
        <v>BREBES</v>
      </c>
    </row>
    <row r="189" spans="1:12" x14ac:dyDescent="0.35">
      <c r="A189" s="6">
        <v>1549380</v>
      </c>
      <c r="B189" s="7" t="str">
        <f>"3329040605970003"</f>
        <v>3329040605970003</v>
      </c>
      <c r="C189" s="7" t="s">
        <v>2038</v>
      </c>
      <c r="D189" s="7" t="s">
        <v>10</v>
      </c>
      <c r="E189" s="7" t="s">
        <v>11</v>
      </c>
      <c r="F189" s="7" t="s">
        <v>18</v>
      </c>
      <c r="G189" s="7" t="s">
        <v>19</v>
      </c>
      <c r="H189" s="7" t="s">
        <v>1720</v>
      </c>
      <c r="I189" s="8" t="s">
        <v>1771</v>
      </c>
      <c r="J189" t="str">
        <f>VLOOKUP(B189,baru!$B$2:$I$2271,4,FALSE)</f>
        <v>Reguler</v>
      </c>
      <c r="K189" t="str">
        <f>VLOOKUP(B189,baru!$B$2:$I$2271,5,FALSE)</f>
        <v>JAWA TENGAH</v>
      </c>
      <c r="L189" t="str">
        <f>VLOOKUP(B189,baru!$B$2:$I$2271,6,FALSE)</f>
        <v>BREBES</v>
      </c>
    </row>
    <row r="190" spans="1:12" x14ac:dyDescent="0.35">
      <c r="A190" s="6">
        <v>1549381</v>
      </c>
      <c r="B190" s="7" t="str">
        <f>"3329044908920001"</f>
        <v>3329044908920001</v>
      </c>
      <c r="C190" s="7" t="s">
        <v>2040</v>
      </c>
      <c r="D190" s="7" t="s">
        <v>10</v>
      </c>
      <c r="E190" s="7" t="s">
        <v>11</v>
      </c>
      <c r="F190" s="7" t="s">
        <v>18</v>
      </c>
      <c r="G190" s="7" t="s">
        <v>19</v>
      </c>
      <c r="H190" s="7" t="s">
        <v>1720</v>
      </c>
      <c r="I190" s="8" t="s">
        <v>1771</v>
      </c>
      <c r="J190" t="str">
        <f>VLOOKUP(B190,baru!$B$2:$I$2271,4,FALSE)</f>
        <v>Reguler</v>
      </c>
      <c r="K190" t="str">
        <f>VLOOKUP(B190,baru!$B$2:$I$2271,5,FALSE)</f>
        <v>JAWA TENGAH</v>
      </c>
      <c r="L190" t="str">
        <f>VLOOKUP(B190,baru!$B$2:$I$2271,6,FALSE)</f>
        <v>BREBES</v>
      </c>
    </row>
    <row r="191" spans="1:12" x14ac:dyDescent="0.35">
      <c r="A191" s="6">
        <v>1365861</v>
      </c>
      <c r="B191" s="7" t="str">
        <f>"3329070106880004"</f>
        <v>3329070106880004</v>
      </c>
      <c r="C191" s="7" t="s">
        <v>2041</v>
      </c>
      <c r="D191" s="7" t="s">
        <v>10</v>
      </c>
      <c r="E191" s="7" t="s">
        <v>11</v>
      </c>
      <c r="F191" s="7" t="s">
        <v>18</v>
      </c>
      <c r="G191" s="7" t="s">
        <v>19</v>
      </c>
      <c r="H191" s="7" t="s">
        <v>1720</v>
      </c>
      <c r="I191" s="8" t="s">
        <v>1740</v>
      </c>
      <c r="J191" t="str">
        <f>VLOOKUP(B191,baru!$B$2:$I$2271,4,FALSE)</f>
        <v>Reguler</v>
      </c>
      <c r="K191" t="str">
        <f>VLOOKUP(B191,baru!$B$2:$I$2271,5,FALSE)</f>
        <v>JAWA TENGAH</v>
      </c>
      <c r="L191" t="str">
        <f>VLOOKUP(B191,baru!$B$2:$I$2271,6,FALSE)</f>
        <v>BREBES</v>
      </c>
    </row>
    <row r="192" spans="1:12" x14ac:dyDescent="0.35">
      <c r="A192" s="6">
        <v>1363611</v>
      </c>
      <c r="B192" s="7" t="str">
        <f>"3329072403900002"</f>
        <v>3329072403900002</v>
      </c>
      <c r="C192" s="7" t="s">
        <v>2052</v>
      </c>
      <c r="D192" s="7" t="s">
        <v>10</v>
      </c>
      <c r="E192" s="7" t="s">
        <v>11</v>
      </c>
      <c r="F192" s="7" t="s">
        <v>18</v>
      </c>
      <c r="G192" s="7" t="s">
        <v>19</v>
      </c>
      <c r="H192" s="7" t="s">
        <v>1720</v>
      </c>
      <c r="I192" s="8" t="s">
        <v>1740</v>
      </c>
      <c r="J192" t="str">
        <f>VLOOKUP(B192,baru!$B$2:$I$2271,4,FALSE)</f>
        <v>Reguler</v>
      </c>
      <c r="K192" t="str">
        <f>VLOOKUP(B192,baru!$B$2:$I$2271,5,FALSE)</f>
        <v>JAWA TENGAH</v>
      </c>
      <c r="L192" t="str">
        <f>VLOOKUP(B192,baru!$B$2:$I$2271,6,FALSE)</f>
        <v>BREBES</v>
      </c>
    </row>
    <row r="193" spans="1:12" x14ac:dyDescent="0.35">
      <c r="A193" s="6">
        <v>1349828</v>
      </c>
      <c r="B193" s="7" t="str">
        <f>"3329072506860003"</f>
        <v>3329072506860003</v>
      </c>
      <c r="C193" s="7" t="s">
        <v>2054</v>
      </c>
      <c r="D193" s="7" t="s">
        <v>10</v>
      </c>
      <c r="E193" s="7" t="s">
        <v>11</v>
      </c>
      <c r="F193" s="7" t="s">
        <v>18</v>
      </c>
      <c r="G193" s="7" t="s">
        <v>19</v>
      </c>
      <c r="H193" s="7" t="s">
        <v>1720</v>
      </c>
      <c r="I193" s="8" t="s">
        <v>1381</v>
      </c>
      <c r="J193" t="str">
        <f>VLOOKUP(B193,baru!$B$2:$I$2271,4,FALSE)</f>
        <v>Reguler</v>
      </c>
      <c r="K193" t="str">
        <f>VLOOKUP(B193,baru!$B$2:$I$2271,5,FALSE)</f>
        <v>JAWA TENGAH</v>
      </c>
      <c r="L193" t="str">
        <f>VLOOKUP(B193,baru!$B$2:$I$2271,6,FALSE)</f>
        <v>BREBES</v>
      </c>
    </row>
    <row r="194" spans="1:12" x14ac:dyDescent="0.35">
      <c r="A194" s="6">
        <v>2130874</v>
      </c>
      <c r="B194" s="7" t="str">
        <f>"3329076507950001"</f>
        <v>3329076507950001</v>
      </c>
      <c r="C194" s="7" t="s">
        <v>2060</v>
      </c>
      <c r="D194" s="7" t="s">
        <v>10</v>
      </c>
      <c r="E194" s="7" t="s">
        <v>11</v>
      </c>
      <c r="F194" s="7" t="s">
        <v>18</v>
      </c>
      <c r="G194" s="7" t="s">
        <v>19</v>
      </c>
      <c r="H194" s="7" t="s">
        <v>1720</v>
      </c>
      <c r="I194" s="8" t="s">
        <v>1727</v>
      </c>
      <c r="J194" t="str">
        <f>VLOOKUP(B194,baru!$B$2:$I$2271,4,FALSE)</f>
        <v>Reguler</v>
      </c>
      <c r="K194" t="str">
        <f>VLOOKUP(B194,baru!$B$2:$I$2271,5,FALSE)</f>
        <v>JAWA TENGAH</v>
      </c>
      <c r="L194" t="str">
        <f>VLOOKUP(B194,baru!$B$2:$I$2271,6,FALSE)</f>
        <v>BREBES</v>
      </c>
    </row>
    <row r="195" spans="1:12" x14ac:dyDescent="0.35">
      <c r="A195" s="6">
        <v>1352465</v>
      </c>
      <c r="B195" s="7" t="str">
        <f>"3329090608920007"</f>
        <v>3329090608920007</v>
      </c>
      <c r="C195" s="7" t="s">
        <v>2069</v>
      </c>
      <c r="D195" s="7" t="s">
        <v>10</v>
      </c>
      <c r="E195" s="7" t="s">
        <v>11</v>
      </c>
      <c r="F195" s="7" t="s">
        <v>18</v>
      </c>
      <c r="G195" s="7" t="s">
        <v>19</v>
      </c>
      <c r="H195" s="7" t="s">
        <v>1720</v>
      </c>
      <c r="I195" s="8" t="s">
        <v>789</v>
      </c>
      <c r="J195" t="str">
        <f>VLOOKUP(B195,baru!$B$2:$I$2271,4,FALSE)</f>
        <v>Reguler</v>
      </c>
      <c r="K195" t="str">
        <f>VLOOKUP(B195,baru!$B$2:$I$2271,5,FALSE)</f>
        <v>JAWA TENGAH</v>
      </c>
      <c r="L195" t="str">
        <f>VLOOKUP(B195,baru!$B$2:$I$2271,6,FALSE)</f>
        <v>BREBES</v>
      </c>
    </row>
    <row r="196" spans="1:12" x14ac:dyDescent="0.35">
      <c r="A196" s="6">
        <v>2141090</v>
      </c>
      <c r="B196" s="7" t="str">
        <f>"3329100710930002"</f>
        <v>3329100710930002</v>
      </c>
      <c r="C196" s="7" t="s">
        <v>2077</v>
      </c>
      <c r="D196" s="7" t="s">
        <v>10</v>
      </c>
      <c r="E196" s="7" t="s">
        <v>11</v>
      </c>
      <c r="F196" s="7" t="s">
        <v>18</v>
      </c>
      <c r="G196" s="7" t="s">
        <v>19</v>
      </c>
      <c r="H196" s="7" t="s">
        <v>1720</v>
      </c>
      <c r="I196" s="8" t="s">
        <v>1737</v>
      </c>
      <c r="J196" t="str">
        <f>VLOOKUP(B196,baru!$B$2:$I$2271,4,FALSE)</f>
        <v>Reguler</v>
      </c>
      <c r="K196" t="str">
        <f>VLOOKUP(B196,baru!$B$2:$I$2271,5,FALSE)</f>
        <v>JAWA TENGAH</v>
      </c>
      <c r="L196" t="str">
        <f>VLOOKUP(B196,baru!$B$2:$I$2271,6,FALSE)</f>
        <v>BREBES</v>
      </c>
    </row>
    <row r="197" spans="1:12" x14ac:dyDescent="0.35">
      <c r="A197" s="6">
        <v>1615625</v>
      </c>
      <c r="B197" s="7" t="str">
        <f>"3329135806040007"</f>
        <v>3329135806040007</v>
      </c>
      <c r="C197" s="7" t="s">
        <v>2088</v>
      </c>
      <c r="D197" s="7" t="s">
        <v>10</v>
      </c>
      <c r="E197" s="7" t="s">
        <v>11</v>
      </c>
      <c r="F197" s="7" t="s">
        <v>18</v>
      </c>
      <c r="G197" s="7" t="s">
        <v>19</v>
      </c>
      <c r="H197" s="7" t="s">
        <v>1720</v>
      </c>
      <c r="I197" s="8" t="s">
        <v>1721</v>
      </c>
      <c r="J197" t="str">
        <f>VLOOKUP(B197,baru!$B$2:$I$2271,4,FALSE)</f>
        <v>Reguler</v>
      </c>
      <c r="K197" t="str">
        <f>VLOOKUP(B197,baru!$B$2:$I$2271,5,FALSE)</f>
        <v>JAWA TENGAH</v>
      </c>
      <c r="L197" t="str">
        <f>VLOOKUP(B197,baru!$B$2:$I$2271,6,FALSE)</f>
        <v>BREBES</v>
      </c>
    </row>
    <row r="198" spans="1:12" x14ac:dyDescent="0.35">
      <c r="A198" s="6">
        <v>1548973</v>
      </c>
      <c r="B198" s="7" t="str">
        <f>"3329142004820022"</f>
        <v>3329142004820022</v>
      </c>
      <c r="C198" s="7" t="s">
        <v>2090</v>
      </c>
      <c r="D198" s="7" t="s">
        <v>10</v>
      </c>
      <c r="E198" s="7" t="s">
        <v>11</v>
      </c>
      <c r="F198" s="7" t="s">
        <v>18</v>
      </c>
      <c r="G198" s="7" t="s">
        <v>19</v>
      </c>
      <c r="H198" s="7" t="s">
        <v>1720</v>
      </c>
      <c r="I198" s="8" t="s">
        <v>1771</v>
      </c>
      <c r="J198" t="str">
        <f>VLOOKUP(B198,baru!$B$2:$I$2271,4,FALSE)</f>
        <v>Reguler</v>
      </c>
      <c r="K198" t="str">
        <f>VLOOKUP(B198,baru!$B$2:$I$2271,5,FALSE)</f>
        <v>JAWA TENGAH</v>
      </c>
      <c r="L198" t="str">
        <f>VLOOKUP(B198,baru!$B$2:$I$2271,6,FALSE)</f>
        <v>BREBES</v>
      </c>
    </row>
    <row r="199" spans="1:12" x14ac:dyDescent="0.35">
      <c r="A199" s="6">
        <v>1547797</v>
      </c>
      <c r="B199" s="7" t="str">
        <f>"3329160105920013"</f>
        <v>3329160105920013</v>
      </c>
      <c r="C199" s="7" t="s">
        <v>2096</v>
      </c>
      <c r="D199" s="7" t="s">
        <v>10</v>
      </c>
      <c r="E199" s="7" t="s">
        <v>11</v>
      </c>
      <c r="F199" s="7" t="s">
        <v>18</v>
      </c>
      <c r="G199" s="7" t="s">
        <v>19</v>
      </c>
      <c r="H199" s="7" t="s">
        <v>1720</v>
      </c>
      <c r="I199" s="8" t="s">
        <v>1771</v>
      </c>
      <c r="J199" t="str">
        <f>VLOOKUP(B199,baru!$B$2:$I$2271,4,FALSE)</f>
        <v>Reguler</v>
      </c>
      <c r="K199" t="str">
        <f>VLOOKUP(B199,baru!$B$2:$I$2271,5,FALSE)</f>
        <v>JAWA TENGAH</v>
      </c>
      <c r="L199" t="str">
        <f>VLOOKUP(B199,baru!$B$2:$I$2271,6,FALSE)</f>
        <v>BREBES</v>
      </c>
    </row>
    <row r="200" spans="1:12" x14ac:dyDescent="0.35">
      <c r="A200" s="6">
        <v>1348370</v>
      </c>
      <c r="B200" s="7" t="str">
        <f>"3522024110900009"</f>
        <v>3522024110900009</v>
      </c>
      <c r="C200" s="7" t="s">
        <v>2105</v>
      </c>
      <c r="D200" s="7" t="s">
        <v>189</v>
      </c>
      <c r="E200" s="7" t="s">
        <v>11</v>
      </c>
      <c r="F200" s="7" t="s">
        <v>18</v>
      </c>
      <c r="G200" s="7" t="s">
        <v>19</v>
      </c>
      <c r="H200" s="7" t="s">
        <v>1720</v>
      </c>
      <c r="I200" s="8" t="s">
        <v>1381</v>
      </c>
      <c r="J200" t="str">
        <f>VLOOKUP(B200,baru!$B$2:$I$2271,4,FALSE)</f>
        <v>Reguler</v>
      </c>
      <c r="K200" t="str">
        <f>VLOOKUP(B200,baru!$B$2:$I$2271,5,FALSE)</f>
        <v>JAWA TIMUR</v>
      </c>
      <c r="L200" t="str">
        <f>VLOOKUP(B200,baru!$B$2:$I$2271,6,FALSE)</f>
        <v>BOJONEGORO</v>
      </c>
    </row>
    <row r="201" spans="1:12" x14ac:dyDescent="0.35">
      <c r="A201" s="6">
        <v>1611925</v>
      </c>
      <c r="B201" s="7" t="str">
        <f>"3522205204000002"</f>
        <v>3522205204000002</v>
      </c>
      <c r="C201" s="7" t="s">
        <v>2106</v>
      </c>
      <c r="D201" s="7" t="s">
        <v>10</v>
      </c>
      <c r="E201" s="7" t="s">
        <v>11</v>
      </c>
      <c r="F201" s="7" t="s">
        <v>18</v>
      </c>
      <c r="G201" s="7" t="s">
        <v>19</v>
      </c>
      <c r="H201" s="7" t="s">
        <v>1720</v>
      </c>
      <c r="I201" s="8" t="s">
        <v>1721</v>
      </c>
      <c r="J201" t="str">
        <f>VLOOKUP(B201,baru!$B$2:$I$2271,4,FALSE)</f>
        <v>Reguler</v>
      </c>
      <c r="K201" t="str">
        <f>VLOOKUP(B201,baru!$B$2:$I$2271,5,FALSE)</f>
        <v>JAWA TIMUR</v>
      </c>
      <c r="L201" t="str">
        <f>VLOOKUP(B201,baru!$B$2:$I$2271,6,FALSE)</f>
        <v>BOJONEGORO</v>
      </c>
    </row>
    <row r="202" spans="1:12" x14ac:dyDescent="0.35">
      <c r="A202" s="6">
        <v>2129848</v>
      </c>
      <c r="B202" s="7" t="str">
        <f>"5311182304860001"</f>
        <v>5311182304860001</v>
      </c>
      <c r="C202" s="7" t="s">
        <v>2120</v>
      </c>
      <c r="D202" s="7" t="s">
        <v>10</v>
      </c>
      <c r="E202" s="7" t="s">
        <v>11</v>
      </c>
      <c r="F202" s="7" t="s">
        <v>18</v>
      </c>
      <c r="G202" s="7" t="s">
        <v>19</v>
      </c>
      <c r="H202" s="7" t="s">
        <v>1720</v>
      </c>
      <c r="I202" s="8" t="s">
        <v>1727</v>
      </c>
      <c r="J202" t="str">
        <f>VLOOKUP(B202,baru!$B$2:$I$2271,4,FALSE)</f>
        <v>Reguler</v>
      </c>
      <c r="K202" t="str">
        <f>VLOOKUP(B202,baru!$B$2:$I$2271,5,FALSE)</f>
        <v>NUSA TENGGARA TIMUR</v>
      </c>
      <c r="L202" t="str">
        <f>VLOOKUP(B202,baru!$B$2:$I$2271,6,FALSE)</f>
        <v>SUMBA TIMUR</v>
      </c>
    </row>
    <row r="203" spans="1:12" x14ac:dyDescent="0.35">
      <c r="A203" s="6">
        <v>2540759</v>
      </c>
      <c r="B203" s="7" t="str">
        <f>"1211111706040001"</f>
        <v>1211111706040001</v>
      </c>
      <c r="C203" s="7" t="s">
        <v>2140</v>
      </c>
      <c r="D203" s="7" t="s">
        <v>10</v>
      </c>
      <c r="E203" s="7" t="s">
        <v>57</v>
      </c>
      <c r="F203" s="7" t="s">
        <v>18</v>
      </c>
      <c r="G203" s="7" t="s">
        <v>19</v>
      </c>
      <c r="H203" s="7" t="s">
        <v>1394</v>
      </c>
      <c r="I203" s="8" t="s">
        <v>1395</v>
      </c>
      <c r="J203" t="str">
        <f>VLOOKUP(B203,baru!$B$2:$I$2271,4,FALSE)</f>
        <v>Reguler</v>
      </c>
      <c r="K203" t="str">
        <f>VLOOKUP(B203,baru!$B$2:$I$2271,5,FALSE)</f>
        <v>SUMATERA UTARA</v>
      </c>
      <c r="L203" t="str">
        <f>VLOOKUP(B203,baru!$B$2:$I$2271,6,FALSE)</f>
        <v>DAIRI</v>
      </c>
    </row>
    <row r="204" spans="1:12" x14ac:dyDescent="0.35">
      <c r="A204" s="6">
        <v>2540878</v>
      </c>
      <c r="B204" s="7" t="str">
        <f>"1401112910000001"</f>
        <v>1401112910000001</v>
      </c>
      <c r="C204" s="7" t="s">
        <v>2151</v>
      </c>
      <c r="D204" s="7" t="s">
        <v>10</v>
      </c>
      <c r="E204" s="7" t="s">
        <v>57</v>
      </c>
      <c r="F204" s="7" t="s">
        <v>18</v>
      </c>
      <c r="G204" s="7" t="s">
        <v>19</v>
      </c>
      <c r="H204" s="7" t="s">
        <v>1394</v>
      </c>
      <c r="I204" s="8" t="s">
        <v>1395</v>
      </c>
      <c r="J204" t="str">
        <f>VLOOKUP(B204,baru!$B$2:$I$2271,4,FALSE)</f>
        <v>Reguler</v>
      </c>
      <c r="K204" t="str">
        <f>VLOOKUP(B204,baru!$B$2:$I$2271,5,FALSE)</f>
        <v>SUMATERA UTARA</v>
      </c>
      <c r="L204" t="str">
        <f>VLOOKUP(B204,baru!$B$2:$I$2271,6,FALSE)</f>
        <v>DELI SERDANG</v>
      </c>
    </row>
    <row r="205" spans="1:12" x14ac:dyDescent="0.35">
      <c r="A205" s="6">
        <v>1821300</v>
      </c>
      <c r="B205" s="7" t="str">
        <f>"3174032706991002"</f>
        <v>3174032706991002</v>
      </c>
      <c r="C205" s="7" t="s">
        <v>2233</v>
      </c>
      <c r="D205" s="7" t="s">
        <v>10</v>
      </c>
      <c r="E205" s="7" t="s">
        <v>11</v>
      </c>
      <c r="F205" s="7" t="s">
        <v>18</v>
      </c>
      <c r="G205" s="7" t="s">
        <v>19</v>
      </c>
      <c r="H205" s="7" t="s">
        <v>1394</v>
      </c>
      <c r="I205" s="8" t="s">
        <v>2212</v>
      </c>
      <c r="J205" t="str">
        <f>VLOOKUP(B205,baru!$B$2:$I$2271,4,FALSE)</f>
        <v>Reguler</v>
      </c>
      <c r="K205" t="str">
        <f>VLOOKUP(B205,baru!$B$2:$I$2271,5,FALSE)</f>
        <v>DKI JAKARTA</v>
      </c>
      <c r="L205" t="str">
        <f>VLOOKUP(B205,baru!$B$2:$I$2271,6,FALSE)</f>
        <v>KOTA JAKARTA SELATAN</v>
      </c>
    </row>
    <row r="206" spans="1:12" x14ac:dyDescent="0.35">
      <c r="A206" s="6">
        <v>2540739</v>
      </c>
      <c r="B206" s="7" t="str">
        <f>"3301022006990003"</f>
        <v>3301022006990003</v>
      </c>
      <c r="C206" s="7" t="s">
        <v>2385</v>
      </c>
      <c r="D206" s="7" t="s">
        <v>10</v>
      </c>
      <c r="E206" s="7" t="s">
        <v>57</v>
      </c>
      <c r="F206" s="7" t="s">
        <v>18</v>
      </c>
      <c r="G206" s="7" t="s">
        <v>19</v>
      </c>
      <c r="H206" s="7" t="s">
        <v>1394</v>
      </c>
      <c r="I206" s="8" t="s">
        <v>1395</v>
      </c>
      <c r="J206" t="str">
        <f>VLOOKUP(B206,baru!$B$2:$I$2271,4,FALSE)</f>
        <v>Reguler</v>
      </c>
      <c r="K206" t="str">
        <f>VLOOKUP(B206,baru!$B$2:$I$2271,5,FALSE)</f>
        <v>JAWA TENGAH</v>
      </c>
      <c r="L206" t="str">
        <f>VLOOKUP(B206,baru!$B$2:$I$2271,6,FALSE)</f>
        <v>CILACAP</v>
      </c>
    </row>
    <row r="207" spans="1:12" x14ac:dyDescent="0.35">
      <c r="A207" s="6">
        <v>1805011</v>
      </c>
      <c r="B207" s="7" t="str">
        <f>"3305122706960007"</f>
        <v>3305122706960007</v>
      </c>
      <c r="C207" s="7" t="s">
        <v>2404</v>
      </c>
      <c r="D207" s="7" t="s">
        <v>10</v>
      </c>
      <c r="E207" s="7" t="s">
        <v>11</v>
      </c>
      <c r="F207" s="7" t="s">
        <v>18</v>
      </c>
      <c r="G207" s="7" t="s">
        <v>19</v>
      </c>
      <c r="H207" s="7" t="s">
        <v>1394</v>
      </c>
      <c r="I207" s="8" t="s">
        <v>2212</v>
      </c>
      <c r="J207" t="str">
        <f>VLOOKUP(B207,baru!$B$2:$I$2271,4,FALSE)</f>
        <v>Reguler</v>
      </c>
      <c r="K207" t="str">
        <f>VLOOKUP(B207,baru!$B$2:$I$2271,5,FALSE)</f>
        <v>JAWA TENGAH</v>
      </c>
      <c r="L207" t="str">
        <f>VLOOKUP(B207,baru!$B$2:$I$2271,6,FALSE)</f>
        <v>KEBUMEN</v>
      </c>
    </row>
    <row r="208" spans="1:12" x14ac:dyDescent="0.35">
      <c r="A208" s="6">
        <v>1812124</v>
      </c>
      <c r="B208" s="7" t="str">
        <f>"3316125112620001"</f>
        <v>3316125112620001</v>
      </c>
      <c r="C208" s="7" t="s">
        <v>2415</v>
      </c>
      <c r="D208" s="7" t="s">
        <v>10</v>
      </c>
      <c r="E208" s="7" t="s">
        <v>11</v>
      </c>
      <c r="F208" s="7" t="s">
        <v>18</v>
      </c>
      <c r="G208" s="7" t="s">
        <v>19</v>
      </c>
      <c r="H208" s="7" t="s">
        <v>1394</v>
      </c>
      <c r="I208" s="8" t="s">
        <v>2212</v>
      </c>
      <c r="J208" t="str">
        <f>VLOOKUP(B208,baru!$B$2:$I$2271,4,FALSE)</f>
        <v>Reguler</v>
      </c>
      <c r="K208" t="str">
        <f>VLOOKUP(B208,baru!$B$2:$I$2271,5,FALSE)</f>
        <v>JAWA TENGAH</v>
      </c>
      <c r="L208" t="str">
        <f>VLOOKUP(B208,baru!$B$2:$I$2271,6,FALSE)</f>
        <v>BLORA</v>
      </c>
    </row>
    <row r="209" spans="1:12" x14ac:dyDescent="0.35">
      <c r="A209" s="6">
        <v>1840013</v>
      </c>
      <c r="B209" s="7" t="str">
        <f>"3318046411970003"</f>
        <v>3318046411970003</v>
      </c>
      <c r="C209" s="7" t="s">
        <v>2422</v>
      </c>
      <c r="D209" s="7" t="s">
        <v>10</v>
      </c>
      <c r="E209" s="7" t="s">
        <v>11</v>
      </c>
      <c r="F209" s="7" t="s">
        <v>18</v>
      </c>
      <c r="G209" s="7" t="s">
        <v>19</v>
      </c>
      <c r="H209" s="7" t="s">
        <v>1394</v>
      </c>
      <c r="I209" s="8" t="s">
        <v>674</v>
      </c>
      <c r="J209" t="str">
        <f>VLOOKUP(B209,baru!$B$2:$I$2271,4,FALSE)</f>
        <v>Reguler</v>
      </c>
      <c r="K209" t="str">
        <f>VLOOKUP(B209,baru!$B$2:$I$2271,5,FALSE)</f>
        <v>JAWA TENGAH</v>
      </c>
      <c r="L209" t="str">
        <f>VLOOKUP(B209,baru!$B$2:$I$2271,6,FALSE)</f>
        <v>PATI</v>
      </c>
    </row>
    <row r="210" spans="1:12" x14ac:dyDescent="0.35">
      <c r="A210" s="6">
        <v>2540828</v>
      </c>
      <c r="B210" s="7" t="str">
        <f>"3318090102970003"</f>
        <v>3318090102970003</v>
      </c>
      <c r="C210" s="7" t="s">
        <v>2429</v>
      </c>
      <c r="D210" s="7" t="s">
        <v>10</v>
      </c>
      <c r="E210" s="7" t="s">
        <v>57</v>
      </c>
      <c r="F210" s="7" t="s">
        <v>18</v>
      </c>
      <c r="G210" s="7" t="s">
        <v>19</v>
      </c>
      <c r="H210" s="7" t="s">
        <v>1394</v>
      </c>
      <c r="I210" s="8" t="s">
        <v>1395</v>
      </c>
      <c r="J210" t="str">
        <f>VLOOKUP(B210,baru!$B$2:$I$2271,4,FALSE)</f>
        <v>Reguler</v>
      </c>
      <c r="K210" t="str">
        <f>VLOOKUP(B210,baru!$B$2:$I$2271,5,FALSE)</f>
        <v>JAWA TENGAH</v>
      </c>
      <c r="L210" t="str">
        <f>VLOOKUP(B210,baru!$B$2:$I$2271,6,FALSE)</f>
        <v>PATI</v>
      </c>
    </row>
    <row r="211" spans="1:12" x14ac:dyDescent="0.35">
      <c r="A211" s="6">
        <v>2540680</v>
      </c>
      <c r="B211" s="7" t="str">
        <f>"3326132210910003"</f>
        <v>3326132210910003</v>
      </c>
      <c r="C211" s="7" t="s">
        <v>2479</v>
      </c>
      <c r="D211" s="7" t="s">
        <v>10</v>
      </c>
      <c r="E211" s="7" t="s">
        <v>57</v>
      </c>
      <c r="F211" s="7" t="s">
        <v>18</v>
      </c>
      <c r="G211" s="7" t="s">
        <v>19</v>
      </c>
      <c r="H211" s="7" t="s">
        <v>1394</v>
      </c>
      <c r="I211" s="8" t="s">
        <v>1395</v>
      </c>
      <c r="J211" t="str">
        <f>VLOOKUP(B211,baru!$B$2:$I$2271,4,FALSE)</f>
        <v>Reguler</v>
      </c>
      <c r="K211" t="str">
        <f>VLOOKUP(B211,baru!$B$2:$I$2271,5,FALSE)</f>
        <v>JAWA TENGAH</v>
      </c>
      <c r="L211" t="str">
        <f>VLOOKUP(B211,baru!$B$2:$I$2271,6,FALSE)</f>
        <v>PEKALONGAN</v>
      </c>
    </row>
    <row r="212" spans="1:12" x14ac:dyDescent="0.35">
      <c r="A212" s="6">
        <v>1856246</v>
      </c>
      <c r="B212" s="7" t="str">
        <f>"3328060303950012"</f>
        <v>3328060303950012</v>
      </c>
      <c r="C212" s="7" t="s">
        <v>2514</v>
      </c>
      <c r="D212" s="7" t="s">
        <v>10</v>
      </c>
      <c r="E212" s="7" t="s">
        <v>11</v>
      </c>
      <c r="F212" s="7" t="s">
        <v>18</v>
      </c>
      <c r="G212" s="7" t="s">
        <v>19</v>
      </c>
      <c r="H212" s="7" t="s">
        <v>1394</v>
      </c>
      <c r="I212" s="8" t="s">
        <v>2194</v>
      </c>
      <c r="J212" t="str">
        <f>VLOOKUP(B212,baru!$B$2:$I$2271,4,FALSE)</f>
        <v>Reguler</v>
      </c>
      <c r="K212" t="str">
        <f>VLOOKUP(B212,baru!$B$2:$I$2271,5,FALSE)</f>
        <v>DKI JAKARTA</v>
      </c>
      <c r="L212" t="str">
        <f>VLOOKUP(B212,baru!$B$2:$I$2271,6,FALSE)</f>
        <v>KOTA JAKARTA BARAT</v>
      </c>
    </row>
    <row r="213" spans="1:12" x14ac:dyDescent="0.35">
      <c r="A213" s="6">
        <v>1773080</v>
      </c>
      <c r="B213" s="7" t="str">
        <f>"3328060303970007"</f>
        <v>3328060303970007</v>
      </c>
      <c r="C213" s="7" t="s">
        <v>2517</v>
      </c>
      <c r="D213" s="7" t="s">
        <v>189</v>
      </c>
      <c r="E213" s="7" t="s">
        <v>11</v>
      </c>
      <c r="F213" s="7" t="s">
        <v>18</v>
      </c>
      <c r="G213" s="7" t="s">
        <v>19</v>
      </c>
      <c r="H213" s="7" t="s">
        <v>1394</v>
      </c>
      <c r="I213" s="8" t="s">
        <v>2520</v>
      </c>
      <c r="J213" t="str">
        <f>VLOOKUP(B213,baru!$B$2:$I$2271,4,FALSE)</f>
        <v>Reguler</v>
      </c>
      <c r="K213" t="str">
        <f>VLOOKUP(B213,baru!$B$2:$I$2271,5,FALSE)</f>
        <v>BANTEN</v>
      </c>
      <c r="L213" t="str">
        <f>VLOOKUP(B213,baru!$B$2:$I$2271,6,FALSE)</f>
        <v>SERANG</v>
      </c>
    </row>
    <row r="214" spans="1:12" x14ac:dyDescent="0.35">
      <c r="A214" s="6">
        <v>1779394</v>
      </c>
      <c r="B214" s="7" t="str">
        <f>"3328060603860001"</f>
        <v>3328060603860001</v>
      </c>
      <c r="C214" s="7" t="s">
        <v>2521</v>
      </c>
      <c r="D214" s="7" t="s">
        <v>10</v>
      </c>
      <c r="E214" s="7" t="s">
        <v>11</v>
      </c>
      <c r="F214" s="7" t="s">
        <v>18</v>
      </c>
      <c r="G214" s="7" t="s">
        <v>19</v>
      </c>
      <c r="H214" s="7" t="s">
        <v>1394</v>
      </c>
      <c r="I214" s="8" t="s">
        <v>2238</v>
      </c>
      <c r="J214" t="str">
        <f>VLOOKUP(B214,baru!$B$2:$I$2271,4,FALSE)</f>
        <v>Reguler</v>
      </c>
      <c r="K214" t="str">
        <f>VLOOKUP(B214,baru!$B$2:$I$2271,5,FALSE)</f>
        <v>JAWA BARAT</v>
      </c>
      <c r="L214" t="str">
        <f>VLOOKUP(B214,baru!$B$2:$I$2271,6,FALSE)</f>
        <v>KARAWANG</v>
      </c>
    </row>
    <row r="215" spans="1:12" x14ac:dyDescent="0.35">
      <c r="A215" s="6">
        <v>1827895</v>
      </c>
      <c r="B215" s="7" t="str">
        <f>"3328061002880005"</f>
        <v>3328061002880005</v>
      </c>
      <c r="C215" s="7" t="s">
        <v>2530</v>
      </c>
      <c r="D215" s="7" t="s">
        <v>189</v>
      </c>
      <c r="E215" s="7" t="s">
        <v>11</v>
      </c>
      <c r="F215" s="7" t="s">
        <v>18</v>
      </c>
      <c r="G215" s="7" t="s">
        <v>19</v>
      </c>
      <c r="H215" s="7" t="s">
        <v>1394</v>
      </c>
      <c r="I215" s="8" t="s">
        <v>2187</v>
      </c>
      <c r="J215" t="str">
        <f>VLOOKUP(B215,baru!$B$2:$I$2271,4,FALSE)</f>
        <v>Reguler</v>
      </c>
      <c r="K215" t="str">
        <f>VLOOKUP(B215,baru!$B$2:$I$2271,5,FALSE)</f>
        <v>JAWA TENGAH</v>
      </c>
      <c r="L215" t="str">
        <f>VLOOKUP(B215,baru!$B$2:$I$2271,6,FALSE)</f>
        <v>SEMARANG</v>
      </c>
    </row>
    <row r="216" spans="1:12" x14ac:dyDescent="0.35">
      <c r="A216" s="6">
        <v>1826887</v>
      </c>
      <c r="B216" s="7" t="str">
        <f>"3328061008930008"</f>
        <v>3328061008930008</v>
      </c>
      <c r="C216" s="7" t="s">
        <v>2533</v>
      </c>
      <c r="D216" s="7" t="s">
        <v>189</v>
      </c>
      <c r="E216" s="7" t="s">
        <v>11</v>
      </c>
      <c r="F216" s="7" t="s">
        <v>18</v>
      </c>
      <c r="G216" s="7" t="s">
        <v>19</v>
      </c>
      <c r="H216" s="7" t="s">
        <v>1394</v>
      </c>
      <c r="I216" s="8" t="s">
        <v>2187</v>
      </c>
      <c r="J216" t="str">
        <f>VLOOKUP(B216,baru!$B$2:$I$2271,4,FALSE)</f>
        <v>Reguler</v>
      </c>
      <c r="K216" t="str">
        <f>VLOOKUP(B216,baru!$B$2:$I$2271,5,FALSE)</f>
        <v>DAERAH ISTIMEWA YOGYAKARTA</v>
      </c>
      <c r="L216" t="str">
        <f>VLOOKUP(B216,baru!$B$2:$I$2271,6,FALSE)</f>
        <v>SLEMAN</v>
      </c>
    </row>
    <row r="217" spans="1:12" x14ac:dyDescent="0.35">
      <c r="A217" s="6">
        <v>1771492</v>
      </c>
      <c r="B217" s="7" t="str">
        <f>"3328061812960005"</f>
        <v>3328061812960005</v>
      </c>
      <c r="C217" s="7" t="s">
        <v>2570</v>
      </c>
      <c r="D217" s="7" t="s">
        <v>189</v>
      </c>
      <c r="E217" s="7" t="s">
        <v>11</v>
      </c>
      <c r="F217" s="7" t="s">
        <v>18</v>
      </c>
      <c r="G217" s="7" t="s">
        <v>19</v>
      </c>
      <c r="H217" s="7" t="s">
        <v>1394</v>
      </c>
      <c r="I217" s="8" t="s">
        <v>2520</v>
      </c>
      <c r="J217" t="str">
        <f>VLOOKUP(B217,baru!$B$2:$I$2271,4,FALSE)</f>
        <v>Reguler</v>
      </c>
      <c r="K217" t="str">
        <f>VLOOKUP(B217,baru!$B$2:$I$2271,5,FALSE)</f>
        <v>JAWA TENGAH</v>
      </c>
      <c r="L217" t="str">
        <f>VLOOKUP(B217,baru!$B$2:$I$2271,6,FALSE)</f>
        <v>KOTA TEGAL</v>
      </c>
    </row>
    <row r="218" spans="1:12" x14ac:dyDescent="0.35">
      <c r="A218" s="6">
        <v>1861860</v>
      </c>
      <c r="B218" s="7" t="str">
        <f>"3328061907890002"</f>
        <v>3328061907890002</v>
      </c>
      <c r="C218" s="7" t="s">
        <v>2100</v>
      </c>
      <c r="D218" s="7" t="s">
        <v>10</v>
      </c>
      <c r="E218" s="7" t="s">
        <v>11</v>
      </c>
      <c r="F218" s="7" t="s">
        <v>18</v>
      </c>
      <c r="G218" s="7" t="s">
        <v>19</v>
      </c>
      <c r="H218" s="7" t="s">
        <v>1394</v>
      </c>
      <c r="I218" s="8" t="s">
        <v>1395</v>
      </c>
      <c r="J218" t="str">
        <f>VLOOKUP(B218,baru!$B$2:$I$2271,4,FALSE)</f>
        <v>Reguler</v>
      </c>
      <c r="K218" t="str">
        <f>VLOOKUP(B218,baru!$B$2:$I$2271,5,FALSE)</f>
        <v>DKI JAKARTA</v>
      </c>
      <c r="L218" t="str">
        <f>VLOOKUP(B218,baru!$B$2:$I$2271,6,FALSE)</f>
        <v>KOTA JAKARTA BARAT</v>
      </c>
    </row>
    <row r="219" spans="1:12" x14ac:dyDescent="0.35">
      <c r="A219" s="6">
        <v>1830867</v>
      </c>
      <c r="B219" s="7" t="str">
        <f>"3328062010990007"</f>
        <v>3328062010990007</v>
      </c>
      <c r="C219" s="7" t="s">
        <v>2574</v>
      </c>
      <c r="D219" s="7" t="s">
        <v>189</v>
      </c>
      <c r="E219" s="7" t="s">
        <v>11</v>
      </c>
      <c r="F219" s="7" t="s">
        <v>18</v>
      </c>
      <c r="G219" s="7" t="s">
        <v>19</v>
      </c>
      <c r="H219" s="7" t="s">
        <v>1394</v>
      </c>
      <c r="I219" s="8" t="s">
        <v>2187</v>
      </c>
      <c r="J219" t="str">
        <f>VLOOKUP(B219,baru!$B$2:$I$2271,4,FALSE)</f>
        <v>Reguler</v>
      </c>
      <c r="K219" t="str">
        <f>VLOOKUP(B219,baru!$B$2:$I$2271,5,FALSE)</f>
        <v>JAWA TENGAH</v>
      </c>
      <c r="L219" t="str">
        <f>VLOOKUP(B219,baru!$B$2:$I$2271,6,FALSE)</f>
        <v>TEGAL</v>
      </c>
    </row>
    <row r="220" spans="1:12" x14ac:dyDescent="0.35">
      <c r="A220" s="6">
        <v>1770096</v>
      </c>
      <c r="B220" s="7" t="str">
        <f>"3328062707990007"</f>
        <v>3328062707990007</v>
      </c>
      <c r="C220" s="7" t="s">
        <v>2589</v>
      </c>
      <c r="D220" s="7" t="s">
        <v>10</v>
      </c>
      <c r="E220" s="7" t="s">
        <v>11</v>
      </c>
      <c r="F220" s="7" t="s">
        <v>18</v>
      </c>
      <c r="G220" s="7" t="s">
        <v>19</v>
      </c>
      <c r="H220" s="7" t="s">
        <v>1394</v>
      </c>
      <c r="I220" s="8" t="s">
        <v>2520</v>
      </c>
      <c r="J220" t="str">
        <f>VLOOKUP(B220,baru!$B$2:$I$2271,4,FALSE)</f>
        <v>Reguler</v>
      </c>
      <c r="K220" t="str">
        <f>VLOOKUP(B220,baru!$B$2:$I$2271,5,FALSE)</f>
        <v>JAWA TENGAH</v>
      </c>
      <c r="L220" t="str">
        <f>VLOOKUP(B220,baru!$B$2:$I$2271,6,FALSE)</f>
        <v>BREBES</v>
      </c>
    </row>
    <row r="221" spans="1:12" x14ac:dyDescent="0.35">
      <c r="A221" s="6">
        <v>1851268</v>
      </c>
      <c r="B221" s="7" t="str">
        <f>"3328062801970007"</f>
        <v>3328062801970007</v>
      </c>
      <c r="C221" s="7" t="s">
        <v>2592</v>
      </c>
      <c r="D221" s="7" t="s">
        <v>189</v>
      </c>
      <c r="E221" s="7" t="s">
        <v>11</v>
      </c>
      <c r="F221" s="7" t="s">
        <v>18</v>
      </c>
      <c r="G221" s="7" t="s">
        <v>19</v>
      </c>
      <c r="H221" s="7" t="s">
        <v>1394</v>
      </c>
      <c r="I221" s="8" t="s">
        <v>2235</v>
      </c>
      <c r="J221" t="str">
        <f>VLOOKUP(B221,baru!$B$2:$I$2271,4,FALSE)</f>
        <v>Reguler</v>
      </c>
      <c r="K221" t="str">
        <f>VLOOKUP(B221,baru!$B$2:$I$2271,5,FALSE)</f>
        <v>JAWA TENGAH</v>
      </c>
      <c r="L221" t="str">
        <f>VLOOKUP(B221,baru!$B$2:$I$2271,6,FALSE)</f>
        <v>BREBES</v>
      </c>
    </row>
    <row r="222" spans="1:12" x14ac:dyDescent="0.35">
      <c r="A222" s="6">
        <v>1767443</v>
      </c>
      <c r="B222" s="7" t="str">
        <f>"3328063105000014"</f>
        <v>3328063105000014</v>
      </c>
      <c r="C222" s="7" t="s">
        <v>2603</v>
      </c>
      <c r="D222" s="7" t="s">
        <v>10</v>
      </c>
      <c r="E222" s="7" t="s">
        <v>11</v>
      </c>
      <c r="F222" s="7" t="s">
        <v>18</v>
      </c>
      <c r="G222" s="7" t="s">
        <v>19</v>
      </c>
      <c r="H222" s="7" t="s">
        <v>1394</v>
      </c>
      <c r="I222" s="8" t="s">
        <v>2189</v>
      </c>
      <c r="J222" t="str">
        <f>VLOOKUP(B222,baru!$B$2:$I$2271,4,FALSE)</f>
        <v>Reguler</v>
      </c>
      <c r="K222" t="str">
        <f>VLOOKUP(B222,baru!$B$2:$I$2271,5,FALSE)</f>
        <v>JAWA TENGAH</v>
      </c>
      <c r="L222" t="str">
        <f>VLOOKUP(B222,baru!$B$2:$I$2271,6,FALSE)</f>
        <v>PEKALONGAN</v>
      </c>
    </row>
    <row r="223" spans="1:12" x14ac:dyDescent="0.35">
      <c r="A223" s="6">
        <v>1856510</v>
      </c>
      <c r="B223" s="7" t="str">
        <f>"3328064105800003"</f>
        <v>3328064105800003</v>
      </c>
      <c r="C223" s="7" t="s">
        <v>2606</v>
      </c>
      <c r="D223" s="7" t="s">
        <v>10</v>
      </c>
      <c r="E223" s="7" t="s">
        <v>11</v>
      </c>
      <c r="F223" s="7" t="s">
        <v>18</v>
      </c>
      <c r="G223" s="7" t="s">
        <v>19</v>
      </c>
      <c r="H223" s="7" t="s">
        <v>1394</v>
      </c>
      <c r="I223" s="8" t="s">
        <v>2194</v>
      </c>
      <c r="J223" t="str">
        <f>VLOOKUP(B223,baru!$B$2:$I$2271,4,FALSE)</f>
        <v>Reguler</v>
      </c>
      <c r="K223" t="str">
        <f>VLOOKUP(B223,baru!$B$2:$I$2271,5,FALSE)</f>
        <v>DKI JAKARTA</v>
      </c>
      <c r="L223" t="str">
        <f>VLOOKUP(B223,baru!$B$2:$I$2271,6,FALSE)</f>
        <v>KOTA JAKARTA UTARA</v>
      </c>
    </row>
    <row r="224" spans="1:12" x14ac:dyDescent="0.35">
      <c r="A224" s="6">
        <v>1826833</v>
      </c>
      <c r="B224" s="7" t="str">
        <f>"3328064107820008"</f>
        <v>3328064107820008</v>
      </c>
      <c r="C224" s="7" t="s">
        <v>2608</v>
      </c>
      <c r="D224" s="7" t="s">
        <v>10</v>
      </c>
      <c r="E224" s="7" t="s">
        <v>11</v>
      </c>
      <c r="F224" s="7" t="s">
        <v>18</v>
      </c>
      <c r="G224" s="7" t="s">
        <v>19</v>
      </c>
      <c r="H224" s="7" t="s">
        <v>1394</v>
      </c>
      <c r="I224" s="8" t="s">
        <v>2187</v>
      </c>
      <c r="J224" t="str">
        <f>VLOOKUP(B224,baru!$B$2:$I$2271,4,FALSE)</f>
        <v>Reguler</v>
      </c>
      <c r="K224" t="str">
        <f>VLOOKUP(B224,baru!$B$2:$I$2271,5,FALSE)</f>
        <v>JAWA TIMUR</v>
      </c>
      <c r="L224" t="str">
        <f>VLOOKUP(B224,baru!$B$2:$I$2271,6,FALSE)</f>
        <v>BONDOWOSO</v>
      </c>
    </row>
    <row r="225" spans="1:12" x14ac:dyDescent="0.35">
      <c r="A225" s="6">
        <v>1831765</v>
      </c>
      <c r="B225" s="7" t="str">
        <f>"3328064203860006"</f>
        <v>3328064203860006</v>
      </c>
      <c r="C225" s="7" t="s">
        <v>2616</v>
      </c>
      <c r="D225" s="7" t="s">
        <v>189</v>
      </c>
      <c r="E225" s="7" t="s">
        <v>11</v>
      </c>
      <c r="F225" s="7" t="s">
        <v>18</v>
      </c>
      <c r="G225" s="7" t="s">
        <v>19</v>
      </c>
      <c r="H225" s="7" t="s">
        <v>1394</v>
      </c>
      <c r="I225" s="8" t="s">
        <v>2261</v>
      </c>
      <c r="J225" t="str">
        <f>VLOOKUP(B225,baru!$B$2:$I$2271,4,FALSE)</f>
        <v>Reguler</v>
      </c>
      <c r="K225" t="str">
        <f>VLOOKUP(B225,baru!$B$2:$I$2271,5,FALSE)</f>
        <v>BANTEN</v>
      </c>
      <c r="L225" t="str">
        <f>VLOOKUP(B225,baru!$B$2:$I$2271,6,FALSE)</f>
        <v>SERANG</v>
      </c>
    </row>
    <row r="226" spans="1:12" x14ac:dyDescent="0.35">
      <c r="A226" s="6">
        <v>1772167</v>
      </c>
      <c r="B226" s="7" t="str">
        <f>"3328064909910012"</f>
        <v>3328064909910012</v>
      </c>
      <c r="C226" s="7" t="s">
        <v>2625</v>
      </c>
      <c r="D226" s="7" t="s">
        <v>10</v>
      </c>
      <c r="E226" s="7" t="s">
        <v>11</v>
      </c>
      <c r="F226" s="7" t="s">
        <v>18</v>
      </c>
      <c r="G226" s="7" t="s">
        <v>19</v>
      </c>
      <c r="H226" s="7" t="s">
        <v>1394</v>
      </c>
      <c r="I226" s="8" t="s">
        <v>2520</v>
      </c>
      <c r="J226" t="str">
        <f>VLOOKUP(B226,baru!$B$2:$I$2271,4,FALSE)</f>
        <v>Reguler</v>
      </c>
      <c r="K226" t="str">
        <f>VLOOKUP(B226,baru!$B$2:$I$2271,5,FALSE)</f>
        <v>DAERAH ISTIMEWA YOGYAKARTA</v>
      </c>
      <c r="L226" t="str">
        <f>VLOOKUP(B226,baru!$B$2:$I$2271,6,FALSE)</f>
        <v>BANTUL</v>
      </c>
    </row>
    <row r="227" spans="1:12" x14ac:dyDescent="0.35">
      <c r="A227" s="6">
        <v>1770761</v>
      </c>
      <c r="B227" s="7" t="str">
        <f>"3328065607700002"</f>
        <v>3328065607700002</v>
      </c>
      <c r="C227" s="7" t="s">
        <v>2632</v>
      </c>
      <c r="D227" s="7" t="s">
        <v>10</v>
      </c>
      <c r="E227" s="7" t="s">
        <v>11</v>
      </c>
      <c r="F227" s="7" t="s">
        <v>18</v>
      </c>
      <c r="G227" s="7" t="s">
        <v>19</v>
      </c>
      <c r="H227" s="7" t="s">
        <v>1394</v>
      </c>
      <c r="I227" s="8" t="s">
        <v>2520</v>
      </c>
      <c r="J227" t="str">
        <f>VLOOKUP(B227,baru!$B$2:$I$2271,4,FALSE)</f>
        <v>Reguler</v>
      </c>
      <c r="K227" t="str">
        <f>VLOOKUP(B227,baru!$B$2:$I$2271,5,FALSE)</f>
        <v>DKI JAKARTA</v>
      </c>
      <c r="L227" t="str">
        <f>VLOOKUP(B227,baru!$B$2:$I$2271,6,FALSE)</f>
        <v>KOTA JAKARTA SELATAN</v>
      </c>
    </row>
    <row r="228" spans="1:12" x14ac:dyDescent="0.35">
      <c r="A228" s="6">
        <v>1844983</v>
      </c>
      <c r="B228" s="7" t="str">
        <f>"3328065607980005"</f>
        <v>3328065607980005</v>
      </c>
      <c r="C228" s="7" t="s">
        <v>2633</v>
      </c>
      <c r="D228" s="7" t="s">
        <v>189</v>
      </c>
      <c r="E228" s="7" t="s">
        <v>11</v>
      </c>
      <c r="F228" s="7" t="s">
        <v>18</v>
      </c>
      <c r="G228" s="7" t="s">
        <v>19</v>
      </c>
      <c r="H228" s="7" t="s">
        <v>1394</v>
      </c>
      <c r="I228" s="8" t="s">
        <v>2235</v>
      </c>
      <c r="J228" t="str">
        <f>VLOOKUP(B228,baru!$B$2:$I$2271,4,FALSE)</f>
        <v>Reguler</v>
      </c>
      <c r="K228" t="str">
        <f>VLOOKUP(B228,baru!$B$2:$I$2271,5,FALSE)</f>
        <v>JAWA TENGAH</v>
      </c>
      <c r="L228" t="str">
        <f>VLOOKUP(B228,baru!$B$2:$I$2271,6,FALSE)</f>
        <v>BREBES</v>
      </c>
    </row>
    <row r="229" spans="1:12" x14ac:dyDescent="0.35">
      <c r="A229" s="6">
        <v>1856519</v>
      </c>
      <c r="B229" s="7" t="str">
        <f>"3328065804940005"</f>
        <v>3328065804940005</v>
      </c>
      <c r="C229" s="7" t="s">
        <v>2634</v>
      </c>
      <c r="D229" s="7" t="s">
        <v>10</v>
      </c>
      <c r="E229" s="7" t="s">
        <v>11</v>
      </c>
      <c r="F229" s="7" t="s">
        <v>18</v>
      </c>
      <c r="G229" s="7" t="s">
        <v>19</v>
      </c>
      <c r="H229" s="7" t="s">
        <v>1394</v>
      </c>
      <c r="I229" s="8" t="s">
        <v>2194</v>
      </c>
      <c r="J229" t="str">
        <f>VLOOKUP(B229,baru!$B$2:$I$2271,4,FALSE)</f>
        <v>Reguler</v>
      </c>
      <c r="K229" t="str">
        <f>VLOOKUP(B229,baru!$B$2:$I$2271,5,FALSE)</f>
        <v>DKI JAKARTA</v>
      </c>
      <c r="L229" t="str">
        <f>VLOOKUP(B229,baru!$B$2:$I$2271,6,FALSE)</f>
        <v>KOTA JAKARTA BARAT</v>
      </c>
    </row>
    <row r="230" spans="1:12" x14ac:dyDescent="0.35">
      <c r="A230" s="6">
        <v>1776320</v>
      </c>
      <c r="B230" s="7" t="str">
        <f>"3328065806790005"</f>
        <v>3328065806790005</v>
      </c>
      <c r="C230" s="7" t="s">
        <v>2636</v>
      </c>
      <c r="D230" s="7" t="s">
        <v>10</v>
      </c>
      <c r="E230" s="7" t="s">
        <v>11</v>
      </c>
      <c r="F230" s="7" t="s">
        <v>18</v>
      </c>
      <c r="G230" s="7" t="s">
        <v>19</v>
      </c>
      <c r="H230" s="7" t="s">
        <v>1394</v>
      </c>
      <c r="I230" s="8" t="s">
        <v>2238</v>
      </c>
      <c r="J230" t="str">
        <f>VLOOKUP(B230,baru!$B$2:$I$2271,4,FALSE)</f>
        <v>Reguler</v>
      </c>
      <c r="K230" t="str">
        <f>VLOOKUP(B230,baru!$B$2:$I$2271,5,FALSE)</f>
        <v>JAWA TENGAH</v>
      </c>
      <c r="L230" t="str">
        <f>VLOOKUP(B230,baru!$B$2:$I$2271,6,FALSE)</f>
        <v>MAGELANG</v>
      </c>
    </row>
    <row r="231" spans="1:12" x14ac:dyDescent="0.35">
      <c r="A231" s="6">
        <v>1852119</v>
      </c>
      <c r="B231" s="7" t="str">
        <f>"3328065811950001"</f>
        <v>3328065811950001</v>
      </c>
      <c r="C231" s="7" t="s">
        <v>2638</v>
      </c>
      <c r="D231" s="7" t="s">
        <v>189</v>
      </c>
      <c r="E231" s="7" t="s">
        <v>11</v>
      </c>
      <c r="F231" s="7" t="s">
        <v>18</v>
      </c>
      <c r="G231" s="7" t="s">
        <v>19</v>
      </c>
      <c r="H231" s="7" t="s">
        <v>1394</v>
      </c>
      <c r="I231" s="8" t="s">
        <v>2235</v>
      </c>
      <c r="J231" t="str">
        <f>VLOOKUP(B231,baru!$B$2:$I$2271,4,FALSE)</f>
        <v>Reguler</v>
      </c>
      <c r="K231" t="str">
        <f>VLOOKUP(B231,baru!$B$2:$I$2271,5,FALSE)</f>
        <v>JAWA TENGAH</v>
      </c>
      <c r="L231" t="str">
        <f>VLOOKUP(B231,baru!$B$2:$I$2271,6,FALSE)</f>
        <v>BLORA</v>
      </c>
    </row>
    <row r="232" spans="1:12" x14ac:dyDescent="0.35">
      <c r="A232" s="6">
        <v>1768619</v>
      </c>
      <c r="B232" s="7" t="str">
        <f>"3328066006860005"</f>
        <v>3328066006860005</v>
      </c>
      <c r="C232" s="7" t="s">
        <v>2643</v>
      </c>
      <c r="D232" s="7" t="s">
        <v>10</v>
      </c>
      <c r="E232" s="7" t="s">
        <v>11</v>
      </c>
      <c r="F232" s="7" t="s">
        <v>18</v>
      </c>
      <c r="G232" s="7" t="s">
        <v>19</v>
      </c>
      <c r="H232" s="7" t="s">
        <v>1394</v>
      </c>
      <c r="I232" s="8" t="s">
        <v>2189</v>
      </c>
      <c r="J232" t="str">
        <f>VLOOKUP(B232,baru!$B$2:$I$2271,4,FALSE)</f>
        <v>Reguler</v>
      </c>
      <c r="K232" t="str">
        <f>VLOOKUP(B232,baru!$B$2:$I$2271,5,FALSE)</f>
        <v>JAWA TENGAH</v>
      </c>
      <c r="L232" t="str">
        <f>VLOOKUP(B232,baru!$B$2:$I$2271,6,FALSE)</f>
        <v>JEPARA</v>
      </c>
    </row>
    <row r="233" spans="1:12" x14ac:dyDescent="0.35">
      <c r="A233" s="6">
        <v>1765606</v>
      </c>
      <c r="B233" s="7" t="str">
        <f>"3328066205930002"</f>
        <v>3328066205930002</v>
      </c>
      <c r="C233" s="7" t="s">
        <v>2647</v>
      </c>
      <c r="D233" s="7" t="s">
        <v>189</v>
      </c>
      <c r="E233" s="7" t="s">
        <v>11</v>
      </c>
      <c r="F233" s="7" t="s">
        <v>18</v>
      </c>
      <c r="G233" s="7" t="s">
        <v>19</v>
      </c>
      <c r="H233" s="7" t="s">
        <v>1394</v>
      </c>
      <c r="I233" s="8" t="s">
        <v>2189</v>
      </c>
      <c r="J233" t="str">
        <f>VLOOKUP(B233,baru!$B$2:$I$2271,4,FALSE)</f>
        <v>Reguler</v>
      </c>
      <c r="K233" t="str">
        <f>VLOOKUP(B233,baru!$B$2:$I$2271,5,FALSE)</f>
        <v>DKI JAKARTA</v>
      </c>
      <c r="L233" t="str">
        <f>VLOOKUP(B233,baru!$B$2:$I$2271,6,FALSE)</f>
        <v>KOTA JAKARTA PUSAT</v>
      </c>
    </row>
    <row r="234" spans="1:12" x14ac:dyDescent="0.35">
      <c r="A234" s="6">
        <v>1812167</v>
      </c>
      <c r="B234" s="7" t="str">
        <f>"3328066701790005"</f>
        <v>3328066701790005</v>
      </c>
      <c r="C234" s="7" t="s">
        <v>2650</v>
      </c>
      <c r="D234" s="7" t="s">
        <v>10</v>
      </c>
      <c r="E234" s="7" t="s">
        <v>11</v>
      </c>
      <c r="F234" s="7" t="s">
        <v>18</v>
      </c>
      <c r="G234" s="7" t="s">
        <v>19</v>
      </c>
      <c r="H234" s="7" t="s">
        <v>1394</v>
      </c>
      <c r="I234" s="8" t="s">
        <v>2212</v>
      </c>
      <c r="J234" t="str">
        <f>VLOOKUP(B234,baru!$B$2:$I$2271,4,FALSE)</f>
        <v>Reguler</v>
      </c>
      <c r="K234" t="str">
        <f>VLOOKUP(B234,baru!$B$2:$I$2271,5,FALSE)</f>
        <v>JAWA TENGAH</v>
      </c>
      <c r="L234" t="str">
        <f>VLOOKUP(B234,baru!$B$2:$I$2271,6,FALSE)</f>
        <v>BATANG</v>
      </c>
    </row>
    <row r="235" spans="1:12" x14ac:dyDescent="0.35">
      <c r="A235" s="6">
        <v>1819412</v>
      </c>
      <c r="B235" s="7" t="str">
        <f>"3328066805010005"</f>
        <v>3328066805010005</v>
      </c>
      <c r="C235" s="7" t="s">
        <v>2656</v>
      </c>
      <c r="D235" s="7" t="s">
        <v>10</v>
      </c>
      <c r="E235" s="7" t="s">
        <v>11</v>
      </c>
      <c r="F235" s="7" t="s">
        <v>18</v>
      </c>
      <c r="G235" s="7" t="s">
        <v>19</v>
      </c>
      <c r="H235" s="7" t="s">
        <v>1394</v>
      </c>
      <c r="I235" s="8" t="s">
        <v>2212</v>
      </c>
      <c r="J235" t="str">
        <f>VLOOKUP(B235,baru!$B$2:$I$2271,4,FALSE)</f>
        <v>Reguler</v>
      </c>
      <c r="K235" t="str">
        <f>VLOOKUP(B235,baru!$B$2:$I$2271,5,FALSE)</f>
        <v>JAWA TENGAH</v>
      </c>
      <c r="L235" t="str">
        <f>VLOOKUP(B235,baru!$B$2:$I$2271,6,FALSE)</f>
        <v>BREBES</v>
      </c>
    </row>
    <row r="236" spans="1:12" x14ac:dyDescent="0.35">
      <c r="A236" s="6">
        <v>1779395</v>
      </c>
      <c r="B236" s="7" t="str">
        <f>"3328104101900012"</f>
        <v>3328104101900012</v>
      </c>
      <c r="C236" s="7" t="s">
        <v>2661</v>
      </c>
      <c r="D236" s="7" t="s">
        <v>10</v>
      </c>
      <c r="E236" s="7" t="s">
        <v>11</v>
      </c>
      <c r="F236" s="7" t="s">
        <v>18</v>
      </c>
      <c r="G236" s="7" t="s">
        <v>19</v>
      </c>
      <c r="H236" s="7" t="s">
        <v>1394</v>
      </c>
      <c r="I236" s="8" t="s">
        <v>2238</v>
      </c>
      <c r="J236" t="str">
        <f>VLOOKUP(B236,baru!$B$2:$I$2271,4,FALSE)</f>
        <v>Reguler</v>
      </c>
      <c r="K236" t="str">
        <f>VLOOKUP(B236,baru!$B$2:$I$2271,5,FALSE)</f>
        <v>JAWA BARAT</v>
      </c>
      <c r="L236" t="str">
        <f>VLOOKUP(B236,baru!$B$2:$I$2271,6,FALSE)</f>
        <v>KARAWANG</v>
      </c>
    </row>
    <row r="237" spans="1:12" x14ac:dyDescent="0.35">
      <c r="A237" s="6">
        <v>1868363</v>
      </c>
      <c r="B237" s="7" t="str">
        <f>"3329070305780004"</f>
        <v>3329070305780004</v>
      </c>
      <c r="C237" s="7" t="s">
        <v>2680</v>
      </c>
      <c r="D237" s="7" t="s">
        <v>10</v>
      </c>
      <c r="E237" s="7" t="s">
        <v>11</v>
      </c>
      <c r="F237" s="7" t="s">
        <v>18</v>
      </c>
      <c r="G237" s="7" t="s">
        <v>19</v>
      </c>
      <c r="H237" s="7" t="s">
        <v>1394</v>
      </c>
      <c r="I237" s="8" t="s">
        <v>2280</v>
      </c>
      <c r="J237" t="str">
        <f>VLOOKUP(B237,baru!$B$2:$I$2271,4,FALSE)</f>
        <v>Reguler</v>
      </c>
      <c r="K237" t="str">
        <f>VLOOKUP(B237,baru!$B$2:$I$2271,5,FALSE)</f>
        <v>JAWA TENGAH</v>
      </c>
      <c r="L237" t="str">
        <f>VLOOKUP(B237,baru!$B$2:$I$2271,6,FALSE)</f>
        <v>BREBES</v>
      </c>
    </row>
    <row r="238" spans="1:12" x14ac:dyDescent="0.35">
      <c r="A238" s="6">
        <v>1868362</v>
      </c>
      <c r="B238" s="7" t="str">
        <f>"3329073107990002"</f>
        <v>3329073107990002</v>
      </c>
      <c r="C238" s="7" t="s">
        <v>1843</v>
      </c>
      <c r="D238" s="7" t="s">
        <v>10</v>
      </c>
      <c r="E238" s="7" t="s">
        <v>11</v>
      </c>
      <c r="F238" s="7" t="s">
        <v>18</v>
      </c>
      <c r="G238" s="7" t="s">
        <v>19</v>
      </c>
      <c r="H238" s="7" t="s">
        <v>1394</v>
      </c>
      <c r="I238" s="8" t="s">
        <v>2280</v>
      </c>
      <c r="J238" t="str">
        <f>VLOOKUP(B238,baru!$B$2:$I$2271,4,FALSE)</f>
        <v>Reguler</v>
      </c>
      <c r="K238" t="str">
        <f>VLOOKUP(B238,baru!$B$2:$I$2271,5,FALSE)</f>
        <v>JAWA TENGAH</v>
      </c>
      <c r="L238" t="str">
        <f>VLOOKUP(B238,baru!$B$2:$I$2271,6,FALSE)</f>
        <v>BREBES</v>
      </c>
    </row>
    <row r="239" spans="1:12" x14ac:dyDescent="0.35">
      <c r="A239" s="6">
        <v>1868360</v>
      </c>
      <c r="B239" s="7" t="str">
        <f>"3329074408060002"</f>
        <v>3329074408060002</v>
      </c>
      <c r="C239" s="7" t="s">
        <v>2683</v>
      </c>
      <c r="D239" s="7" t="s">
        <v>10</v>
      </c>
      <c r="E239" s="7" t="s">
        <v>11</v>
      </c>
      <c r="F239" s="7" t="s">
        <v>18</v>
      </c>
      <c r="G239" s="7" t="s">
        <v>19</v>
      </c>
      <c r="H239" s="7" t="s">
        <v>1394</v>
      </c>
      <c r="I239" s="8" t="s">
        <v>2280</v>
      </c>
      <c r="J239" t="str">
        <f>VLOOKUP(B239,baru!$B$2:$I$2271,4,FALSE)</f>
        <v>Reguler</v>
      </c>
      <c r="K239" t="str">
        <f>VLOOKUP(B239,baru!$B$2:$I$2271,5,FALSE)</f>
        <v>JAWA TENGAH</v>
      </c>
      <c r="L239" t="str">
        <f>VLOOKUP(B239,baru!$B$2:$I$2271,6,FALSE)</f>
        <v>BREBES</v>
      </c>
    </row>
    <row r="240" spans="1:12" x14ac:dyDescent="0.35">
      <c r="A240" s="6">
        <v>2540665</v>
      </c>
      <c r="B240" s="7" t="str">
        <f>"3329090304890002"</f>
        <v>3329090304890002</v>
      </c>
      <c r="C240" s="7" t="s">
        <v>2693</v>
      </c>
      <c r="D240" s="7" t="s">
        <v>10</v>
      </c>
      <c r="E240" s="7" t="s">
        <v>57</v>
      </c>
      <c r="F240" s="7" t="s">
        <v>18</v>
      </c>
      <c r="G240" s="7" t="s">
        <v>19</v>
      </c>
      <c r="H240" s="7" t="s">
        <v>1394</v>
      </c>
      <c r="I240" s="8" t="s">
        <v>1395</v>
      </c>
      <c r="J240" t="str">
        <f>VLOOKUP(B240,baru!$B$2:$I$2271,4,FALSE)</f>
        <v>Reguler</v>
      </c>
      <c r="K240" t="str">
        <f>VLOOKUP(B240,baru!$B$2:$I$2271,5,FALSE)</f>
        <v>JAWA TENGAH</v>
      </c>
      <c r="L240" t="str">
        <f>VLOOKUP(B240,baru!$B$2:$I$2271,6,FALSE)</f>
        <v>BREBES</v>
      </c>
    </row>
    <row r="241" spans="1:12" x14ac:dyDescent="0.35">
      <c r="A241" s="6">
        <v>2540912</v>
      </c>
      <c r="B241" s="7" t="str">
        <f>"3329092709930001"</f>
        <v>3329092709930001</v>
      </c>
      <c r="C241" s="7" t="s">
        <v>2705</v>
      </c>
      <c r="D241" s="7" t="s">
        <v>10</v>
      </c>
      <c r="E241" s="7" t="s">
        <v>57</v>
      </c>
      <c r="F241" s="7" t="s">
        <v>18</v>
      </c>
      <c r="G241" s="7" t="s">
        <v>19</v>
      </c>
      <c r="H241" s="7" t="s">
        <v>1394</v>
      </c>
      <c r="I241" s="8" t="s">
        <v>1395</v>
      </c>
      <c r="J241" t="str">
        <f>VLOOKUP(B241,baru!$B$2:$I$2271,4,FALSE)</f>
        <v>Reguler</v>
      </c>
      <c r="K241" t="str">
        <f>VLOOKUP(B241,baru!$B$2:$I$2271,5,FALSE)</f>
        <v>JAWA TENGAH</v>
      </c>
      <c r="L241" t="str">
        <f>VLOOKUP(B241,baru!$B$2:$I$2271,6,FALSE)</f>
        <v>BREBES</v>
      </c>
    </row>
    <row r="242" spans="1:12" x14ac:dyDescent="0.35">
      <c r="A242" s="6">
        <v>1833912</v>
      </c>
      <c r="B242" s="7" t="str">
        <f>"3601244704870005"</f>
        <v>3601244704870005</v>
      </c>
      <c r="C242" s="7" t="s">
        <v>2800</v>
      </c>
      <c r="D242" s="7" t="s">
        <v>189</v>
      </c>
      <c r="E242" s="7" t="s">
        <v>11</v>
      </c>
      <c r="F242" s="7" t="s">
        <v>18</v>
      </c>
      <c r="G242" s="7" t="s">
        <v>19</v>
      </c>
      <c r="H242" s="7" t="s">
        <v>1394</v>
      </c>
      <c r="I242" s="8" t="s">
        <v>2261</v>
      </c>
      <c r="J242" t="str">
        <f>VLOOKUP(B242,baru!$B$2:$I$2271,4,FALSE)</f>
        <v>Reguler</v>
      </c>
      <c r="K242" t="str">
        <f>VLOOKUP(B242,baru!$B$2:$I$2271,5,FALSE)</f>
        <v>BANTEN</v>
      </c>
      <c r="L242" t="str">
        <f>VLOOKUP(B242,baru!$B$2:$I$2271,6,FALSE)</f>
        <v>SERANG</v>
      </c>
    </row>
    <row r="243" spans="1:12" x14ac:dyDescent="0.35">
      <c r="A243" s="6">
        <v>1822175</v>
      </c>
      <c r="B243" s="7" t="str">
        <f>"3674066006840014"</f>
        <v>3674066006840014</v>
      </c>
      <c r="C243" s="7" t="s">
        <v>2815</v>
      </c>
      <c r="D243" s="7" t="s">
        <v>10</v>
      </c>
      <c r="E243" s="7" t="s">
        <v>11</v>
      </c>
      <c r="F243" s="7" t="s">
        <v>18</v>
      </c>
      <c r="G243" s="7" t="s">
        <v>19</v>
      </c>
      <c r="H243" s="7" t="s">
        <v>1394</v>
      </c>
      <c r="I243" s="8" t="s">
        <v>2212</v>
      </c>
      <c r="J243" t="str">
        <f>VLOOKUP(B243,baru!$B$2:$I$2271,4,FALSE)</f>
        <v>Reguler</v>
      </c>
      <c r="K243" t="str">
        <f>VLOOKUP(B243,baru!$B$2:$I$2271,5,FALSE)</f>
        <v>BANTEN</v>
      </c>
      <c r="L243" t="str">
        <f>VLOOKUP(B243,baru!$B$2:$I$2271,6,FALSE)</f>
        <v>KOTA TANGERANG SELATAN</v>
      </c>
    </row>
    <row r="244" spans="1:12" x14ac:dyDescent="0.35">
      <c r="A244" s="6">
        <v>2042527</v>
      </c>
      <c r="B244" s="7" t="str">
        <f>"3308132111960001"</f>
        <v>3308132111960001</v>
      </c>
      <c r="C244" s="7" t="s">
        <v>3053</v>
      </c>
      <c r="D244" s="7" t="s">
        <v>10</v>
      </c>
      <c r="E244" s="7" t="s">
        <v>11</v>
      </c>
      <c r="F244" s="7" t="s">
        <v>18</v>
      </c>
      <c r="G244" s="7" t="s">
        <v>19</v>
      </c>
      <c r="H244" s="7" t="s">
        <v>3014</v>
      </c>
      <c r="I244" s="8" t="s">
        <v>3014</v>
      </c>
      <c r="J244" t="str">
        <f>VLOOKUP(B244,baru!$B$2:$I$2271,4,FALSE)</f>
        <v>Reguler</v>
      </c>
      <c r="K244" t="str">
        <f>VLOOKUP(B244,baru!$B$2:$I$2271,5,FALSE)</f>
        <v>JAWA TENGAH</v>
      </c>
      <c r="L244" t="str">
        <f>VLOOKUP(B244,baru!$B$2:$I$2271,6,FALSE)</f>
        <v>MAGELANG</v>
      </c>
    </row>
    <row r="245" spans="1:12" x14ac:dyDescent="0.35">
      <c r="A245" s="6">
        <v>2019369</v>
      </c>
      <c r="B245" s="7" t="str">
        <f>"3328054107920021"</f>
        <v>3328054107920021</v>
      </c>
      <c r="C245" s="7" t="s">
        <v>3066</v>
      </c>
      <c r="D245" s="7" t="s">
        <v>189</v>
      </c>
      <c r="E245" s="7" t="s">
        <v>11</v>
      </c>
      <c r="F245" s="7" t="s">
        <v>18</v>
      </c>
      <c r="G245" s="7" t="s">
        <v>19</v>
      </c>
      <c r="H245" s="7" t="s">
        <v>3014</v>
      </c>
      <c r="I245" s="8" t="s">
        <v>3015</v>
      </c>
      <c r="J245" t="str">
        <f>VLOOKUP(B245,baru!$B$2:$I$2271,4,FALSE)</f>
        <v>Reguler</v>
      </c>
      <c r="K245" t="str">
        <f>VLOOKUP(B245,baru!$B$2:$I$2271,5,FALSE)</f>
        <v>BALI</v>
      </c>
      <c r="L245" t="str">
        <f>VLOOKUP(B245,baru!$B$2:$I$2271,6,FALSE)</f>
        <v>TABANAN</v>
      </c>
    </row>
    <row r="246" spans="1:12" x14ac:dyDescent="0.35">
      <c r="A246" s="6">
        <v>2044421</v>
      </c>
      <c r="B246" s="7" t="str">
        <f>"3328080509920002"</f>
        <v>3328080509920002</v>
      </c>
      <c r="C246" s="7" t="s">
        <v>3080</v>
      </c>
      <c r="D246" s="7" t="s">
        <v>10</v>
      </c>
      <c r="E246" s="7" t="s">
        <v>11</v>
      </c>
      <c r="F246" s="7" t="s">
        <v>18</v>
      </c>
      <c r="G246" s="7" t="s">
        <v>19</v>
      </c>
      <c r="H246" s="7" t="s">
        <v>3014</v>
      </c>
      <c r="I246" s="8" t="s">
        <v>1381</v>
      </c>
      <c r="J246" t="str">
        <f>VLOOKUP(B246,baru!$B$2:$I$2271,4,FALSE)</f>
        <v>Reguler</v>
      </c>
      <c r="K246" t="str">
        <f>VLOOKUP(B246,baru!$B$2:$I$2271,5,FALSE)</f>
        <v>JAWA TENGAH</v>
      </c>
      <c r="L246" t="str">
        <f>VLOOKUP(B246,baru!$B$2:$I$2271,6,FALSE)</f>
        <v>BREBES</v>
      </c>
    </row>
    <row r="247" spans="1:12" x14ac:dyDescent="0.35">
      <c r="A247" s="6">
        <v>2010838</v>
      </c>
      <c r="B247" s="7" t="str">
        <f>"3328081812790003"</f>
        <v>3328081812790003</v>
      </c>
      <c r="C247" s="7" t="s">
        <v>1190</v>
      </c>
      <c r="D247" s="7" t="s">
        <v>189</v>
      </c>
      <c r="E247" s="7" t="s">
        <v>11</v>
      </c>
      <c r="F247" s="7" t="s">
        <v>18</v>
      </c>
      <c r="G247" s="7" t="s">
        <v>19</v>
      </c>
      <c r="H247" s="7" t="s">
        <v>3014</v>
      </c>
      <c r="I247" s="8" t="s">
        <v>3095</v>
      </c>
      <c r="J247" t="str">
        <f>VLOOKUP(B247,baru!$B$2:$I$2271,4,FALSE)</f>
        <v>Reguler</v>
      </c>
      <c r="K247" t="str">
        <f>VLOOKUP(B247,baru!$B$2:$I$2271,5,FALSE)</f>
        <v>JAWA TENGAH</v>
      </c>
      <c r="L247" t="str">
        <f>VLOOKUP(B247,baru!$B$2:$I$2271,6,FALSE)</f>
        <v>BREBES</v>
      </c>
    </row>
    <row r="248" spans="1:12" x14ac:dyDescent="0.35">
      <c r="A248" s="6">
        <v>2030771</v>
      </c>
      <c r="B248" s="7" t="str">
        <f>"3328084904740002"</f>
        <v>3328084904740002</v>
      </c>
      <c r="C248" s="7" t="s">
        <v>3120</v>
      </c>
      <c r="D248" s="7" t="s">
        <v>10</v>
      </c>
      <c r="E248" s="7" t="s">
        <v>11</v>
      </c>
      <c r="F248" s="7" t="s">
        <v>18</v>
      </c>
      <c r="G248" s="7" t="s">
        <v>19</v>
      </c>
      <c r="H248" s="7" t="s">
        <v>3014</v>
      </c>
      <c r="I248" s="8" t="s">
        <v>3018</v>
      </c>
      <c r="J248" t="str">
        <f>VLOOKUP(B248,baru!$B$2:$I$2271,4,FALSE)</f>
        <v>Reguler</v>
      </c>
      <c r="K248" t="str">
        <f>VLOOKUP(B248,baru!$B$2:$I$2271,5,FALSE)</f>
        <v>DKI JAKARTA</v>
      </c>
      <c r="L248" t="str">
        <f>VLOOKUP(B248,baru!$B$2:$I$2271,6,FALSE)</f>
        <v>KOTA JAKARTA UTARA</v>
      </c>
    </row>
    <row r="249" spans="1:12" x14ac:dyDescent="0.35">
      <c r="A249" s="6">
        <v>1925988</v>
      </c>
      <c r="B249" s="7" t="str">
        <f>"3328084909980004"</f>
        <v>3328084909980004</v>
      </c>
      <c r="C249" s="7" t="s">
        <v>3121</v>
      </c>
      <c r="D249" s="7" t="s">
        <v>10</v>
      </c>
      <c r="E249" s="7" t="s">
        <v>11</v>
      </c>
      <c r="F249" s="7" t="s">
        <v>18</v>
      </c>
      <c r="G249" s="7" t="s">
        <v>19</v>
      </c>
      <c r="H249" s="7" t="s">
        <v>3014</v>
      </c>
      <c r="I249" s="8" t="s">
        <v>3035</v>
      </c>
      <c r="J249" t="str">
        <f>VLOOKUP(B249,baru!$B$2:$I$2271,4,FALSE)</f>
        <v>Reguler</v>
      </c>
      <c r="K249" t="str">
        <f>VLOOKUP(B249,baru!$B$2:$I$2271,5,FALSE)</f>
        <v>JAWA TENGAH</v>
      </c>
      <c r="L249" t="str">
        <f>VLOOKUP(B249,baru!$B$2:$I$2271,6,FALSE)</f>
        <v>PEKALONGAN</v>
      </c>
    </row>
    <row r="250" spans="1:12" x14ac:dyDescent="0.35">
      <c r="A250" s="6">
        <v>2012595</v>
      </c>
      <c r="B250" s="7" t="str">
        <f>"3328085003870003"</f>
        <v>3328085003870003</v>
      </c>
      <c r="C250" s="7" t="s">
        <v>3122</v>
      </c>
      <c r="D250" s="7" t="s">
        <v>10</v>
      </c>
      <c r="E250" s="7" t="s">
        <v>11</v>
      </c>
      <c r="F250" s="7" t="s">
        <v>18</v>
      </c>
      <c r="G250" s="7" t="s">
        <v>19</v>
      </c>
      <c r="H250" s="7" t="s">
        <v>3014</v>
      </c>
      <c r="I250" s="8" t="s">
        <v>3095</v>
      </c>
      <c r="J250" t="str">
        <f>VLOOKUP(B250,baru!$B$2:$I$2271,4,FALSE)</f>
        <v>Reguler</v>
      </c>
      <c r="K250" t="str">
        <f>VLOOKUP(B250,baru!$B$2:$I$2271,5,FALSE)</f>
        <v>DKI JAKARTA</v>
      </c>
      <c r="L250" t="str">
        <f>VLOOKUP(B250,baru!$B$2:$I$2271,6,FALSE)</f>
        <v>KOTA JAKARTA PUSAT</v>
      </c>
    </row>
    <row r="251" spans="1:12" x14ac:dyDescent="0.35">
      <c r="A251" s="6">
        <v>1926159</v>
      </c>
      <c r="B251" s="7" t="str">
        <f>"3328085804940003"</f>
        <v>3328085804940003</v>
      </c>
      <c r="C251" s="7" t="s">
        <v>3128</v>
      </c>
      <c r="D251" s="7" t="s">
        <v>189</v>
      </c>
      <c r="E251" s="7" t="s">
        <v>11</v>
      </c>
      <c r="F251" s="7" t="s">
        <v>18</v>
      </c>
      <c r="G251" s="7" t="s">
        <v>19</v>
      </c>
      <c r="H251" s="7" t="s">
        <v>3014</v>
      </c>
      <c r="I251" s="8" t="s">
        <v>3035</v>
      </c>
      <c r="J251" t="str">
        <f>VLOOKUP(B251,baru!$B$2:$I$2271,4,FALSE)</f>
        <v>Reguler</v>
      </c>
      <c r="K251" t="str">
        <f>VLOOKUP(B251,baru!$B$2:$I$2271,5,FALSE)</f>
        <v>JAWA TENGAH</v>
      </c>
      <c r="L251" t="str">
        <f>VLOOKUP(B251,baru!$B$2:$I$2271,6,FALSE)</f>
        <v>BREBES</v>
      </c>
    </row>
    <row r="252" spans="1:12" x14ac:dyDescent="0.35">
      <c r="A252" s="6">
        <v>2018166</v>
      </c>
      <c r="B252" s="7" t="str">
        <f>"3328086703010004"</f>
        <v>3328086703010004</v>
      </c>
      <c r="C252" s="7" t="s">
        <v>3134</v>
      </c>
      <c r="D252" s="7" t="s">
        <v>189</v>
      </c>
      <c r="E252" s="7" t="s">
        <v>11</v>
      </c>
      <c r="F252" s="7" t="s">
        <v>18</v>
      </c>
      <c r="G252" s="7" t="s">
        <v>19</v>
      </c>
      <c r="H252" s="7" t="s">
        <v>3014</v>
      </c>
      <c r="I252" s="8" t="s">
        <v>3015</v>
      </c>
      <c r="J252" t="str">
        <f>VLOOKUP(B252,baru!$B$2:$I$2271,4,FALSE)</f>
        <v>Reguler</v>
      </c>
      <c r="K252" t="str">
        <f>VLOOKUP(B252,baru!$B$2:$I$2271,5,FALSE)</f>
        <v>DKI JAKARTA</v>
      </c>
      <c r="L252" t="str">
        <f>VLOOKUP(B252,baru!$B$2:$I$2271,6,FALSE)</f>
        <v>KOTA JAKARTA UTARA</v>
      </c>
    </row>
    <row r="253" spans="1:12" x14ac:dyDescent="0.35">
      <c r="A253" s="6">
        <v>2048979</v>
      </c>
      <c r="B253" s="7" t="str">
        <f>"3604121211890003"</f>
        <v>3604121211890003</v>
      </c>
      <c r="C253" s="7" t="s">
        <v>2327</v>
      </c>
      <c r="D253" s="7" t="s">
        <v>10</v>
      </c>
      <c r="E253" s="7" t="s">
        <v>11</v>
      </c>
      <c r="F253" s="7" t="s">
        <v>18</v>
      </c>
      <c r="G253" s="7" t="s">
        <v>19</v>
      </c>
      <c r="H253" s="7" t="s">
        <v>3014</v>
      </c>
      <c r="I253" s="8" t="s">
        <v>1381</v>
      </c>
      <c r="J253" t="str">
        <f>VLOOKUP(B253,baru!$B$2:$I$2271,4,FALSE)</f>
        <v>Reguler</v>
      </c>
      <c r="K253" t="str">
        <f>VLOOKUP(B253,baru!$B$2:$I$2271,5,FALSE)</f>
        <v>BANTEN</v>
      </c>
      <c r="L253" t="str">
        <f>VLOOKUP(B253,baru!$B$2:$I$2271,6,FALSE)</f>
        <v>SERANG</v>
      </c>
    </row>
    <row r="254" spans="1:12" x14ac:dyDescent="0.35">
      <c r="A254" s="6">
        <v>1634532</v>
      </c>
      <c r="B254" s="7" t="str">
        <f>"3328090809950004"</f>
        <v>3328090809950004</v>
      </c>
      <c r="C254" s="7" t="s">
        <v>3258</v>
      </c>
      <c r="D254" s="7" t="s">
        <v>10</v>
      </c>
      <c r="E254" s="7" t="s">
        <v>11</v>
      </c>
      <c r="F254" s="7" t="s">
        <v>18</v>
      </c>
      <c r="G254" s="7" t="s">
        <v>19</v>
      </c>
      <c r="H254" s="7" t="s">
        <v>2575</v>
      </c>
      <c r="I254" s="8" t="s">
        <v>2575</v>
      </c>
      <c r="J254" t="str">
        <f>VLOOKUP(B254,baru!$B$2:$I$2271,4,FALSE)</f>
        <v>Reguler</v>
      </c>
      <c r="K254" t="str">
        <f>VLOOKUP(B254,baru!$B$2:$I$2271,5,FALSE)</f>
        <v>DKI JAKARTA</v>
      </c>
      <c r="L254" t="str">
        <f>VLOOKUP(B254,baru!$B$2:$I$2271,6,FALSE)</f>
        <v>KOTA JAKARTA TIMUR</v>
      </c>
    </row>
    <row r="255" spans="1:12" x14ac:dyDescent="0.35">
      <c r="A255" s="6">
        <v>1634530</v>
      </c>
      <c r="B255" s="7" t="str">
        <f>"3328092505710003"</f>
        <v>3328092505710003</v>
      </c>
      <c r="C255" s="7" t="s">
        <v>3294</v>
      </c>
      <c r="D255" s="7" t="s">
        <v>10</v>
      </c>
      <c r="E255" s="7" t="s">
        <v>11</v>
      </c>
      <c r="F255" s="7" t="s">
        <v>18</v>
      </c>
      <c r="G255" s="7" t="s">
        <v>19</v>
      </c>
      <c r="H255" s="7" t="s">
        <v>2575</v>
      </c>
      <c r="I255" s="8" t="s">
        <v>2575</v>
      </c>
      <c r="J255" t="str">
        <f>VLOOKUP(B255,baru!$B$2:$I$2271,4,FALSE)</f>
        <v>Reguler</v>
      </c>
      <c r="K255" t="str">
        <f>VLOOKUP(B255,baru!$B$2:$I$2271,5,FALSE)</f>
        <v>DKI JAKARTA</v>
      </c>
      <c r="L255" t="str">
        <f>VLOOKUP(B255,baru!$B$2:$I$2271,6,FALSE)</f>
        <v>KOTA JAKARTA TIMUR</v>
      </c>
    </row>
    <row r="256" spans="1:12" x14ac:dyDescent="0.35">
      <c r="A256" s="6">
        <v>1634533</v>
      </c>
      <c r="B256" s="7" t="str">
        <f>"3328094810750002"</f>
        <v>3328094810750002</v>
      </c>
      <c r="C256" s="7" t="s">
        <v>3315</v>
      </c>
      <c r="D256" s="7" t="s">
        <v>10</v>
      </c>
      <c r="E256" s="7" t="s">
        <v>11</v>
      </c>
      <c r="F256" s="7" t="s">
        <v>18</v>
      </c>
      <c r="G256" s="7" t="s">
        <v>19</v>
      </c>
      <c r="H256" s="7" t="s">
        <v>2575</v>
      </c>
      <c r="I256" s="8" t="s">
        <v>2575</v>
      </c>
      <c r="J256" t="str">
        <f>VLOOKUP(B256,baru!$B$2:$I$2271,4,FALSE)</f>
        <v>Reguler</v>
      </c>
      <c r="K256" t="str">
        <f>VLOOKUP(B256,baru!$B$2:$I$2271,5,FALSE)</f>
        <v>DKI JAKARTA</v>
      </c>
      <c r="L256" t="str">
        <f>VLOOKUP(B256,baru!$B$2:$I$2271,6,FALSE)</f>
        <v>KOTA JAKARTA TIMUR</v>
      </c>
    </row>
    <row r="257" spans="1:12" x14ac:dyDescent="0.35">
      <c r="A257" s="6">
        <v>2271874</v>
      </c>
      <c r="B257" s="7" t="str">
        <f>"3328100112450013"</f>
        <v>3328100112450013</v>
      </c>
      <c r="C257" s="7" t="s">
        <v>3343</v>
      </c>
      <c r="D257" s="7" t="s">
        <v>10</v>
      </c>
      <c r="E257" s="7" t="s">
        <v>11</v>
      </c>
      <c r="F257" s="7" t="s">
        <v>18</v>
      </c>
      <c r="G257" s="7" t="s">
        <v>19</v>
      </c>
      <c r="H257" s="7" t="s">
        <v>251</v>
      </c>
      <c r="I257" s="8" t="s">
        <v>3344</v>
      </c>
      <c r="J257" t="str">
        <f>VLOOKUP(B257,baru!$B$2:$I$2271,4,FALSE)</f>
        <v>Reguler</v>
      </c>
      <c r="K257" t="str">
        <f>VLOOKUP(B257,baru!$B$2:$I$2271,5,FALSE)</f>
        <v>JAWA TENGAH</v>
      </c>
      <c r="L257" t="str">
        <f>VLOOKUP(B257,baru!$B$2:$I$2271,6,FALSE)</f>
        <v>TEGAL</v>
      </c>
    </row>
    <row r="258" spans="1:12" x14ac:dyDescent="0.35">
      <c r="A258" s="6">
        <v>2271873</v>
      </c>
      <c r="B258" s="7" t="str">
        <f>"3328100507790004"</f>
        <v>3328100507790004</v>
      </c>
      <c r="C258" s="7" t="s">
        <v>3345</v>
      </c>
      <c r="D258" s="7" t="s">
        <v>10</v>
      </c>
      <c r="E258" s="7" t="s">
        <v>11</v>
      </c>
      <c r="F258" s="7" t="s">
        <v>18</v>
      </c>
      <c r="G258" s="7" t="s">
        <v>19</v>
      </c>
      <c r="H258" s="7" t="s">
        <v>251</v>
      </c>
      <c r="I258" s="8" t="s">
        <v>3344</v>
      </c>
      <c r="J258" t="str">
        <f>VLOOKUP(B258,baru!$B$2:$I$2271,4,FALSE)</f>
        <v>Reguler</v>
      </c>
      <c r="K258" t="str">
        <f>VLOOKUP(B258,baru!$B$2:$I$2271,5,FALSE)</f>
        <v>JAWA TENGAH</v>
      </c>
      <c r="L258" t="str">
        <f>VLOOKUP(B258,baru!$B$2:$I$2271,6,FALSE)</f>
        <v>TEGAL</v>
      </c>
    </row>
    <row r="259" spans="1:12" x14ac:dyDescent="0.35">
      <c r="A259" s="6">
        <v>2253307</v>
      </c>
      <c r="B259" s="7" t="str">
        <f>"3328100607950005"</f>
        <v>3328100607950005</v>
      </c>
      <c r="C259" s="7" t="s">
        <v>3347</v>
      </c>
      <c r="D259" s="7" t="s">
        <v>10</v>
      </c>
      <c r="E259" s="7" t="s">
        <v>11</v>
      </c>
      <c r="F259" s="7" t="s">
        <v>18</v>
      </c>
      <c r="G259" s="7" t="s">
        <v>19</v>
      </c>
      <c r="H259" s="7" t="s">
        <v>251</v>
      </c>
      <c r="I259" s="8" t="s">
        <v>3348</v>
      </c>
      <c r="J259" t="str">
        <f>VLOOKUP(B259,baru!$B$2:$I$2271,4,FALSE)</f>
        <v>Reguler</v>
      </c>
      <c r="K259" t="str">
        <f>VLOOKUP(B259,baru!$B$2:$I$2271,5,FALSE)</f>
        <v>JAWA TENGAH</v>
      </c>
      <c r="L259" t="str">
        <f>VLOOKUP(B259,baru!$B$2:$I$2271,6,FALSE)</f>
        <v>TEGAL</v>
      </c>
    </row>
    <row r="260" spans="1:12" x14ac:dyDescent="0.35">
      <c r="A260" s="6">
        <v>2271875</v>
      </c>
      <c r="B260" s="7" t="str">
        <f>"3328104502570003"</f>
        <v>3328104502570003</v>
      </c>
      <c r="C260" s="7" t="s">
        <v>3349</v>
      </c>
      <c r="D260" s="7" t="s">
        <v>10</v>
      </c>
      <c r="E260" s="7" t="s">
        <v>11</v>
      </c>
      <c r="F260" s="7" t="s">
        <v>18</v>
      </c>
      <c r="G260" s="7" t="s">
        <v>19</v>
      </c>
      <c r="H260" s="7" t="s">
        <v>251</v>
      </c>
      <c r="I260" s="8" t="s">
        <v>3344</v>
      </c>
      <c r="J260" t="str">
        <f>VLOOKUP(B260,baru!$B$2:$I$2271,4,FALSE)</f>
        <v>Reguler</v>
      </c>
      <c r="K260" t="str">
        <f>VLOOKUP(B260,baru!$B$2:$I$2271,5,FALSE)</f>
        <v>JAWA TENGAH</v>
      </c>
      <c r="L260" t="str">
        <f>VLOOKUP(B260,baru!$B$2:$I$2271,6,FALSE)</f>
        <v>TEGAL</v>
      </c>
    </row>
    <row r="261" spans="1:12" x14ac:dyDescent="0.35">
      <c r="A261" s="6">
        <v>2197979</v>
      </c>
      <c r="B261" s="7" t="str">
        <f>"3328126012000005"</f>
        <v>3328126012000005</v>
      </c>
      <c r="C261" s="7" t="s">
        <v>3353</v>
      </c>
      <c r="D261" s="7" t="s">
        <v>189</v>
      </c>
      <c r="E261" s="7" t="s">
        <v>11</v>
      </c>
      <c r="F261" s="7" t="s">
        <v>18</v>
      </c>
      <c r="G261" s="7" t="s">
        <v>19</v>
      </c>
      <c r="H261" s="7" t="s">
        <v>3354</v>
      </c>
      <c r="I261" s="8" t="s">
        <v>3355</v>
      </c>
      <c r="J261" t="str">
        <f>VLOOKUP(B261,baru!$B$2:$I$2271,4,FALSE)</f>
        <v>Reguler</v>
      </c>
      <c r="K261" t="str">
        <f>VLOOKUP(B261,baru!$B$2:$I$2271,5,FALSE)</f>
        <v>JAWA TENGAH</v>
      </c>
      <c r="L261" t="str">
        <f>VLOOKUP(B261,baru!$B$2:$I$2271,6,FALSE)</f>
        <v>TEGAL</v>
      </c>
    </row>
    <row r="262" spans="1:12" x14ac:dyDescent="0.35">
      <c r="A262" s="6">
        <v>2323289</v>
      </c>
      <c r="B262" s="7" t="str">
        <f>"1471090106740001"</f>
        <v>1471090106740001</v>
      </c>
      <c r="C262" s="7" t="s">
        <v>3403</v>
      </c>
      <c r="D262" s="7" t="s">
        <v>10</v>
      </c>
      <c r="E262" s="7" t="s">
        <v>11</v>
      </c>
      <c r="F262" s="7" t="s">
        <v>18</v>
      </c>
      <c r="G262" s="7" t="s">
        <v>19</v>
      </c>
      <c r="H262" s="7" t="s">
        <v>251</v>
      </c>
      <c r="I262" s="8" t="s">
        <v>3400</v>
      </c>
      <c r="J262" t="str">
        <f>VLOOKUP(B262,baru!$B$2:$I$2271,4,FALSE)</f>
        <v>Reguler</v>
      </c>
      <c r="K262" t="str">
        <f>VLOOKUP(B262,baru!$B$2:$I$2271,5,FALSE)</f>
        <v>JAWA TIMUR</v>
      </c>
      <c r="L262" t="str">
        <f>VLOOKUP(B262,baru!$B$2:$I$2271,6,FALSE)</f>
        <v>NGAWI</v>
      </c>
    </row>
    <row r="263" spans="1:12" x14ac:dyDescent="0.35">
      <c r="A263" s="6">
        <v>2270151</v>
      </c>
      <c r="B263" s="7" t="str">
        <f>"3301056507990010"</f>
        <v>3301056507990010</v>
      </c>
      <c r="C263" s="7" t="s">
        <v>3455</v>
      </c>
      <c r="D263" s="7" t="s">
        <v>10</v>
      </c>
      <c r="E263" s="7" t="s">
        <v>11</v>
      </c>
      <c r="F263" s="7" t="s">
        <v>18</v>
      </c>
      <c r="G263" s="7" t="s">
        <v>19</v>
      </c>
      <c r="H263" s="7" t="s">
        <v>251</v>
      </c>
      <c r="I263" s="8" t="s">
        <v>3344</v>
      </c>
      <c r="J263" t="str">
        <f>VLOOKUP(B263,baru!$B$2:$I$2271,4,FALSE)</f>
        <v>Reguler</v>
      </c>
      <c r="K263" t="str">
        <f>VLOOKUP(B263,baru!$B$2:$I$2271,5,FALSE)</f>
        <v>JAWA TENGAH</v>
      </c>
      <c r="L263" t="str">
        <f>VLOOKUP(B263,baru!$B$2:$I$2271,6,FALSE)</f>
        <v>CILACAP</v>
      </c>
    </row>
    <row r="264" spans="1:12" x14ac:dyDescent="0.35">
      <c r="A264" s="6">
        <v>2323464</v>
      </c>
      <c r="B264" s="7" t="str">
        <f>"3305011005830008"</f>
        <v>3305011005830008</v>
      </c>
      <c r="C264" s="7" t="s">
        <v>3457</v>
      </c>
      <c r="D264" s="7" t="s">
        <v>10</v>
      </c>
      <c r="E264" s="7" t="s">
        <v>11</v>
      </c>
      <c r="F264" s="7" t="s">
        <v>18</v>
      </c>
      <c r="G264" s="7" t="s">
        <v>19</v>
      </c>
      <c r="H264" s="7" t="s">
        <v>251</v>
      </c>
      <c r="I264" s="8" t="s">
        <v>3400</v>
      </c>
      <c r="J264" t="str">
        <f>VLOOKUP(B264,baru!$B$2:$I$2271,4,FALSE)</f>
        <v>Reguler</v>
      </c>
      <c r="K264" t="str">
        <f>VLOOKUP(B264,baru!$B$2:$I$2271,5,FALSE)</f>
        <v>JAWA TENGAH</v>
      </c>
      <c r="L264" t="str">
        <f>VLOOKUP(B264,baru!$B$2:$I$2271,6,FALSE)</f>
        <v>KEBUMEN</v>
      </c>
    </row>
    <row r="265" spans="1:12" x14ac:dyDescent="0.35">
      <c r="A265" s="6">
        <v>2306245</v>
      </c>
      <c r="B265" s="7" t="str">
        <f>"3307032612740006"</f>
        <v>3307032612740006</v>
      </c>
      <c r="C265" s="7" t="s">
        <v>3460</v>
      </c>
      <c r="D265" s="7" t="s">
        <v>10</v>
      </c>
      <c r="E265" s="7" t="s">
        <v>11</v>
      </c>
      <c r="F265" s="7" t="s">
        <v>18</v>
      </c>
      <c r="G265" s="7" t="s">
        <v>19</v>
      </c>
      <c r="H265" s="7" t="s">
        <v>251</v>
      </c>
      <c r="I265" s="8" t="s">
        <v>3410</v>
      </c>
      <c r="J265" t="str">
        <f>VLOOKUP(B265,baru!$B$2:$I$2271,4,FALSE)</f>
        <v>Reguler</v>
      </c>
      <c r="K265" t="str">
        <f>VLOOKUP(B265,baru!$B$2:$I$2271,5,FALSE)</f>
        <v>JAWA TENGAH</v>
      </c>
      <c r="L265" t="str">
        <f>VLOOKUP(B265,baru!$B$2:$I$2271,6,FALSE)</f>
        <v>WONOSOBO</v>
      </c>
    </row>
    <row r="266" spans="1:12" x14ac:dyDescent="0.35">
      <c r="A266" s="6">
        <v>2298990</v>
      </c>
      <c r="B266" s="7" t="str">
        <f>"3309041001759008"</f>
        <v>3309041001759008</v>
      </c>
      <c r="C266" s="7" t="s">
        <v>3465</v>
      </c>
      <c r="D266" s="7" t="s">
        <v>10</v>
      </c>
      <c r="E266" s="7" t="s">
        <v>11</v>
      </c>
      <c r="F266" s="7" t="s">
        <v>18</v>
      </c>
      <c r="G266" s="7" t="s">
        <v>19</v>
      </c>
      <c r="H266" s="7" t="s">
        <v>251</v>
      </c>
      <c r="I266" s="8" t="s">
        <v>3410</v>
      </c>
      <c r="J266" t="str">
        <f>VLOOKUP(B266,baru!$B$2:$I$2271,4,FALSE)</f>
        <v>Reguler</v>
      </c>
      <c r="K266" t="str">
        <f>VLOOKUP(B266,baru!$B$2:$I$2271,5,FALSE)</f>
        <v>JAWA TENGAH</v>
      </c>
      <c r="L266" t="str">
        <f>VLOOKUP(B266,baru!$B$2:$I$2271,6,FALSE)</f>
        <v>BOYOLALI</v>
      </c>
    </row>
    <row r="267" spans="1:12" x14ac:dyDescent="0.35">
      <c r="A267" s="6">
        <v>2270842</v>
      </c>
      <c r="B267" s="7" t="str">
        <f>"3326016505790003"</f>
        <v>3326016505790003</v>
      </c>
      <c r="C267" s="7" t="s">
        <v>3478</v>
      </c>
      <c r="D267" s="7" t="s">
        <v>10</v>
      </c>
      <c r="E267" s="7" t="s">
        <v>11</v>
      </c>
      <c r="F267" s="7" t="s">
        <v>18</v>
      </c>
      <c r="G267" s="7" t="s">
        <v>19</v>
      </c>
      <c r="H267" s="7" t="s">
        <v>251</v>
      </c>
      <c r="I267" s="8" t="s">
        <v>3344</v>
      </c>
      <c r="J267" t="str">
        <f>VLOOKUP(B267,baru!$B$2:$I$2271,4,FALSE)</f>
        <v>Reguler</v>
      </c>
      <c r="K267" t="str">
        <f>VLOOKUP(B267,baru!$B$2:$I$2271,5,FALSE)</f>
        <v>JAWA TENGAH</v>
      </c>
      <c r="L267" t="str">
        <f>VLOOKUP(B267,baru!$B$2:$I$2271,6,FALSE)</f>
        <v>PEKALONGAN</v>
      </c>
    </row>
    <row r="268" spans="1:12" x14ac:dyDescent="0.35">
      <c r="A268" s="6">
        <v>2276749</v>
      </c>
      <c r="B268" s="7" t="str">
        <f>"3327043003920003"</f>
        <v>3327043003920003</v>
      </c>
      <c r="C268" s="7" t="s">
        <v>3481</v>
      </c>
      <c r="D268" s="7" t="s">
        <v>10</v>
      </c>
      <c r="E268" s="7" t="s">
        <v>11</v>
      </c>
      <c r="F268" s="7" t="s">
        <v>18</v>
      </c>
      <c r="G268" s="7" t="s">
        <v>19</v>
      </c>
      <c r="H268" s="7" t="s">
        <v>251</v>
      </c>
      <c r="I268" s="8" t="s">
        <v>252</v>
      </c>
      <c r="J268" t="str">
        <f>VLOOKUP(B268,baru!$B$2:$I$2271,4,FALSE)</f>
        <v>Reguler</v>
      </c>
      <c r="K268" t="str">
        <f>VLOOKUP(B268,baru!$B$2:$I$2271,5,FALSE)</f>
        <v>JAWA TENGAH</v>
      </c>
      <c r="L268" t="str">
        <f>VLOOKUP(B268,baru!$B$2:$I$2271,6,FALSE)</f>
        <v>PEMALANG</v>
      </c>
    </row>
    <row r="269" spans="1:12" x14ac:dyDescent="0.35">
      <c r="A269" s="6">
        <v>2239118</v>
      </c>
      <c r="B269" s="7" t="str">
        <f>"3328100110580002"</f>
        <v>3328100110580002</v>
      </c>
      <c r="C269" s="7" t="s">
        <v>3489</v>
      </c>
      <c r="D269" s="7" t="s">
        <v>10</v>
      </c>
      <c r="E269" s="7" t="s">
        <v>11</v>
      </c>
      <c r="F269" s="7" t="s">
        <v>18</v>
      </c>
      <c r="G269" s="7" t="s">
        <v>19</v>
      </c>
      <c r="H269" s="7" t="s">
        <v>251</v>
      </c>
      <c r="I269" s="8" t="s">
        <v>3432</v>
      </c>
      <c r="J269" t="str">
        <f>VLOOKUP(B269,baru!$B$2:$I$2271,4,FALSE)</f>
        <v>Reguler</v>
      </c>
      <c r="K269" t="str">
        <f>VLOOKUP(B269,baru!$B$2:$I$2271,5,FALSE)</f>
        <v>JAWA TENGAH</v>
      </c>
      <c r="L269" t="str">
        <f>VLOOKUP(B269,baru!$B$2:$I$2271,6,FALSE)</f>
        <v>KOTA TEGAL</v>
      </c>
    </row>
    <row r="270" spans="1:12" x14ac:dyDescent="0.35">
      <c r="A270" s="6">
        <v>2266130</v>
      </c>
      <c r="B270" s="7" t="str">
        <f>"3328100705850004"</f>
        <v>3328100705850004</v>
      </c>
      <c r="C270" s="7" t="s">
        <v>3494</v>
      </c>
      <c r="D270" s="7" t="s">
        <v>10</v>
      </c>
      <c r="E270" s="7" t="s">
        <v>11</v>
      </c>
      <c r="F270" s="7" t="s">
        <v>18</v>
      </c>
      <c r="G270" s="7" t="s">
        <v>19</v>
      </c>
      <c r="H270" s="7" t="s">
        <v>251</v>
      </c>
      <c r="I270" s="8" t="s">
        <v>3344</v>
      </c>
      <c r="J270" t="str">
        <f>VLOOKUP(B270,baru!$B$2:$I$2271,4,FALSE)</f>
        <v>Reguler</v>
      </c>
      <c r="K270" t="str">
        <f>VLOOKUP(B270,baru!$B$2:$I$2271,5,FALSE)</f>
        <v>JAWA TENGAH</v>
      </c>
      <c r="L270" t="str">
        <f>VLOOKUP(B270,baru!$B$2:$I$2271,6,FALSE)</f>
        <v>SRAGEN</v>
      </c>
    </row>
    <row r="271" spans="1:12" x14ac:dyDescent="0.35">
      <c r="A271" s="6">
        <v>2299215</v>
      </c>
      <c r="B271" s="7" t="str">
        <f>"3328101002880001"</f>
        <v>3328101002880001</v>
      </c>
      <c r="C271" s="7" t="s">
        <v>3500</v>
      </c>
      <c r="D271" s="7" t="s">
        <v>10</v>
      </c>
      <c r="E271" s="7" t="s">
        <v>11</v>
      </c>
      <c r="F271" s="7" t="s">
        <v>18</v>
      </c>
      <c r="G271" s="7" t="s">
        <v>19</v>
      </c>
      <c r="H271" s="7" t="s">
        <v>251</v>
      </c>
      <c r="I271" s="8" t="s">
        <v>3410</v>
      </c>
      <c r="J271" t="str">
        <f>VLOOKUP(B271,baru!$B$2:$I$2271,4,FALSE)</f>
        <v>Reguler</v>
      </c>
      <c r="K271" t="str">
        <f>VLOOKUP(B271,baru!$B$2:$I$2271,5,FALSE)</f>
        <v>JAWA TENGAH</v>
      </c>
      <c r="L271" t="str">
        <f>VLOOKUP(B271,baru!$B$2:$I$2271,6,FALSE)</f>
        <v>KOTA TEGAL</v>
      </c>
    </row>
    <row r="272" spans="1:12" x14ac:dyDescent="0.35">
      <c r="A272" s="6">
        <v>2314503</v>
      </c>
      <c r="B272" s="7" t="str">
        <f>"3328101003600002"</f>
        <v>3328101003600002</v>
      </c>
      <c r="C272" s="7" t="s">
        <v>3505</v>
      </c>
      <c r="D272" s="7" t="s">
        <v>10</v>
      </c>
      <c r="E272" s="7" t="s">
        <v>11</v>
      </c>
      <c r="F272" s="7" t="s">
        <v>18</v>
      </c>
      <c r="G272" s="7" t="s">
        <v>19</v>
      </c>
      <c r="H272" s="7" t="s">
        <v>251</v>
      </c>
      <c r="I272" s="8" t="s">
        <v>3451</v>
      </c>
      <c r="J272" t="str">
        <f>VLOOKUP(B272,baru!$B$2:$I$2271,4,FALSE)</f>
        <v>Reguler</v>
      </c>
      <c r="K272" t="str">
        <f>VLOOKUP(B272,baru!$B$2:$I$2271,5,FALSE)</f>
        <v>JAWA TENGAH</v>
      </c>
      <c r="L272" t="str">
        <f>VLOOKUP(B272,baru!$B$2:$I$2271,6,FALSE)</f>
        <v>BREBES</v>
      </c>
    </row>
    <row r="273" spans="1:12" x14ac:dyDescent="0.35">
      <c r="A273" s="6">
        <v>2313475</v>
      </c>
      <c r="B273" s="7" t="str">
        <f>"3328101007960004"</f>
        <v>3328101007960004</v>
      </c>
      <c r="C273" s="7" t="s">
        <v>3506</v>
      </c>
      <c r="D273" s="7" t="s">
        <v>10</v>
      </c>
      <c r="E273" s="7" t="s">
        <v>11</v>
      </c>
      <c r="F273" s="7" t="s">
        <v>18</v>
      </c>
      <c r="G273" s="7" t="s">
        <v>19</v>
      </c>
      <c r="H273" s="7" t="s">
        <v>251</v>
      </c>
      <c r="I273" s="8" t="s">
        <v>3414</v>
      </c>
      <c r="J273" t="str">
        <f>VLOOKUP(B273,baru!$B$2:$I$2271,4,FALSE)</f>
        <v>Reguler</v>
      </c>
      <c r="K273" t="str">
        <f>VLOOKUP(B273,baru!$B$2:$I$2271,5,FALSE)</f>
        <v>JAWA TENGAH</v>
      </c>
      <c r="L273" t="str">
        <f>VLOOKUP(B273,baru!$B$2:$I$2271,6,FALSE)</f>
        <v>GROBOGAN</v>
      </c>
    </row>
    <row r="274" spans="1:12" x14ac:dyDescent="0.35">
      <c r="A274" s="6">
        <v>2244469</v>
      </c>
      <c r="B274" s="7" t="str">
        <f>"3328101308540001"</f>
        <v>3328101308540001</v>
      </c>
      <c r="C274" s="7" t="s">
        <v>3514</v>
      </c>
      <c r="D274" s="7" t="s">
        <v>10</v>
      </c>
      <c r="E274" s="7" t="s">
        <v>11</v>
      </c>
      <c r="F274" s="7" t="s">
        <v>18</v>
      </c>
      <c r="G274" s="7" t="s">
        <v>19</v>
      </c>
      <c r="H274" s="7" t="s">
        <v>251</v>
      </c>
      <c r="I274" s="8" t="s">
        <v>3432</v>
      </c>
      <c r="J274" t="str">
        <f>VLOOKUP(B274,baru!$B$2:$I$2271,4,FALSE)</f>
        <v>Reguler</v>
      </c>
      <c r="K274" t="str">
        <f>VLOOKUP(B274,baru!$B$2:$I$2271,5,FALSE)</f>
        <v>JAWA TENGAH</v>
      </c>
      <c r="L274" t="str">
        <f>VLOOKUP(B274,baru!$B$2:$I$2271,6,FALSE)</f>
        <v>PEMALANG</v>
      </c>
    </row>
    <row r="275" spans="1:12" x14ac:dyDescent="0.35">
      <c r="A275" s="6">
        <v>2317458</v>
      </c>
      <c r="B275" s="7" t="str">
        <f>"3328101704910002"</f>
        <v>3328101704910002</v>
      </c>
      <c r="C275" s="7" t="s">
        <v>3519</v>
      </c>
      <c r="D275" s="7" t="s">
        <v>10</v>
      </c>
      <c r="E275" s="7" t="s">
        <v>11</v>
      </c>
      <c r="F275" s="7" t="s">
        <v>18</v>
      </c>
      <c r="G275" s="7" t="s">
        <v>19</v>
      </c>
      <c r="H275" s="7" t="s">
        <v>251</v>
      </c>
      <c r="I275" s="8" t="s">
        <v>3451</v>
      </c>
      <c r="J275" t="str">
        <f>VLOOKUP(B275,baru!$B$2:$I$2271,4,FALSE)</f>
        <v>Reguler</v>
      </c>
      <c r="K275" t="str">
        <f>VLOOKUP(B275,baru!$B$2:$I$2271,5,FALSE)</f>
        <v>SULAWESI UTARA</v>
      </c>
      <c r="L275" t="str">
        <f>VLOOKUP(B275,baru!$B$2:$I$2271,6,FALSE)</f>
        <v>MINAHASA</v>
      </c>
    </row>
    <row r="276" spans="1:12" x14ac:dyDescent="0.35">
      <c r="A276" s="6">
        <v>2311478</v>
      </c>
      <c r="B276" s="7" t="str">
        <f>"3328101712970005"</f>
        <v>3328101712970005</v>
      </c>
      <c r="C276" s="7" t="s">
        <v>3523</v>
      </c>
      <c r="D276" s="7" t="s">
        <v>189</v>
      </c>
      <c r="E276" s="7" t="s">
        <v>11</v>
      </c>
      <c r="F276" s="7" t="s">
        <v>18</v>
      </c>
      <c r="G276" s="7" t="s">
        <v>19</v>
      </c>
      <c r="H276" s="7" t="s">
        <v>251</v>
      </c>
      <c r="I276" s="8" t="s">
        <v>3414</v>
      </c>
      <c r="J276" t="str">
        <f>VLOOKUP(B276,baru!$B$2:$I$2271,4,FALSE)</f>
        <v>Reguler</v>
      </c>
      <c r="K276" t="str">
        <f>VLOOKUP(B276,baru!$B$2:$I$2271,5,FALSE)</f>
        <v>JAWA TENGAH</v>
      </c>
      <c r="L276" t="str">
        <f>VLOOKUP(B276,baru!$B$2:$I$2271,6,FALSE)</f>
        <v>KARANGANYAR</v>
      </c>
    </row>
    <row r="277" spans="1:12" x14ac:dyDescent="0.35">
      <c r="A277" s="6">
        <v>2321105</v>
      </c>
      <c r="B277" s="7" t="str">
        <f>"3328101803810004"</f>
        <v>3328101803810004</v>
      </c>
      <c r="C277" s="7" t="s">
        <v>3526</v>
      </c>
      <c r="D277" s="7" t="s">
        <v>10</v>
      </c>
      <c r="E277" s="7" t="s">
        <v>11</v>
      </c>
      <c r="F277" s="7" t="s">
        <v>18</v>
      </c>
      <c r="G277" s="7" t="s">
        <v>19</v>
      </c>
      <c r="H277" s="7" t="s">
        <v>251</v>
      </c>
      <c r="I277" s="8" t="s">
        <v>3400</v>
      </c>
      <c r="J277" t="str">
        <f>VLOOKUP(B277,baru!$B$2:$I$2271,4,FALSE)</f>
        <v>Reguler</v>
      </c>
      <c r="K277" t="str">
        <f>VLOOKUP(B277,baru!$B$2:$I$2271,5,FALSE)</f>
        <v>JAWA TENGAH</v>
      </c>
      <c r="L277" t="str">
        <f>VLOOKUP(B277,baru!$B$2:$I$2271,6,FALSE)</f>
        <v>TEGAL</v>
      </c>
    </row>
    <row r="278" spans="1:12" x14ac:dyDescent="0.35">
      <c r="A278" s="6">
        <v>2324324</v>
      </c>
      <c r="B278" s="7" t="str">
        <f>"3328104601950006"</f>
        <v>3328104601950006</v>
      </c>
      <c r="C278" s="7" t="s">
        <v>3548</v>
      </c>
      <c r="D278" s="7" t="s">
        <v>10</v>
      </c>
      <c r="E278" s="7" t="s">
        <v>11</v>
      </c>
      <c r="F278" s="7" t="s">
        <v>18</v>
      </c>
      <c r="G278" s="7" t="s">
        <v>19</v>
      </c>
      <c r="H278" s="7" t="s">
        <v>251</v>
      </c>
      <c r="I278" s="8" t="s">
        <v>3400</v>
      </c>
      <c r="J278" t="str">
        <f>VLOOKUP(B278,baru!$B$2:$I$2271,4,FALSE)</f>
        <v>Reguler</v>
      </c>
      <c r="K278" t="str">
        <f>VLOOKUP(B278,baru!$B$2:$I$2271,5,FALSE)</f>
        <v>JAWA TENGAH</v>
      </c>
      <c r="L278" t="str">
        <f>VLOOKUP(B278,baru!$B$2:$I$2271,6,FALSE)</f>
        <v>KARANGANYAR</v>
      </c>
    </row>
    <row r="279" spans="1:12" x14ac:dyDescent="0.35">
      <c r="A279" s="6">
        <v>2323512</v>
      </c>
      <c r="B279" s="7" t="str">
        <f>"3328104609550001"</f>
        <v>3328104609550001</v>
      </c>
      <c r="C279" s="7" t="s">
        <v>3552</v>
      </c>
      <c r="D279" s="7" t="s">
        <v>10</v>
      </c>
      <c r="E279" s="7" t="s">
        <v>11</v>
      </c>
      <c r="F279" s="7" t="s">
        <v>18</v>
      </c>
      <c r="G279" s="7" t="s">
        <v>19</v>
      </c>
      <c r="H279" s="7" t="s">
        <v>251</v>
      </c>
      <c r="I279" s="8" t="s">
        <v>3400</v>
      </c>
      <c r="J279" t="str">
        <f>VLOOKUP(B279,baru!$B$2:$I$2271,4,FALSE)</f>
        <v>Reguler</v>
      </c>
      <c r="K279" t="str">
        <f>VLOOKUP(B279,baru!$B$2:$I$2271,5,FALSE)</f>
        <v>JAWA TENGAH</v>
      </c>
      <c r="L279" t="str">
        <f>VLOOKUP(B279,baru!$B$2:$I$2271,6,FALSE)</f>
        <v>TEGAL</v>
      </c>
    </row>
    <row r="280" spans="1:12" x14ac:dyDescent="0.35">
      <c r="A280" s="6">
        <v>2317632</v>
      </c>
      <c r="B280" s="7" t="str">
        <f>"3328104711830002"</f>
        <v>3328104711830002</v>
      </c>
      <c r="C280" s="7" t="s">
        <v>3553</v>
      </c>
      <c r="D280" s="7" t="s">
        <v>10</v>
      </c>
      <c r="E280" s="7" t="s">
        <v>11</v>
      </c>
      <c r="F280" s="7" t="s">
        <v>18</v>
      </c>
      <c r="G280" s="7" t="s">
        <v>19</v>
      </c>
      <c r="H280" s="7" t="s">
        <v>251</v>
      </c>
      <c r="I280" s="8" t="s">
        <v>3451</v>
      </c>
      <c r="J280" t="str">
        <f>VLOOKUP(B280,baru!$B$2:$I$2271,4,FALSE)</f>
        <v>Reguler</v>
      </c>
      <c r="K280" t="str">
        <f>VLOOKUP(B280,baru!$B$2:$I$2271,5,FALSE)</f>
        <v>JAWA BARAT</v>
      </c>
      <c r="L280" t="str">
        <f>VLOOKUP(B280,baru!$B$2:$I$2271,6,FALSE)</f>
        <v>MAJALENGKA</v>
      </c>
    </row>
    <row r="281" spans="1:12" x14ac:dyDescent="0.35">
      <c r="A281" s="6">
        <v>2277991</v>
      </c>
      <c r="B281" s="7" t="str">
        <f>"3328104812920001"</f>
        <v>3328104812920001</v>
      </c>
      <c r="C281" s="7" t="s">
        <v>3556</v>
      </c>
      <c r="D281" s="7" t="s">
        <v>10</v>
      </c>
      <c r="E281" s="7" t="s">
        <v>11</v>
      </c>
      <c r="F281" s="7" t="s">
        <v>18</v>
      </c>
      <c r="G281" s="7" t="s">
        <v>19</v>
      </c>
      <c r="H281" s="7" t="s">
        <v>251</v>
      </c>
      <c r="I281" s="8" t="s">
        <v>252</v>
      </c>
      <c r="J281" t="str">
        <f>VLOOKUP(B281,baru!$B$2:$I$2271,4,FALSE)</f>
        <v>Reguler</v>
      </c>
      <c r="K281" t="str">
        <f>VLOOKUP(B281,baru!$B$2:$I$2271,5,FALSE)</f>
        <v>JAWA TENGAH</v>
      </c>
      <c r="L281" t="str">
        <f>VLOOKUP(B281,baru!$B$2:$I$2271,6,FALSE)</f>
        <v>SEMARANG</v>
      </c>
    </row>
    <row r="282" spans="1:12" x14ac:dyDescent="0.35">
      <c r="A282" s="6">
        <v>2323902</v>
      </c>
      <c r="B282" s="7" t="str">
        <f>"3328105109840004"</f>
        <v>3328105109840004</v>
      </c>
      <c r="C282" s="7" t="s">
        <v>3560</v>
      </c>
      <c r="D282" s="7" t="s">
        <v>10</v>
      </c>
      <c r="E282" s="7" t="s">
        <v>11</v>
      </c>
      <c r="F282" s="7" t="s">
        <v>18</v>
      </c>
      <c r="G282" s="7" t="s">
        <v>19</v>
      </c>
      <c r="H282" s="7" t="s">
        <v>251</v>
      </c>
      <c r="I282" s="8" t="s">
        <v>3400</v>
      </c>
      <c r="J282" t="str">
        <f>VLOOKUP(B282,baru!$B$2:$I$2271,4,FALSE)</f>
        <v>Reguler</v>
      </c>
      <c r="K282" t="str">
        <f>VLOOKUP(B282,baru!$B$2:$I$2271,5,FALSE)</f>
        <v>JAWA TENGAH</v>
      </c>
      <c r="L282" t="str">
        <f>VLOOKUP(B282,baru!$B$2:$I$2271,6,FALSE)</f>
        <v>KARANGANYAR</v>
      </c>
    </row>
    <row r="283" spans="1:12" x14ac:dyDescent="0.35">
      <c r="A283" s="6">
        <v>2266102</v>
      </c>
      <c r="B283" s="7" t="str">
        <f>"3328105407850002"</f>
        <v>3328105407850002</v>
      </c>
      <c r="C283" s="7" t="s">
        <v>3566</v>
      </c>
      <c r="D283" s="7" t="s">
        <v>10</v>
      </c>
      <c r="E283" s="7" t="s">
        <v>11</v>
      </c>
      <c r="F283" s="7" t="s">
        <v>18</v>
      </c>
      <c r="G283" s="7" t="s">
        <v>19</v>
      </c>
      <c r="H283" s="7" t="s">
        <v>251</v>
      </c>
      <c r="I283" s="8" t="s">
        <v>3344</v>
      </c>
      <c r="J283" t="str">
        <f>VLOOKUP(B283,baru!$B$2:$I$2271,4,FALSE)</f>
        <v>Reguler</v>
      </c>
      <c r="K283" t="str">
        <f>VLOOKUP(B283,baru!$B$2:$I$2271,5,FALSE)</f>
        <v>JAWA TENGAH</v>
      </c>
      <c r="L283" t="str">
        <f>VLOOKUP(B283,baru!$B$2:$I$2271,6,FALSE)</f>
        <v>SRAGEN</v>
      </c>
    </row>
    <row r="284" spans="1:12" x14ac:dyDescent="0.35">
      <c r="A284" s="6">
        <v>2301202</v>
      </c>
      <c r="B284" s="7" t="str">
        <f>"3328105506990002"</f>
        <v>3328105506990002</v>
      </c>
      <c r="C284" s="7" t="s">
        <v>3571</v>
      </c>
      <c r="D284" s="7" t="s">
        <v>10</v>
      </c>
      <c r="E284" s="7" t="s">
        <v>11</v>
      </c>
      <c r="F284" s="7" t="s">
        <v>18</v>
      </c>
      <c r="G284" s="7" t="s">
        <v>19</v>
      </c>
      <c r="H284" s="7" t="s">
        <v>251</v>
      </c>
      <c r="I284" s="8" t="s">
        <v>3410</v>
      </c>
      <c r="J284" t="str">
        <f>VLOOKUP(B284,baru!$B$2:$I$2271,4,FALSE)</f>
        <v>Reguler</v>
      </c>
      <c r="K284" t="str">
        <f>VLOOKUP(B284,baru!$B$2:$I$2271,5,FALSE)</f>
        <v>LAMPUNG</v>
      </c>
      <c r="L284" t="str">
        <f>VLOOKUP(B284,baru!$B$2:$I$2271,6,FALSE)</f>
        <v>KOTA METRO</v>
      </c>
    </row>
    <row r="285" spans="1:12" x14ac:dyDescent="0.35">
      <c r="A285" s="6">
        <v>2323920</v>
      </c>
      <c r="B285" s="7" t="str">
        <f>"3328105703880004"</f>
        <v>3328105703880004</v>
      </c>
      <c r="C285" s="7" t="s">
        <v>3579</v>
      </c>
      <c r="D285" s="7" t="s">
        <v>10</v>
      </c>
      <c r="E285" s="7" t="s">
        <v>11</v>
      </c>
      <c r="F285" s="7" t="s">
        <v>18</v>
      </c>
      <c r="G285" s="7" t="s">
        <v>19</v>
      </c>
      <c r="H285" s="7" t="s">
        <v>251</v>
      </c>
      <c r="I285" s="8" t="s">
        <v>3400</v>
      </c>
      <c r="J285" t="str">
        <f>VLOOKUP(B285,baru!$B$2:$I$2271,4,FALSE)</f>
        <v>Reguler</v>
      </c>
      <c r="K285" t="str">
        <f>VLOOKUP(B285,baru!$B$2:$I$2271,5,FALSE)</f>
        <v>DAERAH ISTIMEWA YOGYAKARTA</v>
      </c>
      <c r="L285" t="str">
        <f>VLOOKUP(B285,baru!$B$2:$I$2271,6,FALSE)</f>
        <v>BANTUL</v>
      </c>
    </row>
    <row r="286" spans="1:12" x14ac:dyDescent="0.35">
      <c r="A286" s="6">
        <v>2297427</v>
      </c>
      <c r="B286" s="7" t="str">
        <f>"3328105706000001"</f>
        <v>3328105706000001</v>
      </c>
      <c r="C286" s="7" t="s">
        <v>3580</v>
      </c>
      <c r="D286" s="7" t="s">
        <v>10</v>
      </c>
      <c r="E286" s="7" t="s">
        <v>11</v>
      </c>
      <c r="F286" s="7" t="s">
        <v>18</v>
      </c>
      <c r="G286" s="7" t="s">
        <v>19</v>
      </c>
      <c r="H286" s="7" t="s">
        <v>251</v>
      </c>
      <c r="I286" s="8" t="s">
        <v>3410</v>
      </c>
      <c r="J286" t="str">
        <f>VLOOKUP(B286,baru!$B$2:$I$2271,4,FALSE)</f>
        <v>Reguler</v>
      </c>
      <c r="K286" t="str">
        <f>VLOOKUP(B286,baru!$B$2:$I$2271,5,FALSE)</f>
        <v>DKI JAKARTA</v>
      </c>
      <c r="L286" t="str">
        <f>VLOOKUP(B286,baru!$B$2:$I$2271,6,FALSE)</f>
        <v>KOTA JAKARTA TIMUR</v>
      </c>
    </row>
    <row r="287" spans="1:12" x14ac:dyDescent="0.35">
      <c r="A287" s="6">
        <v>2315298</v>
      </c>
      <c r="B287" s="7" t="str">
        <f>"3328106111960001"</f>
        <v>3328106111960001</v>
      </c>
      <c r="C287" s="7" t="s">
        <v>388</v>
      </c>
      <c r="D287" s="7" t="s">
        <v>10</v>
      </c>
      <c r="E287" s="7" t="s">
        <v>11</v>
      </c>
      <c r="F287" s="7" t="s">
        <v>18</v>
      </c>
      <c r="G287" s="7" t="s">
        <v>19</v>
      </c>
      <c r="H287" s="7" t="s">
        <v>251</v>
      </c>
      <c r="I287" s="8" t="s">
        <v>3451</v>
      </c>
      <c r="J287" t="str">
        <f>VLOOKUP(B287,baru!$B$2:$I$2271,4,FALSE)</f>
        <v>Reguler</v>
      </c>
      <c r="K287" t="str">
        <f>VLOOKUP(B287,baru!$B$2:$I$2271,5,FALSE)</f>
        <v>JAWA TIMUR</v>
      </c>
      <c r="L287" t="str">
        <f>VLOOKUP(B287,baru!$B$2:$I$2271,6,FALSE)</f>
        <v>MAGETAN</v>
      </c>
    </row>
    <row r="288" spans="1:12" x14ac:dyDescent="0.35">
      <c r="A288" s="6">
        <v>2266291</v>
      </c>
      <c r="B288" s="7" t="str">
        <f>"3328106206960005"</f>
        <v>3328106206960005</v>
      </c>
      <c r="C288" s="7" t="s">
        <v>3591</v>
      </c>
      <c r="D288" s="7" t="s">
        <v>10</v>
      </c>
      <c r="E288" s="7" t="s">
        <v>11</v>
      </c>
      <c r="F288" s="7" t="s">
        <v>18</v>
      </c>
      <c r="G288" s="7" t="s">
        <v>19</v>
      </c>
      <c r="H288" s="7" t="s">
        <v>251</v>
      </c>
      <c r="I288" s="8" t="s">
        <v>3344</v>
      </c>
      <c r="J288" t="str">
        <f>VLOOKUP(B288,baru!$B$2:$I$2271,4,FALSE)</f>
        <v>Reguler</v>
      </c>
      <c r="K288" t="str">
        <f>VLOOKUP(B288,baru!$B$2:$I$2271,5,FALSE)</f>
        <v>JAWA TENGAH</v>
      </c>
      <c r="L288" t="str">
        <f>VLOOKUP(B288,baru!$B$2:$I$2271,6,FALSE)</f>
        <v>KOTA TEGAL</v>
      </c>
    </row>
    <row r="289" spans="1:12" x14ac:dyDescent="0.35">
      <c r="A289" s="6">
        <v>2270886</v>
      </c>
      <c r="B289" s="7" t="str">
        <f>"3328106612930001"</f>
        <v>3328106612930001</v>
      </c>
      <c r="C289" s="7" t="s">
        <v>3594</v>
      </c>
      <c r="D289" s="7" t="s">
        <v>10</v>
      </c>
      <c r="E289" s="7" t="s">
        <v>11</v>
      </c>
      <c r="F289" s="7" t="s">
        <v>18</v>
      </c>
      <c r="G289" s="7" t="s">
        <v>19</v>
      </c>
      <c r="H289" s="7" t="s">
        <v>251</v>
      </c>
      <c r="I289" s="8" t="s">
        <v>3344</v>
      </c>
      <c r="J289" t="str">
        <f>VLOOKUP(B289,baru!$B$2:$I$2271,4,FALSE)</f>
        <v>Reguler</v>
      </c>
      <c r="K289" t="str">
        <f>VLOOKUP(B289,baru!$B$2:$I$2271,5,FALSE)</f>
        <v>JAWA TENGAH</v>
      </c>
      <c r="L289" t="str">
        <f>VLOOKUP(B289,baru!$B$2:$I$2271,6,FALSE)</f>
        <v>KOTA TEGAL</v>
      </c>
    </row>
    <row r="290" spans="1:12" x14ac:dyDescent="0.35">
      <c r="A290" s="6">
        <v>2241882</v>
      </c>
      <c r="B290" s="7" t="str">
        <f>"3329072206950001"</f>
        <v>3329072206950001</v>
      </c>
      <c r="C290" s="7" t="s">
        <v>3607</v>
      </c>
      <c r="D290" s="7" t="s">
        <v>189</v>
      </c>
      <c r="E290" s="7" t="s">
        <v>11</v>
      </c>
      <c r="F290" s="7" t="s">
        <v>18</v>
      </c>
      <c r="G290" s="7" t="s">
        <v>19</v>
      </c>
      <c r="H290" s="7" t="s">
        <v>251</v>
      </c>
      <c r="I290" s="8" t="s">
        <v>3432</v>
      </c>
      <c r="J290" t="str">
        <f>VLOOKUP(B290,baru!$B$2:$I$2271,4,FALSE)</f>
        <v>Reguler</v>
      </c>
      <c r="K290" t="str">
        <f>VLOOKUP(B290,baru!$B$2:$I$2271,5,FALSE)</f>
        <v>JAWA TENGAH</v>
      </c>
      <c r="L290" t="str">
        <f>VLOOKUP(B290,baru!$B$2:$I$2271,6,FALSE)</f>
        <v>BREBES</v>
      </c>
    </row>
    <row r="291" spans="1:12" x14ac:dyDescent="0.35">
      <c r="A291" s="6">
        <v>2327289</v>
      </c>
      <c r="B291" s="7" t="str">
        <f>"3329105201970004"</f>
        <v>3329105201970004</v>
      </c>
      <c r="C291" s="7" t="s">
        <v>3616</v>
      </c>
      <c r="D291" s="7" t="s">
        <v>10</v>
      </c>
      <c r="E291" s="7" t="s">
        <v>11</v>
      </c>
      <c r="F291" s="7" t="s">
        <v>18</v>
      </c>
      <c r="G291" s="7" t="s">
        <v>19</v>
      </c>
      <c r="H291" s="7" t="s">
        <v>251</v>
      </c>
      <c r="I291" s="8" t="s">
        <v>3418</v>
      </c>
      <c r="J291" t="str">
        <f>VLOOKUP(B291,baru!$B$2:$I$2271,4,FALSE)</f>
        <v>Reguler</v>
      </c>
      <c r="K291" t="str">
        <f>VLOOKUP(B291,baru!$B$2:$I$2271,5,FALSE)</f>
        <v>JAWA TENGAH</v>
      </c>
      <c r="L291" t="str">
        <f>VLOOKUP(B291,baru!$B$2:$I$2271,6,FALSE)</f>
        <v>BREBES</v>
      </c>
    </row>
    <row r="292" spans="1:12" x14ac:dyDescent="0.35">
      <c r="A292" s="6">
        <v>2299214</v>
      </c>
      <c r="B292" s="7" t="str">
        <f>"3376024808940002"</f>
        <v>3376024808940002</v>
      </c>
      <c r="C292" s="7" t="s">
        <v>3632</v>
      </c>
      <c r="D292" s="7" t="s">
        <v>10</v>
      </c>
      <c r="E292" s="7" t="s">
        <v>11</v>
      </c>
      <c r="F292" s="7" t="s">
        <v>18</v>
      </c>
      <c r="G292" s="7" t="s">
        <v>19</v>
      </c>
      <c r="H292" s="7" t="s">
        <v>251</v>
      </c>
      <c r="I292" s="8" t="s">
        <v>3410</v>
      </c>
      <c r="J292" t="str">
        <f>VLOOKUP(B292,baru!$B$2:$I$2271,4,FALSE)</f>
        <v>Reguler</v>
      </c>
      <c r="K292" t="str">
        <f>VLOOKUP(B292,baru!$B$2:$I$2271,5,FALSE)</f>
        <v>JAWA TENGAH</v>
      </c>
      <c r="L292" t="str">
        <f>VLOOKUP(B292,baru!$B$2:$I$2271,6,FALSE)</f>
        <v>KOTA TEGAL</v>
      </c>
    </row>
    <row r="293" spans="1:12" x14ac:dyDescent="0.35">
      <c r="A293" s="6">
        <v>2134796</v>
      </c>
      <c r="B293" s="7" t="str">
        <f>"3275055909990014"</f>
        <v>3275055909990014</v>
      </c>
      <c r="C293" s="7" t="s">
        <v>3708</v>
      </c>
      <c r="D293" s="7" t="s">
        <v>10</v>
      </c>
      <c r="E293" s="7" t="s">
        <v>11</v>
      </c>
      <c r="F293" s="7" t="s">
        <v>18</v>
      </c>
      <c r="G293" s="7" t="s">
        <v>19</v>
      </c>
      <c r="H293" s="7" t="s">
        <v>348</v>
      </c>
      <c r="I293" s="8" t="s">
        <v>3677</v>
      </c>
      <c r="J293" t="str">
        <f>VLOOKUP(B293,baru!$B$2:$I$2271,4,FALSE)</f>
        <v>Reguler</v>
      </c>
      <c r="K293" t="str">
        <f>VLOOKUP(B293,baru!$B$2:$I$2271,5,FALSE)</f>
        <v>JAWA TENGAH</v>
      </c>
      <c r="L293" t="str">
        <f>VLOOKUP(B293,baru!$B$2:$I$2271,6,FALSE)</f>
        <v>KLATEN</v>
      </c>
    </row>
    <row r="294" spans="1:12" x14ac:dyDescent="0.35">
      <c r="A294" s="6">
        <v>2160243</v>
      </c>
      <c r="B294" s="7" t="str">
        <f>"3301102901880003"</f>
        <v>3301102901880003</v>
      </c>
      <c r="C294" s="7" t="s">
        <v>3712</v>
      </c>
      <c r="D294" s="7" t="s">
        <v>10</v>
      </c>
      <c r="E294" s="7" t="s">
        <v>11</v>
      </c>
      <c r="F294" s="7" t="s">
        <v>18</v>
      </c>
      <c r="G294" s="7" t="s">
        <v>19</v>
      </c>
      <c r="H294" s="7" t="s">
        <v>348</v>
      </c>
      <c r="I294" s="8" t="s">
        <v>3696</v>
      </c>
      <c r="J294" t="str">
        <f>VLOOKUP(B294,baru!$B$2:$I$2271,4,FALSE)</f>
        <v>Reguler</v>
      </c>
      <c r="K294" t="str">
        <f>VLOOKUP(B294,baru!$B$2:$I$2271,5,FALSE)</f>
        <v>JAWA TENGAH</v>
      </c>
      <c r="L294" t="str">
        <f>VLOOKUP(B294,baru!$B$2:$I$2271,6,FALSE)</f>
        <v>CILACAP</v>
      </c>
    </row>
    <row r="295" spans="1:12" x14ac:dyDescent="0.35">
      <c r="A295" s="6">
        <v>2377104</v>
      </c>
      <c r="B295" s="7" t="str">
        <f>"3325056604900001"</f>
        <v>3325056604900001</v>
      </c>
      <c r="C295" s="7" t="s">
        <v>3117</v>
      </c>
      <c r="D295" s="7" t="s">
        <v>10</v>
      </c>
      <c r="E295" s="7" t="s">
        <v>11</v>
      </c>
      <c r="F295" s="7" t="s">
        <v>18</v>
      </c>
      <c r="G295" s="7" t="s">
        <v>19</v>
      </c>
      <c r="H295" s="7" t="s">
        <v>348</v>
      </c>
      <c r="I295" s="8" t="s">
        <v>348</v>
      </c>
      <c r="J295" t="str">
        <f>VLOOKUP(B295,baru!$B$2:$I$2271,4,FALSE)</f>
        <v>Reguler</v>
      </c>
      <c r="K295" t="str">
        <f>VLOOKUP(B295,baru!$B$2:$I$2271,5,FALSE)</f>
        <v>JAWA TENGAH</v>
      </c>
      <c r="L295" t="str">
        <f>VLOOKUP(B295,baru!$B$2:$I$2271,6,FALSE)</f>
        <v>BATANG</v>
      </c>
    </row>
    <row r="296" spans="1:12" x14ac:dyDescent="0.35">
      <c r="A296" s="6">
        <v>2048187</v>
      </c>
      <c r="B296" s="7" t="str">
        <f>"3328110503910007"</f>
        <v>3328110503910007</v>
      </c>
      <c r="C296" s="7" t="s">
        <v>3735</v>
      </c>
      <c r="D296" s="7" t="s">
        <v>10</v>
      </c>
      <c r="E296" s="7" t="s">
        <v>11</v>
      </c>
      <c r="F296" s="7" t="s">
        <v>18</v>
      </c>
      <c r="G296" s="7" t="s">
        <v>19</v>
      </c>
      <c r="H296" s="7" t="s">
        <v>348</v>
      </c>
      <c r="I296" s="8" t="s">
        <v>3670</v>
      </c>
      <c r="J296" t="str">
        <f>VLOOKUP(B296,baru!$B$2:$I$2271,4,FALSE)</f>
        <v>Reguler</v>
      </c>
      <c r="K296" t="str">
        <f>VLOOKUP(B296,baru!$B$2:$I$2271,5,FALSE)</f>
        <v>JAWA TENGAH</v>
      </c>
      <c r="L296" t="str">
        <f>VLOOKUP(B296,baru!$B$2:$I$2271,6,FALSE)</f>
        <v>BREBES</v>
      </c>
    </row>
    <row r="297" spans="1:12" x14ac:dyDescent="0.35">
      <c r="A297" s="6">
        <v>2161778</v>
      </c>
      <c r="B297" s="7" t="str">
        <f>"3328110504860001"</f>
        <v>3328110504860001</v>
      </c>
      <c r="C297" s="7" t="s">
        <v>3737</v>
      </c>
      <c r="D297" s="7" t="s">
        <v>10</v>
      </c>
      <c r="E297" s="7" t="s">
        <v>11</v>
      </c>
      <c r="F297" s="7" t="s">
        <v>18</v>
      </c>
      <c r="G297" s="7" t="s">
        <v>19</v>
      </c>
      <c r="H297" s="7" t="s">
        <v>348</v>
      </c>
      <c r="I297" s="8" t="s">
        <v>3696</v>
      </c>
      <c r="J297" t="str">
        <f>VLOOKUP(B297,baru!$B$2:$I$2271,4,FALSE)</f>
        <v>Reguler</v>
      </c>
      <c r="K297" t="str">
        <f>VLOOKUP(B297,baru!$B$2:$I$2271,5,FALSE)</f>
        <v>JAWA BARAT</v>
      </c>
      <c r="L297" t="str">
        <f>VLOOKUP(B297,baru!$B$2:$I$2271,6,FALSE)</f>
        <v>KARAWANG</v>
      </c>
    </row>
    <row r="298" spans="1:12" x14ac:dyDescent="0.35">
      <c r="A298" s="6">
        <v>2137588</v>
      </c>
      <c r="B298" s="7" t="str">
        <f>"3328110506950009"</f>
        <v>3328110506950009</v>
      </c>
      <c r="C298" s="7" t="s">
        <v>3738</v>
      </c>
      <c r="D298" s="7" t="s">
        <v>10</v>
      </c>
      <c r="E298" s="7" t="s">
        <v>11</v>
      </c>
      <c r="F298" s="7" t="s">
        <v>18</v>
      </c>
      <c r="G298" s="7" t="s">
        <v>19</v>
      </c>
      <c r="H298" s="7" t="s">
        <v>348</v>
      </c>
      <c r="I298" s="8" t="s">
        <v>3677</v>
      </c>
      <c r="J298" t="str">
        <f>VLOOKUP(B298,baru!$B$2:$I$2271,4,FALSE)</f>
        <v>Reguler</v>
      </c>
      <c r="K298" t="str">
        <f>VLOOKUP(B298,baru!$B$2:$I$2271,5,FALSE)</f>
        <v>JAWA TENGAH</v>
      </c>
      <c r="L298" t="str">
        <f>VLOOKUP(B298,baru!$B$2:$I$2271,6,FALSE)</f>
        <v>BREBES</v>
      </c>
    </row>
    <row r="299" spans="1:12" x14ac:dyDescent="0.35">
      <c r="A299" s="6">
        <v>2090941</v>
      </c>
      <c r="B299" s="7" t="str">
        <f>"3328110508760006"</f>
        <v>3328110508760006</v>
      </c>
      <c r="C299" s="7" t="s">
        <v>3740</v>
      </c>
      <c r="D299" s="7" t="s">
        <v>189</v>
      </c>
      <c r="E299" s="7" t="s">
        <v>11</v>
      </c>
      <c r="F299" s="7" t="s">
        <v>18</v>
      </c>
      <c r="G299" s="7" t="s">
        <v>19</v>
      </c>
      <c r="H299" s="7" t="s">
        <v>348</v>
      </c>
      <c r="I299" s="8" t="s">
        <v>3660</v>
      </c>
      <c r="J299" t="str">
        <f>VLOOKUP(B299,baru!$B$2:$I$2271,4,FALSE)</f>
        <v>Reguler</v>
      </c>
      <c r="K299" t="str">
        <f>VLOOKUP(B299,baru!$B$2:$I$2271,5,FALSE)</f>
        <v>DKI JAKARTA</v>
      </c>
      <c r="L299" t="str">
        <f>VLOOKUP(B299,baru!$B$2:$I$2271,6,FALSE)</f>
        <v>KOTA JAKARTA SELATAN</v>
      </c>
    </row>
    <row r="300" spans="1:12" x14ac:dyDescent="0.35">
      <c r="A300" s="6">
        <v>2234046</v>
      </c>
      <c r="B300" s="7" t="str">
        <f>"3328110806890012"</f>
        <v>3328110806890012</v>
      </c>
      <c r="C300" s="7" t="s">
        <v>3751</v>
      </c>
      <c r="D300" s="7" t="s">
        <v>10</v>
      </c>
      <c r="E300" s="7" t="s">
        <v>11</v>
      </c>
      <c r="F300" s="7" t="s">
        <v>18</v>
      </c>
      <c r="G300" s="7" t="s">
        <v>19</v>
      </c>
      <c r="H300" s="7" t="s">
        <v>348</v>
      </c>
      <c r="I300" s="8" t="s">
        <v>459</v>
      </c>
      <c r="J300" t="str">
        <f>VLOOKUP(B300,baru!$B$2:$I$2271,4,FALSE)</f>
        <v>Reguler</v>
      </c>
      <c r="K300" t="str">
        <f>VLOOKUP(B300,baru!$B$2:$I$2271,5,FALSE)</f>
        <v>JAWA TENGAH</v>
      </c>
      <c r="L300" t="str">
        <f>VLOOKUP(B300,baru!$B$2:$I$2271,6,FALSE)</f>
        <v>BREBES</v>
      </c>
    </row>
    <row r="301" spans="1:12" x14ac:dyDescent="0.35">
      <c r="A301" s="6">
        <v>2179952</v>
      </c>
      <c r="B301" s="7" t="str">
        <f>"3328111005880003"</f>
        <v>3328111005880003</v>
      </c>
      <c r="C301" s="7" t="s">
        <v>3755</v>
      </c>
      <c r="D301" s="7" t="s">
        <v>10</v>
      </c>
      <c r="E301" s="7" t="s">
        <v>11</v>
      </c>
      <c r="F301" s="7" t="s">
        <v>18</v>
      </c>
      <c r="G301" s="7" t="s">
        <v>19</v>
      </c>
      <c r="H301" s="7" t="s">
        <v>348</v>
      </c>
      <c r="I301" s="8" t="s">
        <v>3666</v>
      </c>
      <c r="J301" t="str">
        <f>VLOOKUP(B301,baru!$B$2:$I$2271,4,FALSE)</f>
        <v>Reguler</v>
      </c>
      <c r="K301" t="str">
        <f>VLOOKUP(B301,baru!$B$2:$I$2271,5,FALSE)</f>
        <v>DKI JAKARTA</v>
      </c>
      <c r="L301" t="str">
        <f>VLOOKUP(B301,baru!$B$2:$I$2271,6,FALSE)</f>
        <v>KOTA JAKARTA BARAT</v>
      </c>
    </row>
    <row r="302" spans="1:12" x14ac:dyDescent="0.35">
      <c r="A302" s="6">
        <v>2021140</v>
      </c>
      <c r="B302" s="7" t="str">
        <f>"3328111109810006"</f>
        <v>3328111109810006</v>
      </c>
      <c r="C302" s="7" t="s">
        <v>3763</v>
      </c>
      <c r="D302" s="7" t="s">
        <v>189</v>
      </c>
      <c r="E302" s="7" t="s">
        <v>11</v>
      </c>
      <c r="F302" s="7" t="s">
        <v>18</v>
      </c>
      <c r="G302" s="7" t="s">
        <v>19</v>
      </c>
      <c r="H302" s="7" t="s">
        <v>348</v>
      </c>
      <c r="I302" s="8" t="s">
        <v>349</v>
      </c>
      <c r="J302" t="str">
        <f>VLOOKUP(B302,baru!$B$2:$I$2271,4,FALSE)</f>
        <v>Reguler</v>
      </c>
      <c r="K302" t="str">
        <f>VLOOKUP(B302,baru!$B$2:$I$2271,5,FALSE)</f>
        <v>JAWA TIMUR</v>
      </c>
      <c r="L302" t="str">
        <f>VLOOKUP(B302,baru!$B$2:$I$2271,6,FALSE)</f>
        <v>MAGETAN</v>
      </c>
    </row>
    <row r="303" spans="1:12" x14ac:dyDescent="0.35">
      <c r="A303" s="6">
        <v>2135017</v>
      </c>
      <c r="B303" s="7" t="str">
        <f>"3328111208760008"</f>
        <v>3328111208760008</v>
      </c>
      <c r="C303" s="7" t="s">
        <v>3769</v>
      </c>
      <c r="D303" s="7" t="s">
        <v>10</v>
      </c>
      <c r="E303" s="7" t="s">
        <v>11</v>
      </c>
      <c r="F303" s="7" t="s">
        <v>18</v>
      </c>
      <c r="G303" s="7" t="s">
        <v>19</v>
      </c>
      <c r="H303" s="7" t="s">
        <v>348</v>
      </c>
      <c r="I303" s="8" t="s">
        <v>3677</v>
      </c>
      <c r="J303" t="str">
        <f>VLOOKUP(B303,baru!$B$2:$I$2271,4,FALSE)</f>
        <v>Reguler</v>
      </c>
      <c r="K303" t="str">
        <f>VLOOKUP(B303,baru!$B$2:$I$2271,5,FALSE)</f>
        <v>JAWA TENGAH</v>
      </c>
      <c r="L303" t="str">
        <f>VLOOKUP(B303,baru!$B$2:$I$2271,6,FALSE)</f>
        <v>KARANGANYAR</v>
      </c>
    </row>
    <row r="304" spans="1:12" x14ac:dyDescent="0.35">
      <c r="A304" s="6">
        <v>2083014</v>
      </c>
      <c r="B304" s="7" t="str">
        <f>"3328111303920003"</f>
        <v>3328111303920003</v>
      </c>
      <c r="C304" s="7" t="s">
        <v>71</v>
      </c>
      <c r="D304" s="7" t="s">
        <v>189</v>
      </c>
      <c r="E304" s="7" t="s">
        <v>11</v>
      </c>
      <c r="F304" s="7" t="s">
        <v>18</v>
      </c>
      <c r="G304" s="7" t="s">
        <v>19</v>
      </c>
      <c r="H304" s="7" t="s">
        <v>348</v>
      </c>
      <c r="I304" s="8" t="s">
        <v>3679</v>
      </c>
      <c r="J304" t="str">
        <f>VLOOKUP(B304,baru!$B$2:$I$2271,4,FALSE)</f>
        <v>Reguler</v>
      </c>
      <c r="K304" t="str">
        <f>VLOOKUP(B304,baru!$B$2:$I$2271,5,FALSE)</f>
        <v>JAWA TENGAH</v>
      </c>
      <c r="L304" t="str">
        <f>VLOOKUP(B304,baru!$B$2:$I$2271,6,FALSE)</f>
        <v>KOTA TEGAL</v>
      </c>
    </row>
    <row r="305" spans="1:12" x14ac:dyDescent="0.35">
      <c r="A305" s="6">
        <v>2036854</v>
      </c>
      <c r="B305" s="7" t="str">
        <f>"3328111410970003"</f>
        <v>3328111410970003</v>
      </c>
      <c r="C305" s="7" t="s">
        <v>3783</v>
      </c>
      <c r="D305" s="7" t="s">
        <v>189</v>
      </c>
      <c r="E305" s="7" t="s">
        <v>11</v>
      </c>
      <c r="F305" s="7" t="s">
        <v>18</v>
      </c>
      <c r="G305" s="7" t="s">
        <v>19</v>
      </c>
      <c r="H305" s="7" t="s">
        <v>348</v>
      </c>
      <c r="I305" s="8" t="s">
        <v>3721</v>
      </c>
      <c r="J305" t="str">
        <f>VLOOKUP(B305,baru!$B$2:$I$2271,4,FALSE)</f>
        <v>Reguler</v>
      </c>
      <c r="K305" t="str">
        <f>VLOOKUP(B305,baru!$B$2:$I$2271,5,FALSE)</f>
        <v>DAERAH ISTIMEWA YOGYAKARTA</v>
      </c>
      <c r="L305" t="str">
        <f>VLOOKUP(B305,baru!$B$2:$I$2271,6,FALSE)</f>
        <v>BANTUL</v>
      </c>
    </row>
    <row r="306" spans="1:12" x14ac:dyDescent="0.35">
      <c r="A306" s="6">
        <v>2124895</v>
      </c>
      <c r="B306" s="7" t="str">
        <f>"3328111412850001"</f>
        <v>3328111412850001</v>
      </c>
      <c r="C306" s="7" t="s">
        <v>744</v>
      </c>
      <c r="D306" s="7" t="s">
        <v>10</v>
      </c>
      <c r="E306" s="7" t="s">
        <v>11</v>
      </c>
      <c r="F306" s="7" t="s">
        <v>18</v>
      </c>
      <c r="G306" s="7" t="s">
        <v>19</v>
      </c>
      <c r="H306" s="7" t="s">
        <v>348</v>
      </c>
      <c r="I306" s="8" t="s">
        <v>1644</v>
      </c>
      <c r="J306" t="str">
        <f>VLOOKUP(B306,baru!$B$2:$I$2271,4,FALSE)</f>
        <v>Reguler</v>
      </c>
      <c r="K306" t="str">
        <f>VLOOKUP(B306,baru!$B$2:$I$2271,5,FALSE)</f>
        <v>DKI JAKARTA</v>
      </c>
      <c r="L306" t="str">
        <f>VLOOKUP(B306,baru!$B$2:$I$2271,6,FALSE)</f>
        <v>KOTA JAKARTA SELATAN</v>
      </c>
    </row>
    <row r="307" spans="1:12" x14ac:dyDescent="0.35">
      <c r="A307" s="6">
        <v>2136037</v>
      </c>
      <c r="B307" s="7" t="str">
        <f>"3328111603870008"</f>
        <v>3328111603870008</v>
      </c>
      <c r="C307" s="7" t="s">
        <v>3793</v>
      </c>
      <c r="D307" s="7" t="s">
        <v>10</v>
      </c>
      <c r="E307" s="7" t="s">
        <v>11</v>
      </c>
      <c r="F307" s="7" t="s">
        <v>18</v>
      </c>
      <c r="G307" s="7" t="s">
        <v>19</v>
      </c>
      <c r="H307" s="7" t="s">
        <v>348</v>
      </c>
      <c r="I307" s="8" t="s">
        <v>3677</v>
      </c>
      <c r="J307" t="str">
        <f>VLOOKUP(B307,baru!$B$2:$I$2271,4,FALSE)</f>
        <v>Reguler</v>
      </c>
      <c r="K307" t="str">
        <f>VLOOKUP(B307,baru!$B$2:$I$2271,5,FALSE)</f>
        <v>DKI JAKARTA</v>
      </c>
      <c r="L307" t="str">
        <f>VLOOKUP(B307,baru!$B$2:$I$2271,6,FALSE)</f>
        <v>KOTA JAKARTA TIMUR</v>
      </c>
    </row>
    <row r="308" spans="1:12" x14ac:dyDescent="0.35">
      <c r="A308" s="6">
        <v>2020897</v>
      </c>
      <c r="B308" s="7" t="str">
        <f>"3328111703760006"</f>
        <v>3328111703760006</v>
      </c>
      <c r="C308" s="7" t="s">
        <v>3797</v>
      </c>
      <c r="D308" s="7" t="s">
        <v>189</v>
      </c>
      <c r="E308" s="7" t="s">
        <v>11</v>
      </c>
      <c r="F308" s="7" t="s">
        <v>18</v>
      </c>
      <c r="G308" s="7" t="s">
        <v>19</v>
      </c>
      <c r="H308" s="7" t="s">
        <v>348</v>
      </c>
      <c r="I308" s="8" t="s">
        <v>349</v>
      </c>
      <c r="J308" t="str">
        <f>VLOOKUP(B308,baru!$B$2:$I$2271,4,FALSE)</f>
        <v>Reguler</v>
      </c>
      <c r="K308" t="str">
        <f>VLOOKUP(B308,baru!$B$2:$I$2271,5,FALSE)</f>
        <v>DAERAH ISTIMEWA YOGYAKARTA</v>
      </c>
      <c r="L308" t="str">
        <f>VLOOKUP(B308,baru!$B$2:$I$2271,6,FALSE)</f>
        <v>KOTA YOGYAKARTA</v>
      </c>
    </row>
    <row r="309" spans="1:12" x14ac:dyDescent="0.35">
      <c r="A309" s="6">
        <v>2162159</v>
      </c>
      <c r="B309" s="7" t="str">
        <f>"3328111710930004"</f>
        <v>3328111710930004</v>
      </c>
      <c r="C309" s="7" t="s">
        <v>3799</v>
      </c>
      <c r="D309" s="7" t="s">
        <v>189</v>
      </c>
      <c r="E309" s="7" t="s">
        <v>11</v>
      </c>
      <c r="F309" s="7" t="s">
        <v>18</v>
      </c>
      <c r="G309" s="7" t="s">
        <v>19</v>
      </c>
      <c r="H309" s="7" t="s">
        <v>348</v>
      </c>
      <c r="I309" s="8" t="s">
        <v>3696</v>
      </c>
      <c r="J309" t="str">
        <f>VLOOKUP(B309,baru!$B$2:$I$2271,4,FALSE)</f>
        <v>Reguler</v>
      </c>
      <c r="K309" t="str">
        <f>VLOOKUP(B309,baru!$B$2:$I$2271,5,FALSE)</f>
        <v>JAWA TENGAH</v>
      </c>
      <c r="L309" t="str">
        <f>VLOOKUP(B309,baru!$B$2:$I$2271,6,FALSE)</f>
        <v>BATANG</v>
      </c>
    </row>
    <row r="310" spans="1:12" x14ac:dyDescent="0.35">
      <c r="A310" s="6">
        <v>2090942</v>
      </c>
      <c r="B310" s="7" t="str">
        <f>"3328112201070002"</f>
        <v>3328112201070002</v>
      </c>
      <c r="C310" s="7" t="s">
        <v>3807</v>
      </c>
      <c r="D310" s="7" t="s">
        <v>189</v>
      </c>
      <c r="E310" s="7" t="s">
        <v>11</v>
      </c>
      <c r="F310" s="7" t="s">
        <v>18</v>
      </c>
      <c r="G310" s="7" t="s">
        <v>19</v>
      </c>
      <c r="H310" s="7" t="s">
        <v>348</v>
      </c>
      <c r="I310" s="8" t="s">
        <v>3660</v>
      </c>
      <c r="J310" t="str">
        <f>VLOOKUP(B310,baru!$B$2:$I$2271,4,FALSE)</f>
        <v>Reguler</v>
      </c>
      <c r="K310" t="str">
        <f>VLOOKUP(B310,baru!$B$2:$I$2271,5,FALSE)</f>
        <v>DKI JAKARTA</v>
      </c>
      <c r="L310" t="str">
        <f>VLOOKUP(B310,baru!$B$2:$I$2271,6,FALSE)</f>
        <v>KOTA JAKARTA SELATAN</v>
      </c>
    </row>
    <row r="311" spans="1:12" x14ac:dyDescent="0.35">
      <c r="A311" s="6">
        <v>2113385</v>
      </c>
      <c r="B311" s="7" t="str">
        <f>"3328112308860006"</f>
        <v>3328112308860006</v>
      </c>
      <c r="C311" s="7" t="s">
        <v>3811</v>
      </c>
      <c r="D311" s="7" t="s">
        <v>10</v>
      </c>
      <c r="E311" s="7" t="s">
        <v>11</v>
      </c>
      <c r="F311" s="7" t="s">
        <v>18</v>
      </c>
      <c r="G311" s="7" t="s">
        <v>19</v>
      </c>
      <c r="H311" s="7" t="s">
        <v>348</v>
      </c>
      <c r="I311" s="8" t="s">
        <v>1777</v>
      </c>
      <c r="J311" t="str">
        <f>VLOOKUP(B311,baru!$B$2:$I$2271,4,FALSE)</f>
        <v>Reguler</v>
      </c>
      <c r="K311" t="str">
        <f>VLOOKUP(B311,baru!$B$2:$I$2271,5,FALSE)</f>
        <v>JAWA TENGAH</v>
      </c>
      <c r="L311" t="str">
        <f>VLOOKUP(B311,baru!$B$2:$I$2271,6,FALSE)</f>
        <v>KEBUMEN</v>
      </c>
    </row>
    <row r="312" spans="1:12" x14ac:dyDescent="0.35">
      <c r="A312" s="6">
        <v>2373994</v>
      </c>
      <c r="B312" s="7" t="str">
        <f>"3328112311900007"</f>
        <v>3328112311900007</v>
      </c>
      <c r="C312" s="7" t="s">
        <v>3814</v>
      </c>
      <c r="D312" s="7" t="s">
        <v>10</v>
      </c>
      <c r="E312" s="7" t="s">
        <v>11</v>
      </c>
      <c r="F312" s="7" t="s">
        <v>18</v>
      </c>
      <c r="G312" s="7" t="s">
        <v>19</v>
      </c>
      <c r="H312" s="7" t="s">
        <v>348</v>
      </c>
      <c r="I312" s="8" t="s">
        <v>348</v>
      </c>
      <c r="J312" t="str">
        <f>VLOOKUP(B312,baru!$B$2:$I$2271,4,FALSE)</f>
        <v>Reguler</v>
      </c>
      <c r="K312" t="str">
        <f>VLOOKUP(B312,baru!$B$2:$I$2271,5,FALSE)</f>
        <v>JAWA TENGAH</v>
      </c>
      <c r="L312" t="str">
        <f>VLOOKUP(B312,baru!$B$2:$I$2271,6,FALSE)</f>
        <v>PEKALONGAN</v>
      </c>
    </row>
    <row r="313" spans="1:12" x14ac:dyDescent="0.35">
      <c r="A313" s="6">
        <v>2233854</v>
      </c>
      <c r="B313" s="7" t="str">
        <f>"3328112703990015"</f>
        <v>3328112703990015</v>
      </c>
      <c r="C313" s="7" t="s">
        <v>3827</v>
      </c>
      <c r="D313" s="7" t="s">
        <v>10</v>
      </c>
      <c r="E313" s="7" t="s">
        <v>11</v>
      </c>
      <c r="F313" s="7" t="s">
        <v>18</v>
      </c>
      <c r="G313" s="7" t="s">
        <v>19</v>
      </c>
      <c r="H313" s="7" t="s">
        <v>348</v>
      </c>
      <c r="I313" s="8" t="s">
        <v>459</v>
      </c>
      <c r="J313" t="str">
        <f>VLOOKUP(B313,baru!$B$2:$I$2271,4,FALSE)</f>
        <v>Reguler</v>
      </c>
      <c r="K313" t="str">
        <f>VLOOKUP(B313,baru!$B$2:$I$2271,5,FALSE)</f>
        <v>JAWA TENGAH</v>
      </c>
      <c r="L313" t="str">
        <f>VLOOKUP(B313,baru!$B$2:$I$2271,6,FALSE)</f>
        <v>BREBES</v>
      </c>
    </row>
    <row r="314" spans="1:12" x14ac:dyDescent="0.35">
      <c r="A314" s="6">
        <v>2154664</v>
      </c>
      <c r="B314" s="7" t="str">
        <f>"3328114207820004"</f>
        <v>3328114207820004</v>
      </c>
      <c r="C314" s="7" t="s">
        <v>3842</v>
      </c>
      <c r="D314" s="7" t="s">
        <v>10</v>
      </c>
      <c r="E314" s="7" t="s">
        <v>11</v>
      </c>
      <c r="F314" s="7" t="s">
        <v>18</v>
      </c>
      <c r="G314" s="7" t="s">
        <v>19</v>
      </c>
      <c r="H314" s="7" t="s">
        <v>348</v>
      </c>
      <c r="I314" s="8" t="s">
        <v>3688</v>
      </c>
      <c r="J314" t="str">
        <f>VLOOKUP(B314,baru!$B$2:$I$2271,4,FALSE)</f>
        <v>Reguler</v>
      </c>
      <c r="K314" t="str">
        <f>VLOOKUP(B314,baru!$B$2:$I$2271,5,FALSE)</f>
        <v>DKI JAKARTA</v>
      </c>
      <c r="L314" t="str">
        <f>VLOOKUP(B314,baru!$B$2:$I$2271,6,FALSE)</f>
        <v>KOTA JAKARTA TIMUR</v>
      </c>
    </row>
    <row r="315" spans="1:12" x14ac:dyDescent="0.35">
      <c r="A315" s="6">
        <v>2136036</v>
      </c>
      <c r="B315" s="7" t="str">
        <f>"3328114511880007"</f>
        <v>3328114511880007</v>
      </c>
      <c r="C315" s="7" t="s">
        <v>3851</v>
      </c>
      <c r="D315" s="7" t="s">
        <v>10</v>
      </c>
      <c r="E315" s="7" t="s">
        <v>11</v>
      </c>
      <c r="F315" s="7" t="s">
        <v>18</v>
      </c>
      <c r="G315" s="7" t="s">
        <v>19</v>
      </c>
      <c r="H315" s="7" t="s">
        <v>348</v>
      </c>
      <c r="I315" s="8" t="s">
        <v>3677</v>
      </c>
      <c r="J315" t="str">
        <f>VLOOKUP(B315,baru!$B$2:$I$2271,4,FALSE)</f>
        <v>Reguler</v>
      </c>
      <c r="K315" t="str">
        <f>VLOOKUP(B315,baru!$B$2:$I$2271,5,FALSE)</f>
        <v>DKI JAKARTA</v>
      </c>
      <c r="L315" t="str">
        <f>VLOOKUP(B315,baru!$B$2:$I$2271,6,FALSE)</f>
        <v>KOTA JAKARTA TIMUR</v>
      </c>
    </row>
    <row r="316" spans="1:12" x14ac:dyDescent="0.35">
      <c r="A316" s="6">
        <v>2378836</v>
      </c>
      <c r="B316" s="7" t="str">
        <f>"3328114612990003"</f>
        <v>3328114612990003</v>
      </c>
      <c r="C316" s="7" t="s">
        <v>3854</v>
      </c>
      <c r="D316" s="7" t="s">
        <v>10</v>
      </c>
      <c r="E316" s="7" t="s">
        <v>11</v>
      </c>
      <c r="F316" s="7" t="s">
        <v>18</v>
      </c>
      <c r="G316" s="7" t="s">
        <v>19</v>
      </c>
      <c r="H316" s="7" t="s">
        <v>348</v>
      </c>
      <c r="I316" s="8" t="s">
        <v>348</v>
      </c>
      <c r="J316" t="str">
        <f>VLOOKUP(B316,baru!$B$2:$I$2271,4,FALSE)</f>
        <v>Reguler</v>
      </c>
      <c r="K316" t="str">
        <f>VLOOKUP(B316,baru!$B$2:$I$2271,5,FALSE)</f>
        <v>JAWA TENGAH</v>
      </c>
      <c r="L316" t="str">
        <f>VLOOKUP(B316,baru!$B$2:$I$2271,6,FALSE)</f>
        <v>BREBES</v>
      </c>
    </row>
    <row r="317" spans="1:12" x14ac:dyDescent="0.35">
      <c r="A317" s="6">
        <v>2154083</v>
      </c>
      <c r="B317" s="7" t="str">
        <f>"3328114612990007"</f>
        <v>3328114612990007</v>
      </c>
      <c r="C317" s="7" t="s">
        <v>3856</v>
      </c>
      <c r="D317" s="7" t="s">
        <v>10</v>
      </c>
      <c r="E317" s="7" t="s">
        <v>11</v>
      </c>
      <c r="F317" s="7" t="s">
        <v>18</v>
      </c>
      <c r="G317" s="7" t="s">
        <v>19</v>
      </c>
      <c r="H317" s="7" t="s">
        <v>348</v>
      </c>
      <c r="I317" s="8" t="s">
        <v>3688</v>
      </c>
      <c r="J317" t="str">
        <f>VLOOKUP(B317,baru!$B$2:$I$2271,4,FALSE)</f>
        <v>Reguler</v>
      </c>
      <c r="K317" t="str">
        <f>VLOOKUP(B317,baru!$B$2:$I$2271,5,FALSE)</f>
        <v>JAWA TENGAH</v>
      </c>
      <c r="L317" t="str">
        <f>VLOOKUP(B317,baru!$B$2:$I$2271,6,FALSE)</f>
        <v>BANJARNEGARA</v>
      </c>
    </row>
    <row r="318" spans="1:12" x14ac:dyDescent="0.35">
      <c r="A318" s="6">
        <v>2219957</v>
      </c>
      <c r="B318" s="7" t="str">
        <f>"3328114701000003"</f>
        <v>3328114701000003</v>
      </c>
      <c r="C318" s="7" t="s">
        <v>3860</v>
      </c>
      <c r="D318" s="7" t="s">
        <v>10</v>
      </c>
      <c r="E318" s="7" t="s">
        <v>11</v>
      </c>
      <c r="F318" s="7" t="s">
        <v>18</v>
      </c>
      <c r="G318" s="7" t="s">
        <v>19</v>
      </c>
      <c r="H318" s="7" t="s">
        <v>348</v>
      </c>
      <c r="I318" s="8" t="s">
        <v>3861</v>
      </c>
      <c r="J318" t="str">
        <f>VLOOKUP(B318,baru!$B$2:$I$2271,4,FALSE)</f>
        <v>Reguler</v>
      </c>
      <c r="K318" t="str">
        <f>VLOOKUP(B318,baru!$B$2:$I$2271,5,FALSE)</f>
        <v>JAWA TENGAH</v>
      </c>
      <c r="L318" t="str">
        <f>VLOOKUP(B318,baru!$B$2:$I$2271,6,FALSE)</f>
        <v>KLATEN</v>
      </c>
    </row>
    <row r="319" spans="1:12" x14ac:dyDescent="0.35">
      <c r="A319" s="6">
        <v>2167894</v>
      </c>
      <c r="B319" s="7" t="str">
        <f>"3328114702940003"</f>
        <v>3328114702940003</v>
      </c>
      <c r="C319" s="7" t="s">
        <v>3863</v>
      </c>
      <c r="D319" s="7" t="s">
        <v>10</v>
      </c>
      <c r="E319" s="7" t="s">
        <v>11</v>
      </c>
      <c r="F319" s="7" t="s">
        <v>18</v>
      </c>
      <c r="G319" s="7" t="s">
        <v>19</v>
      </c>
      <c r="H319" s="7" t="s">
        <v>348</v>
      </c>
      <c r="I319" s="8" t="s">
        <v>3683</v>
      </c>
      <c r="J319" t="str">
        <f>VLOOKUP(B319,baru!$B$2:$I$2271,4,FALSE)</f>
        <v>Reguler</v>
      </c>
      <c r="K319" t="str">
        <f>VLOOKUP(B319,baru!$B$2:$I$2271,5,FALSE)</f>
        <v>DAERAH ISTIMEWA YOGYAKARTA</v>
      </c>
      <c r="L319" t="str">
        <f>VLOOKUP(B319,baru!$B$2:$I$2271,6,FALSE)</f>
        <v>SLEMAN</v>
      </c>
    </row>
    <row r="320" spans="1:12" x14ac:dyDescent="0.35">
      <c r="A320" s="6">
        <v>2234754</v>
      </c>
      <c r="B320" s="7" t="str">
        <f>"3328114911910005"</f>
        <v>3328114911910005</v>
      </c>
      <c r="C320" s="7" t="s">
        <v>3866</v>
      </c>
      <c r="D320" s="7" t="s">
        <v>10</v>
      </c>
      <c r="E320" s="7" t="s">
        <v>11</v>
      </c>
      <c r="F320" s="7" t="s">
        <v>18</v>
      </c>
      <c r="G320" s="7" t="s">
        <v>19</v>
      </c>
      <c r="H320" s="7" t="s">
        <v>348</v>
      </c>
      <c r="I320" s="8" t="s">
        <v>459</v>
      </c>
      <c r="J320" t="str">
        <f>VLOOKUP(B320,baru!$B$2:$I$2271,4,FALSE)</f>
        <v>Reguler</v>
      </c>
      <c r="K320" t="str">
        <f>VLOOKUP(B320,baru!$B$2:$I$2271,5,FALSE)</f>
        <v>JAWA TENGAH</v>
      </c>
      <c r="L320" t="str">
        <f>VLOOKUP(B320,baru!$B$2:$I$2271,6,FALSE)</f>
        <v>BREBES</v>
      </c>
    </row>
    <row r="321" spans="1:12" x14ac:dyDescent="0.35">
      <c r="A321" s="6">
        <v>2160242</v>
      </c>
      <c r="B321" s="7" t="str">
        <f>"3328115103870004"</f>
        <v>3328115103870004</v>
      </c>
      <c r="C321" s="7" t="s">
        <v>3867</v>
      </c>
      <c r="D321" s="7" t="s">
        <v>10</v>
      </c>
      <c r="E321" s="7" t="s">
        <v>11</v>
      </c>
      <c r="F321" s="7" t="s">
        <v>18</v>
      </c>
      <c r="G321" s="7" t="s">
        <v>19</v>
      </c>
      <c r="H321" s="7" t="s">
        <v>348</v>
      </c>
      <c r="I321" s="8" t="s">
        <v>3696</v>
      </c>
      <c r="J321" t="str">
        <f>VLOOKUP(B321,baru!$B$2:$I$2271,4,FALSE)</f>
        <v>Reguler</v>
      </c>
      <c r="K321" t="str">
        <f>VLOOKUP(B321,baru!$B$2:$I$2271,5,FALSE)</f>
        <v>JAWA TENGAH</v>
      </c>
      <c r="L321" t="str">
        <f>VLOOKUP(B321,baru!$B$2:$I$2271,6,FALSE)</f>
        <v>CILACAP</v>
      </c>
    </row>
    <row r="322" spans="1:12" x14ac:dyDescent="0.35">
      <c r="A322" s="6">
        <v>2233965</v>
      </c>
      <c r="B322" s="7" t="str">
        <f>"3328115204940004"</f>
        <v>3328115204940004</v>
      </c>
      <c r="C322" s="7" t="s">
        <v>3869</v>
      </c>
      <c r="D322" s="7" t="s">
        <v>189</v>
      </c>
      <c r="E322" s="7" t="s">
        <v>11</v>
      </c>
      <c r="F322" s="7" t="s">
        <v>18</v>
      </c>
      <c r="G322" s="7" t="s">
        <v>19</v>
      </c>
      <c r="H322" s="7" t="s">
        <v>348</v>
      </c>
      <c r="I322" s="8" t="s">
        <v>459</v>
      </c>
      <c r="J322" t="str">
        <f>VLOOKUP(B322,baru!$B$2:$I$2271,4,FALSE)</f>
        <v>Reguler</v>
      </c>
      <c r="K322" t="str">
        <f>VLOOKUP(B322,baru!$B$2:$I$2271,5,FALSE)</f>
        <v>JAWA TENGAH</v>
      </c>
      <c r="L322" t="str">
        <f>VLOOKUP(B322,baru!$B$2:$I$2271,6,FALSE)</f>
        <v>KOTA TEGAL</v>
      </c>
    </row>
    <row r="323" spans="1:12" x14ac:dyDescent="0.35">
      <c r="A323" s="6">
        <v>2161777</v>
      </c>
      <c r="B323" s="7" t="str">
        <f>"3328115210870007"</f>
        <v>3328115210870007</v>
      </c>
      <c r="C323" s="7" t="s">
        <v>3870</v>
      </c>
      <c r="D323" s="7" t="s">
        <v>10</v>
      </c>
      <c r="E323" s="7" t="s">
        <v>11</v>
      </c>
      <c r="F323" s="7" t="s">
        <v>18</v>
      </c>
      <c r="G323" s="7" t="s">
        <v>19</v>
      </c>
      <c r="H323" s="7" t="s">
        <v>348</v>
      </c>
      <c r="I323" s="8" t="s">
        <v>3696</v>
      </c>
      <c r="J323" t="str">
        <f>VLOOKUP(B323,baru!$B$2:$I$2271,4,FALSE)</f>
        <v>Reguler</v>
      </c>
      <c r="K323" t="str">
        <f>VLOOKUP(B323,baru!$B$2:$I$2271,5,FALSE)</f>
        <v>JAWA BARAT</v>
      </c>
      <c r="L323" t="str">
        <f>VLOOKUP(B323,baru!$B$2:$I$2271,6,FALSE)</f>
        <v>KARAWANG</v>
      </c>
    </row>
    <row r="324" spans="1:12" x14ac:dyDescent="0.35">
      <c r="A324" s="6">
        <v>2174326</v>
      </c>
      <c r="B324" s="7" t="str">
        <f>"3328115304780001"</f>
        <v>3328115304780001</v>
      </c>
      <c r="C324" s="7" t="s">
        <v>3871</v>
      </c>
      <c r="D324" s="7" t="s">
        <v>10</v>
      </c>
      <c r="E324" s="7" t="s">
        <v>11</v>
      </c>
      <c r="F324" s="7" t="s">
        <v>18</v>
      </c>
      <c r="G324" s="7" t="s">
        <v>19</v>
      </c>
      <c r="H324" s="7" t="s">
        <v>348</v>
      </c>
      <c r="I324" s="8" t="s">
        <v>3872</v>
      </c>
      <c r="J324" t="str">
        <f>VLOOKUP(B324,baru!$B$2:$I$2271,4,FALSE)</f>
        <v>Reguler</v>
      </c>
      <c r="K324" t="str">
        <f>VLOOKUP(B324,baru!$B$2:$I$2271,5,FALSE)</f>
        <v>JAWA TENGAH</v>
      </c>
      <c r="L324" t="str">
        <f>VLOOKUP(B324,baru!$B$2:$I$2271,6,FALSE)</f>
        <v>BREBES</v>
      </c>
    </row>
    <row r="325" spans="1:12" x14ac:dyDescent="0.35">
      <c r="A325" s="6">
        <v>2381283</v>
      </c>
      <c r="B325" s="7" t="str">
        <f>"3328115405980004"</f>
        <v>3328115405980004</v>
      </c>
      <c r="C325" s="7" t="s">
        <v>3876</v>
      </c>
      <c r="D325" s="7" t="s">
        <v>10</v>
      </c>
      <c r="E325" s="7" t="s">
        <v>11</v>
      </c>
      <c r="F325" s="7" t="s">
        <v>18</v>
      </c>
      <c r="G325" s="7" t="s">
        <v>19</v>
      </c>
      <c r="H325" s="7" t="s">
        <v>348</v>
      </c>
      <c r="I325" s="8" t="s">
        <v>348</v>
      </c>
      <c r="J325" t="str">
        <f>VLOOKUP(B325,baru!$B$2:$I$2271,4,FALSE)</f>
        <v>Reguler</v>
      </c>
      <c r="K325" t="str">
        <f>VLOOKUP(B325,baru!$B$2:$I$2271,5,FALSE)</f>
        <v>JAWA TENGAH</v>
      </c>
      <c r="L325" t="str">
        <f>VLOOKUP(B325,baru!$B$2:$I$2271,6,FALSE)</f>
        <v>KOTA TEGAL</v>
      </c>
    </row>
    <row r="326" spans="1:12" x14ac:dyDescent="0.35">
      <c r="A326" s="6">
        <v>2115887</v>
      </c>
      <c r="B326" s="7" t="str">
        <f>"3328115512960004"</f>
        <v>3328115512960004</v>
      </c>
      <c r="C326" s="7" t="s">
        <v>3878</v>
      </c>
      <c r="D326" s="7" t="s">
        <v>10</v>
      </c>
      <c r="E326" s="7" t="s">
        <v>11</v>
      </c>
      <c r="F326" s="7" t="s">
        <v>18</v>
      </c>
      <c r="G326" s="7" t="s">
        <v>19</v>
      </c>
      <c r="H326" s="7" t="s">
        <v>348</v>
      </c>
      <c r="I326" s="8" t="s">
        <v>1777</v>
      </c>
      <c r="J326" t="str">
        <f>VLOOKUP(B326,baru!$B$2:$I$2271,4,FALSE)</f>
        <v>Reguler</v>
      </c>
      <c r="K326" t="str">
        <f>VLOOKUP(B326,baru!$B$2:$I$2271,5,FALSE)</f>
        <v>JAWA BARAT</v>
      </c>
      <c r="L326" t="str">
        <f>VLOOKUP(B326,baru!$B$2:$I$2271,6,FALSE)</f>
        <v>SUBANG</v>
      </c>
    </row>
    <row r="327" spans="1:12" x14ac:dyDescent="0.35">
      <c r="A327" s="6">
        <v>2157387</v>
      </c>
      <c r="B327" s="7" t="str">
        <f>"3328116001000013"</f>
        <v>3328116001000013</v>
      </c>
      <c r="C327" s="7" t="s">
        <v>3887</v>
      </c>
      <c r="D327" s="7" t="s">
        <v>189</v>
      </c>
      <c r="E327" s="7" t="s">
        <v>11</v>
      </c>
      <c r="F327" s="7" t="s">
        <v>18</v>
      </c>
      <c r="G327" s="7" t="s">
        <v>19</v>
      </c>
      <c r="H327" s="7" t="s">
        <v>348</v>
      </c>
      <c r="I327" s="8" t="s">
        <v>3688</v>
      </c>
      <c r="J327" t="str">
        <f>VLOOKUP(B327,baru!$B$2:$I$2271,4,FALSE)</f>
        <v>Reguler</v>
      </c>
      <c r="K327" t="str">
        <f>VLOOKUP(B327,baru!$B$2:$I$2271,5,FALSE)</f>
        <v>DKI JAKARTA</v>
      </c>
      <c r="L327" t="str">
        <f>VLOOKUP(B327,baru!$B$2:$I$2271,6,FALSE)</f>
        <v>KOTA JAKARTA SELATAN</v>
      </c>
    </row>
    <row r="328" spans="1:12" x14ac:dyDescent="0.35">
      <c r="A328" s="6">
        <v>2036139</v>
      </c>
      <c r="B328" s="7" t="str">
        <f>"3328116009020006"</f>
        <v>3328116009020006</v>
      </c>
      <c r="C328" s="7" t="s">
        <v>3888</v>
      </c>
      <c r="D328" s="7" t="s">
        <v>189</v>
      </c>
      <c r="E328" s="7" t="s">
        <v>11</v>
      </c>
      <c r="F328" s="7" t="s">
        <v>18</v>
      </c>
      <c r="G328" s="7" t="s">
        <v>19</v>
      </c>
      <c r="H328" s="7" t="s">
        <v>348</v>
      </c>
      <c r="I328" s="8" t="s">
        <v>3721</v>
      </c>
      <c r="J328" t="str">
        <f>VLOOKUP(B328,baru!$B$2:$I$2271,4,FALSE)</f>
        <v>Reguler</v>
      </c>
      <c r="K328" t="str">
        <f>VLOOKUP(B328,baru!$B$2:$I$2271,5,FALSE)</f>
        <v>BANTEN</v>
      </c>
      <c r="L328" t="str">
        <f>VLOOKUP(B328,baru!$B$2:$I$2271,6,FALSE)</f>
        <v>LEBAK</v>
      </c>
    </row>
    <row r="329" spans="1:12" x14ac:dyDescent="0.35">
      <c r="A329" s="6">
        <v>2090940</v>
      </c>
      <c r="B329" s="7" t="str">
        <f>"3328116010780009"</f>
        <v>3328116010780009</v>
      </c>
      <c r="C329" s="7" t="s">
        <v>3891</v>
      </c>
      <c r="D329" s="7" t="s">
        <v>189</v>
      </c>
      <c r="E329" s="7" t="s">
        <v>11</v>
      </c>
      <c r="F329" s="7" t="s">
        <v>18</v>
      </c>
      <c r="G329" s="7" t="s">
        <v>19</v>
      </c>
      <c r="H329" s="7" t="s">
        <v>348</v>
      </c>
      <c r="I329" s="8" t="s">
        <v>3660</v>
      </c>
      <c r="J329" t="str">
        <f>VLOOKUP(B329,baru!$B$2:$I$2271,4,FALSE)</f>
        <v>Reguler</v>
      </c>
      <c r="K329" t="str">
        <f>VLOOKUP(B329,baru!$B$2:$I$2271,5,FALSE)</f>
        <v>DKI JAKARTA</v>
      </c>
      <c r="L329" t="str">
        <f>VLOOKUP(B329,baru!$B$2:$I$2271,6,FALSE)</f>
        <v>KOTA JAKARTA SELATAN</v>
      </c>
    </row>
    <row r="330" spans="1:12" x14ac:dyDescent="0.35">
      <c r="A330" s="6">
        <v>2038010</v>
      </c>
      <c r="B330" s="7" t="str">
        <f>"3328116708990008"</f>
        <v>3328116708990008</v>
      </c>
      <c r="C330" s="7" t="s">
        <v>3900</v>
      </c>
      <c r="D330" s="7" t="s">
        <v>10</v>
      </c>
      <c r="E330" s="7" t="s">
        <v>11</v>
      </c>
      <c r="F330" s="7" t="s">
        <v>18</v>
      </c>
      <c r="G330" s="7" t="s">
        <v>19</v>
      </c>
      <c r="H330" s="7" t="s">
        <v>348</v>
      </c>
      <c r="I330" s="8" t="s">
        <v>3721</v>
      </c>
      <c r="J330" t="str">
        <f>VLOOKUP(B330,baru!$B$2:$I$2271,4,FALSE)</f>
        <v>Reguler</v>
      </c>
      <c r="K330" t="str">
        <f>VLOOKUP(B330,baru!$B$2:$I$2271,5,FALSE)</f>
        <v>JAWA TENGAH</v>
      </c>
      <c r="L330" t="str">
        <f>VLOOKUP(B330,baru!$B$2:$I$2271,6,FALSE)</f>
        <v>KARANGANYAR</v>
      </c>
    </row>
    <row r="331" spans="1:12" x14ac:dyDescent="0.35">
      <c r="A331" s="6">
        <v>2048679</v>
      </c>
      <c r="B331" s="7" t="str">
        <f>"3328116809790001"</f>
        <v>3328116809790001</v>
      </c>
      <c r="C331" s="7" t="s">
        <v>3904</v>
      </c>
      <c r="D331" s="7" t="s">
        <v>10</v>
      </c>
      <c r="E331" s="7" t="s">
        <v>11</v>
      </c>
      <c r="F331" s="7" t="s">
        <v>18</v>
      </c>
      <c r="G331" s="7" t="s">
        <v>19</v>
      </c>
      <c r="H331" s="7" t="s">
        <v>348</v>
      </c>
      <c r="I331" s="8" t="s">
        <v>3670</v>
      </c>
      <c r="J331" t="str">
        <f>VLOOKUP(B331,baru!$B$2:$I$2271,4,FALSE)</f>
        <v>Reguler</v>
      </c>
      <c r="K331" t="str">
        <f>VLOOKUP(B331,baru!$B$2:$I$2271,5,FALSE)</f>
        <v>JAWA TENGAH</v>
      </c>
      <c r="L331" t="str">
        <f>VLOOKUP(B331,baru!$B$2:$I$2271,6,FALSE)</f>
        <v>BANYUMAS</v>
      </c>
    </row>
    <row r="332" spans="1:12" x14ac:dyDescent="0.35">
      <c r="A332" s="6">
        <v>2135014</v>
      </c>
      <c r="B332" s="7" t="str">
        <f>"3328117012850008"</f>
        <v>3328117012850008</v>
      </c>
      <c r="C332" s="7" t="s">
        <v>3909</v>
      </c>
      <c r="D332" s="7" t="s">
        <v>10</v>
      </c>
      <c r="E332" s="7" t="s">
        <v>11</v>
      </c>
      <c r="F332" s="7" t="s">
        <v>18</v>
      </c>
      <c r="G332" s="7" t="s">
        <v>19</v>
      </c>
      <c r="H332" s="7" t="s">
        <v>348</v>
      </c>
      <c r="I332" s="8" t="s">
        <v>3677</v>
      </c>
      <c r="J332" t="str">
        <f>VLOOKUP(B332,baru!$B$2:$I$2271,4,FALSE)</f>
        <v>Reguler</v>
      </c>
      <c r="K332" t="str">
        <f>VLOOKUP(B332,baru!$B$2:$I$2271,5,FALSE)</f>
        <v>JAWA TENGAH</v>
      </c>
      <c r="L332" t="str">
        <f>VLOOKUP(B332,baru!$B$2:$I$2271,6,FALSE)</f>
        <v>KARANGANYAR</v>
      </c>
    </row>
    <row r="333" spans="1:12" x14ac:dyDescent="0.35">
      <c r="A333" s="6">
        <v>2153105</v>
      </c>
      <c r="B333" s="7" t="str">
        <f>"3328117103990007"</f>
        <v>3328117103990007</v>
      </c>
      <c r="C333" s="7" t="s">
        <v>3910</v>
      </c>
      <c r="D333" s="7" t="s">
        <v>10</v>
      </c>
      <c r="E333" s="7" t="s">
        <v>11</v>
      </c>
      <c r="F333" s="7" t="s">
        <v>18</v>
      </c>
      <c r="G333" s="7" t="s">
        <v>19</v>
      </c>
      <c r="H333" s="7" t="s">
        <v>348</v>
      </c>
      <c r="I333" s="8" t="s">
        <v>3688</v>
      </c>
      <c r="J333" t="str">
        <f>VLOOKUP(B333,baru!$B$2:$I$2271,4,FALSE)</f>
        <v>Reguler</v>
      </c>
      <c r="K333" t="str">
        <f>VLOOKUP(B333,baru!$B$2:$I$2271,5,FALSE)</f>
        <v>JAWA TENGAH</v>
      </c>
      <c r="L333" t="str">
        <f>VLOOKUP(B333,baru!$B$2:$I$2271,6,FALSE)</f>
        <v>BREBES</v>
      </c>
    </row>
    <row r="334" spans="1:12" x14ac:dyDescent="0.35">
      <c r="A334" s="6">
        <v>2152255</v>
      </c>
      <c r="B334" s="7" t="str">
        <f>"3328130412010005"</f>
        <v>3328130412010005</v>
      </c>
      <c r="C334" s="7" t="s">
        <v>3918</v>
      </c>
      <c r="D334" s="7" t="s">
        <v>10</v>
      </c>
      <c r="E334" s="7" t="s">
        <v>11</v>
      </c>
      <c r="F334" s="7" t="s">
        <v>18</v>
      </c>
      <c r="G334" s="7" t="s">
        <v>19</v>
      </c>
      <c r="H334" s="7" t="s">
        <v>348</v>
      </c>
      <c r="I334" s="8" t="s">
        <v>3688</v>
      </c>
      <c r="J334" t="str">
        <f>VLOOKUP(B334,baru!$B$2:$I$2271,4,FALSE)</f>
        <v>Reguler</v>
      </c>
      <c r="K334" t="str">
        <f>VLOOKUP(B334,baru!$B$2:$I$2271,5,FALSE)</f>
        <v>DKI JAKARTA</v>
      </c>
      <c r="L334" t="str">
        <f>VLOOKUP(B334,baru!$B$2:$I$2271,6,FALSE)</f>
        <v>KOTA JAKARTA BARAT</v>
      </c>
    </row>
    <row r="335" spans="1:12" x14ac:dyDescent="0.35">
      <c r="A335" s="6">
        <v>2152384</v>
      </c>
      <c r="B335" s="7" t="str">
        <f>"3328134810830003"</f>
        <v>3328134810830003</v>
      </c>
      <c r="C335" s="7" t="s">
        <v>3921</v>
      </c>
      <c r="D335" s="7" t="s">
        <v>10</v>
      </c>
      <c r="E335" s="7" t="s">
        <v>11</v>
      </c>
      <c r="F335" s="7" t="s">
        <v>18</v>
      </c>
      <c r="G335" s="7" t="s">
        <v>19</v>
      </c>
      <c r="H335" s="7" t="s">
        <v>348</v>
      </c>
      <c r="I335" s="8" t="s">
        <v>3688</v>
      </c>
      <c r="J335" t="str">
        <f>VLOOKUP(B335,baru!$B$2:$I$2271,4,FALSE)</f>
        <v>Reguler</v>
      </c>
      <c r="K335" t="str">
        <f>VLOOKUP(B335,baru!$B$2:$I$2271,5,FALSE)</f>
        <v>DKI JAKARTA</v>
      </c>
      <c r="L335" t="str">
        <f>VLOOKUP(B335,baru!$B$2:$I$2271,6,FALSE)</f>
        <v>KOTA JAKARTA BARAT</v>
      </c>
    </row>
    <row r="336" spans="1:12" x14ac:dyDescent="0.35">
      <c r="A336" s="6">
        <v>2235059</v>
      </c>
      <c r="B336" s="7" t="str">
        <f>"3329070809990002"</f>
        <v>3329070809990002</v>
      </c>
      <c r="C336" s="7" t="s">
        <v>3932</v>
      </c>
      <c r="D336" s="7" t="s">
        <v>10</v>
      </c>
      <c r="E336" s="7" t="s">
        <v>11</v>
      </c>
      <c r="F336" s="7" t="s">
        <v>18</v>
      </c>
      <c r="G336" s="7" t="s">
        <v>19</v>
      </c>
      <c r="H336" s="7" t="s">
        <v>348</v>
      </c>
      <c r="I336" s="8" t="s">
        <v>459</v>
      </c>
      <c r="J336" t="str">
        <f>VLOOKUP(B336,baru!$B$2:$I$2271,4,FALSE)</f>
        <v>Reguler</v>
      </c>
      <c r="K336" t="str">
        <f>VLOOKUP(B336,baru!$B$2:$I$2271,5,FALSE)</f>
        <v>JAWA TENGAH</v>
      </c>
      <c r="L336" t="str">
        <f>VLOOKUP(B336,baru!$B$2:$I$2271,6,FALSE)</f>
        <v>BREBES</v>
      </c>
    </row>
    <row r="337" spans="1:12" x14ac:dyDescent="0.35">
      <c r="A337" s="6">
        <v>2055679</v>
      </c>
      <c r="B337" s="7" t="str">
        <f>"3329071306510001"</f>
        <v>3329071306510001</v>
      </c>
      <c r="C337" s="7" t="s">
        <v>3934</v>
      </c>
      <c r="D337" s="7" t="s">
        <v>10</v>
      </c>
      <c r="E337" s="7" t="s">
        <v>11</v>
      </c>
      <c r="F337" s="7" t="s">
        <v>18</v>
      </c>
      <c r="G337" s="7" t="s">
        <v>19</v>
      </c>
      <c r="H337" s="7" t="s">
        <v>348</v>
      </c>
      <c r="I337" s="8" t="s">
        <v>3658</v>
      </c>
      <c r="J337" t="str">
        <f>VLOOKUP(B337,baru!$B$2:$I$2271,4,FALSE)</f>
        <v>Reguler</v>
      </c>
      <c r="K337" t="str">
        <f>VLOOKUP(B337,baru!$B$2:$I$2271,5,FALSE)</f>
        <v>JAWA TENGAH</v>
      </c>
      <c r="L337" t="str">
        <f>VLOOKUP(B337,baru!$B$2:$I$2271,6,FALSE)</f>
        <v>BREBES</v>
      </c>
    </row>
    <row r="338" spans="1:12" x14ac:dyDescent="0.35">
      <c r="A338" s="6">
        <v>2055678</v>
      </c>
      <c r="B338" s="7" t="str">
        <f>"3329075405550002"</f>
        <v>3329075405550002</v>
      </c>
      <c r="C338" s="7" t="s">
        <v>3937</v>
      </c>
      <c r="D338" s="7" t="s">
        <v>10</v>
      </c>
      <c r="E338" s="7" t="s">
        <v>11</v>
      </c>
      <c r="F338" s="7" t="s">
        <v>18</v>
      </c>
      <c r="G338" s="7" t="s">
        <v>19</v>
      </c>
      <c r="H338" s="7" t="s">
        <v>348</v>
      </c>
      <c r="I338" s="8" t="s">
        <v>3658</v>
      </c>
      <c r="J338" t="str">
        <f>VLOOKUP(B338,baru!$B$2:$I$2271,4,FALSE)</f>
        <v>Reguler</v>
      </c>
      <c r="K338" t="str">
        <f>VLOOKUP(B338,baru!$B$2:$I$2271,5,FALSE)</f>
        <v>JAWA TENGAH</v>
      </c>
      <c r="L338" t="str">
        <f>VLOOKUP(B338,baru!$B$2:$I$2271,6,FALSE)</f>
        <v>BREBES</v>
      </c>
    </row>
    <row r="339" spans="1:12" x14ac:dyDescent="0.35">
      <c r="A339" s="6">
        <v>2234807</v>
      </c>
      <c r="B339" s="7" t="str">
        <f>"3329083012790006"</f>
        <v>3329083012790006</v>
      </c>
      <c r="C339" s="7" t="s">
        <v>3940</v>
      </c>
      <c r="D339" s="7" t="s">
        <v>10</v>
      </c>
      <c r="E339" s="7" t="s">
        <v>11</v>
      </c>
      <c r="F339" s="7" t="s">
        <v>18</v>
      </c>
      <c r="G339" s="7" t="s">
        <v>19</v>
      </c>
      <c r="H339" s="7" t="s">
        <v>348</v>
      </c>
      <c r="I339" s="8" t="s">
        <v>459</v>
      </c>
      <c r="J339" t="str">
        <f>VLOOKUP(B339,baru!$B$2:$I$2271,4,FALSE)</f>
        <v>Reguler</v>
      </c>
      <c r="K339" t="str">
        <f>VLOOKUP(B339,baru!$B$2:$I$2271,5,FALSE)</f>
        <v>JAWA TENGAH</v>
      </c>
      <c r="L339" t="str">
        <f>VLOOKUP(B339,baru!$B$2:$I$2271,6,FALSE)</f>
        <v>BREBES</v>
      </c>
    </row>
    <row r="340" spans="1:12" x14ac:dyDescent="0.35">
      <c r="A340" s="6">
        <v>2234078</v>
      </c>
      <c r="B340" s="7" t="str">
        <f>"3329094107480265"</f>
        <v>3329094107480265</v>
      </c>
      <c r="C340" s="7" t="s">
        <v>3946</v>
      </c>
      <c r="D340" s="7" t="s">
        <v>189</v>
      </c>
      <c r="E340" s="7" t="s">
        <v>11</v>
      </c>
      <c r="F340" s="7" t="s">
        <v>18</v>
      </c>
      <c r="G340" s="7" t="s">
        <v>19</v>
      </c>
      <c r="H340" s="7" t="s">
        <v>348</v>
      </c>
      <c r="I340" s="8" t="s">
        <v>459</v>
      </c>
      <c r="J340" t="str">
        <f>VLOOKUP(B340,baru!$B$2:$I$2271,4,FALSE)</f>
        <v>Reguler</v>
      </c>
      <c r="K340" t="str">
        <f>VLOOKUP(B340,baru!$B$2:$I$2271,5,FALSE)</f>
        <v>JAWA TENGAH</v>
      </c>
      <c r="L340" t="str">
        <f>VLOOKUP(B340,baru!$B$2:$I$2271,6,FALSE)</f>
        <v>BREBES</v>
      </c>
    </row>
    <row r="341" spans="1:12" x14ac:dyDescent="0.35">
      <c r="A341" s="6">
        <v>2383044</v>
      </c>
      <c r="B341" s="7" t="str">
        <f>"3329106106950003"</f>
        <v>3329106106950003</v>
      </c>
      <c r="C341" s="7" t="s">
        <v>3948</v>
      </c>
      <c r="D341" s="7" t="s">
        <v>10</v>
      </c>
      <c r="E341" s="7" t="s">
        <v>11</v>
      </c>
      <c r="F341" s="7" t="s">
        <v>18</v>
      </c>
      <c r="G341" s="7" t="s">
        <v>19</v>
      </c>
      <c r="H341" s="7" t="s">
        <v>348</v>
      </c>
      <c r="I341" s="8" t="s">
        <v>348</v>
      </c>
      <c r="J341" t="str">
        <f>VLOOKUP(B341,baru!$B$2:$I$2271,4,FALSE)</f>
        <v>Reguler</v>
      </c>
      <c r="K341" t="str">
        <f>VLOOKUP(B341,baru!$B$2:$I$2271,5,FALSE)</f>
        <v>JAWA TENGAH</v>
      </c>
      <c r="L341" t="str">
        <f>VLOOKUP(B341,baru!$B$2:$I$2271,6,FALSE)</f>
        <v>BREBES</v>
      </c>
    </row>
    <row r="342" spans="1:12" x14ac:dyDescent="0.35">
      <c r="A342" s="6">
        <v>2231293</v>
      </c>
      <c r="B342" s="7" t="str">
        <f>"3329142808930001"</f>
        <v>3329142808930001</v>
      </c>
      <c r="C342" s="7" t="s">
        <v>3952</v>
      </c>
      <c r="D342" s="7" t="s">
        <v>10</v>
      </c>
      <c r="E342" s="7" t="s">
        <v>11</v>
      </c>
      <c r="F342" s="7" t="s">
        <v>18</v>
      </c>
      <c r="G342" s="7" t="s">
        <v>19</v>
      </c>
      <c r="H342" s="7" t="s">
        <v>348</v>
      </c>
      <c r="I342" s="8" t="s">
        <v>459</v>
      </c>
      <c r="J342" t="str">
        <f>VLOOKUP(B342,baru!$B$2:$I$2271,4,FALSE)</f>
        <v>Reguler</v>
      </c>
      <c r="K342" t="str">
        <f>VLOOKUP(B342,baru!$B$2:$I$2271,5,FALSE)</f>
        <v>JAWA TENGAH</v>
      </c>
      <c r="L342" t="str">
        <f>VLOOKUP(B342,baru!$B$2:$I$2271,6,FALSE)</f>
        <v>BREBES</v>
      </c>
    </row>
    <row r="343" spans="1:12" x14ac:dyDescent="0.35">
      <c r="A343" s="6">
        <v>2378622</v>
      </c>
      <c r="B343" s="7" t="str">
        <f>"3329145906840004"</f>
        <v>3329145906840004</v>
      </c>
      <c r="C343" s="7" t="s">
        <v>3956</v>
      </c>
      <c r="D343" s="7" t="s">
        <v>10</v>
      </c>
      <c r="E343" s="7" t="s">
        <v>11</v>
      </c>
      <c r="F343" s="7" t="s">
        <v>18</v>
      </c>
      <c r="G343" s="7" t="s">
        <v>19</v>
      </c>
      <c r="H343" s="7" t="s">
        <v>348</v>
      </c>
      <c r="I343" s="8" t="s">
        <v>348</v>
      </c>
      <c r="J343" t="str">
        <f>VLOOKUP(B343,baru!$B$2:$I$2271,4,FALSE)</f>
        <v>Reguler</v>
      </c>
      <c r="K343" t="str">
        <f>VLOOKUP(B343,baru!$B$2:$I$2271,5,FALSE)</f>
        <v>JAWA TENGAH</v>
      </c>
      <c r="L343" t="str">
        <f>VLOOKUP(B343,baru!$B$2:$I$2271,6,FALSE)</f>
        <v>GROBOGAN</v>
      </c>
    </row>
    <row r="344" spans="1:12" x14ac:dyDescent="0.35">
      <c r="A344" s="6">
        <v>2363379</v>
      </c>
      <c r="B344" s="7" t="str">
        <f>"3325035010870003"</f>
        <v>3325035010870003</v>
      </c>
      <c r="C344" s="7" t="s">
        <v>4061</v>
      </c>
      <c r="D344" s="7" t="s">
        <v>10</v>
      </c>
      <c r="E344" s="7" t="s">
        <v>11</v>
      </c>
      <c r="F344" s="7" t="s">
        <v>18</v>
      </c>
      <c r="G344" s="7" t="s">
        <v>19</v>
      </c>
      <c r="H344" s="7" t="s">
        <v>3354</v>
      </c>
      <c r="I344" s="8" t="s">
        <v>1309</v>
      </c>
      <c r="J344" t="str">
        <f>VLOOKUP(B344,baru!$B$2:$I$2271,4,FALSE)</f>
        <v>Reguler</v>
      </c>
      <c r="K344" t="str">
        <f>VLOOKUP(B344,baru!$B$2:$I$2271,5,FALSE)</f>
        <v>JAWA TENGAH</v>
      </c>
      <c r="L344" t="str">
        <f>VLOOKUP(B344,baru!$B$2:$I$2271,6,FALSE)</f>
        <v>BATANG</v>
      </c>
    </row>
    <row r="345" spans="1:12" x14ac:dyDescent="0.35">
      <c r="A345" s="6">
        <v>2201778</v>
      </c>
      <c r="B345" s="7" t="str">
        <f>"3326120708790001"</f>
        <v>3326120708790001</v>
      </c>
      <c r="C345" s="7" t="s">
        <v>4068</v>
      </c>
      <c r="D345" s="7" t="s">
        <v>10</v>
      </c>
      <c r="E345" s="7" t="s">
        <v>11</v>
      </c>
      <c r="F345" s="7" t="s">
        <v>18</v>
      </c>
      <c r="G345" s="7" t="s">
        <v>19</v>
      </c>
      <c r="H345" s="7" t="s">
        <v>3354</v>
      </c>
      <c r="I345" s="8" t="s">
        <v>1954</v>
      </c>
      <c r="J345" t="str">
        <f>VLOOKUP(B345,baru!$B$2:$I$2271,4,FALSE)</f>
        <v>Reguler</v>
      </c>
      <c r="K345" t="str">
        <f>VLOOKUP(B345,baru!$B$2:$I$2271,5,FALSE)</f>
        <v>JAWA TENGAH</v>
      </c>
      <c r="L345" t="str">
        <f>VLOOKUP(B345,baru!$B$2:$I$2271,6,FALSE)</f>
        <v>PEKALONGAN</v>
      </c>
    </row>
    <row r="346" spans="1:12" x14ac:dyDescent="0.35">
      <c r="A346" s="6">
        <v>2201779</v>
      </c>
      <c r="B346" s="7" t="str">
        <f>"3327015712870001"</f>
        <v>3327015712870001</v>
      </c>
      <c r="C346" s="7" t="s">
        <v>4070</v>
      </c>
      <c r="D346" s="7" t="s">
        <v>10</v>
      </c>
      <c r="E346" s="7" t="s">
        <v>11</v>
      </c>
      <c r="F346" s="7" t="s">
        <v>18</v>
      </c>
      <c r="G346" s="7" t="s">
        <v>19</v>
      </c>
      <c r="H346" s="7" t="s">
        <v>3354</v>
      </c>
      <c r="I346" s="8" t="s">
        <v>1954</v>
      </c>
      <c r="J346" t="str">
        <f>VLOOKUP(B346,baru!$B$2:$I$2271,4,FALSE)</f>
        <v>Reguler</v>
      </c>
      <c r="K346" t="str">
        <f>VLOOKUP(B346,baru!$B$2:$I$2271,5,FALSE)</f>
        <v>JAWA TENGAH</v>
      </c>
      <c r="L346" t="str">
        <f>VLOOKUP(B346,baru!$B$2:$I$2271,6,FALSE)</f>
        <v>PEKALONGAN</v>
      </c>
    </row>
    <row r="347" spans="1:12" x14ac:dyDescent="0.35">
      <c r="A347" s="6">
        <v>2279149</v>
      </c>
      <c r="B347" s="7" t="str">
        <f>"3327022506960001"</f>
        <v>3327022506960001</v>
      </c>
      <c r="C347" s="7" t="s">
        <v>2920</v>
      </c>
      <c r="D347" s="7" t="s">
        <v>10</v>
      </c>
      <c r="E347" s="7" t="s">
        <v>11</v>
      </c>
      <c r="F347" s="7" t="s">
        <v>18</v>
      </c>
      <c r="G347" s="7" t="s">
        <v>19</v>
      </c>
      <c r="H347" s="7" t="s">
        <v>3354</v>
      </c>
      <c r="I347" s="8" t="s">
        <v>4040</v>
      </c>
      <c r="J347" t="str">
        <f>VLOOKUP(B347,baru!$B$2:$I$2271,4,FALSE)</f>
        <v>Reguler</v>
      </c>
      <c r="K347" t="str">
        <f>VLOOKUP(B347,baru!$B$2:$I$2271,5,FALSE)</f>
        <v>JAWA TENGAH</v>
      </c>
      <c r="L347" t="str">
        <f>VLOOKUP(B347,baru!$B$2:$I$2271,6,FALSE)</f>
        <v>PEMALANG</v>
      </c>
    </row>
    <row r="348" spans="1:12" x14ac:dyDescent="0.35">
      <c r="A348" s="6">
        <v>2224516</v>
      </c>
      <c r="B348" s="7" t="str">
        <f>"3328120211770003"</f>
        <v>3328120211770003</v>
      </c>
      <c r="C348" s="7" t="s">
        <v>1813</v>
      </c>
      <c r="D348" s="7" t="s">
        <v>10</v>
      </c>
      <c r="E348" s="7" t="s">
        <v>11</v>
      </c>
      <c r="F348" s="7" t="s">
        <v>18</v>
      </c>
      <c r="G348" s="7" t="s">
        <v>19</v>
      </c>
      <c r="H348" s="7" t="s">
        <v>3354</v>
      </c>
      <c r="I348" s="8" t="s">
        <v>4003</v>
      </c>
      <c r="J348" t="str">
        <f>VLOOKUP(B348,baru!$B$2:$I$2271,4,FALSE)</f>
        <v>Reguler</v>
      </c>
      <c r="K348" t="str">
        <f>VLOOKUP(B348,baru!$B$2:$I$2271,5,FALSE)</f>
        <v>JAWA TENGAH</v>
      </c>
      <c r="L348" t="str">
        <f>VLOOKUP(B348,baru!$B$2:$I$2271,6,FALSE)</f>
        <v>KOTA TEGAL</v>
      </c>
    </row>
    <row r="349" spans="1:12" x14ac:dyDescent="0.35">
      <c r="A349" s="6">
        <v>2227910</v>
      </c>
      <c r="B349" s="7" t="str">
        <f>"3328120402480001"</f>
        <v>3328120402480001</v>
      </c>
      <c r="C349" s="7" t="s">
        <v>508</v>
      </c>
      <c r="D349" s="7" t="s">
        <v>10</v>
      </c>
      <c r="E349" s="7" t="s">
        <v>11</v>
      </c>
      <c r="F349" s="7" t="s">
        <v>18</v>
      </c>
      <c r="G349" s="7" t="s">
        <v>19</v>
      </c>
      <c r="H349" s="7" t="s">
        <v>3354</v>
      </c>
      <c r="I349" s="8" t="s">
        <v>4049</v>
      </c>
      <c r="J349" t="str">
        <f>VLOOKUP(B349,baru!$B$2:$I$2271,4,FALSE)</f>
        <v>Reguler</v>
      </c>
      <c r="K349" t="str">
        <f>VLOOKUP(B349,baru!$B$2:$I$2271,5,FALSE)</f>
        <v>DKI JAKARTA</v>
      </c>
      <c r="L349" t="str">
        <f>VLOOKUP(B349,baru!$B$2:$I$2271,6,FALSE)</f>
        <v>KOTA JAKARTA UTARA</v>
      </c>
    </row>
    <row r="350" spans="1:12" x14ac:dyDescent="0.35">
      <c r="A350" s="6">
        <v>2194637</v>
      </c>
      <c r="B350" s="7" t="str">
        <f>"3328120410830002"</f>
        <v>3328120410830002</v>
      </c>
      <c r="C350" s="7" t="s">
        <v>4097</v>
      </c>
      <c r="D350" s="7" t="s">
        <v>10</v>
      </c>
      <c r="E350" s="7" t="s">
        <v>11</v>
      </c>
      <c r="F350" s="7" t="s">
        <v>18</v>
      </c>
      <c r="G350" s="7" t="s">
        <v>19</v>
      </c>
      <c r="H350" s="7" t="s">
        <v>3354</v>
      </c>
      <c r="I350" s="8" t="s">
        <v>4098</v>
      </c>
      <c r="J350" t="str">
        <f>VLOOKUP(B350,baru!$B$2:$I$2271,4,FALSE)</f>
        <v>Reguler</v>
      </c>
      <c r="K350" t="str">
        <f>VLOOKUP(B350,baru!$B$2:$I$2271,5,FALSE)</f>
        <v>JAWA TENGAH</v>
      </c>
      <c r="L350" t="str">
        <f>VLOOKUP(B350,baru!$B$2:$I$2271,6,FALSE)</f>
        <v>BREBES</v>
      </c>
    </row>
    <row r="351" spans="1:12" x14ac:dyDescent="0.35">
      <c r="A351" s="6">
        <v>2280142</v>
      </c>
      <c r="B351" s="7" t="str">
        <f>"3328121103990005"</f>
        <v>3328121103990005</v>
      </c>
      <c r="C351" s="7" t="s">
        <v>4115</v>
      </c>
      <c r="D351" s="7" t="s">
        <v>189</v>
      </c>
      <c r="E351" s="7" t="s">
        <v>11</v>
      </c>
      <c r="F351" s="7" t="s">
        <v>18</v>
      </c>
      <c r="G351" s="7" t="s">
        <v>19</v>
      </c>
      <c r="H351" s="7" t="s">
        <v>3354</v>
      </c>
      <c r="I351" s="8" t="s">
        <v>4040</v>
      </c>
      <c r="J351" t="str">
        <f>VLOOKUP(B351,baru!$B$2:$I$2271,4,FALSE)</f>
        <v>Reguler</v>
      </c>
      <c r="K351" t="str">
        <f>VLOOKUP(B351,baru!$B$2:$I$2271,5,FALSE)</f>
        <v>JAWA TENGAH</v>
      </c>
      <c r="L351" t="str">
        <f>VLOOKUP(B351,baru!$B$2:$I$2271,6,FALSE)</f>
        <v>KOTA TEGAL</v>
      </c>
    </row>
    <row r="352" spans="1:12" x14ac:dyDescent="0.35">
      <c r="A352" s="6">
        <v>2434437</v>
      </c>
      <c r="B352" s="7" t="str">
        <f>"3328121109950004"</f>
        <v>3328121109950004</v>
      </c>
      <c r="C352" s="7" t="s">
        <v>4116</v>
      </c>
      <c r="D352" s="7" t="s">
        <v>189</v>
      </c>
      <c r="E352" s="7" t="s">
        <v>11</v>
      </c>
      <c r="F352" s="7" t="s">
        <v>18</v>
      </c>
      <c r="G352" s="7" t="s">
        <v>19</v>
      </c>
      <c r="H352" s="7" t="s">
        <v>3354</v>
      </c>
      <c r="I352" s="8" t="s">
        <v>3999</v>
      </c>
      <c r="J352" t="str">
        <f>VLOOKUP(B352,baru!$B$2:$I$2271,4,FALSE)</f>
        <v>Reguler</v>
      </c>
      <c r="K352" t="str">
        <f>VLOOKUP(B352,baru!$B$2:$I$2271,5,FALSE)</f>
        <v>JAWA TENGAH</v>
      </c>
      <c r="L352" t="str">
        <f>VLOOKUP(B352,baru!$B$2:$I$2271,6,FALSE)</f>
        <v>KOTA SEMARANG</v>
      </c>
    </row>
    <row r="353" spans="1:12" x14ac:dyDescent="0.35">
      <c r="A353" s="6">
        <v>2186363</v>
      </c>
      <c r="B353" s="7" t="str">
        <f>"3328121110940007"</f>
        <v>3328121110940007</v>
      </c>
      <c r="C353" s="7" t="s">
        <v>4118</v>
      </c>
      <c r="D353" s="7" t="s">
        <v>10</v>
      </c>
      <c r="E353" s="7" t="s">
        <v>11</v>
      </c>
      <c r="F353" s="7" t="s">
        <v>18</v>
      </c>
      <c r="G353" s="7" t="s">
        <v>19</v>
      </c>
      <c r="H353" s="7" t="s">
        <v>3354</v>
      </c>
      <c r="I353" s="8" t="s">
        <v>4012</v>
      </c>
      <c r="J353" t="str">
        <f>VLOOKUP(B353,baru!$B$2:$I$2271,4,FALSE)</f>
        <v>Reguler</v>
      </c>
      <c r="K353" t="str">
        <f>VLOOKUP(B353,baru!$B$2:$I$2271,5,FALSE)</f>
        <v>JAWA TENGAH</v>
      </c>
      <c r="L353" t="str">
        <f>VLOOKUP(B353,baru!$B$2:$I$2271,6,FALSE)</f>
        <v>KOTA TEGAL</v>
      </c>
    </row>
    <row r="354" spans="1:12" x14ac:dyDescent="0.35">
      <c r="A354" s="6">
        <v>2190509</v>
      </c>
      <c r="B354" s="7" t="str">
        <f>"3328121906760005"</f>
        <v>3328121906760005</v>
      </c>
      <c r="C354" s="7" t="s">
        <v>4131</v>
      </c>
      <c r="D354" s="7" t="s">
        <v>10</v>
      </c>
      <c r="E354" s="7" t="s">
        <v>11</v>
      </c>
      <c r="F354" s="7" t="s">
        <v>18</v>
      </c>
      <c r="G354" s="7" t="s">
        <v>19</v>
      </c>
      <c r="H354" s="7" t="s">
        <v>3354</v>
      </c>
      <c r="I354" s="8" t="s">
        <v>4014</v>
      </c>
      <c r="J354" t="str">
        <f>VLOOKUP(B354,baru!$B$2:$I$2271,4,FALSE)</f>
        <v>Reguler</v>
      </c>
      <c r="K354" t="str">
        <f>VLOOKUP(B354,baru!$B$2:$I$2271,5,FALSE)</f>
        <v>JAWA TENGAH</v>
      </c>
      <c r="L354" t="str">
        <f>VLOOKUP(B354,baru!$B$2:$I$2271,6,FALSE)</f>
        <v>PEKALONGAN</v>
      </c>
    </row>
    <row r="355" spans="1:12" x14ac:dyDescent="0.35">
      <c r="A355" s="6">
        <v>2285474</v>
      </c>
      <c r="B355" s="7" t="str">
        <f>"3328122006940008"</f>
        <v>3328122006940008</v>
      </c>
      <c r="C355" s="7" t="s">
        <v>4140</v>
      </c>
      <c r="D355" s="7" t="s">
        <v>10</v>
      </c>
      <c r="E355" s="7" t="s">
        <v>11</v>
      </c>
      <c r="F355" s="7" t="s">
        <v>18</v>
      </c>
      <c r="G355" s="7" t="s">
        <v>19</v>
      </c>
      <c r="H355" s="7" t="s">
        <v>3354</v>
      </c>
      <c r="I355" s="8" t="s">
        <v>4040</v>
      </c>
      <c r="J355" t="str">
        <f>VLOOKUP(B355,baru!$B$2:$I$2271,4,FALSE)</f>
        <v>Reguler</v>
      </c>
      <c r="K355" t="str">
        <f>VLOOKUP(B355,baru!$B$2:$I$2271,5,FALSE)</f>
        <v>DKI JAKARTA</v>
      </c>
      <c r="L355" t="str">
        <f>VLOOKUP(B355,baru!$B$2:$I$2271,6,FALSE)</f>
        <v>KOTA JAKARTA TIMUR</v>
      </c>
    </row>
    <row r="356" spans="1:12" x14ac:dyDescent="0.35">
      <c r="A356" s="6">
        <v>2194636</v>
      </c>
      <c r="B356" s="7" t="str">
        <f>"3328122809060004"</f>
        <v>3328122809060004</v>
      </c>
      <c r="C356" s="7" t="s">
        <v>4154</v>
      </c>
      <c r="D356" s="7" t="s">
        <v>189</v>
      </c>
      <c r="E356" s="7" t="s">
        <v>11</v>
      </c>
      <c r="F356" s="7" t="s">
        <v>18</v>
      </c>
      <c r="G356" s="7" t="s">
        <v>19</v>
      </c>
      <c r="H356" s="7" t="s">
        <v>3354</v>
      </c>
      <c r="I356" s="8" t="s">
        <v>4098</v>
      </c>
      <c r="J356" t="str">
        <f>VLOOKUP(B356,baru!$B$2:$I$2271,4,FALSE)</f>
        <v>Reguler</v>
      </c>
      <c r="K356" t="str">
        <f>VLOOKUP(B356,baru!$B$2:$I$2271,5,FALSE)</f>
        <v>JAWA TENGAH</v>
      </c>
      <c r="L356" t="str">
        <f>VLOOKUP(B356,baru!$B$2:$I$2271,6,FALSE)</f>
        <v>BREBES</v>
      </c>
    </row>
    <row r="357" spans="1:12" x14ac:dyDescent="0.35">
      <c r="A357" s="6">
        <v>2364349</v>
      </c>
      <c r="B357" s="7" t="str">
        <f>"3328122812990003"</f>
        <v>3328122812990003</v>
      </c>
      <c r="C357" s="7" t="s">
        <v>1049</v>
      </c>
      <c r="D357" s="7" t="s">
        <v>10</v>
      </c>
      <c r="E357" s="7" t="s">
        <v>11</v>
      </c>
      <c r="F357" s="7" t="s">
        <v>18</v>
      </c>
      <c r="G357" s="7" t="s">
        <v>19</v>
      </c>
      <c r="H357" s="7" t="s">
        <v>3354</v>
      </c>
      <c r="I357" s="8" t="s">
        <v>1309</v>
      </c>
      <c r="J357" t="str">
        <f>VLOOKUP(B357,baru!$B$2:$I$2271,4,FALSE)</f>
        <v>Reguler</v>
      </c>
      <c r="K357" t="str">
        <f>VLOOKUP(B357,baru!$B$2:$I$2271,5,FALSE)</f>
        <v>JAWA TENGAH</v>
      </c>
      <c r="L357" t="str">
        <f>VLOOKUP(B357,baru!$B$2:$I$2271,6,FALSE)</f>
        <v>TEGAL</v>
      </c>
    </row>
    <row r="358" spans="1:12" x14ac:dyDescent="0.35">
      <c r="A358" s="6">
        <v>2187737</v>
      </c>
      <c r="B358" s="7" t="str">
        <f>"3328125506920006"</f>
        <v>3328125506920006</v>
      </c>
      <c r="C358" s="7" t="s">
        <v>4178</v>
      </c>
      <c r="D358" s="7" t="s">
        <v>10</v>
      </c>
      <c r="E358" s="7" t="s">
        <v>11</v>
      </c>
      <c r="F358" s="7" t="s">
        <v>18</v>
      </c>
      <c r="G358" s="7" t="s">
        <v>19</v>
      </c>
      <c r="H358" s="7" t="s">
        <v>3354</v>
      </c>
      <c r="I358" s="8" t="s">
        <v>4012</v>
      </c>
      <c r="J358" t="str">
        <f>VLOOKUP(B358,baru!$B$2:$I$2271,4,FALSE)</f>
        <v>Reguler</v>
      </c>
      <c r="K358" t="str">
        <f>VLOOKUP(B358,baru!$B$2:$I$2271,5,FALSE)</f>
        <v>JAWA TENGAH</v>
      </c>
      <c r="L358" t="str">
        <f>VLOOKUP(B358,baru!$B$2:$I$2271,6,FALSE)</f>
        <v>KOTA TEGAL</v>
      </c>
    </row>
    <row r="359" spans="1:12" x14ac:dyDescent="0.35">
      <c r="A359" s="6">
        <v>2429021</v>
      </c>
      <c r="B359" s="7" t="str">
        <f>"3328125507020003"</f>
        <v>3328125507020003</v>
      </c>
      <c r="C359" s="7" t="s">
        <v>4180</v>
      </c>
      <c r="D359" s="7" t="s">
        <v>10</v>
      </c>
      <c r="E359" s="7" t="s">
        <v>11</v>
      </c>
      <c r="F359" s="7" t="s">
        <v>18</v>
      </c>
      <c r="G359" s="7" t="s">
        <v>19</v>
      </c>
      <c r="H359" s="7" t="s">
        <v>3354</v>
      </c>
      <c r="I359" s="8" t="s">
        <v>3354</v>
      </c>
      <c r="J359" t="str">
        <f>VLOOKUP(B359,baru!$B$2:$I$2271,4,FALSE)</f>
        <v>Reguler</v>
      </c>
      <c r="K359" t="str">
        <f>VLOOKUP(B359,baru!$B$2:$I$2271,5,FALSE)</f>
        <v>JAWA TENGAH</v>
      </c>
      <c r="L359" t="str">
        <f>VLOOKUP(B359,baru!$B$2:$I$2271,6,FALSE)</f>
        <v>KARANGANYAR</v>
      </c>
    </row>
    <row r="360" spans="1:12" x14ac:dyDescent="0.35">
      <c r="A360" s="6">
        <v>2200166</v>
      </c>
      <c r="B360" s="7" t="str">
        <f>"3328125803000003"</f>
        <v>3328125803000003</v>
      </c>
      <c r="C360" s="7" t="s">
        <v>4185</v>
      </c>
      <c r="D360" s="7" t="s">
        <v>189</v>
      </c>
      <c r="E360" s="7" t="s">
        <v>11</v>
      </c>
      <c r="F360" s="7" t="s">
        <v>18</v>
      </c>
      <c r="G360" s="7" t="s">
        <v>19</v>
      </c>
      <c r="H360" s="7" t="s">
        <v>3354</v>
      </c>
      <c r="I360" s="8" t="s">
        <v>1954</v>
      </c>
      <c r="J360" t="str">
        <f>VLOOKUP(B360,baru!$B$2:$I$2271,4,FALSE)</f>
        <v>Reguler</v>
      </c>
      <c r="K360" t="str">
        <f>VLOOKUP(B360,baru!$B$2:$I$2271,5,FALSE)</f>
        <v>JAWA TENGAH</v>
      </c>
      <c r="L360" t="str">
        <f>VLOOKUP(B360,baru!$B$2:$I$2271,6,FALSE)</f>
        <v>TEGAL</v>
      </c>
    </row>
    <row r="361" spans="1:12" x14ac:dyDescent="0.35">
      <c r="A361" s="6">
        <v>2208095</v>
      </c>
      <c r="B361" s="7" t="str">
        <f>"3328126001860001"</f>
        <v>3328126001860001</v>
      </c>
      <c r="C361" s="7" t="s">
        <v>4187</v>
      </c>
      <c r="D361" s="7" t="s">
        <v>10</v>
      </c>
      <c r="E361" s="7" t="s">
        <v>11</v>
      </c>
      <c r="F361" s="7" t="s">
        <v>18</v>
      </c>
      <c r="G361" s="7" t="s">
        <v>19</v>
      </c>
      <c r="H361" s="7" t="s">
        <v>3354</v>
      </c>
      <c r="I361" s="8" t="s">
        <v>4057</v>
      </c>
      <c r="J361" t="str">
        <f>VLOOKUP(B361,baru!$B$2:$I$2271,4,FALSE)</f>
        <v>Reguler</v>
      </c>
      <c r="K361" t="str">
        <f>VLOOKUP(B361,baru!$B$2:$I$2271,5,FALSE)</f>
        <v>JAWA TENGAH</v>
      </c>
      <c r="L361" t="str">
        <f>VLOOKUP(B361,baru!$B$2:$I$2271,6,FALSE)</f>
        <v>MAGELANG</v>
      </c>
    </row>
    <row r="362" spans="1:12" x14ac:dyDescent="0.35">
      <c r="A362" s="6">
        <v>2360734</v>
      </c>
      <c r="B362" s="7" t="str">
        <f>"3328126412960002"</f>
        <v>3328126412960002</v>
      </c>
      <c r="C362" s="7" t="s">
        <v>4200</v>
      </c>
      <c r="D362" s="7" t="s">
        <v>189</v>
      </c>
      <c r="E362" s="7" t="s">
        <v>11</v>
      </c>
      <c r="F362" s="7" t="s">
        <v>18</v>
      </c>
      <c r="G362" s="7" t="s">
        <v>19</v>
      </c>
      <c r="H362" s="7" t="s">
        <v>3354</v>
      </c>
      <c r="I362" s="8" t="s">
        <v>1309</v>
      </c>
      <c r="J362" t="str">
        <f>VLOOKUP(B362,baru!$B$2:$I$2271,4,FALSE)</f>
        <v>Reguler</v>
      </c>
      <c r="K362" t="str">
        <f>VLOOKUP(B362,baru!$B$2:$I$2271,5,FALSE)</f>
        <v>JAWA TENGAH</v>
      </c>
      <c r="L362" t="str">
        <f>VLOOKUP(B362,baru!$B$2:$I$2271,6,FALSE)</f>
        <v>KOTA TEGAL</v>
      </c>
    </row>
    <row r="363" spans="1:12" x14ac:dyDescent="0.35">
      <c r="A363" s="6">
        <v>2337895</v>
      </c>
      <c r="B363" s="7" t="str">
        <f>"3328126510940002"</f>
        <v>3328126510940002</v>
      </c>
      <c r="C363" s="7" t="s">
        <v>4201</v>
      </c>
      <c r="D363" s="7" t="s">
        <v>189</v>
      </c>
      <c r="E363" s="7" t="s">
        <v>11</v>
      </c>
      <c r="F363" s="7" t="s">
        <v>18</v>
      </c>
      <c r="G363" s="7" t="s">
        <v>19</v>
      </c>
      <c r="H363" s="7" t="s">
        <v>3354</v>
      </c>
      <c r="I363" s="8" t="s">
        <v>4026</v>
      </c>
      <c r="J363" t="str">
        <f>VLOOKUP(B363,baru!$B$2:$I$2271,4,FALSE)</f>
        <v>Reguler</v>
      </c>
      <c r="K363" t="str">
        <f>VLOOKUP(B363,baru!$B$2:$I$2271,5,FALSE)</f>
        <v>JAWA BARAT</v>
      </c>
      <c r="L363" t="str">
        <f>VLOOKUP(B363,baru!$B$2:$I$2271,6,FALSE)</f>
        <v>KARAWANG</v>
      </c>
    </row>
    <row r="364" spans="1:12" x14ac:dyDescent="0.35">
      <c r="A364" s="6">
        <v>2194638</v>
      </c>
      <c r="B364" s="7" t="str">
        <f>"3328126709860001"</f>
        <v>3328126709860001</v>
      </c>
      <c r="C364" s="7" t="s">
        <v>4203</v>
      </c>
      <c r="D364" s="7" t="s">
        <v>10</v>
      </c>
      <c r="E364" s="7" t="s">
        <v>11</v>
      </c>
      <c r="F364" s="7" t="s">
        <v>18</v>
      </c>
      <c r="G364" s="7" t="s">
        <v>19</v>
      </c>
      <c r="H364" s="7" t="s">
        <v>3354</v>
      </c>
      <c r="I364" s="8" t="s">
        <v>4098</v>
      </c>
      <c r="J364" t="str">
        <f>VLOOKUP(B364,baru!$B$2:$I$2271,4,FALSE)</f>
        <v>Reguler</v>
      </c>
      <c r="K364" t="str">
        <f>VLOOKUP(B364,baru!$B$2:$I$2271,5,FALSE)</f>
        <v>JAWA TENGAH</v>
      </c>
      <c r="L364" t="str">
        <f>VLOOKUP(B364,baru!$B$2:$I$2271,6,FALSE)</f>
        <v>BREBES</v>
      </c>
    </row>
    <row r="365" spans="1:12" x14ac:dyDescent="0.35">
      <c r="A365" s="6">
        <v>2215806</v>
      </c>
      <c r="B365" s="7" t="str">
        <f>"3328126810980007"</f>
        <v>3328126810980007</v>
      </c>
      <c r="C365" s="7" t="s">
        <v>4209</v>
      </c>
      <c r="D365" s="7" t="s">
        <v>10</v>
      </c>
      <c r="E365" s="7" t="s">
        <v>11</v>
      </c>
      <c r="F365" s="7" t="s">
        <v>18</v>
      </c>
      <c r="G365" s="7" t="s">
        <v>19</v>
      </c>
      <c r="H365" s="7" t="s">
        <v>3354</v>
      </c>
      <c r="I365" s="8" t="s">
        <v>131</v>
      </c>
      <c r="J365" t="str">
        <f>VLOOKUP(B365,baru!$B$2:$I$2271,4,FALSE)</f>
        <v>Reguler</v>
      </c>
      <c r="K365" t="str">
        <f>VLOOKUP(B365,baru!$B$2:$I$2271,5,FALSE)</f>
        <v>DKI JAKARTA</v>
      </c>
      <c r="L365" t="str">
        <f>VLOOKUP(B365,baru!$B$2:$I$2271,6,FALSE)</f>
        <v>KOTA JAKARTA SELATAN</v>
      </c>
    </row>
    <row r="366" spans="1:12" x14ac:dyDescent="0.35">
      <c r="A366" s="6">
        <v>2329110</v>
      </c>
      <c r="B366" s="7" t="str">
        <f>"3328126901970002"</f>
        <v>3328126901970002</v>
      </c>
      <c r="C366" s="7" t="s">
        <v>4211</v>
      </c>
      <c r="D366" s="7" t="s">
        <v>189</v>
      </c>
      <c r="E366" s="7" t="s">
        <v>11</v>
      </c>
      <c r="F366" s="7" t="s">
        <v>18</v>
      </c>
      <c r="G366" s="7" t="s">
        <v>19</v>
      </c>
      <c r="H366" s="7" t="s">
        <v>3354</v>
      </c>
      <c r="I366" s="8" t="s">
        <v>307</v>
      </c>
      <c r="J366" t="str">
        <f>VLOOKUP(B366,baru!$B$2:$I$2271,4,FALSE)</f>
        <v>Reguler</v>
      </c>
      <c r="K366" t="str">
        <f>VLOOKUP(B366,baru!$B$2:$I$2271,5,FALSE)</f>
        <v>JAWA TENGAH</v>
      </c>
      <c r="L366" t="str">
        <f>VLOOKUP(B366,baru!$B$2:$I$2271,6,FALSE)</f>
        <v>KOTA TEGAL</v>
      </c>
    </row>
    <row r="367" spans="1:12" x14ac:dyDescent="0.35">
      <c r="A367" s="6">
        <v>2443858</v>
      </c>
      <c r="B367" s="7" t="str">
        <f>"3328126912000002"</f>
        <v>3328126912000002</v>
      </c>
      <c r="C367" s="7" t="s">
        <v>4213</v>
      </c>
      <c r="D367" s="7" t="s">
        <v>189</v>
      </c>
      <c r="E367" s="7" t="s">
        <v>11</v>
      </c>
      <c r="F367" s="7" t="s">
        <v>18</v>
      </c>
      <c r="G367" s="7" t="s">
        <v>19</v>
      </c>
      <c r="H367" s="7" t="s">
        <v>3354</v>
      </c>
      <c r="I367" s="8" t="s">
        <v>4076</v>
      </c>
      <c r="J367" t="str">
        <f>VLOOKUP(B367,baru!$B$2:$I$2271,4,FALSE)</f>
        <v>Reguler</v>
      </c>
      <c r="K367" t="str">
        <f>VLOOKUP(B367,baru!$B$2:$I$2271,5,FALSE)</f>
        <v>JAWA TENGAH</v>
      </c>
      <c r="L367" t="str">
        <f>VLOOKUP(B367,baru!$B$2:$I$2271,6,FALSE)</f>
        <v>BREBES</v>
      </c>
    </row>
    <row r="368" spans="1:12" x14ac:dyDescent="0.35">
      <c r="A368" s="6">
        <v>2224517</v>
      </c>
      <c r="B368" s="7" t="str">
        <f>"3328134410970003"</f>
        <v>3328134410970003</v>
      </c>
      <c r="C368" s="7" t="s">
        <v>4219</v>
      </c>
      <c r="D368" s="7" t="s">
        <v>10</v>
      </c>
      <c r="E368" s="7" t="s">
        <v>11</v>
      </c>
      <c r="F368" s="7" t="s">
        <v>18</v>
      </c>
      <c r="G368" s="7" t="s">
        <v>19</v>
      </c>
      <c r="H368" s="7" t="s">
        <v>3354</v>
      </c>
      <c r="I368" s="8" t="s">
        <v>4003</v>
      </c>
      <c r="J368" t="str">
        <f>VLOOKUP(B368,baru!$B$2:$I$2271,4,FALSE)</f>
        <v>Reguler</v>
      </c>
      <c r="K368" t="str">
        <f>VLOOKUP(B368,baru!$B$2:$I$2271,5,FALSE)</f>
        <v>JAWA TENGAH</v>
      </c>
      <c r="L368" t="str">
        <f>VLOOKUP(B368,baru!$B$2:$I$2271,6,FALSE)</f>
        <v>KOTA TEGAL</v>
      </c>
    </row>
    <row r="369" spans="1:12" x14ac:dyDescent="0.35">
      <c r="A369" s="6">
        <v>2341071</v>
      </c>
      <c r="B369" s="7" t="str">
        <f>"6473016306030001"</f>
        <v>6473016306030001</v>
      </c>
      <c r="C369" s="7" t="s">
        <v>4280</v>
      </c>
      <c r="D369" s="7" t="s">
        <v>10</v>
      </c>
      <c r="E369" s="7" t="s">
        <v>11</v>
      </c>
      <c r="F369" s="7" t="s">
        <v>18</v>
      </c>
      <c r="G369" s="7" t="s">
        <v>19</v>
      </c>
      <c r="H369" s="7" t="s">
        <v>3354</v>
      </c>
      <c r="I369" s="8" t="s">
        <v>4026</v>
      </c>
      <c r="J369" t="str">
        <f>VLOOKUP(B369,baru!$B$2:$I$2271,4,FALSE)</f>
        <v>Reguler</v>
      </c>
      <c r="K369" t="str">
        <f>VLOOKUP(B369,baru!$B$2:$I$2271,5,FALSE)</f>
        <v>DKI JAKARTA</v>
      </c>
      <c r="L369" t="str">
        <f>VLOOKUP(B369,baru!$B$2:$I$2271,6,FALSE)</f>
        <v>KOTA JAKARTA TIMUR</v>
      </c>
    </row>
    <row r="370" spans="1:12" x14ac:dyDescent="0.35">
      <c r="A370" s="6">
        <v>1906825</v>
      </c>
      <c r="B370" s="7" t="str">
        <f>"3172014907951001"</f>
        <v>3172014907951001</v>
      </c>
      <c r="C370" s="7" t="s">
        <v>4297</v>
      </c>
      <c r="D370" s="7" t="s">
        <v>10</v>
      </c>
      <c r="E370" s="7" t="s">
        <v>11</v>
      </c>
      <c r="F370" s="7" t="s">
        <v>18</v>
      </c>
      <c r="G370" s="7" t="s">
        <v>19</v>
      </c>
      <c r="H370" s="7" t="s">
        <v>4290</v>
      </c>
      <c r="I370" s="8" t="s">
        <v>4298</v>
      </c>
      <c r="J370" t="str">
        <f>VLOOKUP(B370,baru!$B$2:$I$2271,4,FALSE)</f>
        <v>Reguler</v>
      </c>
      <c r="K370" t="str">
        <f>VLOOKUP(B370,baru!$B$2:$I$2271,5,FALSE)</f>
        <v>DKI JAKARTA</v>
      </c>
      <c r="L370" t="str">
        <f>VLOOKUP(B370,baru!$B$2:$I$2271,6,FALSE)</f>
        <v>KOTA JAKARTA UTARA</v>
      </c>
    </row>
    <row r="371" spans="1:12" x14ac:dyDescent="0.35">
      <c r="A371" s="6">
        <v>1879727</v>
      </c>
      <c r="B371" s="7" t="str">
        <f>"3173012202920001"</f>
        <v>3173012202920001</v>
      </c>
      <c r="C371" s="7" t="s">
        <v>4302</v>
      </c>
      <c r="D371" s="7" t="s">
        <v>10</v>
      </c>
      <c r="E371" s="7" t="s">
        <v>11</v>
      </c>
      <c r="F371" s="7" t="s">
        <v>18</v>
      </c>
      <c r="G371" s="7" t="s">
        <v>19</v>
      </c>
      <c r="H371" s="7" t="s">
        <v>4290</v>
      </c>
      <c r="I371" s="8" t="s">
        <v>4303</v>
      </c>
      <c r="J371" t="str">
        <f>VLOOKUP(B371,baru!$B$2:$I$2271,4,FALSE)</f>
        <v>Reguler</v>
      </c>
      <c r="K371" t="str">
        <f>VLOOKUP(B371,baru!$B$2:$I$2271,5,FALSE)</f>
        <v>JAWA TENGAH</v>
      </c>
      <c r="L371" t="str">
        <f>VLOOKUP(B371,baru!$B$2:$I$2271,6,FALSE)</f>
        <v>PEKALONGAN</v>
      </c>
    </row>
    <row r="372" spans="1:12" x14ac:dyDescent="0.35">
      <c r="A372" s="6">
        <v>1895244</v>
      </c>
      <c r="B372" s="7" t="str">
        <f>"3175072507750007"</f>
        <v>3175072507750007</v>
      </c>
      <c r="C372" s="7" t="s">
        <v>4314</v>
      </c>
      <c r="D372" s="7" t="s">
        <v>10</v>
      </c>
      <c r="E372" s="7" t="s">
        <v>11</v>
      </c>
      <c r="F372" s="7" t="s">
        <v>18</v>
      </c>
      <c r="G372" s="7" t="s">
        <v>19</v>
      </c>
      <c r="H372" s="7" t="s">
        <v>4290</v>
      </c>
      <c r="I372" s="8" t="s">
        <v>4315</v>
      </c>
      <c r="J372" t="str">
        <f>VLOOKUP(B372,baru!$B$2:$I$2271,4,FALSE)</f>
        <v>Reguler</v>
      </c>
      <c r="K372" t="str">
        <f>VLOOKUP(B372,baru!$B$2:$I$2271,5,FALSE)</f>
        <v>DKI JAKARTA</v>
      </c>
      <c r="L372" t="str">
        <f>VLOOKUP(B372,baru!$B$2:$I$2271,6,FALSE)</f>
        <v>KOTA JAKARTA TIMUR</v>
      </c>
    </row>
    <row r="373" spans="1:12" x14ac:dyDescent="0.35">
      <c r="A373" s="6">
        <v>1875817</v>
      </c>
      <c r="B373" s="7" t="str">
        <f>"3213091011810014"</f>
        <v>3213091011810014</v>
      </c>
      <c r="C373" s="7" t="s">
        <v>4333</v>
      </c>
      <c r="D373" s="7" t="s">
        <v>10</v>
      </c>
      <c r="E373" s="7" t="s">
        <v>11</v>
      </c>
      <c r="F373" s="7" t="s">
        <v>18</v>
      </c>
      <c r="G373" s="7" t="s">
        <v>19</v>
      </c>
      <c r="H373" s="7" t="s">
        <v>4290</v>
      </c>
      <c r="I373" s="8" t="s">
        <v>344</v>
      </c>
      <c r="J373" t="str">
        <f>VLOOKUP(B373,baru!$B$2:$I$2271,4,FALSE)</f>
        <v>Reguler</v>
      </c>
      <c r="K373" t="str">
        <f>VLOOKUP(B373,baru!$B$2:$I$2271,5,FALSE)</f>
        <v>JAWA BARAT</v>
      </c>
      <c r="L373" t="str">
        <f>VLOOKUP(B373,baru!$B$2:$I$2271,6,FALSE)</f>
        <v>KARAWANG</v>
      </c>
    </row>
    <row r="374" spans="1:12" x14ac:dyDescent="0.35">
      <c r="A374" s="6">
        <v>1904097</v>
      </c>
      <c r="B374" s="7" t="str">
        <f>"3276026909810012"</f>
        <v>3276026909810012</v>
      </c>
      <c r="C374" s="7" t="s">
        <v>4362</v>
      </c>
      <c r="D374" s="7" t="s">
        <v>10</v>
      </c>
      <c r="E374" s="7" t="s">
        <v>11</v>
      </c>
      <c r="F374" s="7" t="s">
        <v>18</v>
      </c>
      <c r="G374" s="7" t="s">
        <v>19</v>
      </c>
      <c r="H374" s="7" t="s">
        <v>4290</v>
      </c>
      <c r="I374" s="8" t="s">
        <v>4298</v>
      </c>
      <c r="J374" t="str">
        <f>VLOOKUP(B374,baru!$B$2:$I$2271,4,FALSE)</f>
        <v>Reguler</v>
      </c>
      <c r="K374" t="str">
        <f>VLOOKUP(B374,baru!$B$2:$I$2271,5,FALSE)</f>
        <v>JAWA TIMUR</v>
      </c>
      <c r="L374" t="str">
        <f>VLOOKUP(B374,baru!$B$2:$I$2271,6,FALSE)</f>
        <v>KEDIRI</v>
      </c>
    </row>
    <row r="375" spans="1:12" x14ac:dyDescent="0.35">
      <c r="A375" s="6">
        <v>1879728</v>
      </c>
      <c r="B375" s="7" t="str">
        <f>"3326045902020001"</f>
        <v>3326045902020001</v>
      </c>
      <c r="C375" s="7" t="s">
        <v>4378</v>
      </c>
      <c r="D375" s="7" t="s">
        <v>10</v>
      </c>
      <c r="E375" s="7" t="s">
        <v>11</v>
      </c>
      <c r="F375" s="7" t="s">
        <v>18</v>
      </c>
      <c r="G375" s="7" t="s">
        <v>19</v>
      </c>
      <c r="H375" s="7" t="s">
        <v>4290</v>
      </c>
      <c r="I375" s="8" t="s">
        <v>4303</v>
      </c>
      <c r="J375" t="str">
        <f>VLOOKUP(B375,baru!$B$2:$I$2271,4,FALSE)</f>
        <v>Reguler</v>
      </c>
      <c r="K375" t="str">
        <f>VLOOKUP(B375,baru!$B$2:$I$2271,5,FALSE)</f>
        <v>JAWA TENGAH</v>
      </c>
      <c r="L375" t="str">
        <f>VLOOKUP(B375,baru!$B$2:$I$2271,6,FALSE)</f>
        <v>PEKALONGAN</v>
      </c>
    </row>
    <row r="376" spans="1:12" x14ac:dyDescent="0.35">
      <c r="A376" s="6">
        <v>1875444</v>
      </c>
      <c r="B376" s="7" t="str">
        <f>"3327081201820073"</f>
        <v>3327081201820073</v>
      </c>
      <c r="C376" s="7" t="s">
        <v>4385</v>
      </c>
      <c r="D376" s="7" t="s">
        <v>10</v>
      </c>
      <c r="E376" s="7" t="s">
        <v>11</v>
      </c>
      <c r="F376" s="7" t="s">
        <v>18</v>
      </c>
      <c r="G376" s="7" t="s">
        <v>19</v>
      </c>
      <c r="H376" s="7" t="s">
        <v>4290</v>
      </c>
      <c r="I376" s="8" t="s">
        <v>344</v>
      </c>
      <c r="J376" t="str">
        <f>VLOOKUP(B376,baru!$B$2:$I$2271,4,FALSE)</f>
        <v>Reguler</v>
      </c>
      <c r="K376" t="str">
        <f>VLOOKUP(B376,baru!$B$2:$I$2271,5,FALSE)</f>
        <v>JAWA TENGAH</v>
      </c>
      <c r="L376" t="str">
        <f>VLOOKUP(B376,baru!$B$2:$I$2271,6,FALSE)</f>
        <v>PEMALANG</v>
      </c>
    </row>
    <row r="377" spans="1:12" x14ac:dyDescent="0.35">
      <c r="A377" s="6">
        <v>1878936</v>
      </c>
      <c r="B377" s="7" t="str">
        <f>"3327116005980004"</f>
        <v>3327116005980004</v>
      </c>
      <c r="C377" s="7" t="s">
        <v>4387</v>
      </c>
      <c r="D377" s="7" t="s">
        <v>10</v>
      </c>
      <c r="E377" s="7" t="s">
        <v>11</v>
      </c>
      <c r="F377" s="7" t="s">
        <v>18</v>
      </c>
      <c r="G377" s="7" t="s">
        <v>19</v>
      </c>
      <c r="H377" s="7" t="s">
        <v>4290</v>
      </c>
      <c r="I377" s="8" t="s">
        <v>4303</v>
      </c>
      <c r="J377" t="str">
        <f>VLOOKUP(B377,baru!$B$2:$I$2271,4,FALSE)</f>
        <v>Reguler</v>
      </c>
      <c r="K377" t="str">
        <f>VLOOKUP(B377,baru!$B$2:$I$2271,5,FALSE)</f>
        <v>JAWA TENGAH</v>
      </c>
      <c r="L377" t="str">
        <f>VLOOKUP(B377,baru!$B$2:$I$2271,6,FALSE)</f>
        <v>PEMALANG</v>
      </c>
    </row>
    <row r="378" spans="1:12" x14ac:dyDescent="0.35">
      <c r="A378" s="6">
        <v>1902934</v>
      </c>
      <c r="B378" s="7" t="str">
        <f>"3328121107960009"</f>
        <v>3328121107960009</v>
      </c>
      <c r="C378" s="7" t="s">
        <v>4388</v>
      </c>
      <c r="D378" s="7" t="s">
        <v>10</v>
      </c>
      <c r="E378" s="7" t="s">
        <v>11</v>
      </c>
      <c r="F378" s="7" t="s">
        <v>18</v>
      </c>
      <c r="G378" s="7" t="s">
        <v>19</v>
      </c>
      <c r="H378" s="7" t="s">
        <v>4290</v>
      </c>
      <c r="I378" s="8" t="s">
        <v>4298</v>
      </c>
      <c r="J378" t="str">
        <f>VLOOKUP(B378,baru!$B$2:$I$2271,4,FALSE)</f>
        <v>Reguler</v>
      </c>
      <c r="K378" t="str">
        <f>VLOOKUP(B378,baru!$B$2:$I$2271,5,FALSE)</f>
        <v>JAWA BARAT</v>
      </c>
      <c r="L378" t="str">
        <f>VLOOKUP(B378,baru!$B$2:$I$2271,6,FALSE)</f>
        <v>KUNINGAN</v>
      </c>
    </row>
    <row r="379" spans="1:12" x14ac:dyDescent="0.35">
      <c r="A379" s="6">
        <v>1845586</v>
      </c>
      <c r="B379" s="7" t="str">
        <f>"3328130107930069"</f>
        <v>3328130107930069</v>
      </c>
      <c r="C379" s="7" t="s">
        <v>4395</v>
      </c>
      <c r="D379" s="7" t="s">
        <v>10</v>
      </c>
      <c r="E379" s="7" t="s">
        <v>11</v>
      </c>
      <c r="F379" s="7" t="s">
        <v>18</v>
      </c>
      <c r="G379" s="7" t="s">
        <v>19</v>
      </c>
      <c r="H379" s="7" t="s">
        <v>4290</v>
      </c>
      <c r="I379" s="8" t="s">
        <v>4318</v>
      </c>
      <c r="J379" t="str">
        <f>VLOOKUP(B379,baru!$B$2:$I$2271,4,FALSE)</f>
        <v>Reguler</v>
      </c>
      <c r="K379" t="str">
        <f>VLOOKUP(B379,baru!$B$2:$I$2271,5,FALSE)</f>
        <v>JAWA TENGAH</v>
      </c>
      <c r="L379" t="str">
        <f>VLOOKUP(B379,baru!$B$2:$I$2271,6,FALSE)</f>
        <v>KOTA TEGAL</v>
      </c>
    </row>
    <row r="380" spans="1:12" x14ac:dyDescent="0.35">
      <c r="A380" s="6">
        <v>1443298</v>
      </c>
      <c r="B380" s="7" t="str">
        <f>"3328130209940003"</f>
        <v>3328130209940003</v>
      </c>
      <c r="C380" s="7" t="s">
        <v>4397</v>
      </c>
      <c r="D380" s="7" t="s">
        <v>10</v>
      </c>
      <c r="E380" s="7" t="s">
        <v>11</v>
      </c>
      <c r="F380" s="7" t="s">
        <v>18</v>
      </c>
      <c r="G380" s="7" t="s">
        <v>19</v>
      </c>
      <c r="H380" s="7" t="s">
        <v>4290</v>
      </c>
      <c r="I380" s="8" t="s">
        <v>878</v>
      </c>
      <c r="J380" t="str">
        <f>VLOOKUP(B380,baru!$B$2:$I$2271,4,FALSE)</f>
        <v>Reguler</v>
      </c>
      <c r="K380" t="str">
        <f>VLOOKUP(B380,baru!$B$2:$I$2271,5,FALSE)</f>
        <v>JAWA TENGAH</v>
      </c>
      <c r="L380" t="str">
        <f>VLOOKUP(B380,baru!$B$2:$I$2271,6,FALSE)</f>
        <v>KOTA TEGAL</v>
      </c>
    </row>
    <row r="381" spans="1:12" x14ac:dyDescent="0.35">
      <c r="A381" s="6">
        <v>1881200</v>
      </c>
      <c r="B381" s="7" t="str">
        <f>"3328130307860007"</f>
        <v>3328130307860007</v>
      </c>
      <c r="C381" s="7" t="s">
        <v>4399</v>
      </c>
      <c r="D381" s="7" t="s">
        <v>10</v>
      </c>
      <c r="E381" s="7" t="s">
        <v>11</v>
      </c>
      <c r="F381" s="7" t="s">
        <v>18</v>
      </c>
      <c r="G381" s="7" t="s">
        <v>19</v>
      </c>
      <c r="H381" s="7" t="s">
        <v>4290</v>
      </c>
      <c r="I381" s="8" t="s">
        <v>4303</v>
      </c>
      <c r="J381" t="str">
        <f>VLOOKUP(B381,baru!$B$2:$I$2271,4,FALSE)</f>
        <v>Reguler</v>
      </c>
      <c r="K381" t="str">
        <f>VLOOKUP(B381,baru!$B$2:$I$2271,5,FALSE)</f>
        <v>JAWA TENGAH</v>
      </c>
      <c r="L381" t="str">
        <f>VLOOKUP(B381,baru!$B$2:$I$2271,6,FALSE)</f>
        <v>PEMALANG</v>
      </c>
    </row>
    <row r="382" spans="1:12" x14ac:dyDescent="0.35">
      <c r="A382" s="6">
        <v>2407791</v>
      </c>
      <c r="B382" s="7" t="str">
        <f>"3328130503960005"</f>
        <v>3328130503960005</v>
      </c>
      <c r="C382" s="7" t="s">
        <v>4407</v>
      </c>
      <c r="D382" s="7" t="s">
        <v>10</v>
      </c>
      <c r="E382" s="7" t="s">
        <v>11</v>
      </c>
      <c r="F382" s="7" t="s">
        <v>18</v>
      </c>
      <c r="G382" s="7" t="s">
        <v>19</v>
      </c>
      <c r="H382" s="7" t="s">
        <v>4290</v>
      </c>
      <c r="I382" s="8" t="s">
        <v>1381</v>
      </c>
      <c r="J382" t="str">
        <f>VLOOKUP(B382,baru!$B$2:$I$2271,4,FALSE)</f>
        <v>Reguler</v>
      </c>
      <c r="K382" t="str">
        <f>VLOOKUP(B382,baru!$B$2:$I$2271,5,FALSE)</f>
        <v>JAWA TENGAH</v>
      </c>
      <c r="L382" t="str">
        <f>VLOOKUP(B382,baru!$B$2:$I$2271,6,FALSE)</f>
        <v>KOTA TEGAL</v>
      </c>
    </row>
    <row r="383" spans="1:12" x14ac:dyDescent="0.35">
      <c r="A383" s="6">
        <v>1877108</v>
      </c>
      <c r="B383" s="7" t="str">
        <f>"3328130504790006"</f>
        <v>3328130504790006</v>
      </c>
      <c r="C383" s="7" t="s">
        <v>4409</v>
      </c>
      <c r="D383" s="7" t="s">
        <v>10</v>
      </c>
      <c r="E383" s="7" t="s">
        <v>11</v>
      </c>
      <c r="F383" s="7" t="s">
        <v>18</v>
      </c>
      <c r="G383" s="7" t="s">
        <v>19</v>
      </c>
      <c r="H383" s="7" t="s">
        <v>4290</v>
      </c>
      <c r="I383" s="8" t="s">
        <v>344</v>
      </c>
      <c r="J383" t="str">
        <f>VLOOKUP(B383,baru!$B$2:$I$2271,4,FALSE)</f>
        <v>Reguler</v>
      </c>
      <c r="K383" t="str">
        <f>VLOOKUP(B383,baru!$B$2:$I$2271,5,FALSE)</f>
        <v>BANTEN</v>
      </c>
      <c r="L383" t="str">
        <f>VLOOKUP(B383,baru!$B$2:$I$2271,6,FALSE)</f>
        <v>SERANG</v>
      </c>
    </row>
    <row r="384" spans="1:12" x14ac:dyDescent="0.35">
      <c r="A384" s="6">
        <v>2083982</v>
      </c>
      <c r="B384" s="7" t="str">
        <f>"3328130505640005"</f>
        <v>3328130505640005</v>
      </c>
      <c r="C384" s="7" t="s">
        <v>3431</v>
      </c>
      <c r="D384" s="7" t="s">
        <v>10</v>
      </c>
      <c r="E384" s="7" t="s">
        <v>11</v>
      </c>
      <c r="F384" s="7" t="s">
        <v>18</v>
      </c>
      <c r="G384" s="7" t="s">
        <v>19</v>
      </c>
      <c r="H384" s="7" t="s">
        <v>4290</v>
      </c>
      <c r="I384" s="8" t="s">
        <v>4309</v>
      </c>
      <c r="J384" t="str">
        <f>VLOOKUP(B384,baru!$B$2:$I$2271,4,FALSE)</f>
        <v>Reguler</v>
      </c>
      <c r="K384" t="str">
        <f>VLOOKUP(B384,baru!$B$2:$I$2271,5,FALSE)</f>
        <v>JAWA TENGAH</v>
      </c>
      <c r="L384" t="str">
        <f>VLOOKUP(B384,baru!$B$2:$I$2271,6,FALSE)</f>
        <v>KOTA TEGAL</v>
      </c>
    </row>
    <row r="385" spans="1:12" x14ac:dyDescent="0.35">
      <c r="A385" s="6">
        <v>1440262</v>
      </c>
      <c r="B385" s="7" t="str">
        <f>"3328130510880001"</f>
        <v>3328130510880001</v>
      </c>
      <c r="C385" s="7" t="s">
        <v>4418</v>
      </c>
      <c r="D385" s="7" t="s">
        <v>10</v>
      </c>
      <c r="E385" s="7" t="s">
        <v>11</v>
      </c>
      <c r="F385" s="7" t="s">
        <v>18</v>
      </c>
      <c r="G385" s="7" t="s">
        <v>19</v>
      </c>
      <c r="H385" s="7" t="s">
        <v>4290</v>
      </c>
      <c r="I385" s="8" t="s">
        <v>878</v>
      </c>
      <c r="J385" t="str">
        <f>VLOOKUP(B385,baru!$B$2:$I$2271,4,FALSE)</f>
        <v>Reguler</v>
      </c>
      <c r="K385" t="str">
        <f>VLOOKUP(B385,baru!$B$2:$I$2271,5,FALSE)</f>
        <v>JAWA TENGAH</v>
      </c>
      <c r="L385" t="str">
        <f>VLOOKUP(B385,baru!$B$2:$I$2271,6,FALSE)</f>
        <v>KOTA TEGAL</v>
      </c>
    </row>
    <row r="386" spans="1:12" x14ac:dyDescent="0.35">
      <c r="A386" s="6">
        <v>1745620</v>
      </c>
      <c r="B386" s="7" t="str">
        <f>"3328130705960003"</f>
        <v>3328130705960003</v>
      </c>
      <c r="C386" s="7" t="s">
        <v>4425</v>
      </c>
      <c r="D386" s="7" t="s">
        <v>10</v>
      </c>
      <c r="E386" s="7" t="s">
        <v>11</v>
      </c>
      <c r="F386" s="7" t="s">
        <v>18</v>
      </c>
      <c r="G386" s="7" t="s">
        <v>19</v>
      </c>
      <c r="H386" s="7" t="s">
        <v>4290</v>
      </c>
      <c r="I386" s="8" t="s">
        <v>4426</v>
      </c>
      <c r="J386" t="str">
        <f>VLOOKUP(B386,baru!$B$2:$I$2271,4,FALSE)</f>
        <v>Reguler</v>
      </c>
      <c r="K386" t="str">
        <f>VLOOKUP(B386,baru!$B$2:$I$2271,5,FALSE)</f>
        <v>JAWA TENGAH</v>
      </c>
      <c r="L386" t="str">
        <f>VLOOKUP(B386,baru!$B$2:$I$2271,6,FALSE)</f>
        <v>KOTA SEMARANG</v>
      </c>
    </row>
    <row r="387" spans="1:12" x14ac:dyDescent="0.35">
      <c r="A387" s="6">
        <v>1942484</v>
      </c>
      <c r="B387" s="7" t="str">
        <f>"3328130707940004"</f>
        <v>3328130707940004</v>
      </c>
      <c r="C387" s="7" t="s">
        <v>4431</v>
      </c>
      <c r="D387" s="7" t="s">
        <v>189</v>
      </c>
      <c r="E387" s="7" t="s">
        <v>11</v>
      </c>
      <c r="F387" s="7" t="s">
        <v>18</v>
      </c>
      <c r="G387" s="7" t="s">
        <v>19</v>
      </c>
      <c r="H387" s="7" t="s">
        <v>4290</v>
      </c>
      <c r="I387" s="8" t="s">
        <v>4329</v>
      </c>
      <c r="J387" t="str">
        <f>VLOOKUP(B387,baru!$B$2:$I$2271,4,FALSE)</f>
        <v>Reguler</v>
      </c>
      <c r="K387" t="str">
        <f>VLOOKUP(B387,baru!$B$2:$I$2271,5,FALSE)</f>
        <v>JAWA TENGAH</v>
      </c>
      <c r="L387" t="str">
        <f>VLOOKUP(B387,baru!$B$2:$I$2271,6,FALSE)</f>
        <v>BREBES</v>
      </c>
    </row>
    <row r="388" spans="1:12" x14ac:dyDescent="0.35">
      <c r="A388" s="6">
        <v>1907957</v>
      </c>
      <c r="B388" s="7" t="str">
        <f>"3328130805970003"</f>
        <v>3328130805970003</v>
      </c>
      <c r="C388" s="7" t="s">
        <v>4439</v>
      </c>
      <c r="D388" s="7" t="s">
        <v>10</v>
      </c>
      <c r="E388" s="7" t="s">
        <v>11</v>
      </c>
      <c r="F388" s="7" t="s">
        <v>18</v>
      </c>
      <c r="G388" s="7" t="s">
        <v>19</v>
      </c>
      <c r="H388" s="7" t="s">
        <v>4290</v>
      </c>
      <c r="I388" s="8" t="s">
        <v>4298</v>
      </c>
      <c r="J388" t="str">
        <f>VLOOKUP(B388,baru!$B$2:$I$2271,4,FALSE)</f>
        <v>Reguler</v>
      </c>
      <c r="K388" t="str">
        <f>VLOOKUP(B388,baru!$B$2:$I$2271,5,FALSE)</f>
        <v>JAWA TENGAH</v>
      </c>
      <c r="L388" t="str">
        <f>VLOOKUP(B388,baru!$B$2:$I$2271,6,FALSE)</f>
        <v>KOTA TEGAL</v>
      </c>
    </row>
    <row r="389" spans="1:12" x14ac:dyDescent="0.35">
      <c r="A389" s="6">
        <v>2406565</v>
      </c>
      <c r="B389" s="7" t="str">
        <f>"3328131011960003"</f>
        <v>3328131011960003</v>
      </c>
      <c r="C389" s="7" t="s">
        <v>4441</v>
      </c>
      <c r="D389" s="7" t="s">
        <v>10</v>
      </c>
      <c r="E389" s="7" t="s">
        <v>11</v>
      </c>
      <c r="F389" s="7" t="s">
        <v>18</v>
      </c>
      <c r="G389" s="7" t="s">
        <v>19</v>
      </c>
      <c r="H389" s="7" t="s">
        <v>4290</v>
      </c>
      <c r="I389" s="8" t="s">
        <v>1381</v>
      </c>
      <c r="J389" t="str">
        <f>VLOOKUP(B389,baru!$B$2:$I$2271,4,FALSE)</f>
        <v>Reguler</v>
      </c>
      <c r="K389" t="str">
        <f>VLOOKUP(B389,baru!$B$2:$I$2271,5,FALSE)</f>
        <v>JAWA TENGAH</v>
      </c>
      <c r="L389" t="str">
        <f>VLOOKUP(B389,baru!$B$2:$I$2271,6,FALSE)</f>
        <v>KOTA TEGAL</v>
      </c>
    </row>
    <row r="390" spans="1:12" x14ac:dyDescent="0.35">
      <c r="A390" s="6">
        <v>2086681</v>
      </c>
      <c r="B390" s="7" t="str">
        <f>"3328131102960003"</f>
        <v>3328131102960003</v>
      </c>
      <c r="C390" s="7" t="s">
        <v>4442</v>
      </c>
      <c r="D390" s="7" t="s">
        <v>10</v>
      </c>
      <c r="E390" s="7" t="s">
        <v>11</v>
      </c>
      <c r="F390" s="7" t="s">
        <v>18</v>
      </c>
      <c r="G390" s="7" t="s">
        <v>19</v>
      </c>
      <c r="H390" s="7" t="s">
        <v>4290</v>
      </c>
      <c r="I390" s="8" t="s">
        <v>4309</v>
      </c>
      <c r="J390" t="str">
        <f>VLOOKUP(B390,baru!$B$2:$I$2271,4,FALSE)</f>
        <v>Reguler</v>
      </c>
      <c r="K390" t="str">
        <f>VLOOKUP(B390,baru!$B$2:$I$2271,5,FALSE)</f>
        <v>JAWA TENGAH</v>
      </c>
      <c r="L390" t="str">
        <f>VLOOKUP(B390,baru!$B$2:$I$2271,6,FALSE)</f>
        <v>KOTA TEGAL</v>
      </c>
    </row>
    <row r="391" spans="1:12" x14ac:dyDescent="0.35">
      <c r="A391" s="6">
        <v>2407003</v>
      </c>
      <c r="B391" s="7" t="str">
        <f>"3328131106960007"</f>
        <v>3328131106960007</v>
      </c>
      <c r="C391" s="7" t="s">
        <v>4444</v>
      </c>
      <c r="D391" s="7" t="s">
        <v>10</v>
      </c>
      <c r="E391" s="7" t="s">
        <v>11</v>
      </c>
      <c r="F391" s="7" t="s">
        <v>18</v>
      </c>
      <c r="G391" s="7" t="s">
        <v>19</v>
      </c>
      <c r="H391" s="7" t="s">
        <v>4290</v>
      </c>
      <c r="I391" s="8" t="s">
        <v>1381</v>
      </c>
      <c r="J391" t="str">
        <f>VLOOKUP(B391,baru!$B$2:$I$2271,4,FALSE)</f>
        <v>Reguler</v>
      </c>
      <c r="K391" t="str">
        <f>VLOOKUP(B391,baru!$B$2:$I$2271,5,FALSE)</f>
        <v>JAWA TENGAH</v>
      </c>
      <c r="L391" t="str">
        <f>VLOOKUP(B391,baru!$B$2:$I$2271,6,FALSE)</f>
        <v>KOTA TEGAL</v>
      </c>
    </row>
    <row r="392" spans="1:12" x14ac:dyDescent="0.35">
      <c r="A392" s="6">
        <v>2084386</v>
      </c>
      <c r="B392" s="7" t="str">
        <f>"3328131210970001"</f>
        <v>3328131210970001</v>
      </c>
      <c r="C392" s="7" t="s">
        <v>4451</v>
      </c>
      <c r="D392" s="7" t="s">
        <v>10</v>
      </c>
      <c r="E392" s="7" t="s">
        <v>11</v>
      </c>
      <c r="F392" s="7" t="s">
        <v>18</v>
      </c>
      <c r="G392" s="7" t="s">
        <v>19</v>
      </c>
      <c r="H392" s="7" t="s">
        <v>4290</v>
      </c>
      <c r="I392" s="8" t="s">
        <v>4309</v>
      </c>
      <c r="J392" t="str">
        <f>VLOOKUP(B392,baru!$B$2:$I$2271,4,FALSE)</f>
        <v>Reguler</v>
      </c>
      <c r="K392" t="str">
        <f>VLOOKUP(B392,baru!$B$2:$I$2271,5,FALSE)</f>
        <v>JAWA TENGAH</v>
      </c>
      <c r="L392" t="str">
        <f>VLOOKUP(B392,baru!$B$2:$I$2271,6,FALSE)</f>
        <v>KOTA TEGAL</v>
      </c>
    </row>
    <row r="393" spans="1:12" x14ac:dyDescent="0.35">
      <c r="A393" s="6">
        <v>1883388</v>
      </c>
      <c r="B393" s="7" t="str">
        <f>"3328131310950007"</f>
        <v>3328131310950007</v>
      </c>
      <c r="C393" s="7" t="s">
        <v>4454</v>
      </c>
      <c r="D393" s="7" t="s">
        <v>10</v>
      </c>
      <c r="E393" s="7" t="s">
        <v>11</v>
      </c>
      <c r="F393" s="7" t="s">
        <v>18</v>
      </c>
      <c r="G393" s="7" t="s">
        <v>19</v>
      </c>
      <c r="H393" s="7" t="s">
        <v>4290</v>
      </c>
      <c r="I393" s="8" t="s">
        <v>4303</v>
      </c>
      <c r="J393" t="str">
        <f>VLOOKUP(B393,baru!$B$2:$I$2271,4,FALSE)</f>
        <v>Reguler</v>
      </c>
      <c r="K393" t="str">
        <f>VLOOKUP(B393,baru!$B$2:$I$2271,5,FALSE)</f>
        <v>JAWA TENGAH</v>
      </c>
      <c r="L393" t="str">
        <f>VLOOKUP(B393,baru!$B$2:$I$2271,6,FALSE)</f>
        <v>KOTA TEGAL</v>
      </c>
    </row>
    <row r="394" spans="1:12" x14ac:dyDescent="0.35">
      <c r="A394" s="6">
        <v>1892666</v>
      </c>
      <c r="B394" s="7" t="str">
        <f>"3328131409010003"</f>
        <v>3328131409010003</v>
      </c>
      <c r="C394" s="7" t="s">
        <v>4459</v>
      </c>
      <c r="D394" s="7" t="s">
        <v>189</v>
      </c>
      <c r="E394" s="7" t="s">
        <v>11</v>
      </c>
      <c r="F394" s="7" t="s">
        <v>18</v>
      </c>
      <c r="G394" s="7" t="s">
        <v>19</v>
      </c>
      <c r="H394" s="7" t="s">
        <v>4290</v>
      </c>
      <c r="I394" s="8" t="s">
        <v>4315</v>
      </c>
      <c r="J394" t="str">
        <f>VLOOKUP(B394,baru!$B$2:$I$2271,4,FALSE)</f>
        <v>Reguler</v>
      </c>
      <c r="K394" t="str">
        <f>VLOOKUP(B394,baru!$B$2:$I$2271,5,FALSE)</f>
        <v>JAWA BARAT</v>
      </c>
      <c r="L394" t="str">
        <f>VLOOKUP(B394,baru!$B$2:$I$2271,6,FALSE)</f>
        <v>KUNINGAN</v>
      </c>
    </row>
    <row r="395" spans="1:12" x14ac:dyDescent="0.35">
      <c r="A395" s="6">
        <v>2088750</v>
      </c>
      <c r="B395" s="7" t="str">
        <f>"3328131503910007"</f>
        <v>3328131503910007</v>
      </c>
      <c r="C395" s="7" t="s">
        <v>4463</v>
      </c>
      <c r="D395" s="7" t="s">
        <v>10</v>
      </c>
      <c r="E395" s="7" t="s">
        <v>11</v>
      </c>
      <c r="F395" s="7" t="s">
        <v>18</v>
      </c>
      <c r="G395" s="7" t="s">
        <v>19</v>
      </c>
      <c r="H395" s="7" t="s">
        <v>4290</v>
      </c>
      <c r="I395" s="8" t="s">
        <v>4309</v>
      </c>
      <c r="J395" t="str">
        <f>VLOOKUP(B395,baru!$B$2:$I$2271,4,FALSE)</f>
        <v>Reguler</v>
      </c>
      <c r="K395" t="str">
        <f>VLOOKUP(B395,baru!$B$2:$I$2271,5,FALSE)</f>
        <v>JAWA TENGAH</v>
      </c>
      <c r="L395" t="str">
        <f>VLOOKUP(B395,baru!$B$2:$I$2271,6,FALSE)</f>
        <v>BANYUMAS</v>
      </c>
    </row>
    <row r="396" spans="1:12" x14ac:dyDescent="0.35">
      <c r="A396" s="6">
        <v>1844872</v>
      </c>
      <c r="B396" s="7" t="str">
        <f>"3328131506940003"</f>
        <v>3328131506940003</v>
      </c>
      <c r="C396" s="7" t="s">
        <v>4465</v>
      </c>
      <c r="D396" s="7" t="s">
        <v>10</v>
      </c>
      <c r="E396" s="7" t="s">
        <v>11</v>
      </c>
      <c r="F396" s="7" t="s">
        <v>18</v>
      </c>
      <c r="G396" s="7" t="s">
        <v>19</v>
      </c>
      <c r="H396" s="7" t="s">
        <v>4290</v>
      </c>
      <c r="I396" s="8" t="s">
        <v>4318</v>
      </c>
      <c r="J396" t="str">
        <f>VLOOKUP(B396,baru!$B$2:$I$2271,4,FALSE)</f>
        <v>Reguler</v>
      </c>
      <c r="K396" t="str">
        <f>VLOOKUP(B396,baru!$B$2:$I$2271,5,FALSE)</f>
        <v>JAWA TENGAH</v>
      </c>
      <c r="L396" t="str">
        <f>VLOOKUP(B396,baru!$B$2:$I$2271,6,FALSE)</f>
        <v>BREBES</v>
      </c>
    </row>
    <row r="397" spans="1:12" x14ac:dyDescent="0.35">
      <c r="A397" s="6">
        <v>1880650</v>
      </c>
      <c r="B397" s="7" t="str">
        <f>"3328131509890004"</f>
        <v>3328131509890004</v>
      </c>
      <c r="C397" s="7" t="s">
        <v>4466</v>
      </c>
      <c r="D397" s="7" t="s">
        <v>10</v>
      </c>
      <c r="E397" s="7" t="s">
        <v>11</v>
      </c>
      <c r="F397" s="7" t="s">
        <v>18</v>
      </c>
      <c r="G397" s="7" t="s">
        <v>19</v>
      </c>
      <c r="H397" s="7" t="s">
        <v>4290</v>
      </c>
      <c r="I397" s="8" t="s">
        <v>4303</v>
      </c>
      <c r="J397" t="str">
        <f>VLOOKUP(B397,baru!$B$2:$I$2271,4,FALSE)</f>
        <v>Reguler</v>
      </c>
      <c r="K397" t="str">
        <f>VLOOKUP(B397,baru!$B$2:$I$2271,5,FALSE)</f>
        <v>JAWA TENGAH</v>
      </c>
      <c r="L397" t="str">
        <f>VLOOKUP(B397,baru!$B$2:$I$2271,6,FALSE)</f>
        <v>KOTA TEGAL</v>
      </c>
    </row>
    <row r="398" spans="1:12" x14ac:dyDescent="0.35">
      <c r="A398" s="6">
        <v>1905354</v>
      </c>
      <c r="B398" s="7" t="str">
        <f>"3328131510950002"</f>
        <v>3328131510950002</v>
      </c>
      <c r="C398" s="7" t="s">
        <v>4467</v>
      </c>
      <c r="D398" s="7" t="s">
        <v>10</v>
      </c>
      <c r="E398" s="7" t="s">
        <v>11</v>
      </c>
      <c r="F398" s="7" t="s">
        <v>18</v>
      </c>
      <c r="G398" s="7" t="s">
        <v>19</v>
      </c>
      <c r="H398" s="7" t="s">
        <v>4290</v>
      </c>
      <c r="I398" s="8" t="s">
        <v>4298</v>
      </c>
      <c r="J398" t="str">
        <f>VLOOKUP(B398,baru!$B$2:$I$2271,4,FALSE)</f>
        <v>Reguler</v>
      </c>
      <c r="K398" t="str">
        <f>VLOOKUP(B398,baru!$B$2:$I$2271,5,FALSE)</f>
        <v>JAWA TENGAH</v>
      </c>
      <c r="L398" t="str">
        <f>VLOOKUP(B398,baru!$B$2:$I$2271,6,FALSE)</f>
        <v>KOTA TEGAL</v>
      </c>
    </row>
    <row r="399" spans="1:12" x14ac:dyDescent="0.35">
      <c r="A399" s="6">
        <v>2406354</v>
      </c>
      <c r="B399" s="7" t="str">
        <f>"3328131511840007"</f>
        <v>3328131511840007</v>
      </c>
      <c r="C399" s="7" t="s">
        <v>4469</v>
      </c>
      <c r="D399" s="7" t="s">
        <v>10</v>
      </c>
      <c r="E399" s="7" t="s">
        <v>11</v>
      </c>
      <c r="F399" s="7" t="s">
        <v>18</v>
      </c>
      <c r="G399" s="7" t="s">
        <v>19</v>
      </c>
      <c r="H399" s="7" t="s">
        <v>4290</v>
      </c>
      <c r="I399" s="8" t="s">
        <v>1381</v>
      </c>
      <c r="J399" t="str">
        <f>VLOOKUP(B399,baru!$B$2:$I$2271,4,FALSE)</f>
        <v>Reguler</v>
      </c>
      <c r="K399" t="str">
        <f>VLOOKUP(B399,baru!$B$2:$I$2271,5,FALSE)</f>
        <v>JAWA TENGAH</v>
      </c>
      <c r="L399" t="str">
        <f>VLOOKUP(B399,baru!$B$2:$I$2271,6,FALSE)</f>
        <v>KOTA TEGAL</v>
      </c>
    </row>
    <row r="400" spans="1:12" x14ac:dyDescent="0.35">
      <c r="A400" s="6">
        <v>1903152</v>
      </c>
      <c r="B400" s="7" t="str">
        <f>"3328131607670001"</f>
        <v>3328131607670001</v>
      </c>
      <c r="C400" s="7" t="s">
        <v>4471</v>
      </c>
      <c r="D400" s="7" t="s">
        <v>10</v>
      </c>
      <c r="E400" s="7" t="s">
        <v>11</v>
      </c>
      <c r="F400" s="7" t="s">
        <v>18</v>
      </c>
      <c r="G400" s="7" t="s">
        <v>19</v>
      </c>
      <c r="H400" s="7" t="s">
        <v>4290</v>
      </c>
      <c r="I400" s="8" t="s">
        <v>4298</v>
      </c>
      <c r="J400" t="str">
        <f>VLOOKUP(B400,baru!$B$2:$I$2271,4,FALSE)</f>
        <v>Reguler</v>
      </c>
      <c r="K400" t="str">
        <f>VLOOKUP(B400,baru!$B$2:$I$2271,5,FALSE)</f>
        <v>JAWA TENGAH</v>
      </c>
      <c r="L400" t="str">
        <f>VLOOKUP(B400,baru!$B$2:$I$2271,6,FALSE)</f>
        <v>KOTA TEGAL</v>
      </c>
    </row>
    <row r="401" spans="1:12" x14ac:dyDescent="0.35">
      <c r="A401" s="6">
        <v>1902211</v>
      </c>
      <c r="B401" s="7" t="str">
        <f>"3328131607860002"</f>
        <v>3328131607860002</v>
      </c>
      <c r="C401" s="7" t="s">
        <v>4473</v>
      </c>
      <c r="D401" s="7" t="s">
        <v>10</v>
      </c>
      <c r="E401" s="7" t="s">
        <v>11</v>
      </c>
      <c r="F401" s="7" t="s">
        <v>18</v>
      </c>
      <c r="G401" s="7" t="s">
        <v>19</v>
      </c>
      <c r="H401" s="7" t="s">
        <v>4290</v>
      </c>
      <c r="I401" s="8" t="s">
        <v>4358</v>
      </c>
      <c r="J401" t="str">
        <f>VLOOKUP(B401,baru!$B$2:$I$2271,4,FALSE)</f>
        <v>Reguler</v>
      </c>
      <c r="K401" t="str">
        <f>VLOOKUP(B401,baru!$B$2:$I$2271,5,FALSE)</f>
        <v>JAWA TENGAH</v>
      </c>
      <c r="L401" t="str">
        <f>VLOOKUP(B401,baru!$B$2:$I$2271,6,FALSE)</f>
        <v>KOTA TEGAL</v>
      </c>
    </row>
    <row r="402" spans="1:12" x14ac:dyDescent="0.35">
      <c r="A402" s="6">
        <v>1910245</v>
      </c>
      <c r="B402" s="7" t="str">
        <f>"3328131701850004"</f>
        <v>3328131701850004</v>
      </c>
      <c r="C402" s="7" t="s">
        <v>4474</v>
      </c>
      <c r="D402" s="7" t="s">
        <v>10</v>
      </c>
      <c r="E402" s="7" t="s">
        <v>11</v>
      </c>
      <c r="F402" s="7" t="s">
        <v>18</v>
      </c>
      <c r="G402" s="7" t="s">
        <v>19</v>
      </c>
      <c r="H402" s="7" t="s">
        <v>4290</v>
      </c>
      <c r="I402" s="8" t="s">
        <v>4475</v>
      </c>
      <c r="J402" t="str">
        <f>VLOOKUP(B402,baru!$B$2:$I$2271,4,FALSE)</f>
        <v>Reguler</v>
      </c>
      <c r="K402" t="str">
        <f>VLOOKUP(B402,baru!$B$2:$I$2271,5,FALSE)</f>
        <v>JAWA TENGAH</v>
      </c>
      <c r="L402" t="str">
        <f>VLOOKUP(B402,baru!$B$2:$I$2271,6,FALSE)</f>
        <v>PEMALANG</v>
      </c>
    </row>
    <row r="403" spans="1:12" x14ac:dyDescent="0.35">
      <c r="A403" s="6">
        <v>1478694</v>
      </c>
      <c r="B403" s="7" t="str">
        <f>"3328131708940011"</f>
        <v>3328131708940011</v>
      </c>
      <c r="C403" s="7" t="s">
        <v>4478</v>
      </c>
      <c r="D403" s="7" t="s">
        <v>10</v>
      </c>
      <c r="E403" s="7" t="s">
        <v>11</v>
      </c>
      <c r="F403" s="7" t="s">
        <v>18</v>
      </c>
      <c r="G403" s="7" t="s">
        <v>19</v>
      </c>
      <c r="H403" s="7" t="s">
        <v>4290</v>
      </c>
      <c r="I403" s="8" t="s">
        <v>4436</v>
      </c>
      <c r="J403" t="str">
        <f>VLOOKUP(B403,baru!$B$2:$I$2271,4,FALSE)</f>
        <v>Reguler</v>
      </c>
      <c r="K403" t="str">
        <f>VLOOKUP(B403,baru!$B$2:$I$2271,5,FALSE)</f>
        <v>JAWA TENGAH</v>
      </c>
      <c r="L403" t="str">
        <f>VLOOKUP(B403,baru!$B$2:$I$2271,6,FALSE)</f>
        <v>KOTA TEGAL</v>
      </c>
    </row>
    <row r="404" spans="1:12" x14ac:dyDescent="0.35">
      <c r="A404" s="6">
        <v>1875790</v>
      </c>
      <c r="B404" s="7" t="str">
        <f>"3328131810920004"</f>
        <v>3328131810920004</v>
      </c>
      <c r="C404" s="7" t="s">
        <v>4482</v>
      </c>
      <c r="D404" s="7" t="s">
        <v>10</v>
      </c>
      <c r="E404" s="7" t="s">
        <v>11</v>
      </c>
      <c r="F404" s="7" t="s">
        <v>18</v>
      </c>
      <c r="G404" s="7" t="s">
        <v>19</v>
      </c>
      <c r="H404" s="7" t="s">
        <v>4290</v>
      </c>
      <c r="I404" s="8" t="s">
        <v>344</v>
      </c>
      <c r="J404" t="str">
        <f>VLOOKUP(B404,baru!$B$2:$I$2271,4,FALSE)</f>
        <v>Reguler</v>
      </c>
      <c r="K404" t="str">
        <f>VLOOKUP(B404,baru!$B$2:$I$2271,5,FALSE)</f>
        <v>DKI JAKARTA</v>
      </c>
      <c r="L404" t="str">
        <f>VLOOKUP(B404,baru!$B$2:$I$2271,6,FALSE)</f>
        <v>KOTA JAKARTA SELATAN</v>
      </c>
    </row>
    <row r="405" spans="1:12" x14ac:dyDescent="0.35">
      <c r="A405" s="6">
        <v>1442766</v>
      </c>
      <c r="B405" s="7" t="str">
        <f>"3328132005860009"</f>
        <v>3328132005860009</v>
      </c>
      <c r="C405" s="7" t="s">
        <v>4485</v>
      </c>
      <c r="D405" s="7" t="s">
        <v>10</v>
      </c>
      <c r="E405" s="7" t="s">
        <v>11</v>
      </c>
      <c r="F405" s="7" t="s">
        <v>18</v>
      </c>
      <c r="G405" s="7" t="s">
        <v>19</v>
      </c>
      <c r="H405" s="7" t="s">
        <v>4290</v>
      </c>
      <c r="I405" s="8" t="s">
        <v>878</v>
      </c>
      <c r="J405" t="str">
        <f>VLOOKUP(B405,baru!$B$2:$I$2271,4,FALSE)</f>
        <v>Reguler</v>
      </c>
      <c r="K405" t="str">
        <f>VLOOKUP(B405,baru!$B$2:$I$2271,5,FALSE)</f>
        <v>JAWA TIMUR</v>
      </c>
      <c r="L405" t="str">
        <f>VLOOKUP(B405,baru!$B$2:$I$2271,6,FALSE)</f>
        <v>TRENGGALEK</v>
      </c>
    </row>
    <row r="406" spans="1:12" x14ac:dyDescent="0.35">
      <c r="A406" s="6">
        <v>1900856</v>
      </c>
      <c r="B406" s="7" t="str">
        <f>"3328132101930002"</f>
        <v>3328132101930002</v>
      </c>
      <c r="C406" s="7" t="s">
        <v>672</v>
      </c>
      <c r="D406" s="7" t="s">
        <v>10</v>
      </c>
      <c r="E406" s="7" t="s">
        <v>11</v>
      </c>
      <c r="F406" s="7" t="s">
        <v>18</v>
      </c>
      <c r="G406" s="7" t="s">
        <v>19</v>
      </c>
      <c r="H406" s="7" t="s">
        <v>4290</v>
      </c>
      <c r="I406" s="8" t="s">
        <v>4358</v>
      </c>
      <c r="J406" t="str">
        <f>VLOOKUP(B406,baru!$B$2:$I$2271,4,FALSE)</f>
        <v>Reguler</v>
      </c>
      <c r="K406" t="str">
        <f>VLOOKUP(B406,baru!$B$2:$I$2271,5,FALSE)</f>
        <v>JAWA TENGAH</v>
      </c>
      <c r="L406" t="str">
        <f>VLOOKUP(B406,baru!$B$2:$I$2271,6,FALSE)</f>
        <v>KOTA TEGAL</v>
      </c>
    </row>
    <row r="407" spans="1:12" x14ac:dyDescent="0.35">
      <c r="A407" s="6">
        <v>1909058</v>
      </c>
      <c r="B407" s="7" t="str">
        <f>"3328132107970005"</f>
        <v>3328132107970005</v>
      </c>
      <c r="C407" s="7" t="s">
        <v>4493</v>
      </c>
      <c r="D407" s="7" t="s">
        <v>10</v>
      </c>
      <c r="E407" s="7" t="s">
        <v>11</v>
      </c>
      <c r="F407" s="7" t="s">
        <v>18</v>
      </c>
      <c r="G407" s="7" t="s">
        <v>19</v>
      </c>
      <c r="H407" s="7" t="s">
        <v>4290</v>
      </c>
      <c r="I407" s="8" t="s">
        <v>4475</v>
      </c>
      <c r="J407" t="str">
        <f>VLOOKUP(B407,baru!$B$2:$I$2271,4,FALSE)</f>
        <v>Reguler</v>
      </c>
      <c r="K407" t="str">
        <f>VLOOKUP(B407,baru!$B$2:$I$2271,5,FALSE)</f>
        <v>JAWA TENGAH</v>
      </c>
      <c r="L407" t="str">
        <f>VLOOKUP(B407,baru!$B$2:$I$2271,6,FALSE)</f>
        <v>KOTA TEGAL</v>
      </c>
    </row>
    <row r="408" spans="1:12" x14ac:dyDescent="0.35">
      <c r="A408" s="6">
        <v>1901962</v>
      </c>
      <c r="B408" s="7" t="str">
        <f>"3328132203000001"</f>
        <v>3328132203000001</v>
      </c>
      <c r="C408" s="7" t="s">
        <v>4494</v>
      </c>
      <c r="D408" s="7" t="s">
        <v>189</v>
      </c>
      <c r="E408" s="7" t="s">
        <v>11</v>
      </c>
      <c r="F408" s="7" t="s">
        <v>18</v>
      </c>
      <c r="G408" s="7" t="s">
        <v>19</v>
      </c>
      <c r="H408" s="7" t="s">
        <v>4290</v>
      </c>
      <c r="I408" s="8" t="s">
        <v>4358</v>
      </c>
      <c r="J408" t="str">
        <f>VLOOKUP(B408,baru!$B$2:$I$2271,4,FALSE)</f>
        <v>Reguler</v>
      </c>
      <c r="K408" t="str">
        <f>VLOOKUP(B408,baru!$B$2:$I$2271,5,FALSE)</f>
        <v>JAWA TENGAH</v>
      </c>
      <c r="L408" t="str">
        <f>VLOOKUP(B408,baru!$B$2:$I$2271,6,FALSE)</f>
        <v>KOTA TEGAL</v>
      </c>
    </row>
    <row r="409" spans="1:12" x14ac:dyDescent="0.35">
      <c r="A409" s="6">
        <v>1889915</v>
      </c>
      <c r="B409" s="7" t="str">
        <f>"3328132210950005"</f>
        <v>3328132210950005</v>
      </c>
      <c r="C409" s="7" t="s">
        <v>4495</v>
      </c>
      <c r="D409" s="7" t="s">
        <v>10</v>
      </c>
      <c r="E409" s="7" t="s">
        <v>11</v>
      </c>
      <c r="F409" s="7" t="s">
        <v>18</v>
      </c>
      <c r="G409" s="7" t="s">
        <v>19</v>
      </c>
      <c r="H409" s="7" t="s">
        <v>4290</v>
      </c>
      <c r="I409" s="8" t="s">
        <v>4315</v>
      </c>
      <c r="J409" t="str">
        <f>VLOOKUP(B409,baru!$B$2:$I$2271,4,FALSE)</f>
        <v>Reguler</v>
      </c>
      <c r="K409" t="str">
        <f>VLOOKUP(B409,baru!$B$2:$I$2271,5,FALSE)</f>
        <v>DKI JAKARTA</v>
      </c>
      <c r="L409" t="str">
        <f>VLOOKUP(B409,baru!$B$2:$I$2271,6,FALSE)</f>
        <v>KOTA JAKARTA BARAT</v>
      </c>
    </row>
    <row r="410" spans="1:12" x14ac:dyDescent="0.35">
      <c r="A410" s="6">
        <v>1904098</v>
      </c>
      <c r="B410" s="7" t="str">
        <f>"3328132405890001"</f>
        <v>3328132405890001</v>
      </c>
      <c r="C410" s="7" t="s">
        <v>4500</v>
      </c>
      <c r="D410" s="7" t="s">
        <v>10</v>
      </c>
      <c r="E410" s="7" t="s">
        <v>11</v>
      </c>
      <c r="F410" s="7" t="s">
        <v>18</v>
      </c>
      <c r="G410" s="7" t="s">
        <v>19</v>
      </c>
      <c r="H410" s="7" t="s">
        <v>4290</v>
      </c>
      <c r="I410" s="8" t="s">
        <v>4298</v>
      </c>
      <c r="J410" t="str">
        <f>VLOOKUP(B410,baru!$B$2:$I$2271,4,FALSE)</f>
        <v>Reguler</v>
      </c>
      <c r="K410" t="str">
        <f>VLOOKUP(B410,baru!$B$2:$I$2271,5,FALSE)</f>
        <v>JAWA TIMUR</v>
      </c>
      <c r="L410" t="str">
        <f>VLOOKUP(B410,baru!$B$2:$I$2271,6,FALSE)</f>
        <v>KEDIRI</v>
      </c>
    </row>
    <row r="411" spans="1:12" x14ac:dyDescent="0.35">
      <c r="A411" s="6">
        <v>2410418</v>
      </c>
      <c r="B411" s="7" t="str">
        <f>"3328132409960003"</f>
        <v>3328132409960003</v>
      </c>
      <c r="C411" s="7" t="s">
        <v>4501</v>
      </c>
      <c r="D411" s="7" t="s">
        <v>10</v>
      </c>
      <c r="E411" s="7" t="s">
        <v>11</v>
      </c>
      <c r="F411" s="7" t="s">
        <v>18</v>
      </c>
      <c r="G411" s="7" t="s">
        <v>19</v>
      </c>
      <c r="H411" s="7" t="s">
        <v>4290</v>
      </c>
      <c r="I411" s="8" t="s">
        <v>1381</v>
      </c>
      <c r="J411" t="str">
        <f>VLOOKUP(B411,baru!$B$2:$I$2271,4,FALSE)</f>
        <v>Reguler</v>
      </c>
      <c r="K411" t="str">
        <f>VLOOKUP(B411,baru!$B$2:$I$2271,5,FALSE)</f>
        <v>JAWA TENGAH</v>
      </c>
      <c r="L411" t="str">
        <f>VLOOKUP(B411,baru!$B$2:$I$2271,6,FALSE)</f>
        <v>BREBES</v>
      </c>
    </row>
    <row r="412" spans="1:12" x14ac:dyDescent="0.35">
      <c r="A412" s="6">
        <v>1888231</v>
      </c>
      <c r="B412" s="7" t="str">
        <f>"3328132503850003"</f>
        <v>3328132503850003</v>
      </c>
      <c r="C412" s="7" t="s">
        <v>4503</v>
      </c>
      <c r="D412" s="7" t="s">
        <v>10</v>
      </c>
      <c r="E412" s="7" t="s">
        <v>11</v>
      </c>
      <c r="F412" s="7" t="s">
        <v>18</v>
      </c>
      <c r="G412" s="7" t="s">
        <v>19</v>
      </c>
      <c r="H412" s="7" t="s">
        <v>4290</v>
      </c>
      <c r="I412" s="8" t="s">
        <v>4315</v>
      </c>
      <c r="J412" t="str">
        <f>VLOOKUP(B412,baru!$B$2:$I$2271,4,FALSE)</f>
        <v>Reguler</v>
      </c>
      <c r="K412" t="str">
        <f>VLOOKUP(B412,baru!$B$2:$I$2271,5,FALSE)</f>
        <v>DKI JAKARTA</v>
      </c>
      <c r="L412" t="str">
        <f>VLOOKUP(B412,baru!$B$2:$I$2271,6,FALSE)</f>
        <v>KOTA JAKARTA SELATAN</v>
      </c>
    </row>
    <row r="413" spans="1:12" x14ac:dyDescent="0.35">
      <c r="A413" s="6">
        <v>1887325</v>
      </c>
      <c r="B413" s="7" t="str">
        <f>"3328132506960003"</f>
        <v>3328132506960003</v>
      </c>
      <c r="C413" s="7" t="s">
        <v>4504</v>
      </c>
      <c r="D413" s="7" t="s">
        <v>10</v>
      </c>
      <c r="E413" s="7" t="s">
        <v>11</v>
      </c>
      <c r="F413" s="7" t="s">
        <v>18</v>
      </c>
      <c r="G413" s="7" t="s">
        <v>19</v>
      </c>
      <c r="H413" s="7" t="s">
        <v>4290</v>
      </c>
      <c r="I413" s="8" t="s">
        <v>4315</v>
      </c>
      <c r="J413" t="str">
        <f>VLOOKUP(B413,baru!$B$2:$I$2271,4,FALSE)</f>
        <v>Reguler</v>
      </c>
      <c r="K413" t="str">
        <f>VLOOKUP(B413,baru!$B$2:$I$2271,5,FALSE)</f>
        <v>JAWA TENGAH</v>
      </c>
      <c r="L413" t="str">
        <f>VLOOKUP(B413,baru!$B$2:$I$2271,6,FALSE)</f>
        <v>KOTA TEGAL</v>
      </c>
    </row>
    <row r="414" spans="1:12" x14ac:dyDescent="0.35">
      <c r="A414" s="6">
        <v>1905811</v>
      </c>
      <c r="B414" s="7" t="str">
        <f>"3328132510800003"</f>
        <v>3328132510800003</v>
      </c>
      <c r="C414" s="7" t="s">
        <v>4506</v>
      </c>
      <c r="D414" s="7" t="s">
        <v>10</v>
      </c>
      <c r="E414" s="7" t="s">
        <v>11</v>
      </c>
      <c r="F414" s="7" t="s">
        <v>18</v>
      </c>
      <c r="G414" s="7" t="s">
        <v>19</v>
      </c>
      <c r="H414" s="7" t="s">
        <v>4290</v>
      </c>
      <c r="I414" s="8" t="s">
        <v>4298</v>
      </c>
      <c r="J414" t="str">
        <f>VLOOKUP(B414,baru!$B$2:$I$2271,4,FALSE)</f>
        <v>Reguler</v>
      </c>
      <c r="K414" t="str">
        <f>VLOOKUP(B414,baru!$B$2:$I$2271,5,FALSE)</f>
        <v>JAWA TENGAH</v>
      </c>
      <c r="L414" t="str">
        <f>VLOOKUP(B414,baru!$B$2:$I$2271,6,FALSE)</f>
        <v>KOTA TEGAL</v>
      </c>
    </row>
    <row r="415" spans="1:12" x14ac:dyDescent="0.35">
      <c r="A415" s="6">
        <v>1943785</v>
      </c>
      <c r="B415" s="7" t="str">
        <f>"3328132601930002"</f>
        <v>3328132601930002</v>
      </c>
      <c r="C415" s="7" t="s">
        <v>4507</v>
      </c>
      <c r="D415" s="7" t="s">
        <v>10</v>
      </c>
      <c r="E415" s="7" t="s">
        <v>11</v>
      </c>
      <c r="F415" s="7" t="s">
        <v>18</v>
      </c>
      <c r="G415" s="7" t="s">
        <v>19</v>
      </c>
      <c r="H415" s="7" t="s">
        <v>4290</v>
      </c>
      <c r="I415" s="8" t="s">
        <v>4329</v>
      </c>
      <c r="J415" t="str">
        <f>VLOOKUP(B415,baru!$B$2:$I$2271,4,FALSE)</f>
        <v>Reguler</v>
      </c>
      <c r="K415" t="str">
        <f>VLOOKUP(B415,baru!$B$2:$I$2271,5,FALSE)</f>
        <v>JAWA TENGAH</v>
      </c>
      <c r="L415" t="str">
        <f>VLOOKUP(B415,baru!$B$2:$I$2271,6,FALSE)</f>
        <v>KENDAL</v>
      </c>
    </row>
    <row r="416" spans="1:12" x14ac:dyDescent="0.35">
      <c r="A416" s="6">
        <v>1439759</v>
      </c>
      <c r="B416" s="7" t="str">
        <f>"3328132603690002"</f>
        <v>3328132603690002</v>
      </c>
      <c r="C416" s="7" t="s">
        <v>4510</v>
      </c>
      <c r="D416" s="7" t="s">
        <v>10</v>
      </c>
      <c r="E416" s="7" t="s">
        <v>11</v>
      </c>
      <c r="F416" s="7" t="s">
        <v>18</v>
      </c>
      <c r="G416" s="7" t="s">
        <v>19</v>
      </c>
      <c r="H416" s="7" t="s">
        <v>4290</v>
      </c>
      <c r="I416" s="8" t="s">
        <v>878</v>
      </c>
      <c r="J416" t="str">
        <f>VLOOKUP(B416,baru!$B$2:$I$2271,4,FALSE)</f>
        <v>Reguler</v>
      </c>
      <c r="K416" t="str">
        <f>VLOOKUP(B416,baru!$B$2:$I$2271,5,FALSE)</f>
        <v>JAWA TENGAH</v>
      </c>
      <c r="L416" t="str">
        <f>VLOOKUP(B416,baru!$B$2:$I$2271,6,FALSE)</f>
        <v>BREBES</v>
      </c>
    </row>
    <row r="417" spans="1:12" x14ac:dyDescent="0.35">
      <c r="A417" s="6">
        <v>2110382</v>
      </c>
      <c r="B417" s="7" t="str">
        <f>"3328132707990005"</f>
        <v>3328132707990005</v>
      </c>
      <c r="C417" s="7" t="s">
        <v>4516</v>
      </c>
      <c r="D417" s="7" t="s">
        <v>10</v>
      </c>
      <c r="E417" s="7" t="s">
        <v>11</v>
      </c>
      <c r="F417" s="7" t="s">
        <v>18</v>
      </c>
      <c r="G417" s="7" t="s">
        <v>19</v>
      </c>
      <c r="H417" s="7" t="s">
        <v>4290</v>
      </c>
      <c r="I417" s="8" t="s">
        <v>4347</v>
      </c>
      <c r="J417" t="str">
        <f>VLOOKUP(B417,baru!$B$2:$I$2271,4,FALSE)</f>
        <v>Reguler</v>
      </c>
      <c r="K417" t="str">
        <f>VLOOKUP(B417,baru!$B$2:$I$2271,5,FALSE)</f>
        <v>JAWA TENGAH</v>
      </c>
      <c r="L417" t="str">
        <f>VLOOKUP(B417,baru!$B$2:$I$2271,6,FALSE)</f>
        <v>KOTA TEGAL</v>
      </c>
    </row>
    <row r="418" spans="1:12" x14ac:dyDescent="0.35">
      <c r="A418" s="6">
        <v>1893895</v>
      </c>
      <c r="B418" s="7" t="str">
        <f>"3328132708730005"</f>
        <v>3328132708730005</v>
      </c>
      <c r="C418" s="7" t="s">
        <v>4517</v>
      </c>
      <c r="D418" s="7" t="s">
        <v>10</v>
      </c>
      <c r="E418" s="7" t="s">
        <v>11</v>
      </c>
      <c r="F418" s="7" t="s">
        <v>18</v>
      </c>
      <c r="G418" s="7" t="s">
        <v>19</v>
      </c>
      <c r="H418" s="7" t="s">
        <v>4290</v>
      </c>
      <c r="I418" s="8" t="s">
        <v>4315</v>
      </c>
      <c r="J418" t="str">
        <f>VLOOKUP(B418,baru!$B$2:$I$2271,4,FALSE)</f>
        <v>Reguler</v>
      </c>
      <c r="K418" t="str">
        <f>VLOOKUP(B418,baru!$B$2:$I$2271,5,FALSE)</f>
        <v>JAWA TENGAH</v>
      </c>
      <c r="L418" t="str">
        <f>VLOOKUP(B418,baru!$B$2:$I$2271,6,FALSE)</f>
        <v>KOTA TEGAL</v>
      </c>
    </row>
    <row r="419" spans="1:12" x14ac:dyDescent="0.35">
      <c r="A419" s="6">
        <v>1910045</v>
      </c>
      <c r="B419" s="7" t="str">
        <f>"3328132801740005"</f>
        <v>3328132801740005</v>
      </c>
      <c r="C419" s="7" t="s">
        <v>4521</v>
      </c>
      <c r="D419" s="7" t="s">
        <v>10</v>
      </c>
      <c r="E419" s="7" t="s">
        <v>11</v>
      </c>
      <c r="F419" s="7" t="s">
        <v>18</v>
      </c>
      <c r="G419" s="7" t="s">
        <v>19</v>
      </c>
      <c r="H419" s="7" t="s">
        <v>4290</v>
      </c>
      <c r="I419" s="8" t="s">
        <v>4475</v>
      </c>
      <c r="J419" t="str">
        <f>VLOOKUP(B419,baru!$B$2:$I$2271,4,FALSE)</f>
        <v>Reguler</v>
      </c>
      <c r="K419" t="str">
        <f>VLOOKUP(B419,baru!$B$2:$I$2271,5,FALSE)</f>
        <v>JAWA TENGAH</v>
      </c>
      <c r="L419" t="str">
        <f>VLOOKUP(B419,baru!$B$2:$I$2271,6,FALSE)</f>
        <v>PEMALANG</v>
      </c>
    </row>
    <row r="420" spans="1:12" x14ac:dyDescent="0.35">
      <c r="A420" s="6">
        <v>1439758</v>
      </c>
      <c r="B420" s="7" t="str">
        <f>"3328132806020005"</f>
        <v>3328132806020005</v>
      </c>
      <c r="C420" s="7" t="s">
        <v>4523</v>
      </c>
      <c r="D420" s="7" t="s">
        <v>10</v>
      </c>
      <c r="E420" s="7" t="s">
        <v>11</v>
      </c>
      <c r="F420" s="7" t="s">
        <v>18</v>
      </c>
      <c r="G420" s="7" t="s">
        <v>19</v>
      </c>
      <c r="H420" s="7" t="s">
        <v>4290</v>
      </c>
      <c r="I420" s="8" t="s">
        <v>878</v>
      </c>
      <c r="J420" t="str">
        <f>VLOOKUP(B420,baru!$B$2:$I$2271,4,FALSE)</f>
        <v>Reguler</v>
      </c>
      <c r="K420" t="str">
        <f>VLOOKUP(B420,baru!$B$2:$I$2271,5,FALSE)</f>
        <v>JAWA TENGAH</v>
      </c>
      <c r="L420" t="str">
        <f>VLOOKUP(B420,baru!$B$2:$I$2271,6,FALSE)</f>
        <v>BREBES</v>
      </c>
    </row>
    <row r="421" spans="1:12" x14ac:dyDescent="0.35">
      <c r="A421" s="6">
        <v>2109598</v>
      </c>
      <c r="B421" s="7" t="str">
        <f>"3328133005960006"</f>
        <v>3328133005960006</v>
      </c>
      <c r="C421" s="7" t="s">
        <v>4526</v>
      </c>
      <c r="D421" s="7" t="s">
        <v>10</v>
      </c>
      <c r="E421" s="7" t="s">
        <v>11</v>
      </c>
      <c r="F421" s="7" t="s">
        <v>18</v>
      </c>
      <c r="G421" s="7" t="s">
        <v>19</v>
      </c>
      <c r="H421" s="7" t="s">
        <v>4290</v>
      </c>
      <c r="I421" s="8" t="s">
        <v>4347</v>
      </c>
      <c r="J421" t="str">
        <f>VLOOKUP(B421,baru!$B$2:$I$2271,4,FALSE)</f>
        <v>Reguler</v>
      </c>
      <c r="K421" t="str">
        <f>VLOOKUP(B421,baru!$B$2:$I$2271,5,FALSE)</f>
        <v>JAWA TENGAH</v>
      </c>
      <c r="L421" t="str">
        <f>VLOOKUP(B421,baru!$B$2:$I$2271,6,FALSE)</f>
        <v>GROBOGAN</v>
      </c>
    </row>
    <row r="422" spans="1:12" x14ac:dyDescent="0.35">
      <c r="A422" s="6">
        <v>1744396</v>
      </c>
      <c r="B422" s="7" t="str">
        <f>"3328133006830005"</f>
        <v>3328133006830005</v>
      </c>
      <c r="C422" s="7" t="s">
        <v>2757</v>
      </c>
      <c r="D422" s="7" t="s">
        <v>10</v>
      </c>
      <c r="E422" s="7" t="s">
        <v>11</v>
      </c>
      <c r="F422" s="7" t="s">
        <v>18</v>
      </c>
      <c r="G422" s="7" t="s">
        <v>19</v>
      </c>
      <c r="H422" s="7" t="s">
        <v>4290</v>
      </c>
      <c r="I422" s="8" t="s">
        <v>4426</v>
      </c>
      <c r="J422" t="str">
        <f>VLOOKUP(B422,baru!$B$2:$I$2271,4,FALSE)</f>
        <v>Reguler</v>
      </c>
      <c r="K422" t="str">
        <f>VLOOKUP(B422,baru!$B$2:$I$2271,5,FALSE)</f>
        <v>DKI JAKARTA</v>
      </c>
      <c r="L422" t="str">
        <f>VLOOKUP(B422,baru!$B$2:$I$2271,6,FALSE)</f>
        <v>KOTA JAKARTA PUSAT</v>
      </c>
    </row>
    <row r="423" spans="1:12" x14ac:dyDescent="0.35">
      <c r="A423" s="6">
        <v>1844237</v>
      </c>
      <c r="B423" s="7" t="str">
        <f>"3328133101890004"</f>
        <v>3328133101890004</v>
      </c>
      <c r="C423" s="7" t="s">
        <v>4529</v>
      </c>
      <c r="D423" s="7" t="s">
        <v>189</v>
      </c>
      <c r="E423" s="7" t="s">
        <v>11</v>
      </c>
      <c r="F423" s="7" t="s">
        <v>18</v>
      </c>
      <c r="G423" s="7" t="s">
        <v>19</v>
      </c>
      <c r="H423" s="7" t="s">
        <v>4290</v>
      </c>
      <c r="I423" s="8" t="s">
        <v>4318</v>
      </c>
      <c r="J423" t="str">
        <f>VLOOKUP(B423,baru!$B$2:$I$2271,4,FALSE)</f>
        <v>Reguler</v>
      </c>
      <c r="K423" t="str">
        <f>VLOOKUP(B423,baru!$B$2:$I$2271,5,FALSE)</f>
        <v>JAWA TENGAH</v>
      </c>
      <c r="L423" t="str">
        <f>VLOOKUP(B423,baru!$B$2:$I$2271,6,FALSE)</f>
        <v>PEMALANG</v>
      </c>
    </row>
    <row r="424" spans="1:12" x14ac:dyDescent="0.35">
      <c r="A424" s="6">
        <v>1843701</v>
      </c>
      <c r="B424" s="7" t="str">
        <f>"3328133108930004"</f>
        <v>3328133108930004</v>
      </c>
      <c r="C424" s="7" t="s">
        <v>4530</v>
      </c>
      <c r="D424" s="7" t="s">
        <v>10</v>
      </c>
      <c r="E424" s="7" t="s">
        <v>11</v>
      </c>
      <c r="F424" s="7" t="s">
        <v>18</v>
      </c>
      <c r="G424" s="7" t="s">
        <v>19</v>
      </c>
      <c r="H424" s="7" t="s">
        <v>4290</v>
      </c>
      <c r="I424" s="8" t="s">
        <v>4318</v>
      </c>
      <c r="J424" t="str">
        <f>VLOOKUP(B424,baru!$B$2:$I$2271,4,FALSE)</f>
        <v>Reguler</v>
      </c>
      <c r="K424" t="str">
        <f>VLOOKUP(B424,baru!$B$2:$I$2271,5,FALSE)</f>
        <v>JAWA TENGAH</v>
      </c>
      <c r="L424" t="str">
        <f>VLOOKUP(B424,baru!$B$2:$I$2271,6,FALSE)</f>
        <v>KOTA TEGAL</v>
      </c>
    </row>
    <row r="425" spans="1:12" x14ac:dyDescent="0.35">
      <c r="A425" s="6">
        <v>2409275</v>
      </c>
      <c r="B425" s="7" t="str">
        <f>"3328133112750041"</f>
        <v>3328133112750041</v>
      </c>
      <c r="C425" s="7" t="s">
        <v>4532</v>
      </c>
      <c r="D425" s="7" t="s">
        <v>10</v>
      </c>
      <c r="E425" s="7" t="s">
        <v>11</v>
      </c>
      <c r="F425" s="7" t="s">
        <v>18</v>
      </c>
      <c r="G425" s="7" t="s">
        <v>19</v>
      </c>
      <c r="H425" s="7" t="s">
        <v>4290</v>
      </c>
      <c r="I425" s="8" t="s">
        <v>1381</v>
      </c>
      <c r="J425" t="str">
        <f>VLOOKUP(B425,baru!$B$2:$I$2271,4,FALSE)</f>
        <v>Reguler</v>
      </c>
      <c r="K425" t="str">
        <f>VLOOKUP(B425,baru!$B$2:$I$2271,5,FALSE)</f>
        <v>JAWA TENGAH</v>
      </c>
      <c r="L425" t="str">
        <f>VLOOKUP(B425,baru!$B$2:$I$2271,6,FALSE)</f>
        <v>KOTA SALATIGA</v>
      </c>
    </row>
    <row r="426" spans="1:12" x14ac:dyDescent="0.35">
      <c r="A426" s="6">
        <v>1900152</v>
      </c>
      <c r="B426" s="7" t="str">
        <f>"3328134110840007"</f>
        <v>3328134110840007</v>
      </c>
      <c r="C426" s="7" t="s">
        <v>4535</v>
      </c>
      <c r="D426" s="7" t="s">
        <v>10</v>
      </c>
      <c r="E426" s="7" t="s">
        <v>11</v>
      </c>
      <c r="F426" s="7" t="s">
        <v>18</v>
      </c>
      <c r="G426" s="7" t="s">
        <v>19</v>
      </c>
      <c r="H426" s="7" t="s">
        <v>4290</v>
      </c>
      <c r="I426" s="8" t="s">
        <v>4358</v>
      </c>
      <c r="J426" t="str">
        <f>VLOOKUP(B426,baru!$B$2:$I$2271,4,FALSE)</f>
        <v>Reguler</v>
      </c>
      <c r="K426" t="str">
        <f>VLOOKUP(B426,baru!$B$2:$I$2271,5,FALSE)</f>
        <v>JAWA TENGAH</v>
      </c>
      <c r="L426" t="str">
        <f>VLOOKUP(B426,baru!$B$2:$I$2271,6,FALSE)</f>
        <v>DEMAK</v>
      </c>
    </row>
    <row r="427" spans="1:12" x14ac:dyDescent="0.35">
      <c r="A427" s="6">
        <v>1476028</v>
      </c>
      <c r="B427" s="7" t="str">
        <f>"3328134201900005"</f>
        <v>3328134201900005</v>
      </c>
      <c r="C427" s="7" t="s">
        <v>4538</v>
      </c>
      <c r="D427" s="7" t="s">
        <v>10</v>
      </c>
      <c r="E427" s="7" t="s">
        <v>11</v>
      </c>
      <c r="F427" s="7" t="s">
        <v>18</v>
      </c>
      <c r="G427" s="7" t="s">
        <v>19</v>
      </c>
      <c r="H427" s="7" t="s">
        <v>4290</v>
      </c>
      <c r="I427" s="8" t="s">
        <v>4436</v>
      </c>
      <c r="J427" t="str">
        <f>VLOOKUP(B427,baru!$B$2:$I$2271,4,FALSE)</f>
        <v>Reguler</v>
      </c>
      <c r="K427" t="str">
        <f>VLOOKUP(B427,baru!$B$2:$I$2271,5,FALSE)</f>
        <v>JAWA BARAT</v>
      </c>
      <c r="L427" t="str">
        <f>VLOOKUP(B427,baru!$B$2:$I$2271,6,FALSE)</f>
        <v>KARAWANG</v>
      </c>
    </row>
    <row r="428" spans="1:12" x14ac:dyDescent="0.35">
      <c r="A428" s="6">
        <v>1843117</v>
      </c>
      <c r="B428" s="7" t="str">
        <f>"3328134401030002"</f>
        <v>3328134401030002</v>
      </c>
      <c r="C428" s="7" t="s">
        <v>4543</v>
      </c>
      <c r="D428" s="7" t="s">
        <v>189</v>
      </c>
      <c r="E428" s="7" t="s">
        <v>11</v>
      </c>
      <c r="F428" s="7" t="s">
        <v>18</v>
      </c>
      <c r="G428" s="7" t="s">
        <v>19</v>
      </c>
      <c r="H428" s="7" t="s">
        <v>4290</v>
      </c>
      <c r="I428" s="8" t="s">
        <v>4318</v>
      </c>
      <c r="J428" t="str">
        <f>VLOOKUP(B428,baru!$B$2:$I$2271,4,FALSE)</f>
        <v>Reguler</v>
      </c>
      <c r="K428" t="str">
        <f>VLOOKUP(B428,baru!$B$2:$I$2271,5,FALSE)</f>
        <v>JAWA TENGAH</v>
      </c>
      <c r="L428" t="str">
        <f>VLOOKUP(B428,baru!$B$2:$I$2271,6,FALSE)</f>
        <v>BREBES</v>
      </c>
    </row>
    <row r="429" spans="1:12" x14ac:dyDescent="0.35">
      <c r="A429" s="6">
        <v>1439760</v>
      </c>
      <c r="B429" s="7" t="str">
        <f>"3328134510970002"</f>
        <v>3328134510970002</v>
      </c>
      <c r="C429" s="7" t="s">
        <v>4547</v>
      </c>
      <c r="D429" s="7" t="s">
        <v>10</v>
      </c>
      <c r="E429" s="7" t="s">
        <v>11</v>
      </c>
      <c r="F429" s="7" t="s">
        <v>18</v>
      </c>
      <c r="G429" s="7" t="s">
        <v>19</v>
      </c>
      <c r="H429" s="7" t="s">
        <v>4290</v>
      </c>
      <c r="I429" s="8" t="s">
        <v>878</v>
      </c>
      <c r="J429" t="str">
        <f>VLOOKUP(B429,baru!$B$2:$I$2271,4,FALSE)</f>
        <v>Reguler</v>
      </c>
      <c r="K429" t="str">
        <f>VLOOKUP(B429,baru!$B$2:$I$2271,5,FALSE)</f>
        <v>JAWA TENGAH</v>
      </c>
      <c r="L429" t="str">
        <f>VLOOKUP(B429,baru!$B$2:$I$2271,6,FALSE)</f>
        <v>BREBES</v>
      </c>
    </row>
    <row r="430" spans="1:12" x14ac:dyDescent="0.35">
      <c r="A430" s="6">
        <v>1888230</v>
      </c>
      <c r="B430" s="7" t="str">
        <f>"3328134605900003"</f>
        <v>3328134605900003</v>
      </c>
      <c r="C430" s="7" t="s">
        <v>2973</v>
      </c>
      <c r="D430" s="7" t="s">
        <v>10</v>
      </c>
      <c r="E430" s="7" t="s">
        <v>11</v>
      </c>
      <c r="F430" s="7" t="s">
        <v>18</v>
      </c>
      <c r="G430" s="7" t="s">
        <v>19</v>
      </c>
      <c r="H430" s="7" t="s">
        <v>4290</v>
      </c>
      <c r="I430" s="8" t="s">
        <v>4315</v>
      </c>
      <c r="J430" t="str">
        <f>VLOOKUP(B430,baru!$B$2:$I$2271,4,FALSE)</f>
        <v>Reguler</v>
      </c>
      <c r="K430" t="str">
        <f>VLOOKUP(B430,baru!$B$2:$I$2271,5,FALSE)</f>
        <v>DKI JAKARTA</v>
      </c>
      <c r="L430" t="str">
        <f>VLOOKUP(B430,baru!$B$2:$I$2271,6,FALSE)</f>
        <v>KOTA JAKARTA SELATAN</v>
      </c>
    </row>
    <row r="431" spans="1:12" x14ac:dyDescent="0.35">
      <c r="A431" s="6">
        <v>2150529</v>
      </c>
      <c r="B431" s="7" t="str">
        <f>"3328134705010003"</f>
        <v>3328134705010003</v>
      </c>
      <c r="C431" s="7" t="s">
        <v>4551</v>
      </c>
      <c r="D431" s="7" t="s">
        <v>10</v>
      </c>
      <c r="E431" s="7" t="s">
        <v>11</v>
      </c>
      <c r="F431" s="7" t="s">
        <v>18</v>
      </c>
      <c r="G431" s="7" t="s">
        <v>19</v>
      </c>
      <c r="H431" s="7" t="s">
        <v>4290</v>
      </c>
      <c r="I431" s="8" t="s">
        <v>4290</v>
      </c>
      <c r="J431" t="str">
        <f>VLOOKUP(B431,baru!$B$2:$I$2271,4,FALSE)</f>
        <v>Reguler</v>
      </c>
      <c r="K431" t="str">
        <f>VLOOKUP(B431,baru!$B$2:$I$2271,5,FALSE)</f>
        <v>JAWA TENGAH</v>
      </c>
      <c r="L431" t="str">
        <f>VLOOKUP(B431,baru!$B$2:$I$2271,6,FALSE)</f>
        <v>KOTA TEGAL</v>
      </c>
    </row>
    <row r="432" spans="1:12" x14ac:dyDescent="0.35">
      <c r="A432" s="6">
        <v>1942568</v>
      </c>
      <c r="B432" s="7" t="str">
        <f>"3328134912960001"</f>
        <v>3328134912960001</v>
      </c>
      <c r="C432" s="7" t="s">
        <v>4564</v>
      </c>
      <c r="D432" s="7" t="s">
        <v>10</v>
      </c>
      <c r="E432" s="7" t="s">
        <v>11</v>
      </c>
      <c r="F432" s="7" t="s">
        <v>18</v>
      </c>
      <c r="G432" s="7" t="s">
        <v>19</v>
      </c>
      <c r="H432" s="7" t="s">
        <v>4290</v>
      </c>
      <c r="I432" s="8" t="s">
        <v>4329</v>
      </c>
      <c r="J432" t="str">
        <f>VLOOKUP(B432,baru!$B$2:$I$2271,4,FALSE)</f>
        <v>Reguler</v>
      </c>
      <c r="K432" t="str">
        <f>VLOOKUP(B432,baru!$B$2:$I$2271,5,FALSE)</f>
        <v>JAWA TENGAH</v>
      </c>
      <c r="L432" t="str">
        <f>VLOOKUP(B432,baru!$B$2:$I$2271,6,FALSE)</f>
        <v>KOTA TEGAL</v>
      </c>
    </row>
    <row r="433" spans="1:12" x14ac:dyDescent="0.35">
      <c r="A433" s="6">
        <v>1884859</v>
      </c>
      <c r="B433" s="7" t="str">
        <f>"3328135012830003"</f>
        <v>3328135012830003</v>
      </c>
      <c r="C433" s="7" t="s">
        <v>4565</v>
      </c>
      <c r="D433" s="7" t="s">
        <v>10</v>
      </c>
      <c r="E433" s="7" t="s">
        <v>11</v>
      </c>
      <c r="F433" s="7" t="s">
        <v>18</v>
      </c>
      <c r="G433" s="7" t="s">
        <v>19</v>
      </c>
      <c r="H433" s="7" t="s">
        <v>4290</v>
      </c>
      <c r="I433" s="8" t="s">
        <v>4303</v>
      </c>
      <c r="J433" t="str">
        <f>VLOOKUP(B433,baru!$B$2:$I$2271,4,FALSE)</f>
        <v>Reguler</v>
      </c>
      <c r="K433" t="str">
        <f>VLOOKUP(B433,baru!$B$2:$I$2271,5,FALSE)</f>
        <v>JAWA TIMUR</v>
      </c>
      <c r="L433" t="str">
        <f>VLOOKUP(B433,baru!$B$2:$I$2271,6,FALSE)</f>
        <v>BANYUWANGI</v>
      </c>
    </row>
    <row r="434" spans="1:12" x14ac:dyDescent="0.35">
      <c r="A434" s="6">
        <v>1477217</v>
      </c>
      <c r="B434" s="7" t="str">
        <f>"3328135110950004"</f>
        <v>3328135110950004</v>
      </c>
      <c r="C434" s="7" t="s">
        <v>4571</v>
      </c>
      <c r="D434" s="7" t="s">
        <v>10</v>
      </c>
      <c r="E434" s="7" t="s">
        <v>11</v>
      </c>
      <c r="F434" s="7" t="s">
        <v>18</v>
      </c>
      <c r="G434" s="7" t="s">
        <v>19</v>
      </c>
      <c r="H434" s="7" t="s">
        <v>4290</v>
      </c>
      <c r="I434" s="8" t="s">
        <v>4436</v>
      </c>
      <c r="J434" t="str">
        <f>VLOOKUP(B434,baru!$B$2:$I$2271,4,FALSE)</f>
        <v>Reguler</v>
      </c>
      <c r="K434" t="str">
        <f>VLOOKUP(B434,baru!$B$2:$I$2271,5,FALSE)</f>
        <v>JAWA TENGAH</v>
      </c>
      <c r="L434" t="str">
        <f>VLOOKUP(B434,baru!$B$2:$I$2271,6,FALSE)</f>
        <v>KOTA TEGAL</v>
      </c>
    </row>
    <row r="435" spans="1:12" x14ac:dyDescent="0.35">
      <c r="A435" s="6">
        <v>1907704</v>
      </c>
      <c r="B435" s="7" t="str">
        <f>"3328135305970002"</f>
        <v>3328135305970002</v>
      </c>
      <c r="C435" s="7" t="s">
        <v>4572</v>
      </c>
      <c r="D435" s="7" t="s">
        <v>10</v>
      </c>
      <c r="E435" s="7" t="s">
        <v>11</v>
      </c>
      <c r="F435" s="7" t="s">
        <v>18</v>
      </c>
      <c r="G435" s="7" t="s">
        <v>19</v>
      </c>
      <c r="H435" s="7" t="s">
        <v>4290</v>
      </c>
      <c r="I435" s="8" t="s">
        <v>4298</v>
      </c>
      <c r="J435" t="str">
        <f>VLOOKUP(B435,baru!$B$2:$I$2271,4,FALSE)</f>
        <v>Reguler</v>
      </c>
      <c r="K435" t="str">
        <f>VLOOKUP(B435,baru!$B$2:$I$2271,5,FALSE)</f>
        <v>DKI JAKARTA</v>
      </c>
      <c r="L435" t="str">
        <f>VLOOKUP(B435,baru!$B$2:$I$2271,6,FALSE)</f>
        <v>KOTA JAKARTA BARAT</v>
      </c>
    </row>
    <row r="436" spans="1:12" x14ac:dyDescent="0.35">
      <c r="A436" s="6">
        <v>1880757</v>
      </c>
      <c r="B436" s="7" t="str">
        <f>"3328135402850004"</f>
        <v>3328135402850004</v>
      </c>
      <c r="C436" s="7" t="s">
        <v>4574</v>
      </c>
      <c r="D436" s="7" t="s">
        <v>10</v>
      </c>
      <c r="E436" s="7" t="s">
        <v>11</v>
      </c>
      <c r="F436" s="7" t="s">
        <v>18</v>
      </c>
      <c r="G436" s="7" t="s">
        <v>19</v>
      </c>
      <c r="H436" s="7" t="s">
        <v>4290</v>
      </c>
      <c r="I436" s="8" t="s">
        <v>4303</v>
      </c>
      <c r="J436" t="str">
        <f>VLOOKUP(B436,baru!$B$2:$I$2271,4,FALSE)</f>
        <v>Reguler</v>
      </c>
      <c r="K436" t="str">
        <f>VLOOKUP(B436,baru!$B$2:$I$2271,5,FALSE)</f>
        <v>JAWA TENGAH</v>
      </c>
      <c r="L436" t="str">
        <f>VLOOKUP(B436,baru!$B$2:$I$2271,6,FALSE)</f>
        <v>PURWOREJO</v>
      </c>
    </row>
    <row r="437" spans="1:12" x14ac:dyDescent="0.35">
      <c r="A437" s="6">
        <v>1479131</v>
      </c>
      <c r="B437" s="7" t="str">
        <f>"3328135411940009"</f>
        <v>3328135411940009</v>
      </c>
      <c r="C437" s="7" t="s">
        <v>4577</v>
      </c>
      <c r="D437" s="7" t="s">
        <v>10</v>
      </c>
      <c r="E437" s="7" t="s">
        <v>11</v>
      </c>
      <c r="F437" s="7" t="s">
        <v>18</v>
      </c>
      <c r="G437" s="7" t="s">
        <v>19</v>
      </c>
      <c r="H437" s="7" t="s">
        <v>4290</v>
      </c>
      <c r="I437" s="8" t="s">
        <v>4436</v>
      </c>
      <c r="J437" t="str">
        <f>VLOOKUP(B437,baru!$B$2:$I$2271,4,FALSE)</f>
        <v>Reguler</v>
      </c>
      <c r="K437" t="str">
        <f>VLOOKUP(B437,baru!$B$2:$I$2271,5,FALSE)</f>
        <v>JAWA TENGAH</v>
      </c>
      <c r="L437" t="str">
        <f>VLOOKUP(B437,baru!$B$2:$I$2271,6,FALSE)</f>
        <v>KOTA TEGAL</v>
      </c>
    </row>
    <row r="438" spans="1:12" x14ac:dyDescent="0.35">
      <c r="A438" s="6">
        <v>1905812</v>
      </c>
      <c r="B438" s="7" t="str">
        <f>"3328135506880006"</f>
        <v>3328135506880006</v>
      </c>
      <c r="C438" s="7" t="s">
        <v>4581</v>
      </c>
      <c r="D438" s="7" t="s">
        <v>10</v>
      </c>
      <c r="E438" s="7" t="s">
        <v>11</v>
      </c>
      <c r="F438" s="7" t="s">
        <v>18</v>
      </c>
      <c r="G438" s="7" t="s">
        <v>19</v>
      </c>
      <c r="H438" s="7" t="s">
        <v>4290</v>
      </c>
      <c r="I438" s="8" t="s">
        <v>4298</v>
      </c>
      <c r="J438" t="str">
        <f>VLOOKUP(B438,baru!$B$2:$I$2271,4,FALSE)</f>
        <v>Reguler</v>
      </c>
      <c r="K438" t="str">
        <f>VLOOKUP(B438,baru!$B$2:$I$2271,5,FALSE)</f>
        <v>JAWA TENGAH</v>
      </c>
      <c r="L438" t="str">
        <f>VLOOKUP(B438,baru!$B$2:$I$2271,6,FALSE)</f>
        <v>KOTA TEGAL</v>
      </c>
    </row>
    <row r="439" spans="1:12" x14ac:dyDescent="0.35">
      <c r="A439" s="6">
        <v>1877069</v>
      </c>
      <c r="B439" s="7" t="str">
        <f>"3328135507920005"</f>
        <v>3328135507920005</v>
      </c>
      <c r="C439" s="7" t="s">
        <v>4582</v>
      </c>
      <c r="D439" s="7" t="s">
        <v>10</v>
      </c>
      <c r="E439" s="7" t="s">
        <v>11</v>
      </c>
      <c r="F439" s="7" t="s">
        <v>18</v>
      </c>
      <c r="G439" s="7" t="s">
        <v>19</v>
      </c>
      <c r="H439" s="7" t="s">
        <v>4290</v>
      </c>
      <c r="I439" s="8" t="s">
        <v>344</v>
      </c>
      <c r="J439" t="str">
        <f>VLOOKUP(B439,baru!$B$2:$I$2271,4,FALSE)</f>
        <v>Reguler</v>
      </c>
      <c r="K439" t="str">
        <f>VLOOKUP(B439,baru!$B$2:$I$2271,5,FALSE)</f>
        <v>JAWA TENGAH</v>
      </c>
      <c r="L439" t="str">
        <f>VLOOKUP(B439,baru!$B$2:$I$2271,6,FALSE)</f>
        <v>PURWOREJO</v>
      </c>
    </row>
    <row r="440" spans="1:12" x14ac:dyDescent="0.35">
      <c r="A440" s="6">
        <v>1898979</v>
      </c>
      <c r="B440" s="7" t="str">
        <f>"3328135604980003"</f>
        <v>3328135604980003</v>
      </c>
      <c r="C440" s="7" t="s">
        <v>4584</v>
      </c>
      <c r="D440" s="7" t="s">
        <v>189</v>
      </c>
      <c r="E440" s="7" t="s">
        <v>11</v>
      </c>
      <c r="F440" s="7" t="s">
        <v>18</v>
      </c>
      <c r="G440" s="7" t="s">
        <v>19</v>
      </c>
      <c r="H440" s="7" t="s">
        <v>4290</v>
      </c>
      <c r="I440" s="8" t="s">
        <v>4358</v>
      </c>
      <c r="J440" t="str">
        <f>VLOOKUP(B440,baru!$B$2:$I$2271,4,FALSE)</f>
        <v>Reguler</v>
      </c>
      <c r="K440" t="str">
        <f>VLOOKUP(B440,baru!$B$2:$I$2271,5,FALSE)</f>
        <v>JAWA TENGAH</v>
      </c>
      <c r="L440" t="str">
        <f>VLOOKUP(B440,baru!$B$2:$I$2271,6,FALSE)</f>
        <v>KOTA TEGAL</v>
      </c>
    </row>
    <row r="441" spans="1:12" x14ac:dyDescent="0.35">
      <c r="A441" s="6">
        <v>1901030</v>
      </c>
      <c r="B441" s="7" t="str">
        <f>"3328135608970001"</f>
        <v>3328135608970001</v>
      </c>
      <c r="C441" s="7" t="s">
        <v>4585</v>
      </c>
      <c r="D441" s="7" t="s">
        <v>10</v>
      </c>
      <c r="E441" s="7" t="s">
        <v>11</v>
      </c>
      <c r="F441" s="7" t="s">
        <v>18</v>
      </c>
      <c r="G441" s="7" t="s">
        <v>19</v>
      </c>
      <c r="H441" s="7" t="s">
        <v>4290</v>
      </c>
      <c r="I441" s="8" t="s">
        <v>4358</v>
      </c>
      <c r="J441" t="str">
        <f>VLOOKUP(B441,baru!$B$2:$I$2271,4,FALSE)</f>
        <v>Reguler</v>
      </c>
      <c r="K441" t="str">
        <f>VLOOKUP(B441,baru!$B$2:$I$2271,5,FALSE)</f>
        <v>JAWA TENGAH</v>
      </c>
      <c r="L441" t="str">
        <f>VLOOKUP(B441,baru!$B$2:$I$2271,6,FALSE)</f>
        <v>KOTA TEGAL</v>
      </c>
    </row>
    <row r="442" spans="1:12" x14ac:dyDescent="0.35">
      <c r="A442" s="6">
        <v>1940874</v>
      </c>
      <c r="B442" s="7" t="str">
        <f>"3328135707840003"</f>
        <v>3328135707840003</v>
      </c>
      <c r="C442" s="7" t="s">
        <v>4592</v>
      </c>
      <c r="D442" s="7" t="s">
        <v>10</v>
      </c>
      <c r="E442" s="7" t="s">
        <v>11</v>
      </c>
      <c r="F442" s="7" t="s">
        <v>18</v>
      </c>
      <c r="G442" s="7" t="s">
        <v>19</v>
      </c>
      <c r="H442" s="7" t="s">
        <v>4290</v>
      </c>
      <c r="I442" s="8" t="s">
        <v>4329</v>
      </c>
      <c r="J442" t="str">
        <f>VLOOKUP(B442,baru!$B$2:$I$2271,4,FALSE)</f>
        <v>Reguler</v>
      </c>
      <c r="K442" t="str">
        <f>VLOOKUP(B442,baru!$B$2:$I$2271,5,FALSE)</f>
        <v>JAWA TENGAH</v>
      </c>
      <c r="L442" t="str">
        <f>VLOOKUP(B442,baru!$B$2:$I$2271,6,FALSE)</f>
        <v>BREBES</v>
      </c>
    </row>
    <row r="443" spans="1:12" x14ac:dyDescent="0.35">
      <c r="A443" s="6">
        <v>1904626</v>
      </c>
      <c r="B443" s="7" t="str">
        <f>"3328135709640002"</f>
        <v>3328135709640002</v>
      </c>
      <c r="C443" s="7" t="s">
        <v>4594</v>
      </c>
      <c r="D443" s="7" t="s">
        <v>10</v>
      </c>
      <c r="E443" s="7" t="s">
        <v>11</v>
      </c>
      <c r="F443" s="7" t="s">
        <v>18</v>
      </c>
      <c r="G443" s="7" t="s">
        <v>19</v>
      </c>
      <c r="H443" s="7" t="s">
        <v>4290</v>
      </c>
      <c r="I443" s="8" t="s">
        <v>4298</v>
      </c>
      <c r="J443" t="str">
        <f>VLOOKUP(B443,baru!$B$2:$I$2271,4,FALSE)</f>
        <v>Reguler</v>
      </c>
      <c r="K443" t="str">
        <f>VLOOKUP(B443,baru!$B$2:$I$2271,5,FALSE)</f>
        <v>DKI JAKARTA</v>
      </c>
      <c r="L443" t="str">
        <f>VLOOKUP(B443,baru!$B$2:$I$2271,6,FALSE)</f>
        <v>KOTA JAKARTA TIMUR</v>
      </c>
    </row>
    <row r="444" spans="1:12" x14ac:dyDescent="0.35">
      <c r="A444" s="6">
        <v>1941848</v>
      </c>
      <c r="B444" s="7" t="str">
        <f>"3328135710880003"</f>
        <v>3328135710880003</v>
      </c>
      <c r="C444" s="7" t="s">
        <v>4595</v>
      </c>
      <c r="D444" s="7" t="s">
        <v>10</v>
      </c>
      <c r="E444" s="7" t="s">
        <v>11</v>
      </c>
      <c r="F444" s="7" t="s">
        <v>18</v>
      </c>
      <c r="G444" s="7" t="s">
        <v>19</v>
      </c>
      <c r="H444" s="7" t="s">
        <v>4290</v>
      </c>
      <c r="I444" s="8" t="s">
        <v>4329</v>
      </c>
      <c r="J444" t="str">
        <f>VLOOKUP(B444,baru!$B$2:$I$2271,4,FALSE)</f>
        <v>Reguler</v>
      </c>
      <c r="K444" t="str">
        <f>VLOOKUP(B444,baru!$B$2:$I$2271,5,FALSE)</f>
        <v>JAWA TENGAH</v>
      </c>
      <c r="L444" t="str">
        <f>VLOOKUP(B444,baru!$B$2:$I$2271,6,FALSE)</f>
        <v>CILACAP</v>
      </c>
    </row>
    <row r="445" spans="1:12" x14ac:dyDescent="0.35">
      <c r="A445" s="6">
        <v>1885427</v>
      </c>
      <c r="B445" s="7" t="str">
        <f>"3328135906030002"</f>
        <v>3328135906030002</v>
      </c>
      <c r="C445" s="7" t="s">
        <v>4601</v>
      </c>
      <c r="D445" s="7" t="s">
        <v>10</v>
      </c>
      <c r="E445" s="7" t="s">
        <v>11</v>
      </c>
      <c r="F445" s="7" t="s">
        <v>18</v>
      </c>
      <c r="G445" s="7" t="s">
        <v>19</v>
      </c>
      <c r="H445" s="7" t="s">
        <v>4290</v>
      </c>
      <c r="I445" s="8" t="s">
        <v>4303</v>
      </c>
      <c r="J445" t="str">
        <f>VLOOKUP(B445,baru!$B$2:$I$2271,4,FALSE)</f>
        <v>Reguler</v>
      </c>
      <c r="K445" t="str">
        <f>VLOOKUP(B445,baru!$B$2:$I$2271,5,FALSE)</f>
        <v>DKI JAKARTA</v>
      </c>
      <c r="L445" t="str">
        <f>VLOOKUP(B445,baru!$B$2:$I$2271,6,FALSE)</f>
        <v>KOTA JAKARTA SELATAN</v>
      </c>
    </row>
    <row r="446" spans="1:12" x14ac:dyDescent="0.35">
      <c r="A446" s="6">
        <v>2087716</v>
      </c>
      <c r="B446" s="7" t="str">
        <f>"3328135911860009"</f>
        <v>3328135911860009</v>
      </c>
      <c r="C446" s="7" t="s">
        <v>4602</v>
      </c>
      <c r="D446" s="7" t="s">
        <v>10</v>
      </c>
      <c r="E446" s="7" t="s">
        <v>11</v>
      </c>
      <c r="F446" s="7" t="s">
        <v>18</v>
      </c>
      <c r="G446" s="7" t="s">
        <v>19</v>
      </c>
      <c r="H446" s="7" t="s">
        <v>4290</v>
      </c>
      <c r="I446" s="8" t="s">
        <v>4309</v>
      </c>
      <c r="J446" t="str">
        <f>VLOOKUP(B446,baru!$B$2:$I$2271,4,FALSE)</f>
        <v>Reguler</v>
      </c>
      <c r="K446" t="str">
        <f>VLOOKUP(B446,baru!$B$2:$I$2271,5,FALSE)</f>
        <v>JAWA TIMUR</v>
      </c>
      <c r="L446" t="str">
        <f>VLOOKUP(B446,baru!$B$2:$I$2271,6,FALSE)</f>
        <v>BANYUWANGI</v>
      </c>
    </row>
    <row r="447" spans="1:12" x14ac:dyDescent="0.35">
      <c r="A447" s="6">
        <v>1897528</v>
      </c>
      <c r="B447" s="7" t="str">
        <f>"3328136011910002"</f>
        <v>3328136011910002</v>
      </c>
      <c r="C447" s="7" t="s">
        <v>4605</v>
      </c>
      <c r="D447" s="7" t="s">
        <v>189</v>
      </c>
      <c r="E447" s="7" t="s">
        <v>11</v>
      </c>
      <c r="F447" s="7" t="s">
        <v>18</v>
      </c>
      <c r="G447" s="7" t="s">
        <v>19</v>
      </c>
      <c r="H447" s="7" t="s">
        <v>4290</v>
      </c>
      <c r="I447" s="8" t="s">
        <v>4606</v>
      </c>
      <c r="J447" t="str">
        <f>VLOOKUP(B447,baru!$B$2:$I$2271,4,FALSE)</f>
        <v>Reguler</v>
      </c>
      <c r="K447" t="str">
        <f>VLOOKUP(B447,baru!$B$2:$I$2271,5,FALSE)</f>
        <v>JAWA TENGAH</v>
      </c>
      <c r="L447" t="str">
        <f>VLOOKUP(B447,baru!$B$2:$I$2271,6,FALSE)</f>
        <v>BATANG</v>
      </c>
    </row>
    <row r="448" spans="1:12" x14ac:dyDescent="0.35">
      <c r="A448" s="6">
        <v>2464906</v>
      </c>
      <c r="B448" s="7" t="str">
        <f>"3328136104970003"</f>
        <v>3328136104970003</v>
      </c>
      <c r="C448" s="7" t="s">
        <v>4609</v>
      </c>
      <c r="D448" s="7" t="s">
        <v>10</v>
      </c>
      <c r="E448" s="7" t="s">
        <v>11</v>
      </c>
      <c r="F448" s="7" t="s">
        <v>18</v>
      </c>
      <c r="G448" s="7" t="s">
        <v>19</v>
      </c>
      <c r="H448" s="7" t="s">
        <v>4290</v>
      </c>
      <c r="I448" s="8" t="s">
        <v>2513</v>
      </c>
      <c r="J448" t="str">
        <f>VLOOKUP(B448,baru!$B$2:$I$2271,4,FALSE)</f>
        <v>Reguler</v>
      </c>
      <c r="K448" t="str">
        <f>VLOOKUP(B448,baru!$B$2:$I$2271,5,FALSE)</f>
        <v>JAWA TENGAH</v>
      </c>
      <c r="L448" t="str">
        <f>VLOOKUP(B448,baru!$B$2:$I$2271,6,FALSE)</f>
        <v>KOTA TEGAL</v>
      </c>
    </row>
    <row r="449" spans="1:12" x14ac:dyDescent="0.35">
      <c r="A449" s="6">
        <v>2514284</v>
      </c>
      <c r="B449" s="7" t="str">
        <f>"3328136205850001"</f>
        <v>3328136205850001</v>
      </c>
      <c r="C449" s="7" t="s">
        <v>4610</v>
      </c>
      <c r="D449" s="7" t="s">
        <v>10</v>
      </c>
      <c r="E449" s="7" t="s">
        <v>11</v>
      </c>
      <c r="F449" s="7" t="s">
        <v>18</v>
      </c>
      <c r="G449" s="7" t="s">
        <v>19</v>
      </c>
      <c r="H449" s="7" t="s">
        <v>4290</v>
      </c>
      <c r="I449" s="8" t="s">
        <v>4513</v>
      </c>
      <c r="J449" t="str">
        <f>VLOOKUP(B449,baru!$B$2:$I$2271,4,FALSE)</f>
        <v>Reguler</v>
      </c>
      <c r="K449" t="str">
        <f>VLOOKUP(B449,baru!$B$2:$I$2271,5,FALSE)</f>
        <v>KALIMANTAN UTARA</v>
      </c>
      <c r="L449" t="str">
        <f>VLOOKUP(B449,baru!$B$2:$I$2271,6,FALSE)</f>
        <v>BULUNGAN</v>
      </c>
    </row>
    <row r="450" spans="1:12" x14ac:dyDescent="0.35">
      <c r="A450" s="6">
        <v>2109393</v>
      </c>
      <c r="B450" s="7" t="str">
        <f>"3328136309960004"</f>
        <v>3328136309960004</v>
      </c>
      <c r="C450" s="7" t="s">
        <v>4621</v>
      </c>
      <c r="D450" s="7" t="s">
        <v>10</v>
      </c>
      <c r="E450" s="7" t="s">
        <v>11</v>
      </c>
      <c r="F450" s="7" t="s">
        <v>18</v>
      </c>
      <c r="G450" s="7" t="s">
        <v>19</v>
      </c>
      <c r="H450" s="7" t="s">
        <v>4290</v>
      </c>
      <c r="I450" s="8" t="s">
        <v>4347</v>
      </c>
      <c r="J450" t="str">
        <f>VLOOKUP(B450,baru!$B$2:$I$2271,4,FALSE)</f>
        <v>Reguler</v>
      </c>
      <c r="K450" t="str">
        <f>VLOOKUP(B450,baru!$B$2:$I$2271,5,FALSE)</f>
        <v>JAWA TENGAH</v>
      </c>
      <c r="L450" t="str">
        <f>VLOOKUP(B450,baru!$B$2:$I$2271,6,FALSE)</f>
        <v>KEBUMEN</v>
      </c>
    </row>
    <row r="451" spans="1:12" x14ac:dyDescent="0.35">
      <c r="A451" s="6">
        <v>1911141</v>
      </c>
      <c r="B451" s="7" t="str">
        <f>"3328136606940002"</f>
        <v>3328136606940002</v>
      </c>
      <c r="C451" s="7" t="s">
        <v>4624</v>
      </c>
      <c r="D451" s="7" t="s">
        <v>10</v>
      </c>
      <c r="E451" s="7" t="s">
        <v>11</v>
      </c>
      <c r="F451" s="7" t="s">
        <v>18</v>
      </c>
      <c r="G451" s="7" t="s">
        <v>19</v>
      </c>
      <c r="H451" s="7" t="s">
        <v>4290</v>
      </c>
      <c r="I451" s="8" t="s">
        <v>4475</v>
      </c>
      <c r="J451" t="str">
        <f>VLOOKUP(B451,baru!$B$2:$I$2271,4,FALSE)</f>
        <v>Reguler</v>
      </c>
      <c r="K451" t="str">
        <f>VLOOKUP(B451,baru!$B$2:$I$2271,5,FALSE)</f>
        <v>JAWA TENGAH</v>
      </c>
      <c r="L451" t="str">
        <f>VLOOKUP(B451,baru!$B$2:$I$2271,6,FALSE)</f>
        <v>KOTA TEGAL</v>
      </c>
    </row>
    <row r="452" spans="1:12" x14ac:dyDescent="0.35">
      <c r="A452" s="6">
        <v>2409758</v>
      </c>
      <c r="B452" s="7" t="str">
        <f>"3328136612850001"</f>
        <v>3328136612850001</v>
      </c>
      <c r="C452" s="7" t="s">
        <v>4626</v>
      </c>
      <c r="D452" s="7" t="s">
        <v>10</v>
      </c>
      <c r="E452" s="7" t="s">
        <v>11</v>
      </c>
      <c r="F452" s="7" t="s">
        <v>18</v>
      </c>
      <c r="G452" s="7" t="s">
        <v>19</v>
      </c>
      <c r="H452" s="7" t="s">
        <v>4290</v>
      </c>
      <c r="I452" s="8" t="s">
        <v>1381</v>
      </c>
      <c r="J452" t="str">
        <f>VLOOKUP(B452,baru!$B$2:$I$2271,4,FALSE)</f>
        <v>Reguler</v>
      </c>
      <c r="K452" t="str">
        <f>VLOOKUP(B452,baru!$B$2:$I$2271,5,FALSE)</f>
        <v>DKI JAKARTA</v>
      </c>
      <c r="L452" t="str">
        <f>VLOOKUP(B452,baru!$B$2:$I$2271,6,FALSE)</f>
        <v>KOTA JAKARTA BARAT</v>
      </c>
    </row>
    <row r="453" spans="1:12" x14ac:dyDescent="0.35">
      <c r="A453" s="6">
        <v>1744464</v>
      </c>
      <c r="B453" s="7" t="str">
        <f>"3328136805920003"</f>
        <v>3328136805920003</v>
      </c>
      <c r="C453" s="7" t="s">
        <v>4628</v>
      </c>
      <c r="D453" s="7" t="s">
        <v>10</v>
      </c>
      <c r="E453" s="7" t="s">
        <v>11</v>
      </c>
      <c r="F453" s="7" t="s">
        <v>18</v>
      </c>
      <c r="G453" s="7" t="s">
        <v>19</v>
      </c>
      <c r="H453" s="7" t="s">
        <v>4290</v>
      </c>
      <c r="I453" s="8" t="s">
        <v>4426</v>
      </c>
      <c r="J453" t="str">
        <f>VLOOKUP(B453,baru!$B$2:$I$2271,4,FALSE)</f>
        <v>Reguler</v>
      </c>
      <c r="K453" t="str">
        <f>VLOOKUP(B453,baru!$B$2:$I$2271,5,FALSE)</f>
        <v>DKI JAKARTA</v>
      </c>
      <c r="L453" t="str">
        <f>VLOOKUP(B453,baru!$B$2:$I$2271,6,FALSE)</f>
        <v>KOTA JAKARTA TIMUR</v>
      </c>
    </row>
    <row r="454" spans="1:12" x14ac:dyDescent="0.35">
      <c r="A454" s="6">
        <v>1898908</v>
      </c>
      <c r="B454" s="7" t="str">
        <f>"3328136812960004"</f>
        <v>3328136812960004</v>
      </c>
      <c r="C454" s="7" t="s">
        <v>4629</v>
      </c>
      <c r="D454" s="7" t="s">
        <v>189</v>
      </c>
      <c r="E454" s="7" t="s">
        <v>11</v>
      </c>
      <c r="F454" s="7" t="s">
        <v>18</v>
      </c>
      <c r="G454" s="7" t="s">
        <v>19</v>
      </c>
      <c r="H454" s="7" t="s">
        <v>4290</v>
      </c>
      <c r="I454" s="8" t="s">
        <v>4358</v>
      </c>
      <c r="J454" t="str">
        <f>VLOOKUP(B454,baru!$B$2:$I$2271,4,FALSE)</f>
        <v>Reguler</v>
      </c>
      <c r="K454" t="str">
        <f>VLOOKUP(B454,baru!$B$2:$I$2271,5,FALSE)</f>
        <v>JAWA TENGAH</v>
      </c>
      <c r="L454" t="str">
        <f>VLOOKUP(B454,baru!$B$2:$I$2271,6,FALSE)</f>
        <v>BREBES</v>
      </c>
    </row>
    <row r="455" spans="1:12" x14ac:dyDescent="0.35">
      <c r="A455" s="6">
        <v>1442602</v>
      </c>
      <c r="B455" s="7" t="str">
        <f>"3329034505870007"</f>
        <v>3329034505870007</v>
      </c>
      <c r="C455" s="7" t="s">
        <v>4635</v>
      </c>
      <c r="D455" s="7" t="s">
        <v>10</v>
      </c>
      <c r="E455" s="7" t="s">
        <v>11</v>
      </c>
      <c r="F455" s="7" t="s">
        <v>18</v>
      </c>
      <c r="G455" s="7" t="s">
        <v>19</v>
      </c>
      <c r="H455" s="7" t="s">
        <v>4290</v>
      </c>
      <c r="I455" s="8" t="s">
        <v>878</v>
      </c>
      <c r="J455" t="str">
        <f>VLOOKUP(B455,baru!$B$2:$I$2271,4,FALSE)</f>
        <v>Reguler</v>
      </c>
      <c r="K455" t="str">
        <f>VLOOKUP(B455,baru!$B$2:$I$2271,5,FALSE)</f>
        <v>JAWA TENGAH</v>
      </c>
      <c r="L455" t="str">
        <f>VLOOKUP(B455,baru!$B$2:$I$2271,6,FALSE)</f>
        <v>BREBES</v>
      </c>
    </row>
    <row r="456" spans="1:12" x14ac:dyDescent="0.35">
      <c r="A456" s="6">
        <v>1941781</v>
      </c>
      <c r="B456" s="7" t="str">
        <f>"3329081507650002"</f>
        <v>3329081507650002</v>
      </c>
      <c r="C456" s="7" t="s">
        <v>4640</v>
      </c>
      <c r="D456" s="7" t="s">
        <v>10</v>
      </c>
      <c r="E456" s="7" t="s">
        <v>11</v>
      </c>
      <c r="F456" s="7" t="s">
        <v>18</v>
      </c>
      <c r="G456" s="7" t="s">
        <v>19</v>
      </c>
      <c r="H456" s="7" t="s">
        <v>4290</v>
      </c>
      <c r="I456" s="8" t="s">
        <v>4329</v>
      </c>
      <c r="J456" t="str">
        <f>VLOOKUP(B456,baru!$B$2:$I$2271,4,FALSE)</f>
        <v>Reguler</v>
      </c>
      <c r="K456" t="str">
        <f>VLOOKUP(B456,baru!$B$2:$I$2271,5,FALSE)</f>
        <v>JAWA TENGAH</v>
      </c>
      <c r="L456" t="str">
        <f>VLOOKUP(B456,baru!$B$2:$I$2271,6,FALSE)</f>
        <v>BREBES</v>
      </c>
    </row>
    <row r="457" spans="1:12" x14ac:dyDescent="0.35">
      <c r="A457" s="6">
        <v>1940873</v>
      </c>
      <c r="B457" s="7" t="str">
        <f>"3329082804840013"</f>
        <v>3329082804840013</v>
      </c>
      <c r="C457" s="7" t="s">
        <v>4641</v>
      </c>
      <c r="D457" s="7" t="s">
        <v>10</v>
      </c>
      <c r="E457" s="7" t="s">
        <v>11</v>
      </c>
      <c r="F457" s="7" t="s">
        <v>18</v>
      </c>
      <c r="G457" s="7" t="s">
        <v>19</v>
      </c>
      <c r="H457" s="7" t="s">
        <v>4290</v>
      </c>
      <c r="I457" s="8" t="s">
        <v>4329</v>
      </c>
      <c r="J457" t="str">
        <f>VLOOKUP(B457,baru!$B$2:$I$2271,4,FALSE)</f>
        <v>Reguler</v>
      </c>
      <c r="K457" t="str">
        <f>VLOOKUP(B457,baru!$B$2:$I$2271,5,FALSE)</f>
        <v>JAWA TENGAH</v>
      </c>
      <c r="L457" t="str">
        <f>VLOOKUP(B457,baru!$B$2:$I$2271,6,FALSE)</f>
        <v>BREBES</v>
      </c>
    </row>
    <row r="458" spans="1:12" x14ac:dyDescent="0.35">
      <c r="A458" s="6">
        <v>1879716</v>
      </c>
      <c r="B458" s="7" t="str">
        <f>"3329100302760004"</f>
        <v>3329100302760004</v>
      </c>
      <c r="C458" s="7" t="s">
        <v>4007</v>
      </c>
      <c r="D458" s="7" t="s">
        <v>10</v>
      </c>
      <c r="E458" s="7" t="s">
        <v>11</v>
      </c>
      <c r="F458" s="7" t="s">
        <v>18</v>
      </c>
      <c r="G458" s="7" t="s">
        <v>19</v>
      </c>
      <c r="H458" s="7" t="s">
        <v>4290</v>
      </c>
      <c r="I458" s="8" t="s">
        <v>4303</v>
      </c>
      <c r="J458" t="str">
        <f>VLOOKUP(B458,baru!$B$2:$I$2271,4,FALSE)</f>
        <v>Reguler</v>
      </c>
      <c r="K458" t="str">
        <f>VLOOKUP(B458,baru!$B$2:$I$2271,5,FALSE)</f>
        <v>JAWA TENGAH</v>
      </c>
      <c r="L458" t="str">
        <f>VLOOKUP(B458,baru!$B$2:$I$2271,6,FALSE)</f>
        <v>BREBES</v>
      </c>
    </row>
    <row r="459" spans="1:12" x14ac:dyDescent="0.35">
      <c r="A459" s="6">
        <v>1884655</v>
      </c>
      <c r="B459" s="7" t="str">
        <f>"3329143112830080"</f>
        <v>3329143112830080</v>
      </c>
      <c r="C459" s="7" t="s">
        <v>3088</v>
      </c>
      <c r="D459" s="7" t="s">
        <v>10</v>
      </c>
      <c r="E459" s="7" t="s">
        <v>11</v>
      </c>
      <c r="F459" s="7" t="s">
        <v>18</v>
      </c>
      <c r="G459" s="7" t="s">
        <v>19</v>
      </c>
      <c r="H459" s="7" t="s">
        <v>4290</v>
      </c>
      <c r="I459" s="8" t="s">
        <v>4303</v>
      </c>
      <c r="J459" t="str">
        <f>VLOOKUP(B459,baru!$B$2:$I$2271,4,FALSE)</f>
        <v>Reguler</v>
      </c>
      <c r="K459" t="str">
        <f>VLOOKUP(B459,baru!$B$2:$I$2271,5,FALSE)</f>
        <v>JAWA TENGAH</v>
      </c>
      <c r="L459" t="str">
        <f>VLOOKUP(B459,baru!$B$2:$I$2271,6,FALSE)</f>
        <v>BREBES</v>
      </c>
    </row>
    <row r="460" spans="1:12" x14ac:dyDescent="0.35">
      <c r="A460" s="6">
        <v>2409274</v>
      </c>
      <c r="B460" s="7" t="str">
        <f>"3374106305800001"</f>
        <v>3374106305800001</v>
      </c>
      <c r="C460" s="7" t="s">
        <v>4652</v>
      </c>
      <c r="D460" s="7" t="s">
        <v>10</v>
      </c>
      <c r="E460" s="7" t="s">
        <v>11</v>
      </c>
      <c r="F460" s="7" t="s">
        <v>18</v>
      </c>
      <c r="G460" s="7" t="s">
        <v>19</v>
      </c>
      <c r="H460" s="7" t="s">
        <v>4290</v>
      </c>
      <c r="I460" s="8" t="s">
        <v>1381</v>
      </c>
      <c r="J460" t="str">
        <f>VLOOKUP(B460,baru!$B$2:$I$2271,4,FALSE)</f>
        <v>Reguler</v>
      </c>
      <c r="K460" t="str">
        <f>VLOOKUP(B460,baru!$B$2:$I$2271,5,FALSE)</f>
        <v>JAWA TENGAH</v>
      </c>
      <c r="L460" t="str">
        <f>VLOOKUP(B460,baru!$B$2:$I$2271,6,FALSE)</f>
        <v>KOTA SALATIGA</v>
      </c>
    </row>
    <row r="461" spans="1:12" x14ac:dyDescent="0.35">
      <c r="A461" s="6">
        <v>2515451</v>
      </c>
      <c r="B461" s="7" t="str">
        <f>"3376014710010003"</f>
        <v>3376014710010003</v>
      </c>
      <c r="C461" s="7" t="s">
        <v>4653</v>
      </c>
      <c r="D461" s="7" t="s">
        <v>10</v>
      </c>
      <c r="E461" s="7" t="s">
        <v>11</v>
      </c>
      <c r="F461" s="7" t="s">
        <v>18</v>
      </c>
      <c r="G461" s="7" t="s">
        <v>19</v>
      </c>
      <c r="H461" s="7" t="s">
        <v>4290</v>
      </c>
      <c r="I461" s="8" t="s">
        <v>4513</v>
      </c>
      <c r="J461" t="str">
        <f>VLOOKUP(B461,baru!$B$2:$I$2271,4,FALSE)</f>
        <v>Reguler</v>
      </c>
      <c r="K461" t="str">
        <f>VLOOKUP(B461,baru!$B$2:$I$2271,5,FALSE)</f>
        <v>JAWA TENGAH</v>
      </c>
      <c r="L461" t="str">
        <f>VLOOKUP(B461,baru!$B$2:$I$2271,6,FALSE)</f>
        <v>KOTA TEGAL</v>
      </c>
    </row>
    <row r="462" spans="1:12" x14ac:dyDescent="0.35">
      <c r="A462" s="6">
        <v>1911140</v>
      </c>
      <c r="B462" s="7" t="str">
        <f>"3376030204940001"</f>
        <v>3376030204940001</v>
      </c>
      <c r="C462" s="7" t="s">
        <v>4664</v>
      </c>
      <c r="D462" s="7" t="s">
        <v>10</v>
      </c>
      <c r="E462" s="7" t="s">
        <v>11</v>
      </c>
      <c r="F462" s="7" t="s">
        <v>18</v>
      </c>
      <c r="G462" s="7" t="s">
        <v>19</v>
      </c>
      <c r="H462" s="7" t="s">
        <v>4290</v>
      </c>
      <c r="I462" s="8" t="s">
        <v>4475</v>
      </c>
      <c r="J462" t="str">
        <f>VLOOKUP(B462,baru!$B$2:$I$2271,4,FALSE)</f>
        <v>Reguler</v>
      </c>
      <c r="K462" t="str">
        <f>VLOOKUP(B462,baru!$B$2:$I$2271,5,FALSE)</f>
        <v>JAWA TENGAH</v>
      </c>
      <c r="L462" t="str">
        <f>VLOOKUP(B462,baru!$B$2:$I$2271,6,FALSE)</f>
        <v>KOTA TEGAL</v>
      </c>
    </row>
    <row r="463" spans="1:12" x14ac:dyDescent="0.35">
      <c r="A463" s="6">
        <v>1482073</v>
      </c>
      <c r="B463" s="7" t="str">
        <f>"3376034202980001"</f>
        <v>3376034202980001</v>
      </c>
      <c r="C463" s="7" t="s">
        <v>4672</v>
      </c>
      <c r="D463" s="7" t="s">
        <v>10</v>
      </c>
      <c r="E463" s="7" t="s">
        <v>11</v>
      </c>
      <c r="F463" s="7" t="s">
        <v>18</v>
      </c>
      <c r="G463" s="7" t="s">
        <v>19</v>
      </c>
      <c r="H463" s="7" t="s">
        <v>4290</v>
      </c>
      <c r="I463" s="8" t="s">
        <v>4436</v>
      </c>
      <c r="J463" t="str">
        <f>VLOOKUP(B463,baru!$B$2:$I$2271,4,FALSE)</f>
        <v>Reguler</v>
      </c>
      <c r="K463" t="str">
        <f>VLOOKUP(B463,baru!$B$2:$I$2271,5,FALSE)</f>
        <v>JAWA TENGAH</v>
      </c>
      <c r="L463" t="str">
        <f>VLOOKUP(B463,baru!$B$2:$I$2271,6,FALSE)</f>
        <v>BREBES</v>
      </c>
    </row>
    <row r="464" spans="1:12" x14ac:dyDescent="0.35">
      <c r="A464" s="6">
        <v>1482072</v>
      </c>
      <c r="B464" s="7" t="str">
        <f>"3376035306030002"</f>
        <v>3376035306030002</v>
      </c>
      <c r="C464" s="7" t="s">
        <v>4675</v>
      </c>
      <c r="D464" s="7" t="s">
        <v>10</v>
      </c>
      <c r="E464" s="7" t="s">
        <v>11</v>
      </c>
      <c r="F464" s="7" t="s">
        <v>18</v>
      </c>
      <c r="G464" s="7" t="s">
        <v>19</v>
      </c>
      <c r="H464" s="7" t="s">
        <v>4290</v>
      </c>
      <c r="I464" s="8" t="s">
        <v>4436</v>
      </c>
      <c r="J464" t="str">
        <f>VLOOKUP(B464,baru!$B$2:$I$2271,4,FALSE)</f>
        <v>Reguler</v>
      </c>
      <c r="K464" t="str">
        <f>VLOOKUP(B464,baru!$B$2:$I$2271,5,FALSE)</f>
        <v>JAWA TENGAH</v>
      </c>
      <c r="L464" t="str">
        <f>VLOOKUP(B464,baru!$B$2:$I$2271,6,FALSE)</f>
        <v>BREBES</v>
      </c>
    </row>
    <row r="465" spans="1:12" x14ac:dyDescent="0.35">
      <c r="A465" s="6">
        <v>1902212</v>
      </c>
      <c r="B465" s="7" t="str">
        <f>"3376036406840003"</f>
        <v>3376036406840003</v>
      </c>
      <c r="C465" s="7" t="s">
        <v>2608</v>
      </c>
      <c r="D465" s="7" t="s">
        <v>10</v>
      </c>
      <c r="E465" s="7" t="s">
        <v>11</v>
      </c>
      <c r="F465" s="7" t="s">
        <v>18</v>
      </c>
      <c r="G465" s="7" t="s">
        <v>19</v>
      </c>
      <c r="H465" s="7" t="s">
        <v>4290</v>
      </c>
      <c r="I465" s="8" t="s">
        <v>4358</v>
      </c>
      <c r="J465" t="str">
        <f>VLOOKUP(B465,baru!$B$2:$I$2271,4,FALSE)</f>
        <v>Reguler</v>
      </c>
      <c r="K465" t="str">
        <f>VLOOKUP(B465,baru!$B$2:$I$2271,5,FALSE)</f>
        <v>JAWA TENGAH</v>
      </c>
      <c r="L465" t="str">
        <f>VLOOKUP(B465,baru!$B$2:$I$2271,6,FALSE)</f>
        <v>KOTA TEGAL</v>
      </c>
    </row>
    <row r="466" spans="1:12" x14ac:dyDescent="0.35">
      <c r="A466" s="6">
        <v>1482074</v>
      </c>
      <c r="B466" s="7" t="str">
        <f>"3376036808690003"</f>
        <v>3376036808690003</v>
      </c>
      <c r="C466" s="7" t="s">
        <v>4680</v>
      </c>
      <c r="D466" s="7" t="s">
        <v>10</v>
      </c>
      <c r="E466" s="7" t="s">
        <v>11</v>
      </c>
      <c r="F466" s="7" t="s">
        <v>18</v>
      </c>
      <c r="G466" s="7" t="s">
        <v>19</v>
      </c>
      <c r="H466" s="7" t="s">
        <v>4290</v>
      </c>
      <c r="I466" s="8" t="s">
        <v>4436</v>
      </c>
      <c r="J466" t="str">
        <f>VLOOKUP(B466,baru!$B$2:$I$2271,4,FALSE)</f>
        <v>Reguler</v>
      </c>
      <c r="K466" t="str">
        <f>VLOOKUP(B466,baru!$B$2:$I$2271,5,FALSE)</f>
        <v>JAWA TENGAH</v>
      </c>
      <c r="L466" t="str">
        <f>VLOOKUP(B466,baru!$B$2:$I$2271,6,FALSE)</f>
        <v>BREBES</v>
      </c>
    </row>
    <row r="467" spans="1:12" x14ac:dyDescent="0.35">
      <c r="A467" s="6">
        <v>2150528</v>
      </c>
      <c r="B467" s="7" t="str">
        <f>"3376041708910004"</f>
        <v>3376041708910004</v>
      </c>
      <c r="C467" s="7" t="s">
        <v>2926</v>
      </c>
      <c r="D467" s="7" t="s">
        <v>10</v>
      </c>
      <c r="E467" s="7" t="s">
        <v>11</v>
      </c>
      <c r="F467" s="7" t="s">
        <v>18</v>
      </c>
      <c r="G467" s="7" t="s">
        <v>19</v>
      </c>
      <c r="H467" s="7" t="s">
        <v>4290</v>
      </c>
      <c r="I467" s="8" t="s">
        <v>4290</v>
      </c>
      <c r="J467" t="str">
        <f>VLOOKUP(B467,baru!$B$2:$I$2271,4,FALSE)</f>
        <v>Reguler</v>
      </c>
      <c r="K467" t="str">
        <f>VLOOKUP(B467,baru!$B$2:$I$2271,5,FALSE)</f>
        <v>JAWA TENGAH</v>
      </c>
      <c r="L467" t="str">
        <f>VLOOKUP(B467,baru!$B$2:$I$2271,6,FALSE)</f>
        <v>KOTA TEGAL</v>
      </c>
    </row>
    <row r="468" spans="1:12" x14ac:dyDescent="0.35">
      <c r="A468" s="6">
        <v>1517895</v>
      </c>
      <c r="B468" s="7" t="str">
        <f>"3201016407850013"</f>
        <v>3201016407850013</v>
      </c>
      <c r="C468" s="7" t="s">
        <v>4753</v>
      </c>
      <c r="D468" s="7" t="s">
        <v>10</v>
      </c>
      <c r="E468" s="7" t="s">
        <v>11</v>
      </c>
      <c r="F468" s="7" t="s">
        <v>18</v>
      </c>
      <c r="G468" s="7" t="s">
        <v>19</v>
      </c>
      <c r="H468" s="7" t="s">
        <v>4754</v>
      </c>
      <c r="I468" s="8" t="s">
        <v>4755</v>
      </c>
      <c r="J468" t="str">
        <f>VLOOKUP(B468,baru!$B$2:$I$2271,4,FALSE)</f>
        <v>Reguler</v>
      </c>
      <c r="K468" t="str">
        <f>VLOOKUP(B468,baru!$B$2:$I$2271,5,FALSE)</f>
        <v>JAWA TENGAH</v>
      </c>
      <c r="L468" t="str">
        <f>VLOOKUP(B468,baru!$B$2:$I$2271,6,FALSE)</f>
        <v>TEGAL</v>
      </c>
    </row>
    <row r="469" spans="1:12" x14ac:dyDescent="0.35">
      <c r="A469" s="6">
        <v>1727547</v>
      </c>
      <c r="B469" s="7" t="str">
        <f>"3211032405550001"</f>
        <v>3211032405550001</v>
      </c>
      <c r="C469" s="7" t="s">
        <v>4770</v>
      </c>
      <c r="D469" s="7" t="s">
        <v>10</v>
      </c>
      <c r="E469" s="7" t="s">
        <v>11</v>
      </c>
      <c r="F469" s="7" t="s">
        <v>18</v>
      </c>
      <c r="G469" s="7" t="s">
        <v>19</v>
      </c>
      <c r="H469" s="7" t="s">
        <v>3565</v>
      </c>
      <c r="I469" s="8" t="s">
        <v>4771</v>
      </c>
      <c r="J469" t="str">
        <f>VLOOKUP(B469,baru!$B$2:$I$2271,4,FALSE)</f>
        <v>Reguler</v>
      </c>
      <c r="K469" t="str">
        <f>VLOOKUP(B469,baru!$B$2:$I$2271,5,FALSE)</f>
        <v>JAWA BARAT</v>
      </c>
      <c r="L469" t="str">
        <f>VLOOKUP(B469,baru!$B$2:$I$2271,6,FALSE)</f>
        <v>SUMEDANG</v>
      </c>
    </row>
    <row r="470" spans="1:12" x14ac:dyDescent="0.35">
      <c r="A470" s="6">
        <v>1891452</v>
      </c>
      <c r="B470" s="7" t="str">
        <f>"3211084803910011"</f>
        <v>3211084803910011</v>
      </c>
      <c r="C470" s="7" t="s">
        <v>4774</v>
      </c>
      <c r="D470" s="7" t="s">
        <v>189</v>
      </c>
      <c r="E470" s="7" t="s">
        <v>11</v>
      </c>
      <c r="F470" s="7" t="s">
        <v>18</v>
      </c>
      <c r="G470" s="7" t="s">
        <v>19</v>
      </c>
      <c r="H470" s="7" t="s">
        <v>3565</v>
      </c>
      <c r="I470" s="8" t="s">
        <v>4775</v>
      </c>
      <c r="J470" t="str">
        <f>VLOOKUP(B470,baru!$B$2:$I$2271,4,FALSE)</f>
        <v>Reguler</v>
      </c>
      <c r="K470" t="str">
        <f>VLOOKUP(B470,baru!$B$2:$I$2271,5,FALSE)</f>
        <v>JAWA BARAT</v>
      </c>
      <c r="L470" t="str">
        <f>VLOOKUP(B470,baru!$B$2:$I$2271,6,FALSE)</f>
        <v>SUMEDANG</v>
      </c>
    </row>
    <row r="471" spans="1:12" x14ac:dyDescent="0.35">
      <c r="A471" s="6">
        <v>1947247</v>
      </c>
      <c r="B471" s="7" t="str">
        <f>"3305051908930001"</f>
        <v>3305051908930001</v>
      </c>
      <c r="C471" s="7" t="s">
        <v>4796</v>
      </c>
      <c r="D471" s="7" t="s">
        <v>10</v>
      </c>
      <c r="E471" s="7" t="s">
        <v>11</v>
      </c>
      <c r="F471" s="7" t="s">
        <v>18</v>
      </c>
      <c r="G471" s="7" t="s">
        <v>19</v>
      </c>
      <c r="H471" s="7" t="s">
        <v>3565</v>
      </c>
      <c r="I471" s="8" t="s">
        <v>4748</v>
      </c>
      <c r="J471" t="str">
        <f>VLOOKUP(B471,baru!$B$2:$I$2271,4,FALSE)</f>
        <v>Reguler</v>
      </c>
      <c r="K471" t="str">
        <f>VLOOKUP(B471,baru!$B$2:$I$2271,5,FALSE)</f>
        <v>JAWA TENGAH</v>
      </c>
      <c r="L471" t="str">
        <f>VLOOKUP(B471,baru!$B$2:$I$2271,6,FALSE)</f>
        <v>KEBUMEN</v>
      </c>
    </row>
    <row r="472" spans="1:12" x14ac:dyDescent="0.35">
      <c r="A472" s="6">
        <v>1704840</v>
      </c>
      <c r="B472" s="7" t="str">
        <f>"3328121503830001"</f>
        <v>3328121503830001</v>
      </c>
      <c r="C472" s="7" t="s">
        <v>4813</v>
      </c>
      <c r="D472" s="7" t="s">
        <v>10</v>
      </c>
      <c r="E472" s="7" t="s">
        <v>11</v>
      </c>
      <c r="F472" s="7" t="s">
        <v>18</v>
      </c>
      <c r="G472" s="7" t="s">
        <v>19</v>
      </c>
      <c r="H472" s="7" t="s">
        <v>3565</v>
      </c>
      <c r="I472" s="8" t="s">
        <v>4814</v>
      </c>
      <c r="J472" t="str">
        <f>VLOOKUP(B472,baru!$B$2:$I$2271,4,FALSE)</f>
        <v>Reguler</v>
      </c>
      <c r="K472" t="str">
        <f>VLOOKUP(B472,baru!$B$2:$I$2271,5,FALSE)</f>
        <v>JAWA TENGAH</v>
      </c>
      <c r="L472" t="str">
        <f>VLOOKUP(B472,baru!$B$2:$I$2271,6,FALSE)</f>
        <v>KUDUS</v>
      </c>
    </row>
    <row r="473" spans="1:12" x14ac:dyDescent="0.35">
      <c r="A473" s="6">
        <v>1783043</v>
      </c>
      <c r="B473" s="7" t="str">
        <f>"3328140308900004"</f>
        <v>3328140308900004</v>
      </c>
      <c r="C473" s="7" t="s">
        <v>4820</v>
      </c>
      <c r="D473" s="7" t="s">
        <v>10</v>
      </c>
      <c r="E473" s="7" t="s">
        <v>11</v>
      </c>
      <c r="F473" s="7" t="s">
        <v>18</v>
      </c>
      <c r="G473" s="7" t="s">
        <v>19</v>
      </c>
      <c r="H473" s="7" t="s">
        <v>3565</v>
      </c>
      <c r="I473" s="8" t="s">
        <v>4156</v>
      </c>
      <c r="J473" t="str">
        <f>VLOOKUP(B473,baru!$B$2:$I$2271,4,FALSE)</f>
        <v>Reguler</v>
      </c>
      <c r="K473" t="str">
        <f>VLOOKUP(B473,baru!$B$2:$I$2271,5,FALSE)</f>
        <v>DKI JAKARTA</v>
      </c>
      <c r="L473" t="str">
        <f>VLOOKUP(B473,baru!$B$2:$I$2271,6,FALSE)</f>
        <v>KOTA JAKARTA BARAT</v>
      </c>
    </row>
    <row r="474" spans="1:12" x14ac:dyDescent="0.35">
      <c r="A474" s="6">
        <v>1919933</v>
      </c>
      <c r="B474" s="7" t="str">
        <f>"3328141106780003"</f>
        <v>3328141106780003</v>
      </c>
      <c r="C474" s="7" t="s">
        <v>4841</v>
      </c>
      <c r="D474" s="7" t="s">
        <v>10</v>
      </c>
      <c r="E474" s="7" t="s">
        <v>11</v>
      </c>
      <c r="F474" s="7" t="s">
        <v>18</v>
      </c>
      <c r="G474" s="7" t="s">
        <v>19</v>
      </c>
      <c r="H474" s="7" t="s">
        <v>3565</v>
      </c>
      <c r="I474" s="8" t="s">
        <v>4765</v>
      </c>
      <c r="J474" t="str">
        <f>VLOOKUP(B474,baru!$B$2:$I$2271,4,FALSE)</f>
        <v>Reguler</v>
      </c>
      <c r="K474" t="str">
        <f>VLOOKUP(B474,baru!$B$2:$I$2271,5,FALSE)</f>
        <v>JAWA TENGAH</v>
      </c>
      <c r="L474" t="str">
        <f>VLOOKUP(B474,baru!$B$2:$I$2271,6,FALSE)</f>
        <v>WONOGIRI</v>
      </c>
    </row>
    <row r="475" spans="1:12" x14ac:dyDescent="0.35">
      <c r="A475" s="6">
        <v>1874141</v>
      </c>
      <c r="B475" s="7" t="str">
        <f>"3328141510850004"</f>
        <v>3328141510850004</v>
      </c>
      <c r="C475" s="7" t="s">
        <v>4851</v>
      </c>
      <c r="D475" s="7" t="s">
        <v>10</v>
      </c>
      <c r="E475" s="7" t="s">
        <v>11</v>
      </c>
      <c r="F475" s="7" t="s">
        <v>18</v>
      </c>
      <c r="G475" s="7" t="s">
        <v>19</v>
      </c>
      <c r="H475" s="7" t="s">
        <v>3565</v>
      </c>
      <c r="I475" s="8" t="s">
        <v>4752</v>
      </c>
      <c r="J475" t="str">
        <f>VLOOKUP(B475,baru!$B$2:$I$2271,4,FALSE)</f>
        <v>Reguler</v>
      </c>
      <c r="K475" t="str">
        <f>VLOOKUP(B475,baru!$B$2:$I$2271,5,FALSE)</f>
        <v>JAWA TENGAH</v>
      </c>
      <c r="L475" t="str">
        <f>VLOOKUP(B475,baru!$B$2:$I$2271,6,FALSE)</f>
        <v>PEKALONGAN</v>
      </c>
    </row>
    <row r="476" spans="1:12" x14ac:dyDescent="0.35">
      <c r="A476" s="6">
        <v>1872117</v>
      </c>
      <c r="B476" s="7" t="str">
        <f>"3328142903950004"</f>
        <v>3328142903950004</v>
      </c>
      <c r="C476" s="7" t="s">
        <v>4861</v>
      </c>
      <c r="D476" s="7" t="s">
        <v>10</v>
      </c>
      <c r="E476" s="7" t="s">
        <v>11</v>
      </c>
      <c r="F476" s="7" t="s">
        <v>18</v>
      </c>
      <c r="G476" s="7" t="s">
        <v>19</v>
      </c>
      <c r="H476" s="7" t="s">
        <v>3565</v>
      </c>
      <c r="I476" s="8" t="s">
        <v>3565</v>
      </c>
      <c r="J476" t="str">
        <f>VLOOKUP(B476,baru!$B$2:$I$2271,4,FALSE)</f>
        <v>Reguler</v>
      </c>
      <c r="K476" t="str">
        <f>VLOOKUP(B476,baru!$B$2:$I$2271,5,FALSE)</f>
        <v>DKI JAKARTA</v>
      </c>
      <c r="L476" t="str">
        <f>VLOOKUP(B476,baru!$B$2:$I$2271,6,FALSE)</f>
        <v>KOTA JAKARTA BARAT</v>
      </c>
    </row>
    <row r="477" spans="1:12" x14ac:dyDescent="0.35">
      <c r="A477" s="6">
        <v>1919934</v>
      </c>
      <c r="B477" s="7" t="str">
        <f>"3328144112780001"</f>
        <v>3328144112780001</v>
      </c>
      <c r="C477" s="7" t="s">
        <v>4878</v>
      </c>
      <c r="D477" s="7" t="s">
        <v>10</v>
      </c>
      <c r="E477" s="7" t="s">
        <v>11</v>
      </c>
      <c r="F477" s="7" t="s">
        <v>18</v>
      </c>
      <c r="G477" s="7" t="s">
        <v>19</v>
      </c>
      <c r="H477" s="7" t="s">
        <v>3565</v>
      </c>
      <c r="I477" s="8" t="s">
        <v>4765</v>
      </c>
      <c r="J477" t="str">
        <f>VLOOKUP(B477,baru!$B$2:$I$2271,4,FALSE)</f>
        <v>Reguler</v>
      </c>
      <c r="K477" t="str">
        <f>VLOOKUP(B477,baru!$B$2:$I$2271,5,FALSE)</f>
        <v>JAWA TENGAH</v>
      </c>
      <c r="L477" t="str">
        <f>VLOOKUP(B477,baru!$B$2:$I$2271,6,FALSE)</f>
        <v>WONOGIRI</v>
      </c>
    </row>
    <row r="478" spans="1:12" x14ac:dyDescent="0.35">
      <c r="A478" s="6">
        <v>1946845</v>
      </c>
      <c r="B478" s="7" t="str">
        <f>"3328144212640003"</f>
        <v>3328144212640003</v>
      </c>
      <c r="C478" s="7" t="s">
        <v>4879</v>
      </c>
      <c r="D478" s="7" t="s">
        <v>10</v>
      </c>
      <c r="E478" s="7" t="s">
        <v>11</v>
      </c>
      <c r="F478" s="7" t="s">
        <v>18</v>
      </c>
      <c r="G478" s="7" t="s">
        <v>19</v>
      </c>
      <c r="H478" s="7" t="s">
        <v>3565</v>
      </c>
      <c r="I478" s="8" t="s">
        <v>4748</v>
      </c>
      <c r="J478" t="str">
        <f>VLOOKUP(B478,baru!$B$2:$I$2271,4,FALSE)</f>
        <v>Reguler</v>
      </c>
      <c r="K478" t="str">
        <f>VLOOKUP(B478,baru!$B$2:$I$2271,5,FALSE)</f>
        <v>JAWA TENGAH</v>
      </c>
      <c r="L478" t="str">
        <f>VLOOKUP(B478,baru!$B$2:$I$2271,6,FALSE)</f>
        <v>BREBES</v>
      </c>
    </row>
    <row r="479" spans="1:12" x14ac:dyDescent="0.35">
      <c r="A479" s="6">
        <v>1664709</v>
      </c>
      <c r="B479" s="7" t="str">
        <f>"3328144606920004"</f>
        <v>3328144606920004</v>
      </c>
      <c r="C479" s="7" t="s">
        <v>4885</v>
      </c>
      <c r="D479" s="7" t="s">
        <v>10</v>
      </c>
      <c r="E479" s="7" t="s">
        <v>11</v>
      </c>
      <c r="F479" s="7" t="s">
        <v>18</v>
      </c>
      <c r="G479" s="7" t="s">
        <v>19</v>
      </c>
      <c r="H479" s="7" t="s">
        <v>3565</v>
      </c>
      <c r="I479" s="8" t="s">
        <v>4708</v>
      </c>
      <c r="J479" t="str">
        <f>VLOOKUP(B479,baru!$B$2:$I$2271,4,FALSE)</f>
        <v>Reguler</v>
      </c>
      <c r="K479" t="str">
        <f>VLOOKUP(B479,baru!$B$2:$I$2271,5,FALSE)</f>
        <v>DKI JAKARTA</v>
      </c>
      <c r="L479" t="str">
        <f>VLOOKUP(B479,baru!$B$2:$I$2271,6,FALSE)</f>
        <v>KOTA JAKARTA TIMUR</v>
      </c>
    </row>
    <row r="480" spans="1:12" x14ac:dyDescent="0.35">
      <c r="A480" s="6">
        <v>1728887</v>
      </c>
      <c r="B480" s="7" t="str">
        <f>"3328144803890010"</f>
        <v>3328144803890010</v>
      </c>
      <c r="C480" s="7" t="s">
        <v>4889</v>
      </c>
      <c r="D480" s="7" t="s">
        <v>10</v>
      </c>
      <c r="E480" s="7" t="s">
        <v>11</v>
      </c>
      <c r="F480" s="7" t="s">
        <v>18</v>
      </c>
      <c r="G480" s="7" t="s">
        <v>19</v>
      </c>
      <c r="H480" s="7" t="s">
        <v>3565</v>
      </c>
      <c r="I480" s="8" t="s">
        <v>4771</v>
      </c>
      <c r="J480" t="str">
        <f>VLOOKUP(B480,baru!$B$2:$I$2271,4,FALSE)</f>
        <v>Reguler</v>
      </c>
      <c r="K480" t="str">
        <f>VLOOKUP(B480,baru!$B$2:$I$2271,5,FALSE)</f>
        <v>JAWA BARAT</v>
      </c>
      <c r="L480" t="str">
        <f>VLOOKUP(B480,baru!$B$2:$I$2271,6,FALSE)</f>
        <v>KARAWANG</v>
      </c>
    </row>
    <row r="481" spans="1:12" x14ac:dyDescent="0.35">
      <c r="A481" s="6">
        <v>1727683</v>
      </c>
      <c r="B481" s="7" t="str">
        <f>"3328145101650001"</f>
        <v>3328145101650001</v>
      </c>
      <c r="C481" s="7" t="s">
        <v>4892</v>
      </c>
      <c r="D481" s="7" t="s">
        <v>10</v>
      </c>
      <c r="E481" s="7" t="s">
        <v>11</v>
      </c>
      <c r="F481" s="7" t="s">
        <v>18</v>
      </c>
      <c r="G481" s="7" t="s">
        <v>19</v>
      </c>
      <c r="H481" s="7" t="s">
        <v>3565</v>
      </c>
      <c r="I481" s="8" t="s">
        <v>4771</v>
      </c>
      <c r="J481" t="str">
        <f>VLOOKUP(B481,baru!$B$2:$I$2271,4,FALSE)</f>
        <v>Reguler</v>
      </c>
      <c r="K481" t="str">
        <f>VLOOKUP(B481,baru!$B$2:$I$2271,5,FALSE)</f>
        <v>JAWA TENGAH</v>
      </c>
      <c r="L481" t="str">
        <f>VLOOKUP(B481,baru!$B$2:$I$2271,6,FALSE)</f>
        <v>TEGAL</v>
      </c>
    </row>
    <row r="482" spans="1:12" x14ac:dyDescent="0.35">
      <c r="A482" s="6">
        <v>1661764</v>
      </c>
      <c r="B482" s="7" t="str">
        <f>"3328146304880007"</f>
        <v>3328146304880007</v>
      </c>
      <c r="C482" s="7" t="s">
        <v>4903</v>
      </c>
      <c r="D482" s="7" t="s">
        <v>10</v>
      </c>
      <c r="E482" s="7" t="s">
        <v>11</v>
      </c>
      <c r="F482" s="7" t="s">
        <v>18</v>
      </c>
      <c r="G482" s="7" t="s">
        <v>19</v>
      </c>
      <c r="H482" s="7" t="s">
        <v>3565</v>
      </c>
      <c r="I482" s="8" t="s">
        <v>4708</v>
      </c>
      <c r="J482" t="str">
        <f>VLOOKUP(B482,baru!$B$2:$I$2271,4,FALSE)</f>
        <v>Reguler</v>
      </c>
      <c r="K482" t="str">
        <f>VLOOKUP(B482,baru!$B$2:$I$2271,5,FALSE)</f>
        <v>JAWA TIMUR</v>
      </c>
      <c r="L482" t="str">
        <f>VLOOKUP(B482,baru!$B$2:$I$2271,6,FALSE)</f>
        <v>BANYUWANGI</v>
      </c>
    </row>
    <row r="483" spans="1:12" x14ac:dyDescent="0.35">
      <c r="A483" s="6">
        <v>1512361</v>
      </c>
      <c r="B483" s="7" t="str">
        <f>"3328147112060003"</f>
        <v>3328147112060003</v>
      </c>
      <c r="C483" s="7" t="s">
        <v>4910</v>
      </c>
      <c r="D483" s="7" t="s">
        <v>10</v>
      </c>
      <c r="E483" s="7" t="s">
        <v>11</v>
      </c>
      <c r="F483" s="7" t="s">
        <v>18</v>
      </c>
      <c r="G483" s="7" t="s">
        <v>19</v>
      </c>
      <c r="H483" s="7" t="s">
        <v>4754</v>
      </c>
      <c r="I483" s="8" t="s">
        <v>882</v>
      </c>
      <c r="J483" t="str">
        <f>VLOOKUP(B483,baru!$B$2:$I$2271,4,FALSE)</f>
        <v>Reguler</v>
      </c>
      <c r="K483" t="str">
        <f>VLOOKUP(B483,baru!$B$2:$I$2271,5,FALSE)</f>
        <v>JAWA TENGAH</v>
      </c>
      <c r="L483" t="str">
        <f>VLOOKUP(B483,baru!$B$2:$I$2271,6,FALSE)</f>
        <v>TEGAL</v>
      </c>
    </row>
    <row r="484" spans="1:12" x14ac:dyDescent="0.35">
      <c r="A484" s="6">
        <v>1914791</v>
      </c>
      <c r="B484" s="7" t="str">
        <f>"3328150107910076"</f>
        <v>3328150107910076</v>
      </c>
      <c r="C484" s="7" t="s">
        <v>4914</v>
      </c>
      <c r="D484" s="7" t="s">
        <v>10</v>
      </c>
      <c r="E484" s="7" t="s">
        <v>11</v>
      </c>
      <c r="F484" s="7" t="s">
        <v>18</v>
      </c>
      <c r="G484" s="7" t="s">
        <v>19</v>
      </c>
      <c r="H484" s="7" t="s">
        <v>3565</v>
      </c>
      <c r="I484" s="8" t="s">
        <v>4719</v>
      </c>
      <c r="J484" t="str">
        <f>VLOOKUP(B484,baru!$B$2:$I$2271,4,FALSE)</f>
        <v>Reguler</v>
      </c>
      <c r="K484" t="str">
        <f>VLOOKUP(B484,baru!$B$2:$I$2271,5,FALSE)</f>
        <v>JAWA TENGAH</v>
      </c>
      <c r="L484" t="str">
        <f>VLOOKUP(B484,baru!$B$2:$I$2271,6,FALSE)</f>
        <v>PEMALANG</v>
      </c>
    </row>
    <row r="485" spans="1:12" x14ac:dyDescent="0.35">
      <c r="A485" s="6">
        <v>1872631</v>
      </c>
      <c r="B485" s="7" t="str">
        <f>"3328157112990010"</f>
        <v>3328157112990010</v>
      </c>
      <c r="C485" s="7" t="s">
        <v>4917</v>
      </c>
      <c r="D485" s="7" t="s">
        <v>10</v>
      </c>
      <c r="E485" s="7" t="s">
        <v>11</v>
      </c>
      <c r="F485" s="7" t="s">
        <v>18</v>
      </c>
      <c r="G485" s="7" t="s">
        <v>19</v>
      </c>
      <c r="H485" s="7" t="s">
        <v>3565</v>
      </c>
      <c r="I485" s="8" t="s">
        <v>4752</v>
      </c>
      <c r="J485" t="str">
        <f>VLOOKUP(B485,baru!$B$2:$I$2271,4,FALSE)</f>
        <v>Reguler</v>
      </c>
      <c r="K485" t="str">
        <f>VLOOKUP(B485,baru!$B$2:$I$2271,5,FALSE)</f>
        <v>JAWA TIMUR</v>
      </c>
      <c r="L485" t="str">
        <f>VLOOKUP(B485,baru!$B$2:$I$2271,6,FALSE)</f>
        <v>BLITAR</v>
      </c>
    </row>
    <row r="486" spans="1:12" x14ac:dyDescent="0.35">
      <c r="A486" s="6">
        <v>1517896</v>
      </c>
      <c r="B486" s="7" t="str">
        <f>"3328170710850004"</f>
        <v>3328170710850004</v>
      </c>
      <c r="C486" s="7" t="s">
        <v>4920</v>
      </c>
      <c r="D486" s="7" t="s">
        <v>10</v>
      </c>
      <c r="E486" s="7" t="s">
        <v>11</v>
      </c>
      <c r="F486" s="7" t="s">
        <v>18</v>
      </c>
      <c r="G486" s="7" t="s">
        <v>19</v>
      </c>
      <c r="H486" s="7" t="s">
        <v>4754</v>
      </c>
      <c r="I486" s="8" t="s">
        <v>4755</v>
      </c>
      <c r="J486" t="str">
        <f>VLOOKUP(B486,baru!$B$2:$I$2271,4,FALSE)</f>
        <v>Reguler</v>
      </c>
      <c r="K486" t="str">
        <f>VLOOKUP(B486,baru!$B$2:$I$2271,5,FALSE)</f>
        <v>JAWA TENGAH</v>
      </c>
      <c r="L486" t="str">
        <f>VLOOKUP(B486,baru!$B$2:$I$2271,6,FALSE)</f>
        <v>TEGAL</v>
      </c>
    </row>
    <row r="487" spans="1:12" x14ac:dyDescent="0.35">
      <c r="A487" s="6">
        <v>1889450</v>
      </c>
      <c r="B487" s="7" t="str">
        <f>"3329071506950004"</f>
        <v>3329071506950004</v>
      </c>
      <c r="C487" s="7" t="s">
        <v>4927</v>
      </c>
      <c r="D487" s="7" t="s">
        <v>10</v>
      </c>
      <c r="E487" s="7" t="s">
        <v>11</v>
      </c>
      <c r="F487" s="7" t="s">
        <v>18</v>
      </c>
      <c r="G487" s="7" t="s">
        <v>19</v>
      </c>
      <c r="H487" s="7" t="s">
        <v>3565</v>
      </c>
      <c r="I487" s="8" t="s">
        <v>4775</v>
      </c>
      <c r="J487" t="str">
        <f>VLOOKUP(B487,baru!$B$2:$I$2271,4,FALSE)</f>
        <v>Reguler</v>
      </c>
      <c r="K487" t="str">
        <f>VLOOKUP(B487,baru!$B$2:$I$2271,5,FALSE)</f>
        <v>JAWA TENGAH</v>
      </c>
      <c r="L487" t="str">
        <f>VLOOKUP(B487,baru!$B$2:$I$2271,6,FALSE)</f>
        <v>BREBES</v>
      </c>
    </row>
    <row r="488" spans="1:12" x14ac:dyDescent="0.35">
      <c r="A488" s="6">
        <v>1919014</v>
      </c>
      <c r="B488" s="7" t="str">
        <f>"3329082205860003"</f>
        <v>3329082205860003</v>
      </c>
      <c r="C488" s="7" t="s">
        <v>2260</v>
      </c>
      <c r="D488" s="7" t="s">
        <v>10</v>
      </c>
      <c r="E488" s="7" t="s">
        <v>11</v>
      </c>
      <c r="F488" s="7" t="s">
        <v>18</v>
      </c>
      <c r="G488" s="7" t="s">
        <v>19</v>
      </c>
      <c r="H488" s="7" t="s">
        <v>3565</v>
      </c>
      <c r="I488" s="8" t="s">
        <v>4765</v>
      </c>
      <c r="J488" t="str">
        <f>VLOOKUP(B488,baru!$B$2:$I$2271,4,FALSE)</f>
        <v>Reguler</v>
      </c>
      <c r="K488" t="str">
        <f>VLOOKUP(B488,baru!$B$2:$I$2271,5,FALSE)</f>
        <v>JAWA TENGAH</v>
      </c>
      <c r="L488" t="str">
        <f>VLOOKUP(B488,baru!$B$2:$I$2271,6,FALSE)</f>
        <v>BREBES</v>
      </c>
    </row>
    <row r="489" spans="1:12" x14ac:dyDescent="0.35">
      <c r="A489" s="6">
        <v>1794108</v>
      </c>
      <c r="B489" s="7" t="str">
        <f>"3376013007920002"</f>
        <v>3376013007920002</v>
      </c>
      <c r="C489" s="7" t="s">
        <v>4944</v>
      </c>
      <c r="D489" s="7" t="s">
        <v>189</v>
      </c>
      <c r="E489" s="7" t="s">
        <v>11</v>
      </c>
      <c r="F489" s="7" t="s">
        <v>18</v>
      </c>
      <c r="G489" s="7" t="s">
        <v>19</v>
      </c>
      <c r="H489" s="7" t="s">
        <v>3565</v>
      </c>
      <c r="I489" s="8" t="s">
        <v>4769</v>
      </c>
      <c r="J489" t="str">
        <f>VLOOKUP(B489,baru!$B$2:$I$2271,4,FALSE)</f>
        <v>Reguler</v>
      </c>
      <c r="K489" t="str">
        <f>VLOOKUP(B489,baru!$B$2:$I$2271,5,FALSE)</f>
        <v>JAWA BARAT</v>
      </c>
      <c r="L489" t="str">
        <f>VLOOKUP(B489,baru!$B$2:$I$2271,6,FALSE)</f>
        <v>KARAWANG</v>
      </c>
    </row>
    <row r="490" spans="1:12" x14ac:dyDescent="0.35">
      <c r="A490" s="6">
        <v>1918369</v>
      </c>
      <c r="B490" s="7" t="str">
        <f>"3510034804920010"</f>
        <v>3510034804920010</v>
      </c>
      <c r="C490" s="7" t="s">
        <v>4955</v>
      </c>
      <c r="D490" s="7" t="s">
        <v>10</v>
      </c>
      <c r="E490" s="7" t="s">
        <v>11</v>
      </c>
      <c r="F490" s="7" t="s">
        <v>18</v>
      </c>
      <c r="G490" s="7" t="s">
        <v>19</v>
      </c>
      <c r="H490" s="7" t="s">
        <v>3565</v>
      </c>
      <c r="I490" s="8" t="s">
        <v>4719</v>
      </c>
      <c r="J490" t="str">
        <f>VLOOKUP(B490,baru!$B$2:$I$2271,4,FALSE)</f>
        <v>Reguler</v>
      </c>
      <c r="K490" t="str">
        <f>VLOOKUP(B490,baru!$B$2:$I$2271,5,FALSE)</f>
        <v>JAWA TIMUR</v>
      </c>
      <c r="L490" t="str">
        <f>VLOOKUP(B490,baru!$B$2:$I$2271,6,FALSE)</f>
        <v>BANYUWANGI</v>
      </c>
    </row>
    <row r="491" spans="1:12" x14ac:dyDescent="0.35">
      <c r="A491" s="6">
        <v>1919796</v>
      </c>
      <c r="B491" s="7" t="str">
        <f>"3577022211920002"</f>
        <v>3577022211920002</v>
      </c>
      <c r="C491" s="7" t="s">
        <v>4962</v>
      </c>
      <c r="D491" s="7" t="s">
        <v>10</v>
      </c>
      <c r="E491" s="7" t="s">
        <v>11</v>
      </c>
      <c r="F491" s="7" t="s">
        <v>18</v>
      </c>
      <c r="G491" s="7" t="s">
        <v>19</v>
      </c>
      <c r="H491" s="7" t="s">
        <v>3565</v>
      </c>
      <c r="I491" s="8" t="s">
        <v>4765</v>
      </c>
      <c r="J491" t="str">
        <f>VLOOKUP(B491,baru!$B$2:$I$2271,4,FALSE)</f>
        <v>Reguler</v>
      </c>
      <c r="K491" t="str">
        <f>VLOOKUP(B491,baru!$B$2:$I$2271,5,FALSE)</f>
        <v>JAWA TIMUR</v>
      </c>
      <c r="L491" t="str">
        <f>VLOOKUP(B491,baru!$B$2:$I$2271,6,FALSE)</f>
        <v>KOTA MADIUN</v>
      </c>
    </row>
    <row r="492" spans="1:12" x14ac:dyDescent="0.35">
      <c r="A492" s="6">
        <v>1314739</v>
      </c>
      <c r="B492" s="7" t="str">
        <f>"1671047112600089"</f>
        <v>1671047112600089</v>
      </c>
      <c r="C492" s="7" t="s">
        <v>4977</v>
      </c>
      <c r="D492" s="7" t="s">
        <v>10</v>
      </c>
      <c r="E492" s="7" t="s">
        <v>11</v>
      </c>
      <c r="F492" s="7" t="s">
        <v>18</v>
      </c>
      <c r="G492" s="7" t="s">
        <v>19</v>
      </c>
      <c r="H492" s="7" t="s">
        <v>266</v>
      </c>
      <c r="I492" s="8" t="s">
        <v>1737</v>
      </c>
      <c r="J492" t="str">
        <f>VLOOKUP(B492,baru!$B$2:$I$2271,4,FALSE)</f>
        <v>Reguler</v>
      </c>
      <c r="K492" t="str">
        <f>VLOOKUP(B492,baru!$B$2:$I$2271,5,FALSE)</f>
        <v>SUMATERA SELATAN</v>
      </c>
      <c r="L492" t="str">
        <f>VLOOKUP(B492,baru!$B$2:$I$2271,6,FALSE)</f>
        <v>KOTA PALEMBANG</v>
      </c>
    </row>
    <row r="493" spans="1:12" x14ac:dyDescent="0.35">
      <c r="A493" s="6">
        <v>1289751</v>
      </c>
      <c r="B493" s="7" t="str">
        <f>"3327075410940001"</f>
        <v>3327075410940001</v>
      </c>
      <c r="C493" s="7" t="s">
        <v>5024</v>
      </c>
      <c r="D493" s="7" t="s">
        <v>189</v>
      </c>
      <c r="E493" s="7" t="s">
        <v>11</v>
      </c>
      <c r="F493" s="7" t="s">
        <v>18</v>
      </c>
      <c r="G493" s="7" t="s">
        <v>19</v>
      </c>
      <c r="H493" s="7" t="s">
        <v>266</v>
      </c>
      <c r="I493" s="8" t="s">
        <v>4994</v>
      </c>
      <c r="J493" t="str">
        <f>VLOOKUP(B493,baru!$B$2:$I$2271,4,FALSE)</f>
        <v>Reguler</v>
      </c>
      <c r="K493" t="str">
        <f>VLOOKUP(B493,baru!$B$2:$I$2271,5,FALSE)</f>
        <v>JAWA TENGAH</v>
      </c>
      <c r="L493" t="str">
        <f>VLOOKUP(B493,baru!$B$2:$I$2271,6,FALSE)</f>
        <v>PEMALANG</v>
      </c>
    </row>
    <row r="494" spans="1:12" x14ac:dyDescent="0.35">
      <c r="A494" s="6">
        <v>1289295</v>
      </c>
      <c r="B494" s="7" t="str">
        <f>"3328150907790005"</f>
        <v>3328150907790005</v>
      </c>
      <c r="C494" s="7" t="s">
        <v>5062</v>
      </c>
      <c r="D494" s="7" t="s">
        <v>10</v>
      </c>
      <c r="E494" s="7" t="s">
        <v>11</v>
      </c>
      <c r="F494" s="7" t="s">
        <v>18</v>
      </c>
      <c r="G494" s="7" t="s">
        <v>19</v>
      </c>
      <c r="H494" s="7" t="s">
        <v>266</v>
      </c>
      <c r="I494" s="8" t="s">
        <v>4994</v>
      </c>
      <c r="J494" t="str">
        <f>VLOOKUP(B494,baru!$B$2:$I$2271,4,FALSE)</f>
        <v>Reguler</v>
      </c>
      <c r="K494" t="str">
        <f>VLOOKUP(B494,baru!$B$2:$I$2271,5,FALSE)</f>
        <v>JAWA TIMUR</v>
      </c>
      <c r="L494" t="str">
        <f>VLOOKUP(B494,baru!$B$2:$I$2271,6,FALSE)</f>
        <v>TRENGGALEK</v>
      </c>
    </row>
    <row r="495" spans="1:12" x14ac:dyDescent="0.35">
      <c r="A495" s="6">
        <v>1289519</v>
      </c>
      <c r="B495" s="7" t="str">
        <f>"3328151602950004"</f>
        <v>3328151602950004</v>
      </c>
      <c r="C495" s="7" t="s">
        <v>5073</v>
      </c>
      <c r="D495" s="7" t="s">
        <v>10</v>
      </c>
      <c r="E495" s="7" t="s">
        <v>11</v>
      </c>
      <c r="F495" s="7" t="s">
        <v>18</v>
      </c>
      <c r="G495" s="7" t="s">
        <v>19</v>
      </c>
      <c r="H495" s="7" t="s">
        <v>266</v>
      </c>
      <c r="I495" s="8" t="s">
        <v>4994</v>
      </c>
      <c r="J495" t="str">
        <f>VLOOKUP(B495,baru!$B$2:$I$2271,4,FALSE)</f>
        <v>Reguler</v>
      </c>
      <c r="K495" t="str">
        <f>VLOOKUP(B495,baru!$B$2:$I$2271,5,FALSE)</f>
        <v>JAWA TENGAH</v>
      </c>
      <c r="L495" t="str">
        <f>VLOOKUP(B495,baru!$B$2:$I$2271,6,FALSE)</f>
        <v>WONOGIRI</v>
      </c>
    </row>
    <row r="496" spans="1:12" x14ac:dyDescent="0.35">
      <c r="A496" s="6">
        <v>1289750</v>
      </c>
      <c r="B496" s="7" t="str">
        <f>"3328151707880006"</f>
        <v>3328151707880006</v>
      </c>
      <c r="C496" s="7" t="s">
        <v>5076</v>
      </c>
      <c r="D496" s="7" t="s">
        <v>189</v>
      </c>
      <c r="E496" s="7" t="s">
        <v>11</v>
      </c>
      <c r="F496" s="7" t="s">
        <v>18</v>
      </c>
      <c r="G496" s="7" t="s">
        <v>19</v>
      </c>
      <c r="H496" s="7" t="s">
        <v>266</v>
      </c>
      <c r="I496" s="8" t="s">
        <v>4994</v>
      </c>
      <c r="J496" t="str">
        <f>VLOOKUP(B496,baru!$B$2:$I$2271,4,FALSE)</f>
        <v>Reguler</v>
      </c>
      <c r="K496" t="str">
        <f>VLOOKUP(B496,baru!$B$2:$I$2271,5,FALSE)</f>
        <v>JAWA TENGAH</v>
      </c>
      <c r="L496" t="str">
        <f>VLOOKUP(B496,baru!$B$2:$I$2271,6,FALSE)</f>
        <v>PEMALANG</v>
      </c>
    </row>
    <row r="497" spans="1:12" x14ac:dyDescent="0.35">
      <c r="A497" s="6">
        <v>1334676</v>
      </c>
      <c r="B497" s="7" t="str">
        <f>"3328152201950009"</f>
        <v>3328152201950009</v>
      </c>
      <c r="C497" s="7" t="s">
        <v>5089</v>
      </c>
      <c r="D497" s="7" t="s">
        <v>189</v>
      </c>
      <c r="E497" s="7" t="s">
        <v>11</v>
      </c>
      <c r="F497" s="7" t="s">
        <v>18</v>
      </c>
      <c r="G497" s="7" t="s">
        <v>19</v>
      </c>
      <c r="H497" s="7" t="s">
        <v>266</v>
      </c>
      <c r="I497" s="8" t="s">
        <v>5044</v>
      </c>
      <c r="J497" t="str">
        <f>VLOOKUP(B497,baru!$B$2:$I$2271,4,FALSE)</f>
        <v>Reguler</v>
      </c>
      <c r="K497" t="str">
        <f>VLOOKUP(B497,baru!$B$2:$I$2271,5,FALSE)</f>
        <v>JAWA TENGAH</v>
      </c>
      <c r="L497" t="str">
        <f>VLOOKUP(B497,baru!$B$2:$I$2271,6,FALSE)</f>
        <v>KOTA TEGAL</v>
      </c>
    </row>
    <row r="498" spans="1:12" x14ac:dyDescent="0.35">
      <c r="A498" s="6">
        <v>1297605</v>
      </c>
      <c r="B498" s="7" t="str">
        <f>"3328155005870009"</f>
        <v>3328155005870009</v>
      </c>
      <c r="C498" s="7" t="s">
        <v>5119</v>
      </c>
      <c r="D498" s="7" t="s">
        <v>189</v>
      </c>
      <c r="E498" s="7" t="s">
        <v>11</v>
      </c>
      <c r="F498" s="7" t="s">
        <v>18</v>
      </c>
      <c r="G498" s="7" t="s">
        <v>19</v>
      </c>
      <c r="H498" s="7" t="s">
        <v>266</v>
      </c>
      <c r="I498" s="8" t="s">
        <v>5067</v>
      </c>
      <c r="J498" t="str">
        <f>VLOOKUP(B498,baru!$B$2:$I$2271,4,FALSE)</f>
        <v>Reguler</v>
      </c>
      <c r="K498" t="str">
        <f>VLOOKUP(B498,baru!$B$2:$I$2271,5,FALSE)</f>
        <v>JAWA TENGAH</v>
      </c>
      <c r="L498" t="str">
        <f>VLOOKUP(B498,baru!$B$2:$I$2271,6,FALSE)</f>
        <v>PATI</v>
      </c>
    </row>
    <row r="499" spans="1:12" x14ac:dyDescent="0.35">
      <c r="A499" s="6">
        <v>1642239</v>
      </c>
      <c r="B499" s="7" t="str">
        <f>"3328156610830003"</f>
        <v>3328156610830003</v>
      </c>
      <c r="C499" s="7" t="s">
        <v>5137</v>
      </c>
      <c r="D499" s="7" t="s">
        <v>10</v>
      </c>
      <c r="E499" s="7" t="s">
        <v>11</v>
      </c>
      <c r="F499" s="7" t="s">
        <v>18</v>
      </c>
      <c r="G499" s="7" t="s">
        <v>19</v>
      </c>
      <c r="H499" s="7" t="s">
        <v>266</v>
      </c>
      <c r="I499" s="8" t="s">
        <v>4976</v>
      </c>
      <c r="J499" t="str">
        <f>VLOOKUP(B499,baru!$B$2:$I$2271,4,FALSE)</f>
        <v>Reguler</v>
      </c>
      <c r="K499" t="str">
        <f>VLOOKUP(B499,baru!$B$2:$I$2271,5,FALSE)</f>
        <v>DAERAH ISTIMEWA YOGYAKARTA</v>
      </c>
      <c r="L499" t="str">
        <f>VLOOKUP(B499,baru!$B$2:$I$2271,6,FALSE)</f>
        <v>BANTUL</v>
      </c>
    </row>
    <row r="500" spans="1:12" x14ac:dyDescent="0.35">
      <c r="A500" s="6">
        <v>1811761</v>
      </c>
      <c r="B500" s="7" t="str">
        <f>"1702070407920002"</f>
        <v>1702070407920002</v>
      </c>
      <c r="C500" s="7" t="s">
        <v>5208</v>
      </c>
      <c r="D500" s="7" t="s">
        <v>10</v>
      </c>
      <c r="E500" s="7" t="s">
        <v>11</v>
      </c>
      <c r="F500" s="7" t="s">
        <v>18</v>
      </c>
      <c r="G500" s="7" t="s">
        <v>19</v>
      </c>
      <c r="H500" s="7" t="s">
        <v>5207</v>
      </c>
      <c r="I500" s="8" t="s">
        <v>933</v>
      </c>
      <c r="J500" t="str">
        <f>VLOOKUP(B500,baru!$B$2:$I$2271,4,FALSE)</f>
        <v>Reguler</v>
      </c>
      <c r="K500" t="str">
        <f>VLOOKUP(B500,baru!$B$2:$I$2271,5,FALSE)</f>
        <v>BENGKULU</v>
      </c>
      <c r="L500" t="str">
        <f>VLOOKUP(B500,baru!$B$2:$I$2271,6,FALSE)</f>
        <v>REJANG LEBONG</v>
      </c>
    </row>
    <row r="501" spans="1:12" x14ac:dyDescent="0.35">
      <c r="A501" s="6">
        <v>1816967</v>
      </c>
      <c r="B501" s="7" t="str">
        <f>"3172040605830016"</f>
        <v>3172040605830016</v>
      </c>
      <c r="C501" s="7" t="s">
        <v>5228</v>
      </c>
      <c r="D501" s="7" t="s">
        <v>10</v>
      </c>
      <c r="E501" s="7" t="s">
        <v>11</v>
      </c>
      <c r="F501" s="7" t="s">
        <v>18</v>
      </c>
      <c r="G501" s="7" t="s">
        <v>19</v>
      </c>
      <c r="H501" s="7" t="s">
        <v>5207</v>
      </c>
      <c r="I501" s="8" t="s">
        <v>933</v>
      </c>
      <c r="J501" t="str">
        <f>VLOOKUP(B501,baru!$B$2:$I$2271,4,FALSE)</f>
        <v>Reguler</v>
      </c>
      <c r="K501" t="str">
        <f>VLOOKUP(B501,baru!$B$2:$I$2271,5,FALSE)</f>
        <v>JAWA TENGAH</v>
      </c>
      <c r="L501" t="str">
        <f>VLOOKUP(B501,baru!$B$2:$I$2271,6,FALSE)</f>
        <v>BATANG</v>
      </c>
    </row>
    <row r="502" spans="1:12" x14ac:dyDescent="0.35">
      <c r="A502" s="6">
        <v>1392089</v>
      </c>
      <c r="B502" s="7" t="str">
        <f>"3302130412880002"</f>
        <v>3302130412880002</v>
      </c>
      <c r="C502" s="7" t="s">
        <v>5272</v>
      </c>
      <c r="D502" s="7" t="s">
        <v>10</v>
      </c>
      <c r="E502" s="7" t="s">
        <v>11</v>
      </c>
      <c r="F502" s="7" t="s">
        <v>18</v>
      </c>
      <c r="G502" s="7" t="s">
        <v>19</v>
      </c>
      <c r="H502" s="7" t="s">
        <v>5207</v>
      </c>
      <c r="I502" s="8" t="s">
        <v>5217</v>
      </c>
      <c r="J502" t="str">
        <f>VLOOKUP(B502,baru!$B$2:$I$2271,4,FALSE)</f>
        <v>Reguler</v>
      </c>
      <c r="K502" t="str">
        <f>VLOOKUP(B502,baru!$B$2:$I$2271,5,FALSE)</f>
        <v>JAWA TENGAH</v>
      </c>
      <c r="L502" t="str">
        <f>VLOOKUP(B502,baru!$B$2:$I$2271,6,FALSE)</f>
        <v>BANYUMAS</v>
      </c>
    </row>
    <row r="503" spans="1:12" x14ac:dyDescent="0.35">
      <c r="A503" s="6">
        <v>1336027</v>
      </c>
      <c r="B503" s="7" t="str">
        <f>"3305241804870001"</f>
        <v>3305241804870001</v>
      </c>
      <c r="C503" s="7" t="s">
        <v>350</v>
      </c>
      <c r="D503" s="7" t="s">
        <v>10</v>
      </c>
      <c r="E503" s="7" t="s">
        <v>11</v>
      </c>
      <c r="F503" s="7" t="s">
        <v>18</v>
      </c>
      <c r="G503" s="7" t="s">
        <v>19</v>
      </c>
      <c r="H503" s="7" t="s">
        <v>5207</v>
      </c>
      <c r="I503" s="8" t="s">
        <v>5276</v>
      </c>
      <c r="J503" t="str">
        <f>VLOOKUP(B503,baru!$B$2:$I$2271,4,FALSE)</f>
        <v>Reguler</v>
      </c>
      <c r="K503" t="str">
        <f>VLOOKUP(B503,baru!$B$2:$I$2271,5,FALSE)</f>
        <v>JAWA BARAT</v>
      </c>
      <c r="L503" t="str">
        <f>VLOOKUP(B503,baru!$B$2:$I$2271,6,FALSE)</f>
        <v>KARAWANG</v>
      </c>
    </row>
    <row r="504" spans="1:12" x14ac:dyDescent="0.35">
      <c r="A504" s="6">
        <v>1371107</v>
      </c>
      <c r="B504" s="7" t="str">
        <f>"3307093007930005"</f>
        <v>3307093007930005</v>
      </c>
      <c r="C504" s="7" t="s">
        <v>5278</v>
      </c>
      <c r="D504" s="7" t="s">
        <v>10</v>
      </c>
      <c r="E504" s="7" t="s">
        <v>11</v>
      </c>
      <c r="F504" s="7" t="s">
        <v>18</v>
      </c>
      <c r="G504" s="7" t="s">
        <v>19</v>
      </c>
      <c r="H504" s="7" t="s">
        <v>5207</v>
      </c>
      <c r="I504" s="8" t="s">
        <v>5223</v>
      </c>
      <c r="J504" t="str">
        <f>VLOOKUP(B504,baru!$B$2:$I$2271,4,FALSE)</f>
        <v>Reguler</v>
      </c>
      <c r="K504" t="str">
        <f>VLOOKUP(B504,baru!$B$2:$I$2271,5,FALSE)</f>
        <v>JAWA TENGAH</v>
      </c>
      <c r="L504" t="str">
        <f>VLOOKUP(B504,baru!$B$2:$I$2271,6,FALSE)</f>
        <v>WONOSOBO</v>
      </c>
    </row>
    <row r="505" spans="1:12" x14ac:dyDescent="0.35">
      <c r="A505" s="6">
        <v>1373133</v>
      </c>
      <c r="B505" s="7" t="str">
        <f>"3316026907010002"</f>
        <v>3316026907010002</v>
      </c>
      <c r="C505" s="7" t="s">
        <v>5281</v>
      </c>
      <c r="D505" s="7" t="s">
        <v>10</v>
      </c>
      <c r="E505" s="7" t="s">
        <v>11</v>
      </c>
      <c r="F505" s="7" t="s">
        <v>18</v>
      </c>
      <c r="G505" s="7" t="s">
        <v>19</v>
      </c>
      <c r="H505" s="7" t="s">
        <v>5207</v>
      </c>
      <c r="I505" s="8" t="s">
        <v>5223</v>
      </c>
      <c r="J505" t="str">
        <f>VLOOKUP(B505,baru!$B$2:$I$2271,4,FALSE)</f>
        <v>Reguler</v>
      </c>
      <c r="K505" t="str">
        <f>VLOOKUP(B505,baru!$B$2:$I$2271,5,FALSE)</f>
        <v>JAWA TENGAH</v>
      </c>
      <c r="L505" t="str">
        <f>VLOOKUP(B505,baru!$B$2:$I$2271,6,FALSE)</f>
        <v>BLORA</v>
      </c>
    </row>
    <row r="506" spans="1:12" x14ac:dyDescent="0.35">
      <c r="A506" s="6">
        <v>1712228</v>
      </c>
      <c r="B506" s="7" t="str">
        <f>"3328160808000005"</f>
        <v>3328160808000005</v>
      </c>
      <c r="C506" s="7" t="s">
        <v>5296</v>
      </c>
      <c r="D506" s="7" t="s">
        <v>10</v>
      </c>
      <c r="E506" s="7" t="s">
        <v>11</v>
      </c>
      <c r="F506" s="7" t="s">
        <v>18</v>
      </c>
      <c r="G506" s="7" t="s">
        <v>19</v>
      </c>
      <c r="H506" s="7" t="s">
        <v>5207</v>
      </c>
      <c r="I506" s="8" t="s">
        <v>5258</v>
      </c>
      <c r="J506" t="str">
        <f>VLOOKUP(B506,baru!$B$2:$I$2271,4,FALSE)</f>
        <v>Reguler</v>
      </c>
      <c r="K506" t="str">
        <f>VLOOKUP(B506,baru!$B$2:$I$2271,5,FALSE)</f>
        <v>DKI JAKARTA</v>
      </c>
      <c r="L506" t="str">
        <f>VLOOKUP(B506,baru!$B$2:$I$2271,6,FALSE)</f>
        <v>KOTA JAKARTA BARAT</v>
      </c>
    </row>
    <row r="507" spans="1:12" x14ac:dyDescent="0.35">
      <c r="A507" s="6">
        <v>1371961</v>
      </c>
      <c r="B507" s="7" t="str">
        <f>"3328160808910003"</f>
        <v>3328160808910003</v>
      </c>
      <c r="C507" s="7" t="s">
        <v>5298</v>
      </c>
      <c r="D507" s="7" t="s">
        <v>10</v>
      </c>
      <c r="E507" s="7" t="s">
        <v>11</v>
      </c>
      <c r="F507" s="7" t="s">
        <v>18</v>
      </c>
      <c r="G507" s="7" t="s">
        <v>19</v>
      </c>
      <c r="H507" s="7" t="s">
        <v>5207</v>
      </c>
      <c r="I507" s="8" t="s">
        <v>5223</v>
      </c>
      <c r="J507" t="str">
        <f>VLOOKUP(B507,baru!$B$2:$I$2271,4,FALSE)</f>
        <v>Reguler</v>
      </c>
      <c r="K507" t="str">
        <f>VLOOKUP(B507,baru!$B$2:$I$2271,5,FALSE)</f>
        <v>JAWA TENGAH</v>
      </c>
      <c r="L507" t="str">
        <f>VLOOKUP(B507,baru!$B$2:$I$2271,6,FALSE)</f>
        <v>BREBES</v>
      </c>
    </row>
    <row r="508" spans="1:12" x14ac:dyDescent="0.35">
      <c r="A508" s="6">
        <v>1392437</v>
      </c>
      <c r="B508" s="7" t="str">
        <f>"3328161606960004"</f>
        <v>3328161606960004</v>
      </c>
      <c r="C508" s="7" t="s">
        <v>5305</v>
      </c>
      <c r="D508" s="7" t="s">
        <v>189</v>
      </c>
      <c r="E508" s="7" t="s">
        <v>11</v>
      </c>
      <c r="F508" s="7" t="s">
        <v>18</v>
      </c>
      <c r="G508" s="7" t="s">
        <v>19</v>
      </c>
      <c r="H508" s="7" t="s">
        <v>5207</v>
      </c>
      <c r="I508" s="8" t="s">
        <v>5217</v>
      </c>
      <c r="J508" t="str">
        <f>VLOOKUP(B508,baru!$B$2:$I$2271,4,FALSE)</f>
        <v>Reguler</v>
      </c>
      <c r="K508" t="str">
        <f>VLOOKUP(B508,baru!$B$2:$I$2271,5,FALSE)</f>
        <v>DAERAH ISTIMEWA YOGYAKARTA</v>
      </c>
      <c r="L508" t="str">
        <f>VLOOKUP(B508,baru!$B$2:$I$2271,6,FALSE)</f>
        <v>SLEMAN</v>
      </c>
    </row>
    <row r="509" spans="1:12" x14ac:dyDescent="0.35">
      <c r="A509" s="6">
        <v>1373134</v>
      </c>
      <c r="B509" s="7" t="str">
        <f>"3328161701950006"</f>
        <v>3328161701950006</v>
      </c>
      <c r="C509" s="7" t="s">
        <v>5309</v>
      </c>
      <c r="D509" s="7" t="s">
        <v>10</v>
      </c>
      <c r="E509" s="7" t="s">
        <v>11</v>
      </c>
      <c r="F509" s="7" t="s">
        <v>18</v>
      </c>
      <c r="G509" s="7" t="s">
        <v>19</v>
      </c>
      <c r="H509" s="7" t="s">
        <v>5207</v>
      </c>
      <c r="I509" s="8" t="s">
        <v>5223</v>
      </c>
      <c r="J509" t="str">
        <f>VLOOKUP(B509,baru!$B$2:$I$2271,4,FALSE)</f>
        <v>Reguler</v>
      </c>
      <c r="K509" t="str">
        <f>VLOOKUP(B509,baru!$B$2:$I$2271,5,FALSE)</f>
        <v>JAWA TENGAH</v>
      </c>
      <c r="L509" t="str">
        <f>VLOOKUP(B509,baru!$B$2:$I$2271,6,FALSE)</f>
        <v>BLORA</v>
      </c>
    </row>
    <row r="510" spans="1:12" x14ac:dyDescent="0.35">
      <c r="A510" s="6">
        <v>1369810</v>
      </c>
      <c r="B510" s="7" t="str">
        <f>"3328162803040004"</f>
        <v>3328162803040004</v>
      </c>
      <c r="C510" s="7" t="s">
        <v>5322</v>
      </c>
      <c r="D510" s="7" t="s">
        <v>10</v>
      </c>
      <c r="E510" s="7" t="s">
        <v>11</v>
      </c>
      <c r="F510" s="7" t="s">
        <v>18</v>
      </c>
      <c r="G510" s="7" t="s">
        <v>19</v>
      </c>
      <c r="H510" s="7" t="s">
        <v>5207</v>
      </c>
      <c r="I510" s="8" t="s">
        <v>5223</v>
      </c>
      <c r="J510" t="str">
        <f>VLOOKUP(B510,baru!$B$2:$I$2271,4,FALSE)</f>
        <v>Reguler</v>
      </c>
      <c r="K510" t="str">
        <f>VLOOKUP(B510,baru!$B$2:$I$2271,5,FALSE)</f>
        <v>JAWA TENGAH</v>
      </c>
      <c r="L510" t="str">
        <f>VLOOKUP(B510,baru!$B$2:$I$2271,6,FALSE)</f>
        <v>CILACAP</v>
      </c>
    </row>
    <row r="511" spans="1:12" x14ac:dyDescent="0.35">
      <c r="A511" s="6">
        <v>1389582</v>
      </c>
      <c r="B511" s="7" t="str">
        <f>"3328164405990003"</f>
        <v>3328164405990003</v>
      </c>
      <c r="C511" s="7" t="s">
        <v>5329</v>
      </c>
      <c r="D511" s="7" t="s">
        <v>10</v>
      </c>
      <c r="E511" s="7" t="s">
        <v>11</v>
      </c>
      <c r="F511" s="7" t="s">
        <v>18</v>
      </c>
      <c r="G511" s="7" t="s">
        <v>19</v>
      </c>
      <c r="H511" s="7" t="s">
        <v>5207</v>
      </c>
      <c r="I511" s="8" t="s">
        <v>5217</v>
      </c>
      <c r="J511" t="str">
        <f>VLOOKUP(B511,baru!$B$2:$I$2271,4,FALSE)</f>
        <v>Reguler</v>
      </c>
      <c r="K511" t="str">
        <f>VLOOKUP(B511,baru!$B$2:$I$2271,5,FALSE)</f>
        <v>JAWA TENGAH</v>
      </c>
      <c r="L511" t="str">
        <f>VLOOKUP(B511,baru!$B$2:$I$2271,6,FALSE)</f>
        <v>BANYUMAS</v>
      </c>
    </row>
    <row r="512" spans="1:12" x14ac:dyDescent="0.35">
      <c r="A512" s="6">
        <v>1404931</v>
      </c>
      <c r="B512" s="7" t="str">
        <f>"3328164504560001"</f>
        <v>3328164504560001</v>
      </c>
      <c r="C512" s="7" t="s">
        <v>1935</v>
      </c>
      <c r="D512" s="7" t="s">
        <v>10</v>
      </c>
      <c r="E512" s="7" t="s">
        <v>11</v>
      </c>
      <c r="F512" s="7" t="s">
        <v>18</v>
      </c>
      <c r="G512" s="7" t="s">
        <v>19</v>
      </c>
      <c r="H512" s="7" t="s">
        <v>5207</v>
      </c>
      <c r="I512" s="8" t="s">
        <v>5235</v>
      </c>
      <c r="J512" t="str">
        <f>VLOOKUP(B512,baru!$B$2:$I$2271,4,FALSE)</f>
        <v>Reguler</v>
      </c>
      <c r="K512" t="str">
        <f>VLOOKUP(B512,baru!$B$2:$I$2271,5,FALSE)</f>
        <v>JAWA BARAT</v>
      </c>
      <c r="L512" t="str">
        <f>VLOOKUP(B512,baru!$B$2:$I$2271,6,FALSE)</f>
        <v>KUNINGAN</v>
      </c>
    </row>
    <row r="513" spans="1:12" x14ac:dyDescent="0.35">
      <c r="A513" s="6">
        <v>1369811</v>
      </c>
      <c r="B513" s="7" t="str">
        <f>"3328164604820011"</f>
        <v>3328164604820011</v>
      </c>
      <c r="C513" s="7" t="s">
        <v>5338</v>
      </c>
      <c r="D513" s="7" t="s">
        <v>10</v>
      </c>
      <c r="E513" s="7" t="s">
        <v>11</v>
      </c>
      <c r="F513" s="7" t="s">
        <v>18</v>
      </c>
      <c r="G513" s="7" t="s">
        <v>19</v>
      </c>
      <c r="H513" s="7" t="s">
        <v>5207</v>
      </c>
      <c r="I513" s="8" t="s">
        <v>5223</v>
      </c>
      <c r="J513" t="str">
        <f>VLOOKUP(B513,baru!$B$2:$I$2271,4,FALSE)</f>
        <v>Reguler</v>
      </c>
      <c r="K513" t="str">
        <f>VLOOKUP(B513,baru!$B$2:$I$2271,5,FALSE)</f>
        <v>JAWA TENGAH</v>
      </c>
      <c r="L513" t="str">
        <f>VLOOKUP(B513,baru!$B$2:$I$2271,6,FALSE)</f>
        <v>CILACAP</v>
      </c>
    </row>
    <row r="514" spans="1:12" x14ac:dyDescent="0.35">
      <c r="A514" s="6">
        <v>1410557</v>
      </c>
      <c r="B514" s="7" t="str">
        <f>"3328164704920007"</f>
        <v>3328164704920007</v>
      </c>
      <c r="C514" s="7" t="s">
        <v>5341</v>
      </c>
      <c r="D514" s="7" t="s">
        <v>10</v>
      </c>
      <c r="E514" s="7" t="s">
        <v>11</v>
      </c>
      <c r="F514" s="7" t="s">
        <v>18</v>
      </c>
      <c r="G514" s="7" t="s">
        <v>19</v>
      </c>
      <c r="H514" s="7" t="s">
        <v>5207</v>
      </c>
      <c r="I514" s="8" t="s">
        <v>5235</v>
      </c>
      <c r="J514" t="str">
        <f>VLOOKUP(B514,baru!$B$2:$I$2271,4,FALSE)</f>
        <v>Reguler</v>
      </c>
      <c r="K514" t="str">
        <f>VLOOKUP(B514,baru!$B$2:$I$2271,5,FALSE)</f>
        <v>DKI JAKARTA</v>
      </c>
      <c r="L514" t="str">
        <f>VLOOKUP(B514,baru!$B$2:$I$2271,6,FALSE)</f>
        <v>KOTA JAKARTA BARAT</v>
      </c>
    </row>
    <row r="515" spans="1:12" x14ac:dyDescent="0.35">
      <c r="A515" s="6">
        <v>1405688</v>
      </c>
      <c r="B515" s="7" t="str">
        <f>"3328165012930008"</f>
        <v>3328165012930008</v>
      </c>
      <c r="C515" s="7" t="s">
        <v>5344</v>
      </c>
      <c r="D515" s="7" t="s">
        <v>10</v>
      </c>
      <c r="E515" s="7" t="s">
        <v>11</v>
      </c>
      <c r="F515" s="7" t="s">
        <v>18</v>
      </c>
      <c r="G515" s="7" t="s">
        <v>19</v>
      </c>
      <c r="H515" s="7" t="s">
        <v>5207</v>
      </c>
      <c r="I515" s="8" t="s">
        <v>5235</v>
      </c>
      <c r="J515" t="str">
        <f>VLOOKUP(B515,baru!$B$2:$I$2271,4,FALSE)</f>
        <v>Reguler</v>
      </c>
      <c r="K515" t="str">
        <f>VLOOKUP(B515,baru!$B$2:$I$2271,5,FALSE)</f>
        <v>JAWA TENGAH</v>
      </c>
      <c r="L515" t="str">
        <f>VLOOKUP(B515,baru!$B$2:$I$2271,6,FALSE)</f>
        <v>KARANGANYAR</v>
      </c>
    </row>
    <row r="516" spans="1:12" x14ac:dyDescent="0.35">
      <c r="A516" s="6">
        <v>1343977</v>
      </c>
      <c r="B516" s="7" t="str">
        <f>"3328165512960004"</f>
        <v>3328165512960004</v>
      </c>
      <c r="C516" s="7" t="s">
        <v>5358</v>
      </c>
      <c r="D516" s="7" t="s">
        <v>10</v>
      </c>
      <c r="E516" s="7" t="s">
        <v>11</v>
      </c>
      <c r="F516" s="7" t="s">
        <v>18</v>
      </c>
      <c r="G516" s="7" t="s">
        <v>19</v>
      </c>
      <c r="H516" s="7" t="s">
        <v>5207</v>
      </c>
      <c r="I516" s="8" t="s">
        <v>5239</v>
      </c>
      <c r="J516" t="str">
        <f>VLOOKUP(B516,baru!$B$2:$I$2271,4,FALSE)</f>
        <v>Reguler</v>
      </c>
      <c r="K516" t="str">
        <f>VLOOKUP(B516,baru!$B$2:$I$2271,5,FALSE)</f>
        <v>DKI JAKARTA</v>
      </c>
      <c r="L516" t="str">
        <f>VLOOKUP(B516,baru!$B$2:$I$2271,6,FALSE)</f>
        <v>KOTA JAKARTA BARAT</v>
      </c>
    </row>
    <row r="517" spans="1:12" x14ac:dyDescent="0.35">
      <c r="A517" s="6">
        <v>1404418</v>
      </c>
      <c r="B517" s="7" t="str">
        <f>"3328166501910003"</f>
        <v>3328166501910003</v>
      </c>
      <c r="C517" s="7" t="s">
        <v>1963</v>
      </c>
      <c r="D517" s="7" t="s">
        <v>10</v>
      </c>
      <c r="E517" s="7" t="s">
        <v>11</v>
      </c>
      <c r="F517" s="7" t="s">
        <v>18</v>
      </c>
      <c r="G517" s="7" t="s">
        <v>19</v>
      </c>
      <c r="H517" s="7" t="s">
        <v>5207</v>
      </c>
      <c r="I517" s="8" t="s">
        <v>5235</v>
      </c>
      <c r="J517" t="str">
        <f>VLOOKUP(B517,baru!$B$2:$I$2271,4,FALSE)</f>
        <v>Reguler</v>
      </c>
      <c r="K517" t="str">
        <f>VLOOKUP(B517,baru!$B$2:$I$2271,5,FALSE)</f>
        <v>JAWA BARAT</v>
      </c>
      <c r="L517" t="str">
        <f>VLOOKUP(B517,baru!$B$2:$I$2271,6,FALSE)</f>
        <v>KUNINGAN</v>
      </c>
    </row>
    <row r="518" spans="1:12" x14ac:dyDescent="0.35">
      <c r="A518" s="6">
        <v>1392090</v>
      </c>
      <c r="B518" s="7" t="str">
        <f>"3328166507920004"</f>
        <v>3328166507920004</v>
      </c>
      <c r="C518" s="7" t="s">
        <v>5372</v>
      </c>
      <c r="D518" s="7" t="s">
        <v>10</v>
      </c>
      <c r="E518" s="7" t="s">
        <v>11</v>
      </c>
      <c r="F518" s="7" t="s">
        <v>18</v>
      </c>
      <c r="G518" s="7" t="s">
        <v>19</v>
      </c>
      <c r="H518" s="7" t="s">
        <v>5207</v>
      </c>
      <c r="I518" s="8" t="s">
        <v>5217</v>
      </c>
      <c r="J518" t="str">
        <f>VLOOKUP(B518,baru!$B$2:$I$2271,4,FALSE)</f>
        <v>Reguler</v>
      </c>
      <c r="K518" t="str">
        <f>VLOOKUP(B518,baru!$B$2:$I$2271,5,FALSE)</f>
        <v>JAWA TENGAH</v>
      </c>
      <c r="L518" t="str">
        <f>VLOOKUP(B518,baru!$B$2:$I$2271,6,FALSE)</f>
        <v>BANYUMAS</v>
      </c>
    </row>
    <row r="519" spans="1:12" x14ac:dyDescent="0.35">
      <c r="A519" s="6">
        <v>1336026</v>
      </c>
      <c r="B519" s="7" t="str">
        <f>"3328166510860005"</f>
        <v>3328166510860005</v>
      </c>
      <c r="C519" s="7" t="s">
        <v>5373</v>
      </c>
      <c r="D519" s="7" t="s">
        <v>10</v>
      </c>
      <c r="E519" s="7" t="s">
        <v>11</v>
      </c>
      <c r="F519" s="7" t="s">
        <v>18</v>
      </c>
      <c r="G519" s="7" t="s">
        <v>19</v>
      </c>
      <c r="H519" s="7" t="s">
        <v>5207</v>
      </c>
      <c r="I519" s="8" t="s">
        <v>5276</v>
      </c>
      <c r="J519" t="str">
        <f>VLOOKUP(B519,baru!$B$2:$I$2271,4,FALSE)</f>
        <v>Reguler</v>
      </c>
      <c r="K519" t="str">
        <f>VLOOKUP(B519,baru!$B$2:$I$2271,5,FALSE)</f>
        <v>JAWA BARAT</v>
      </c>
      <c r="L519" t="str">
        <f>VLOOKUP(B519,baru!$B$2:$I$2271,6,FALSE)</f>
        <v>KARAWANG</v>
      </c>
    </row>
    <row r="520" spans="1:12" x14ac:dyDescent="0.35">
      <c r="A520" s="6">
        <v>2079862</v>
      </c>
      <c r="B520" s="7" t="str">
        <f>"3328166806900001"</f>
        <v>3328166806900001</v>
      </c>
      <c r="C520" s="7" t="s">
        <v>4178</v>
      </c>
      <c r="D520" s="7" t="s">
        <v>189</v>
      </c>
      <c r="E520" s="7" t="s">
        <v>11</v>
      </c>
      <c r="F520" s="7" t="s">
        <v>18</v>
      </c>
      <c r="G520" s="7" t="s">
        <v>19</v>
      </c>
      <c r="H520" s="7" t="s">
        <v>5207</v>
      </c>
      <c r="I520" s="8" t="s">
        <v>1964</v>
      </c>
      <c r="J520" t="str">
        <f>VLOOKUP(B520,baru!$B$2:$I$2271,4,FALSE)</f>
        <v>Reguler</v>
      </c>
      <c r="K520" t="str">
        <f>VLOOKUP(B520,baru!$B$2:$I$2271,5,FALSE)</f>
        <v>JAWA BARAT</v>
      </c>
      <c r="L520" t="str">
        <f>VLOOKUP(B520,baru!$B$2:$I$2271,6,FALSE)</f>
        <v>KUNINGAN</v>
      </c>
    </row>
    <row r="521" spans="1:12" x14ac:dyDescent="0.35">
      <c r="A521" s="6">
        <v>1715677</v>
      </c>
      <c r="B521" s="7" t="str">
        <f>"3329142907930007"</f>
        <v>3329142907930007</v>
      </c>
      <c r="C521" s="7" t="s">
        <v>5390</v>
      </c>
      <c r="D521" s="7" t="s">
        <v>10</v>
      </c>
      <c r="E521" s="7" t="s">
        <v>11</v>
      </c>
      <c r="F521" s="7" t="s">
        <v>18</v>
      </c>
      <c r="G521" s="7" t="s">
        <v>19</v>
      </c>
      <c r="H521" s="7" t="s">
        <v>5207</v>
      </c>
      <c r="I521" s="8" t="s">
        <v>5258</v>
      </c>
      <c r="J521" t="str">
        <f>VLOOKUP(B521,baru!$B$2:$I$2271,4,FALSE)</f>
        <v>Reguler</v>
      </c>
      <c r="K521" t="str">
        <f>VLOOKUP(B521,baru!$B$2:$I$2271,5,FALSE)</f>
        <v>JAWA TENGAH</v>
      </c>
      <c r="L521" t="str">
        <f>VLOOKUP(B521,baru!$B$2:$I$2271,6,FALSE)</f>
        <v>BREBES</v>
      </c>
    </row>
    <row r="522" spans="1:12" x14ac:dyDescent="0.35">
      <c r="A522" s="6">
        <v>1392223</v>
      </c>
      <c r="B522" s="7" t="str">
        <f>"3329170107830129"</f>
        <v>3329170107830129</v>
      </c>
      <c r="C522" s="7" t="s">
        <v>5391</v>
      </c>
      <c r="D522" s="7" t="s">
        <v>10</v>
      </c>
      <c r="E522" s="7" t="s">
        <v>11</v>
      </c>
      <c r="F522" s="7" t="s">
        <v>18</v>
      </c>
      <c r="G522" s="7" t="s">
        <v>19</v>
      </c>
      <c r="H522" s="7" t="s">
        <v>5207</v>
      </c>
      <c r="I522" s="8" t="s">
        <v>5217</v>
      </c>
      <c r="J522" t="str">
        <f>VLOOKUP(B522,baru!$B$2:$I$2271,4,FALSE)</f>
        <v>Reguler</v>
      </c>
      <c r="K522" t="str">
        <f>VLOOKUP(B522,baru!$B$2:$I$2271,5,FALSE)</f>
        <v>JAWA TENGAH</v>
      </c>
      <c r="L522" t="str">
        <f>VLOOKUP(B522,baru!$B$2:$I$2271,6,FALSE)</f>
        <v>BREBES</v>
      </c>
    </row>
    <row r="523" spans="1:12" x14ac:dyDescent="0.35">
      <c r="A523" s="6">
        <v>1812263</v>
      </c>
      <c r="B523" s="7" t="str">
        <f>"3509291002800004"</f>
        <v>3509291002800004</v>
      </c>
      <c r="C523" s="7" t="s">
        <v>5399</v>
      </c>
      <c r="D523" s="7" t="s">
        <v>10</v>
      </c>
      <c r="E523" s="7" t="s">
        <v>11</v>
      </c>
      <c r="F523" s="7" t="s">
        <v>18</v>
      </c>
      <c r="G523" s="7" t="s">
        <v>19</v>
      </c>
      <c r="H523" s="7" t="s">
        <v>5207</v>
      </c>
      <c r="I523" s="8" t="s">
        <v>933</v>
      </c>
      <c r="J523" t="str">
        <f>VLOOKUP(B523,baru!$B$2:$I$2271,4,FALSE)</f>
        <v>Reguler</v>
      </c>
      <c r="K523" t="str">
        <f>VLOOKUP(B523,baru!$B$2:$I$2271,5,FALSE)</f>
        <v>JAWA TIMUR</v>
      </c>
      <c r="L523" t="str">
        <f>VLOOKUP(B523,baru!$B$2:$I$2271,6,FALSE)</f>
        <v>JEMBER</v>
      </c>
    </row>
    <row r="524" spans="1:12" x14ac:dyDescent="0.35">
      <c r="A524" s="6">
        <v>1522970</v>
      </c>
      <c r="B524" s="7" t="str">
        <f>"3206260203750004"</f>
        <v>3206260203750004</v>
      </c>
      <c r="C524" s="7" t="s">
        <v>5425</v>
      </c>
      <c r="D524" s="7" t="s">
        <v>10</v>
      </c>
      <c r="E524" s="7" t="s">
        <v>11</v>
      </c>
      <c r="F524" s="7" t="s">
        <v>18</v>
      </c>
      <c r="G524" s="7" t="s">
        <v>19</v>
      </c>
      <c r="H524" s="7" t="s">
        <v>4754</v>
      </c>
      <c r="I524" s="8" t="s">
        <v>5426</v>
      </c>
      <c r="J524" t="str">
        <f>VLOOKUP(B524,baru!$B$2:$I$2271,4,FALSE)</f>
        <v>Reguler</v>
      </c>
      <c r="K524" t="str">
        <f>VLOOKUP(B524,baru!$B$2:$I$2271,5,FALSE)</f>
        <v>JAWA BARAT</v>
      </c>
      <c r="L524" t="str">
        <f>VLOOKUP(B524,baru!$B$2:$I$2271,6,FALSE)</f>
        <v>TASIKMALAYA</v>
      </c>
    </row>
    <row r="525" spans="1:12" x14ac:dyDescent="0.35">
      <c r="A525" s="6">
        <v>1496086</v>
      </c>
      <c r="B525" s="7" t="str">
        <f>"3305044311940002"</f>
        <v>3305044311940002</v>
      </c>
      <c r="C525" s="7" t="s">
        <v>5441</v>
      </c>
      <c r="D525" s="7" t="s">
        <v>10</v>
      </c>
      <c r="E525" s="7" t="s">
        <v>11</v>
      </c>
      <c r="F525" s="7" t="s">
        <v>18</v>
      </c>
      <c r="G525" s="7" t="s">
        <v>19</v>
      </c>
      <c r="H525" s="7" t="s">
        <v>4754</v>
      </c>
      <c r="I525" s="8" t="s">
        <v>5442</v>
      </c>
      <c r="J525" t="str">
        <f>VLOOKUP(B525,baru!$B$2:$I$2271,4,FALSE)</f>
        <v>Reguler</v>
      </c>
      <c r="K525" t="str">
        <f>VLOOKUP(B525,baru!$B$2:$I$2271,5,FALSE)</f>
        <v>JAWA TENGAH</v>
      </c>
      <c r="L525" t="str">
        <f>VLOOKUP(B525,baru!$B$2:$I$2271,6,FALSE)</f>
        <v>KEBUMEN</v>
      </c>
    </row>
    <row r="526" spans="1:12" x14ac:dyDescent="0.35">
      <c r="A526" s="6">
        <v>1543044</v>
      </c>
      <c r="B526" s="7" t="str">
        <f>"3311015506870002"</f>
        <v>3311015506870002</v>
      </c>
      <c r="C526" s="7" t="s">
        <v>5445</v>
      </c>
      <c r="D526" s="7" t="s">
        <v>10</v>
      </c>
      <c r="E526" s="7" t="s">
        <v>11</v>
      </c>
      <c r="F526" s="7" t="s">
        <v>18</v>
      </c>
      <c r="G526" s="7" t="s">
        <v>19</v>
      </c>
      <c r="H526" s="7" t="s">
        <v>4754</v>
      </c>
      <c r="I526" s="8" t="s">
        <v>3958</v>
      </c>
      <c r="J526" t="str">
        <f>VLOOKUP(B526,baru!$B$2:$I$2271,4,FALSE)</f>
        <v>Reguler</v>
      </c>
      <c r="K526" t="str">
        <f>VLOOKUP(B526,baru!$B$2:$I$2271,5,FALSE)</f>
        <v>DKI JAKARTA</v>
      </c>
      <c r="L526" t="str">
        <f>VLOOKUP(B526,baru!$B$2:$I$2271,6,FALSE)</f>
        <v>KOTA JAKARTA UTARA</v>
      </c>
    </row>
    <row r="527" spans="1:12" x14ac:dyDescent="0.35">
      <c r="A527" s="6">
        <v>1546076</v>
      </c>
      <c r="B527" s="7" t="str">
        <f>"3326031906860001"</f>
        <v>3326031906860001</v>
      </c>
      <c r="C527" s="7" t="s">
        <v>5450</v>
      </c>
      <c r="D527" s="7" t="s">
        <v>10</v>
      </c>
      <c r="E527" s="7" t="s">
        <v>11</v>
      </c>
      <c r="F527" s="7" t="s">
        <v>18</v>
      </c>
      <c r="G527" s="7" t="s">
        <v>19</v>
      </c>
      <c r="H527" s="7" t="s">
        <v>4754</v>
      </c>
      <c r="I527" s="8" t="s">
        <v>3958</v>
      </c>
      <c r="J527" t="str">
        <f>VLOOKUP(B527,baru!$B$2:$I$2271,4,FALSE)</f>
        <v>Reguler</v>
      </c>
      <c r="K527" t="str">
        <f>VLOOKUP(B527,baru!$B$2:$I$2271,5,FALSE)</f>
        <v>JAWA TENGAH</v>
      </c>
      <c r="L527" t="str">
        <f>VLOOKUP(B527,baru!$B$2:$I$2271,6,FALSE)</f>
        <v>PEKALONGAN</v>
      </c>
    </row>
    <row r="528" spans="1:12" x14ac:dyDescent="0.35">
      <c r="A528" s="6">
        <v>1521657</v>
      </c>
      <c r="B528" s="7" t="str">
        <f>"3326090810870004"</f>
        <v>3326090810870004</v>
      </c>
      <c r="C528" s="7" t="s">
        <v>5451</v>
      </c>
      <c r="D528" s="7" t="s">
        <v>10</v>
      </c>
      <c r="E528" s="7" t="s">
        <v>11</v>
      </c>
      <c r="F528" s="7" t="s">
        <v>18</v>
      </c>
      <c r="G528" s="7" t="s">
        <v>19</v>
      </c>
      <c r="H528" s="7" t="s">
        <v>4754</v>
      </c>
      <c r="I528" s="8" t="s">
        <v>5426</v>
      </c>
      <c r="J528" t="str">
        <f>VLOOKUP(B528,baru!$B$2:$I$2271,4,FALSE)</f>
        <v>Reguler</v>
      </c>
      <c r="K528" t="str">
        <f>VLOOKUP(B528,baru!$B$2:$I$2271,5,FALSE)</f>
        <v>JAWA TENGAH</v>
      </c>
      <c r="L528" t="str">
        <f>VLOOKUP(B528,baru!$B$2:$I$2271,6,FALSE)</f>
        <v>PEKALONGAN</v>
      </c>
    </row>
    <row r="529" spans="1:12" x14ac:dyDescent="0.35">
      <c r="A529" s="6">
        <v>1497121</v>
      </c>
      <c r="B529" s="7" t="str">
        <f>"3327080510700061"</f>
        <v>3327080510700061</v>
      </c>
      <c r="C529" s="7" t="s">
        <v>5456</v>
      </c>
      <c r="D529" s="7" t="s">
        <v>10</v>
      </c>
      <c r="E529" s="7" t="s">
        <v>11</v>
      </c>
      <c r="F529" s="7" t="s">
        <v>18</v>
      </c>
      <c r="G529" s="7" t="s">
        <v>19</v>
      </c>
      <c r="H529" s="7" t="s">
        <v>4754</v>
      </c>
      <c r="I529" s="8" t="s">
        <v>5442</v>
      </c>
      <c r="J529" t="str">
        <f>VLOOKUP(B529,baru!$B$2:$I$2271,4,FALSE)</f>
        <v>Reguler</v>
      </c>
      <c r="K529" t="str">
        <f>VLOOKUP(B529,baru!$B$2:$I$2271,5,FALSE)</f>
        <v>JAWA TENGAH</v>
      </c>
      <c r="L529" t="str">
        <f>VLOOKUP(B529,baru!$B$2:$I$2271,6,FALSE)</f>
        <v>PEMALANG</v>
      </c>
    </row>
    <row r="530" spans="1:12" x14ac:dyDescent="0.35">
      <c r="A530" s="6">
        <v>1518516</v>
      </c>
      <c r="B530" s="7" t="str">
        <f>"3328170606970006"</f>
        <v>3328170606970006</v>
      </c>
      <c r="C530" s="7" t="s">
        <v>5475</v>
      </c>
      <c r="D530" s="7" t="s">
        <v>10</v>
      </c>
      <c r="E530" s="7" t="s">
        <v>11</v>
      </c>
      <c r="F530" s="7" t="s">
        <v>18</v>
      </c>
      <c r="G530" s="7" t="s">
        <v>19</v>
      </c>
      <c r="H530" s="7" t="s">
        <v>4754</v>
      </c>
      <c r="I530" s="8" t="s">
        <v>4755</v>
      </c>
      <c r="J530" t="str">
        <f>VLOOKUP(B530,baru!$B$2:$I$2271,4,FALSE)</f>
        <v>Reguler</v>
      </c>
      <c r="K530" t="str">
        <f>VLOOKUP(B530,baru!$B$2:$I$2271,5,FALSE)</f>
        <v>JAWA TENGAH</v>
      </c>
      <c r="L530" t="str">
        <f>VLOOKUP(B530,baru!$B$2:$I$2271,6,FALSE)</f>
        <v>CILACAP</v>
      </c>
    </row>
    <row r="531" spans="1:12" x14ac:dyDescent="0.35">
      <c r="A531" s="6">
        <v>1506266</v>
      </c>
      <c r="B531" s="7" t="str">
        <f>"3328170909920002"</f>
        <v>3328170909920002</v>
      </c>
      <c r="C531" s="7" t="s">
        <v>5486</v>
      </c>
      <c r="D531" s="7" t="s">
        <v>10</v>
      </c>
      <c r="E531" s="7" t="s">
        <v>11</v>
      </c>
      <c r="F531" s="7" t="s">
        <v>18</v>
      </c>
      <c r="G531" s="7" t="s">
        <v>19</v>
      </c>
      <c r="H531" s="7" t="s">
        <v>4754</v>
      </c>
      <c r="I531" s="8" t="s">
        <v>5481</v>
      </c>
      <c r="J531" t="str">
        <f>VLOOKUP(B531,baru!$B$2:$I$2271,4,FALSE)</f>
        <v>Reguler</v>
      </c>
      <c r="K531" t="str">
        <f>VLOOKUP(B531,baru!$B$2:$I$2271,5,FALSE)</f>
        <v>JAWA BARAT</v>
      </c>
      <c r="L531" t="str">
        <f>VLOOKUP(B531,baru!$B$2:$I$2271,6,FALSE)</f>
        <v>KARAWANG</v>
      </c>
    </row>
    <row r="532" spans="1:12" x14ac:dyDescent="0.35">
      <c r="A532" s="6">
        <v>1619468</v>
      </c>
      <c r="B532" s="7" t="str">
        <f>"3328171105960001"</f>
        <v>3328171105960001</v>
      </c>
      <c r="C532" s="7" t="s">
        <v>5490</v>
      </c>
      <c r="D532" s="7" t="s">
        <v>10</v>
      </c>
      <c r="E532" s="7" t="s">
        <v>11</v>
      </c>
      <c r="F532" s="7" t="s">
        <v>18</v>
      </c>
      <c r="G532" s="7" t="s">
        <v>19</v>
      </c>
      <c r="H532" s="7" t="s">
        <v>4754</v>
      </c>
      <c r="I532" s="8" t="s">
        <v>5421</v>
      </c>
      <c r="J532" t="str">
        <f>VLOOKUP(B532,baru!$B$2:$I$2271,4,FALSE)</f>
        <v>Reguler</v>
      </c>
      <c r="K532" t="str">
        <f>VLOOKUP(B532,baru!$B$2:$I$2271,5,FALSE)</f>
        <v>KALIMANTAN TIMUR</v>
      </c>
      <c r="L532" t="str">
        <f>VLOOKUP(B532,baru!$B$2:$I$2271,6,FALSE)</f>
        <v>KUTAI TIMUR</v>
      </c>
    </row>
    <row r="533" spans="1:12" x14ac:dyDescent="0.35">
      <c r="A533" s="6">
        <v>1503615</v>
      </c>
      <c r="B533" s="7" t="str">
        <f>"3328171202960002"</f>
        <v>3328171202960002</v>
      </c>
      <c r="C533" s="7" t="s">
        <v>5498</v>
      </c>
      <c r="D533" s="7" t="s">
        <v>10</v>
      </c>
      <c r="E533" s="7" t="s">
        <v>11</v>
      </c>
      <c r="F533" s="7" t="s">
        <v>18</v>
      </c>
      <c r="G533" s="7" t="s">
        <v>19</v>
      </c>
      <c r="H533" s="7" t="s">
        <v>4754</v>
      </c>
      <c r="I533" s="8" t="s">
        <v>5481</v>
      </c>
      <c r="J533" t="str">
        <f>VLOOKUP(B533,baru!$B$2:$I$2271,4,FALSE)</f>
        <v>Reguler</v>
      </c>
      <c r="K533" t="str">
        <f>VLOOKUP(B533,baru!$B$2:$I$2271,5,FALSE)</f>
        <v>JAWA BARAT</v>
      </c>
      <c r="L533" t="str">
        <f>VLOOKUP(B533,baru!$B$2:$I$2271,6,FALSE)</f>
        <v>KARAWANG</v>
      </c>
    </row>
    <row r="534" spans="1:12" x14ac:dyDescent="0.35">
      <c r="A534" s="6">
        <v>1507874</v>
      </c>
      <c r="B534" s="7" t="str">
        <f>"3328171605910004"</f>
        <v>3328171605910004</v>
      </c>
      <c r="C534" s="7" t="s">
        <v>5503</v>
      </c>
      <c r="D534" s="7" t="s">
        <v>10</v>
      </c>
      <c r="E534" s="7" t="s">
        <v>11</v>
      </c>
      <c r="F534" s="7" t="s">
        <v>18</v>
      </c>
      <c r="G534" s="7" t="s">
        <v>19</v>
      </c>
      <c r="H534" s="7" t="s">
        <v>4754</v>
      </c>
      <c r="I534" s="8" t="s">
        <v>5440</v>
      </c>
      <c r="J534" t="str">
        <f>VLOOKUP(B534,baru!$B$2:$I$2271,4,FALSE)</f>
        <v>Reguler</v>
      </c>
      <c r="K534" t="str">
        <f>VLOOKUP(B534,baru!$B$2:$I$2271,5,FALSE)</f>
        <v>JAWA TENGAH</v>
      </c>
      <c r="L534" t="str">
        <f>VLOOKUP(B534,baru!$B$2:$I$2271,6,FALSE)</f>
        <v>BREBES</v>
      </c>
    </row>
    <row r="535" spans="1:12" x14ac:dyDescent="0.35">
      <c r="A535" s="6">
        <v>1495552</v>
      </c>
      <c r="B535" s="7" t="str">
        <f>"3328171805820003"</f>
        <v>3328171805820003</v>
      </c>
      <c r="C535" s="7" t="s">
        <v>2052</v>
      </c>
      <c r="D535" s="7" t="s">
        <v>10</v>
      </c>
      <c r="E535" s="7" t="s">
        <v>11</v>
      </c>
      <c r="F535" s="7" t="s">
        <v>18</v>
      </c>
      <c r="G535" s="7" t="s">
        <v>19</v>
      </c>
      <c r="H535" s="7" t="s">
        <v>4754</v>
      </c>
      <c r="I535" s="8" t="s">
        <v>5442</v>
      </c>
      <c r="J535" t="str">
        <f>VLOOKUP(B535,baru!$B$2:$I$2271,4,FALSE)</f>
        <v>Reguler</v>
      </c>
      <c r="K535" t="str">
        <f>VLOOKUP(B535,baru!$B$2:$I$2271,5,FALSE)</f>
        <v>JAWA TENGAH</v>
      </c>
      <c r="L535" t="str">
        <f>VLOOKUP(B535,baru!$B$2:$I$2271,6,FALSE)</f>
        <v>BREBES</v>
      </c>
    </row>
    <row r="536" spans="1:12" x14ac:dyDescent="0.35">
      <c r="A536" s="6">
        <v>1503369</v>
      </c>
      <c r="B536" s="7" t="str">
        <f>"3328172111940003"</f>
        <v>3328172111940003</v>
      </c>
      <c r="C536" s="7" t="s">
        <v>3659</v>
      </c>
      <c r="D536" s="7" t="s">
        <v>189</v>
      </c>
      <c r="E536" s="7" t="s">
        <v>11</v>
      </c>
      <c r="F536" s="7" t="s">
        <v>18</v>
      </c>
      <c r="G536" s="7" t="s">
        <v>19</v>
      </c>
      <c r="H536" s="7" t="s">
        <v>4754</v>
      </c>
      <c r="I536" s="8" t="s">
        <v>5481</v>
      </c>
      <c r="J536" t="str">
        <f>VLOOKUP(B536,baru!$B$2:$I$2271,4,FALSE)</f>
        <v>Reguler</v>
      </c>
      <c r="K536" t="str">
        <f>VLOOKUP(B536,baru!$B$2:$I$2271,5,FALSE)</f>
        <v>JAWA TENGAH</v>
      </c>
      <c r="L536" t="str">
        <f>VLOOKUP(B536,baru!$B$2:$I$2271,6,FALSE)</f>
        <v>PEMALANG</v>
      </c>
    </row>
    <row r="537" spans="1:12" x14ac:dyDescent="0.35">
      <c r="A537" s="6">
        <v>1515712</v>
      </c>
      <c r="B537" s="7" t="str">
        <f>"3328172310000004"</f>
        <v>3328172310000004</v>
      </c>
      <c r="C537" s="7" t="s">
        <v>5518</v>
      </c>
      <c r="D537" s="7" t="s">
        <v>10</v>
      </c>
      <c r="E537" s="7" t="s">
        <v>11</v>
      </c>
      <c r="F537" s="7" t="s">
        <v>18</v>
      </c>
      <c r="G537" s="7" t="s">
        <v>19</v>
      </c>
      <c r="H537" s="7" t="s">
        <v>4754</v>
      </c>
      <c r="I537" s="8" t="s">
        <v>882</v>
      </c>
      <c r="J537" t="str">
        <f>VLOOKUP(B537,baru!$B$2:$I$2271,4,FALSE)</f>
        <v>Reguler</v>
      </c>
      <c r="K537" t="str">
        <f>VLOOKUP(B537,baru!$B$2:$I$2271,5,FALSE)</f>
        <v>JAWA TENGAH</v>
      </c>
      <c r="L537" t="str">
        <f>VLOOKUP(B537,baru!$B$2:$I$2271,6,FALSE)</f>
        <v>KOTA TEGAL</v>
      </c>
    </row>
    <row r="538" spans="1:12" x14ac:dyDescent="0.35">
      <c r="A538" s="6">
        <v>1913708</v>
      </c>
      <c r="B538" s="7" t="str">
        <f>"3328172410840001"</f>
        <v>3328172410840001</v>
      </c>
      <c r="C538" s="7" t="s">
        <v>5524</v>
      </c>
      <c r="D538" s="7" t="s">
        <v>10</v>
      </c>
      <c r="E538" s="7" t="s">
        <v>11</v>
      </c>
      <c r="F538" s="7" t="s">
        <v>18</v>
      </c>
      <c r="G538" s="7" t="s">
        <v>19</v>
      </c>
      <c r="H538" s="7" t="s">
        <v>4754</v>
      </c>
      <c r="I538" s="8" t="s">
        <v>5438</v>
      </c>
      <c r="J538" t="str">
        <f>VLOOKUP(B538,baru!$B$2:$I$2271,4,FALSE)</f>
        <v>Reguler</v>
      </c>
      <c r="K538" t="str">
        <f>VLOOKUP(B538,baru!$B$2:$I$2271,5,FALSE)</f>
        <v>JAWA TENGAH</v>
      </c>
      <c r="L538" t="str">
        <f>VLOOKUP(B538,baru!$B$2:$I$2271,6,FALSE)</f>
        <v>BANJARNEGARA</v>
      </c>
    </row>
    <row r="539" spans="1:12" x14ac:dyDescent="0.35">
      <c r="A539" s="6">
        <v>1543045</v>
      </c>
      <c r="B539" s="7" t="str">
        <f>"3328172908850007"</f>
        <v>3328172908850007</v>
      </c>
      <c r="C539" s="7" t="s">
        <v>5528</v>
      </c>
      <c r="D539" s="7" t="s">
        <v>10</v>
      </c>
      <c r="E539" s="7" t="s">
        <v>11</v>
      </c>
      <c r="F539" s="7" t="s">
        <v>18</v>
      </c>
      <c r="G539" s="7" t="s">
        <v>19</v>
      </c>
      <c r="H539" s="7" t="s">
        <v>4754</v>
      </c>
      <c r="I539" s="8" t="s">
        <v>3958</v>
      </c>
      <c r="J539" t="str">
        <f>VLOOKUP(B539,baru!$B$2:$I$2271,4,FALSE)</f>
        <v>Reguler</v>
      </c>
      <c r="K539" t="str">
        <f>VLOOKUP(B539,baru!$B$2:$I$2271,5,FALSE)</f>
        <v>DKI JAKARTA</v>
      </c>
      <c r="L539" t="str">
        <f>VLOOKUP(B539,baru!$B$2:$I$2271,6,FALSE)</f>
        <v>KOTA JAKARTA UTARA</v>
      </c>
    </row>
    <row r="540" spans="1:12" x14ac:dyDescent="0.35">
      <c r="A540" s="6">
        <v>1521658</v>
      </c>
      <c r="B540" s="7" t="str">
        <f>"3328174107930039"</f>
        <v>3328174107930039</v>
      </c>
      <c r="C540" s="7" t="s">
        <v>5533</v>
      </c>
      <c r="D540" s="7" t="s">
        <v>10</v>
      </c>
      <c r="E540" s="7" t="s">
        <v>11</v>
      </c>
      <c r="F540" s="7" t="s">
        <v>18</v>
      </c>
      <c r="G540" s="7" t="s">
        <v>19</v>
      </c>
      <c r="H540" s="7" t="s">
        <v>4754</v>
      </c>
      <c r="I540" s="8" t="s">
        <v>5426</v>
      </c>
      <c r="J540" t="str">
        <f>VLOOKUP(B540,baru!$B$2:$I$2271,4,FALSE)</f>
        <v>Reguler</v>
      </c>
      <c r="K540" t="str">
        <f>VLOOKUP(B540,baru!$B$2:$I$2271,5,FALSE)</f>
        <v>JAWA TENGAH</v>
      </c>
      <c r="L540" t="str">
        <f>VLOOKUP(B540,baru!$B$2:$I$2271,6,FALSE)</f>
        <v>PEKALONGAN</v>
      </c>
    </row>
    <row r="541" spans="1:12" x14ac:dyDescent="0.35">
      <c r="A541" s="6">
        <v>1505660</v>
      </c>
      <c r="B541" s="7" t="str">
        <f>"3328174207920002"</f>
        <v>3328174207920002</v>
      </c>
      <c r="C541" s="7" t="s">
        <v>2376</v>
      </c>
      <c r="D541" s="7" t="s">
        <v>10</v>
      </c>
      <c r="E541" s="7" t="s">
        <v>11</v>
      </c>
      <c r="F541" s="7" t="s">
        <v>18</v>
      </c>
      <c r="G541" s="7" t="s">
        <v>19</v>
      </c>
      <c r="H541" s="7" t="s">
        <v>4754</v>
      </c>
      <c r="I541" s="8" t="s">
        <v>5481</v>
      </c>
      <c r="J541" t="str">
        <f>VLOOKUP(B541,baru!$B$2:$I$2271,4,FALSE)</f>
        <v>Reguler</v>
      </c>
      <c r="K541" t="str">
        <f>VLOOKUP(B541,baru!$B$2:$I$2271,5,FALSE)</f>
        <v>JAWA TENGAH</v>
      </c>
      <c r="L541" t="str">
        <f>VLOOKUP(B541,baru!$B$2:$I$2271,6,FALSE)</f>
        <v>PEMALANG</v>
      </c>
    </row>
    <row r="542" spans="1:12" x14ac:dyDescent="0.35">
      <c r="A542" s="6">
        <v>1501135</v>
      </c>
      <c r="B542" s="7" t="str">
        <f>"3328174705810007"</f>
        <v>3328174705810007</v>
      </c>
      <c r="C542" s="7" t="s">
        <v>5538</v>
      </c>
      <c r="D542" s="7" t="s">
        <v>189</v>
      </c>
      <c r="E542" s="7" t="s">
        <v>11</v>
      </c>
      <c r="F542" s="7" t="s">
        <v>18</v>
      </c>
      <c r="G542" s="7" t="s">
        <v>19</v>
      </c>
      <c r="H542" s="7" t="s">
        <v>4754</v>
      </c>
      <c r="I542" s="8" t="s">
        <v>4754</v>
      </c>
      <c r="J542" t="str">
        <f>VLOOKUP(B542,baru!$B$2:$I$2271,4,FALSE)</f>
        <v>Reguler</v>
      </c>
      <c r="K542" t="str">
        <f>VLOOKUP(B542,baru!$B$2:$I$2271,5,FALSE)</f>
        <v>DAERAH ISTIMEWA YOGYAKARTA</v>
      </c>
      <c r="L542" t="str">
        <f>VLOOKUP(B542,baru!$B$2:$I$2271,6,FALSE)</f>
        <v>BANTUL</v>
      </c>
    </row>
    <row r="543" spans="1:12" x14ac:dyDescent="0.35">
      <c r="A543" s="6">
        <v>1521914</v>
      </c>
      <c r="B543" s="7" t="str">
        <f>"3328175101920003"</f>
        <v>3328175101920003</v>
      </c>
      <c r="C543" s="7" t="s">
        <v>5539</v>
      </c>
      <c r="D543" s="7" t="s">
        <v>10</v>
      </c>
      <c r="E543" s="7" t="s">
        <v>11</v>
      </c>
      <c r="F543" s="7" t="s">
        <v>18</v>
      </c>
      <c r="G543" s="7" t="s">
        <v>19</v>
      </c>
      <c r="H543" s="7" t="s">
        <v>4754</v>
      </c>
      <c r="I543" s="8" t="s">
        <v>5426</v>
      </c>
      <c r="J543" t="str">
        <f>VLOOKUP(B543,baru!$B$2:$I$2271,4,FALSE)</f>
        <v>Reguler</v>
      </c>
      <c r="K543" t="str">
        <f>VLOOKUP(B543,baru!$B$2:$I$2271,5,FALSE)</f>
        <v>DKI JAKARTA</v>
      </c>
      <c r="L543" t="str">
        <f>VLOOKUP(B543,baru!$B$2:$I$2271,6,FALSE)</f>
        <v>KOTA JAKARTA BARAT</v>
      </c>
    </row>
    <row r="544" spans="1:12" x14ac:dyDescent="0.35">
      <c r="A544" s="6">
        <v>1622621</v>
      </c>
      <c r="B544" s="7" t="str">
        <f>"3328175512720003"</f>
        <v>3328175512720003</v>
      </c>
      <c r="C544" s="7" t="s">
        <v>759</v>
      </c>
      <c r="D544" s="7" t="s">
        <v>10</v>
      </c>
      <c r="E544" s="7" t="s">
        <v>11</v>
      </c>
      <c r="F544" s="7" t="s">
        <v>18</v>
      </c>
      <c r="G544" s="7" t="s">
        <v>19</v>
      </c>
      <c r="H544" s="7" t="s">
        <v>4754</v>
      </c>
      <c r="I544" s="8" t="s">
        <v>5421</v>
      </c>
      <c r="J544" t="str">
        <f>VLOOKUP(B544,baru!$B$2:$I$2271,4,FALSE)</f>
        <v>Reguler</v>
      </c>
      <c r="K544" t="str">
        <f>VLOOKUP(B544,baru!$B$2:$I$2271,5,FALSE)</f>
        <v>DKI JAKARTA</v>
      </c>
      <c r="L544" t="str">
        <f>VLOOKUP(B544,baru!$B$2:$I$2271,6,FALSE)</f>
        <v>KOTA JAKARTA SELATAN</v>
      </c>
    </row>
    <row r="545" spans="1:12" x14ac:dyDescent="0.35">
      <c r="A545" s="6">
        <v>1509409</v>
      </c>
      <c r="B545" s="7" t="str">
        <f>"3328175602950004"</f>
        <v>3328175602950004</v>
      </c>
      <c r="C545" s="7" t="s">
        <v>5546</v>
      </c>
      <c r="D545" s="7" t="s">
        <v>10</v>
      </c>
      <c r="E545" s="7" t="s">
        <v>11</v>
      </c>
      <c r="F545" s="7" t="s">
        <v>18</v>
      </c>
      <c r="G545" s="7" t="s">
        <v>19</v>
      </c>
      <c r="H545" s="7" t="s">
        <v>4754</v>
      </c>
      <c r="I545" s="8" t="s">
        <v>5440</v>
      </c>
      <c r="J545" t="str">
        <f>VLOOKUP(B545,baru!$B$2:$I$2271,4,FALSE)</f>
        <v>Reguler</v>
      </c>
      <c r="K545" t="str">
        <f>VLOOKUP(B545,baru!$B$2:$I$2271,5,FALSE)</f>
        <v>BANTEN</v>
      </c>
      <c r="L545" t="str">
        <f>VLOOKUP(B545,baru!$B$2:$I$2271,6,FALSE)</f>
        <v>LEBAK</v>
      </c>
    </row>
    <row r="546" spans="1:12" x14ac:dyDescent="0.35">
      <c r="A546" s="6">
        <v>1544100</v>
      </c>
      <c r="B546" s="7" t="str">
        <f>"3328176009970007"</f>
        <v>3328176009970007</v>
      </c>
      <c r="C546" s="7" t="s">
        <v>5549</v>
      </c>
      <c r="D546" s="7" t="s">
        <v>189</v>
      </c>
      <c r="E546" s="7" t="s">
        <v>11</v>
      </c>
      <c r="F546" s="7" t="s">
        <v>18</v>
      </c>
      <c r="G546" s="7" t="s">
        <v>19</v>
      </c>
      <c r="H546" s="7" t="s">
        <v>4754</v>
      </c>
      <c r="I546" s="8" t="s">
        <v>3958</v>
      </c>
      <c r="J546" t="str">
        <f>VLOOKUP(B546,baru!$B$2:$I$2271,4,FALSE)</f>
        <v>Reguler</v>
      </c>
      <c r="K546" t="str">
        <f>VLOOKUP(B546,baru!$B$2:$I$2271,5,FALSE)</f>
        <v>JAWA TENGAH</v>
      </c>
      <c r="L546" t="str">
        <f>VLOOKUP(B546,baru!$B$2:$I$2271,6,FALSE)</f>
        <v>PEKALONGAN</v>
      </c>
    </row>
    <row r="547" spans="1:12" x14ac:dyDescent="0.35">
      <c r="A547" s="6">
        <v>1515277</v>
      </c>
      <c r="B547" s="7" t="str">
        <f>"3328176501010006"</f>
        <v>3328176501010006</v>
      </c>
      <c r="C547" s="7" t="s">
        <v>5557</v>
      </c>
      <c r="D547" s="7" t="s">
        <v>10</v>
      </c>
      <c r="E547" s="7" t="s">
        <v>11</v>
      </c>
      <c r="F547" s="7" t="s">
        <v>18</v>
      </c>
      <c r="G547" s="7" t="s">
        <v>19</v>
      </c>
      <c r="H547" s="7" t="s">
        <v>4754</v>
      </c>
      <c r="I547" s="8" t="s">
        <v>882</v>
      </c>
      <c r="J547" t="str">
        <f>VLOOKUP(B547,baru!$B$2:$I$2271,4,FALSE)</f>
        <v>Reguler</v>
      </c>
      <c r="K547" t="str">
        <f>VLOOKUP(B547,baru!$B$2:$I$2271,5,FALSE)</f>
        <v>JAWA TENGAH</v>
      </c>
      <c r="L547" t="str">
        <f>VLOOKUP(B547,baru!$B$2:$I$2271,6,FALSE)</f>
        <v>BATANG</v>
      </c>
    </row>
    <row r="548" spans="1:12" x14ac:dyDescent="0.35">
      <c r="A548" s="6">
        <v>1511603</v>
      </c>
      <c r="B548" s="7" t="str">
        <f>"3328176809780003"</f>
        <v>3328176809780003</v>
      </c>
      <c r="C548" s="7" t="s">
        <v>5560</v>
      </c>
      <c r="D548" s="7" t="s">
        <v>10</v>
      </c>
      <c r="E548" s="7" t="s">
        <v>11</v>
      </c>
      <c r="F548" s="7" t="s">
        <v>18</v>
      </c>
      <c r="G548" s="7" t="s">
        <v>19</v>
      </c>
      <c r="H548" s="7" t="s">
        <v>4754</v>
      </c>
      <c r="I548" s="8" t="s">
        <v>5440</v>
      </c>
      <c r="J548" t="str">
        <f>VLOOKUP(B548,baru!$B$2:$I$2271,4,FALSE)</f>
        <v>Reguler</v>
      </c>
      <c r="K548" t="str">
        <f>VLOOKUP(B548,baru!$B$2:$I$2271,5,FALSE)</f>
        <v>DKI JAKARTA</v>
      </c>
      <c r="L548" t="str">
        <f>VLOOKUP(B548,baru!$B$2:$I$2271,6,FALSE)</f>
        <v>KOTA JAKARTA BARAT</v>
      </c>
    </row>
    <row r="549" spans="1:12" x14ac:dyDescent="0.35">
      <c r="A549" s="6">
        <v>1516579</v>
      </c>
      <c r="B549" s="7" t="str">
        <f>"3329093103970003"</f>
        <v>3329093103970003</v>
      </c>
      <c r="C549" s="7" t="s">
        <v>5566</v>
      </c>
      <c r="D549" s="7" t="s">
        <v>10</v>
      </c>
      <c r="E549" s="7" t="s">
        <v>11</v>
      </c>
      <c r="F549" s="7" t="s">
        <v>18</v>
      </c>
      <c r="G549" s="7" t="s">
        <v>19</v>
      </c>
      <c r="H549" s="7" t="s">
        <v>4754</v>
      </c>
      <c r="I549" s="8" t="s">
        <v>4755</v>
      </c>
      <c r="J549" t="str">
        <f>VLOOKUP(B549,baru!$B$2:$I$2271,4,FALSE)</f>
        <v>Reguler</v>
      </c>
      <c r="K549" t="str">
        <f>VLOOKUP(B549,baru!$B$2:$I$2271,5,FALSE)</f>
        <v>JAWA TENGAH</v>
      </c>
      <c r="L549" t="str">
        <f>VLOOKUP(B549,baru!$B$2:$I$2271,6,FALSE)</f>
        <v>BREBES</v>
      </c>
    </row>
    <row r="550" spans="1:12" x14ac:dyDescent="0.35">
      <c r="A550" s="6">
        <v>1974566</v>
      </c>
      <c r="B550" s="7" t="str">
        <f>"1371115803970005"</f>
        <v>1371115803970005</v>
      </c>
      <c r="C550" s="7" t="s">
        <v>5580</v>
      </c>
      <c r="D550" s="7" t="s">
        <v>10</v>
      </c>
      <c r="E550" s="7" t="s">
        <v>11</v>
      </c>
      <c r="F550" s="7" t="s">
        <v>18</v>
      </c>
      <c r="G550" s="7" t="s">
        <v>19</v>
      </c>
      <c r="H550" s="7" t="s">
        <v>5581</v>
      </c>
      <c r="I550" s="8" t="s">
        <v>5582</v>
      </c>
      <c r="J550" t="str">
        <f>VLOOKUP(B550,baru!$B$2:$I$2271,4,FALSE)</f>
        <v>Reguler</v>
      </c>
      <c r="K550" t="str">
        <f>VLOOKUP(B550,baru!$B$2:$I$2271,5,FALSE)</f>
        <v>SUMATERA BARAT</v>
      </c>
      <c r="L550" t="str">
        <f>VLOOKUP(B550,baru!$B$2:$I$2271,6,FALSE)</f>
        <v>KOTA PADANG</v>
      </c>
    </row>
    <row r="551" spans="1:12" x14ac:dyDescent="0.35">
      <c r="A551" s="6">
        <v>1977656</v>
      </c>
      <c r="B551" s="7" t="str">
        <f>"3206361711010001"</f>
        <v>3206361711010001</v>
      </c>
      <c r="C551" s="7" t="s">
        <v>5620</v>
      </c>
      <c r="D551" s="7" t="s">
        <v>10</v>
      </c>
      <c r="E551" s="7" t="s">
        <v>11</v>
      </c>
      <c r="F551" s="7" t="s">
        <v>18</v>
      </c>
      <c r="G551" s="7" t="s">
        <v>19</v>
      </c>
      <c r="H551" s="7" t="s">
        <v>5581</v>
      </c>
      <c r="I551" s="8" t="s">
        <v>5589</v>
      </c>
      <c r="J551" t="str">
        <f>VLOOKUP(B551,baru!$B$2:$I$2271,4,FALSE)</f>
        <v>Reguler</v>
      </c>
      <c r="K551" t="str">
        <f>VLOOKUP(B551,baru!$B$2:$I$2271,5,FALSE)</f>
        <v>JAWA BARAT</v>
      </c>
      <c r="L551" t="str">
        <f>VLOOKUP(B551,baru!$B$2:$I$2271,6,FALSE)</f>
        <v>TASIKMALAYA</v>
      </c>
    </row>
    <row r="552" spans="1:12" x14ac:dyDescent="0.35">
      <c r="A552" s="6">
        <v>1977655</v>
      </c>
      <c r="B552" s="7" t="str">
        <f>"3206366305780001"</f>
        <v>3206366305780001</v>
      </c>
      <c r="C552" s="7" t="s">
        <v>5623</v>
      </c>
      <c r="D552" s="7" t="s">
        <v>10</v>
      </c>
      <c r="E552" s="7" t="s">
        <v>11</v>
      </c>
      <c r="F552" s="7" t="s">
        <v>18</v>
      </c>
      <c r="G552" s="7" t="s">
        <v>19</v>
      </c>
      <c r="H552" s="7" t="s">
        <v>5581</v>
      </c>
      <c r="I552" s="8" t="s">
        <v>5589</v>
      </c>
      <c r="J552" t="str">
        <f>VLOOKUP(B552,baru!$B$2:$I$2271,4,FALSE)</f>
        <v>Reguler</v>
      </c>
      <c r="K552" t="str">
        <f>VLOOKUP(B552,baru!$B$2:$I$2271,5,FALSE)</f>
        <v>JAWA BARAT</v>
      </c>
      <c r="L552" t="str">
        <f>VLOOKUP(B552,baru!$B$2:$I$2271,6,FALSE)</f>
        <v>TASIKMALAYA</v>
      </c>
    </row>
    <row r="553" spans="1:12" x14ac:dyDescent="0.35">
      <c r="A553" s="6">
        <v>2003180</v>
      </c>
      <c r="B553" s="7" t="str">
        <f>"3213154101960015"</f>
        <v>3213154101960015</v>
      </c>
      <c r="C553" s="7" t="s">
        <v>5635</v>
      </c>
      <c r="D553" s="7" t="s">
        <v>10</v>
      </c>
      <c r="E553" s="7" t="s">
        <v>11</v>
      </c>
      <c r="F553" s="7" t="s">
        <v>18</v>
      </c>
      <c r="G553" s="7" t="s">
        <v>19</v>
      </c>
      <c r="H553" s="7" t="s">
        <v>5581</v>
      </c>
      <c r="I553" s="8" t="s">
        <v>5581</v>
      </c>
      <c r="J553" t="str">
        <f>VLOOKUP(B553,baru!$B$2:$I$2271,4,FALSE)</f>
        <v>Reguler</v>
      </c>
      <c r="K553" t="str">
        <f>VLOOKUP(B553,baru!$B$2:$I$2271,5,FALSE)</f>
        <v>JAWA BARAT</v>
      </c>
      <c r="L553" t="str">
        <f>VLOOKUP(B553,baru!$B$2:$I$2271,6,FALSE)</f>
        <v>SUBANG</v>
      </c>
    </row>
    <row r="554" spans="1:12" x14ac:dyDescent="0.35">
      <c r="A554" s="6">
        <v>1966303</v>
      </c>
      <c r="B554" s="7" t="str">
        <f>"3301172409840002"</f>
        <v>3301172409840002</v>
      </c>
      <c r="C554" s="7" t="s">
        <v>5639</v>
      </c>
      <c r="D554" s="7" t="s">
        <v>10</v>
      </c>
      <c r="E554" s="7" t="s">
        <v>11</v>
      </c>
      <c r="F554" s="7" t="s">
        <v>18</v>
      </c>
      <c r="G554" s="7" t="s">
        <v>19</v>
      </c>
      <c r="H554" s="7" t="s">
        <v>5581</v>
      </c>
      <c r="I554" s="8" t="s">
        <v>5599</v>
      </c>
      <c r="J554" t="str">
        <f>VLOOKUP(B554,baru!$B$2:$I$2271,4,FALSE)</f>
        <v>Reguler</v>
      </c>
      <c r="K554" t="str">
        <f>VLOOKUP(B554,baru!$B$2:$I$2271,5,FALSE)</f>
        <v>JAWA TENGAH</v>
      </c>
      <c r="L554" t="str">
        <f>VLOOKUP(B554,baru!$B$2:$I$2271,6,FALSE)</f>
        <v>CILACAP</v>
      </c>
    </row>
    <row r="555" spans="1:12" x14ac:dyDescent="0.35">
      <c r="A555" s="6">
        <v>1962576</v>
      </c>
      <c r="B555" s="7" t="str">
        <f>"3303140808880002"</f>
        <v>3303140808880002</v>
      </c>
      <c r="C555" s="7" t="s">
        <v>5642</v>
      </c>
      <c r="D555" s="7" t="s">
        <v>10</v>
      </c>
      <c r="E555" s="7" t="s">
        <v>11</v>
      </c>
      <c r="F555" s="7" t="s">
        <v>18</v>
      </c>
      <c r="G555" s="7" t="s">
        <v>19</v>
      </c>
      <c r="H555" s="7" t="s">
        <v>5581</v>
      </c>
      <c r="I555" s="8" t="s">
        <v>5593</v>
      </c>
      <c r="J555" t="str">
        <f>VLOOKUP(B555,baru!$B$2:$I$2271,4,FALSE)</f>
        <v>Reguler</v>
      </c>
      <c r="K555" t="str">
        <f>VLOOKUP(B555,baru!$B$2:$I$2271,5,FALSE)</f>
        <v>JAWA TENGAH</v>
      </c>
      <c r="L555" t="str">
        <f>VLOOKUP(B555,baru!$B$2:$I$2271,6,FALSE)</f>
        <v>PURBALINGGA</v>
      </c>
    </row>
    <row r="556" spans="1:12" x14ac:dyDescent="0.35">
      <c r="A556" s="6">
        <v>1977654</v>
      </c>
      <c r="B556" s="7" t="str">
        <f>"3328100903700005"</f>
        <v>3328100903700005</v>
      </c>
      <c r="C556" s="7" t="s">
        <v>5655</v>
      </c>
      <c r="D556" s="7" t="s">
        <v>10</v>
      </c>
      <c r="E556" s="7" t="s">
        <v>11</v>
      </c>
      <c r="F556" s="7" t="s">
        <v>18</v>
      </c>
      <c r="G556" s="7" t="s">
        <v>19</v>
      </c>
      <c r="H556" s="7" t="s">
        <v>5581</v>
      </c>
      <c r="I556" s="8" t="s">
        <v>5589</v>
      </c>
      <c r="J556" t="str">
        <f>VLOOKUP(B556,baru!$B$2:$I$2271,4,FALSE)</f>
        <v>Reguler</v>
      </c>
      <c r="K556" t="str">
        <f>VLOOKUP(B556,baru!$B$2:$I$2271,5,FALSE)</f>
        <v>JAWA BARAT</v>
      </c>
      <c r="L556" t="str">
        <f>VLOOKUP(B556,baru!$B$2:$I$2271,6,FALSE)</f>
        <v>TASIKMALAYA</v>
      </c>
    </row>
    <row r="557" spans="1:12" x14ac:dyDescent="0.35">
      <c r="A557" s="6">
        <v>2007603</v>
      </c>
      <c r="B557" s="7" t="str">
        <f>"3328181004730004"</f>
        <v>3328181004730004</v>
      </c>
      <c r="C557" s="7" t="s">
        <v>1379</v>
      </c>
      <c r="D557" s="7" t="s">
        <v>10</v>
      </c>
      <c r="E557" s="7" t="s">
        <v>11</v>
      </c>
      <c r="F557" s="7" t="s">
        <v>18</v>
      </c>
      <c r="G557" s="7" t="s">
        <v>19</v>
      </c>
      <c r="H557" s="7" t="s">
        <v>5581</v>
      </c>
      <c r="I557" s="8" t="s">
        <v>5609</v>
      </c>
      <c r="J557" t="str">
        <f>VLOOKUP(B557,baru!$B$2:$I$2271,4,FALSE)</f>
        <v>Reguler</v>
      </c>
      <c r="K557" t="str">
        <f>VLOOKUP(B557,baru!$B$2:$I$2271,5,FALSE)</f>
        <v>JAWA BARAT</v>
      </c>
      <c r="L557" t="str">
        <f>VLOOKUP(B557,baru!$B$2:$I$2271,6,FALSE)</f>
        <v>KOTA DEPOK</v>
      </c>
    </row>
    <row r="558" spans="1:12" x14ac:dyDescent="0.35">
      <c r="A558" s="6">
        <v>1980088</v>
      </c>
      <c r="B558" s="7" t="str">
        <f>"3328181006780002"</f>
        <v>3328181006780002</v>
      </c>
      <c r="C558" s="7" t="s">
        <v>1490</v>
      </c>
      <c r="D558" s="7" t="s">
        <v>189</v>
      </c>
      <c r="E558" s="7" t="s">
        <v>11</v>
      </c>
      <c r="F558" s="7" t="s">
        <v>18</v>
      </c>
      <c r="G558" s="7" t="s">
        <v>19</v>
      </c>
      <c r="H558" s="7" t="s">
        <v>5581</v>
      </c>
      <c r="I558" s="8" t="s">
        <v>5589</v>
      </c>
      <c r="J558" t="str">
        <f>VLOOKUP(B558,baru!$B$2:$I$2271,4,FALSE)</f>
        <v>Reguler</v>
      </c>
      <c r="K558" t="str">
        <f>VLOOKUP(B558,baru!$B$2:$I$2271,5,FALSE)</f>
        <v>JAWA TENGAH</v>
      </c>
      <c r="L558" t="str">
        <f>VLOOKUP(B558,baru!$B$2:$I$2271,6,FALSE)</f>
        <v>KOTA TEGAL</v>
      </c>
    </row>
    <row r="559" spans="1:12" x14ac:dyDescent="0.35">
      <c r="A559" s="6">
        <v>1967798</v>
      </c>
      <c r="B559" s="7" t="str">
        <f>"3328181808900013"</f>
        <v>3328181808900013</v>
      </c>
      <c r="C559" s="7" t="s">
        <v>5680</v>
      </c>
      <c r="D559" s="7" t="s">
        <v>10</v>
      </c>
      <c r="E559" s="7" t="s">
        <v>11</v>
      </c>
      <c r="F559" s="7" t="s">
        <v>18</v>
      </c>
      <c r="G559" s="7" t="s">
        <v>19</v>
      </c>
      <c r="H559" s="7" t="s">
        <v>5581</v>
      </c>
      <c r="I559" s="8" t="s">
        <v>5599</v>
      </c>
      <c r="J559" t="str">
        <f>VLOOKUP(B559,baru!$B$2:$I$2271,4,FALSE)</f>
        <v>Reguler</v>
      </c>
      <c r="K559" t="str">
        <f>VLOOKUP(B559,baru!$B$2:$I$2271,5,FALSE)</f>
        <v>JAWA TENGAH</v>
      </c>
      <c r="L559" t="str">
        <f>VLOOKUP(B559,baru!$B$2:$I$2271,6,FALSE)</f>
        <v>KEBUMEN</v>
      </c>
    </row>
    <row r="560" spans="1:12" x14ac:dyDescent="0.35">
      <c r="A560" s="6">
        <v>1978649</v>
      </c>
      <c r="B560" s="7" t="str">
        <f>"3328182203960001"</f>
        <v>3328182203960001</v>
      </c>
      <c r="C560" s="7" t="s">
        <v>5685</v>
      </c>
      <c r="D560" s="7" t="s">
        <v>10</v>
      </c>
      <c r="E560" s="7" t="s">
        <v>11</v>
      </c>
      <c r="F560" s="7" t="s">
        <v>18</v>
      </c>
      <c r="G560" s="7" t="s">
        <v>19</v>
      </c>
      <c r="H560" s="7" t="s">
        <v>5581</v>
      </c>
      <c r="I560" s="8" t="s">
        <v>5589</v>
      </c>
      <c r="J560" t="str">
        <f>VLOOKUP(B560,baru!$B$2:$I$2271,4,FALSE)</f>
        <v>Reguler</v>
      </c>
      <c r="K560" t="str">
        <f>VLOOKUP(B560,baru!$B$2:$I$2271,5,FALSE)</f>
        <v>JAWA TENGAH</v>
      </c>
      <c r="L560" t="str">
        <f>VLOOKUP(B560,baru!$B$2:$I$2271,6,FALSE)</f>
        <v>KOTA TEGAL</v>
      </c>
    </row>
    <row r="561" spans="1:12" x14ac:dyDescent="0.35">
      <c r="A561" s="6">
        <v>1974666</v>
      </c>
      <c r="B561" s="7" t="str">
        <f>"3328182709900003"</f>
        <v>3328182709900003</v>
      </c>
      <c r="C561" s="7" t="s">
        <v>5698</v>
      </c>
      <c r="D561" s="7" t="s">
        <v>10</v>
      </c>
      <c r="E561" s="7" t="s">
        <v>11</v>
      </c>
      <c r="F561" s="7" t="s">
        <v>18</v>
      </c>
      <c r="G561" s="7" t="s">
        <v>19</v>
      </c>
      <c r="H561" s="7" t="s">
        <v>5581</v>
      </c>
      <c r="I561" s="8" t="s">
        <v>5582</v>
      </c>
      <c r="J561" t="str">
        <f>VLOOKUP(B561,baru!$B$2:$I$2271,4,FALSE)</f>
        <v>Reguler</v>
      </c>
      <c r="K561" t="str">
        <f>VLOOKUP(B561,baru!$B$2:$I$2271,5,FALSE)</f>
        <v>SUMATERA BARAT</v>
      </c>
      <c r="L561" t="str">
        <f>VLOOKUP(B561,baru!$B$2:$I$2271,6,FALSE)</f>
        <v>KOTA PADANG</v>
      </c>
    </row>
    <row r="562" spans="1:12" x14ac:dyDescent="0.35">
      <c r="A562" s="6">
        <v>1962577</v>
      </c>
      <c r="B562" s="7" t="str">
        <f>"3328184107870145"</f>
        <v>3328184107870145</v>
      </c>
      <c r="C562" s="7" t="s">
        <v>5702</v>
      </c>
      <c r="D562" s="7" t="s">
        <v>10</v>
      </c>
      <c r="E562" s="7" t="s">
        <v>11</v>
      </c>
      <c r="F562" s="7" t="s">
        <v>18</v>
      </c>
      <c r="G562" s="7" t="s">
        <v>19</v>
      </c>
      <c r="H562" s="7" t="s">
        <v>5581</v>
      </c>
      <c r="I562" s="8" t="s">
        <v>5593</v>
      </c>
      <c r="J562" t="str">
        <f>VLOOKUP(B562,baru!$B$2:$I$2271,4,FALSE)</f>
        <v>Reguler</v>
      </c>
      <c r="K562" t="str">
        <f>VLOOKUP(B562,baru!$B$2:$I$2271,5,FALSE)</f>
        <v>JAWA TENGAH</v>
      </c>
      <c r="L562" t="str">
        <f>VLOOKUP(B562,baru!$B$2:$I$2271,6,FALSE)</f>
        <v>PURBALINGGA</v>
      </c>
    </row>
    <row r="563" spans="1:12" x14ac:dyDescent="0.35">
      <c r="A563" s="6">
        <v>1983217</v>
      </c>
      <c r="B563" s="7" t="str">
        <f>"3328184202770003"</f>
        <v>3328184202770003</v>
      </c>
      <c r="C563" s="7" t="s">
        <v>5703</v>
      </c>
      <c r="D563" s="7" t="s">
        <v>10</v>
      </c>
      <c r="E563" s="7" t="s">
        <v>11</v>
      </c>
      <c r="F563" s="7" t="s">
        <v>18</v>
      </c>
      <c r="G563" s="7" t="s">
        <v>19</v>
      </c>
      <c r="H563" s="7" t="s">
        <v>5581</v>
      </c>
      <c r="I563" s="8" t="s">
        <v>5653</v>
      </c>
      <c r="J563" t="str">
        <f>VLOOKUP(B563,baru!$B$2:$I$2271,4,FALSE)</f>
        <v>Reguler</v>
      </c>
      <c r="K563" t="str">
        <f>VLOOKUP(B563,baru!$B$2:$I$2271,5,FALSE)</f>
        <v>BANTEN</v>
      </c>
      <c r="L563" t="str">
        <f>VLOOKUP(B563,baru!$B$2:$I$2271,6,FALSE)</f>
        <v>LEBAK</v>
      </c>
    </row>
    <row r="564" spans="1:12" x14ac:dyDescent="0.35">
      <c r="A564" s="6">
        <v>1951410</v>
      </c>
      <c r="B564" s="7" t="str">
        <f>"3328184301930006"</f>
        <v>3328184301930006</v>
      </c>
      <c r="C564" s="7" t="s">
        <v>5709</v>
      </c>
      <c r="D564" s="7" t="s">
        <v>10</v>
      </c>
      <c r="E564" s="7" t="s">
        <v>11</v>
      </c>
      <c r="F564" s="7" t="s">
        <v>18</v>
      </c>
      <c r="G564" s="7" t="s">
        <v>19</v>
      </c>
      <c r="H564" s="7" t="s">
        <v>5581</v>
      </c>
      <c r="I564" s="8" t="s">
        <v>5611</v>
      </c>
      <c r="J564" t="str">
        <f>VLOOKUP(B564,baru!$B$2:$I$2271,4,FALSE)</f>
        <v>Reguler</v>
      </c>
      <c r="K564" t="str">
        <f>VLOOKUP(B564,baru!$B$2:$I$2271,5,FALSE)</f>
        <v>NUSA TENGGARA BARAT</v>
      </c>
      <c r="L564" t="str">
        <f>VLOOKUP(B564,baru!$B$2:$I$2271,6,FALSE)</f>
        <v>KOTA MATARAM</v>
      </c>
    </row>
    <row r="565" spans="1:12" x14ac:dyDescent="0.35">
      <c r="A565" s="6">
        <v>1971545</v>
      </c>
      <c r="B565" s="7" t="str">
        <f>"3328185307960004"</f>
        <v>3328185307960004</v>
      </c>
      <c r="C565" s="7" t="s">
        <v>5729</v>
      </c>
      <c r="D565" s="7" t="s">
        <v>189</v>
      </c>
      <c r="E565" s="7" t="s">
        <v>11</v>
      </c>
      <c r="F565" s="7" t="s">
        <v>18</v>
      </c>
      <c r="G565" s="7" t="s">
        <v>19</v>
      </c>
      <c r="H565" s="7" t="s">
        <v>5581</v>
      </c>
      <c r="I565" s="8" t="s">
        <v>5582</v>
      </c>
      <c r="J565" t="str">
        <f>VLOOKUP(B565,baru!$B$2:$I$2271,4,FALSE)</f>
        <v>Reguler</v>
      </c>
      <c r="K565" t="str">
        <f>VLOOKUP(B565,baru!$B$2:$I$2271,5,FALSE)</f>
        <v>JAWA TENGAH</v>
      </c>
      <c r="L565" t="str">
        <f>VLOOKUP(B565,baru!$B$2:$I$2271,6,FALSE)</f>
        <v>BREBES</v>
      </c>
    </row>
    <row r="566" spans="1:12" x14ac:dyDescent="0.35">
      <c r="A566" s="6">
        <v>1978863</v>
      </c>
      <c r="B566" s="7" t="str">
        <f>"3329050112570002"</f>
        <v>3329050112570002</v>
      </c>
      <c r="C566" s="7" t="s">
        <v>3155</v>
      </c>
      <c r="D566" s="7" t="s">
        <v>10</v>
      </c>
      <c r="E566" s="7" t="s">
        <v>11</v>
      </c>
      <c r="F566" s="7" t="s">
        <v>18</v>
      </c>
      <c r="G566" s="7" t="s">
        <v>19</v>
      </c>
      <c r="H566" s="7" t="s">
        <v>5581</v>
      </c>
      <c r="I566" s="8" t="s">
        <v>5589</v>
      </c>
      <c r="J566" t="str">
        <f>VLOOKUP(B566,baru!$B$2:$I$2271,4,FALSE)</f>
        <v>Reguler</v>
      </c>
      <c r="K566" t="str">
        <f>VLOOKUP(B566,baru!$B$2:$I$2271,5,FALSE)</f>
        <v>JAWA TENGAH</v>
      </c>
      <c r="L566" t="str">
        <f>VLOOKUP(B566,baru!$B$2:$I$2271,6,FALSE)</f>
        <v>BREBES</v>
      </c>
    </row>
    <row r="567" spans="1:12" x14ac:dyDescent="0.35">
      <c r="A567" s="6">
        <v>1959891</v>
      </c>
      <c r="B567" s="7" t="str">
        <f>"3329072101730004"</f>
        <v>3329072101730004</v>
      </c>
      <c r="C567" s="7" t="s">
        <v>458</v>
      </c>
      <c r="D567" s="7" t="s">
        <v>10</v>
      </c>
      <c r="E567" s="7" t="s">
        <v>11</v>
      </c>
      <c r="F567" s="7" t="s">
        <v>18</v>
      </c>
      <c r="G567" s="7" t="s">
        <v>19</v>
      </c>
      <c r="H567" s="7" t="s">
        <v>5581</v>
      </c>
      <c r="I567" s="8" t="s">
        <v>5593</v>
      </c>
      <c r="J567" t="str">
        <f>VLOOKUP(B567,baru!$B$2:$I$2271,4,FALSE)</f>
        <v>Reguler</v>
      </c>
      <c r="K567" t="str">
        <f>VLOOKUP(B567,baru!$B$2:$I$2271,5,FALSE)</f>
        <v>JAWA TENGAH</v>
      </c>
      <c r="L567" t="str">
        <f>VLOOKUP(B567,baru!$B$2:$I$2271,6,FALSE)</f>
        <v>BREBES</v>
      </c>
    </row>
    <row r="568" spans="1:12" x14ac:dyDescent="0.35">
      <c r="A568" s="6">
        <v>2009092</v>
      </c>
      <c r="B568" s="7" t="str">
        <f>"3329072104860003"</f>
        <v>3329072104860003</v>
      </c>
      <c r="C568" s="7" t="s">
        <v>5758</v>
      </c>
      <c r="D568" s="7" t="s">
        <v>10</v>
      </c>
      <c r="E568" s="7" t="s">
        <v>11</v>
      </c>
      <c r="F568" s="7" t="s">
        <v>18</v>
      </c>
      <c r="G568" s="7" t="s">
        <v>19</v>
      </c>
      <c r="H568" s="7" t="s">
        <v>5581</v>
      </c>
      <c r="I568" s="8" t="s">
        <v>5609</v>
      </c>
      <c r="J568" t="str">
        <f>VLOOKUP(B568,baru!$B$2:$I$2271,4,FALSE)</f>
        <v>Reguler</v>
      </c>
      <c r="K568" t="str">
        <f>VLOOKUP(B568,baru!$B$2:$I$2271,5,FALSE)</f>
        <v>JAWA TENGAH</v>
      </c>
      <c r="L568" t="str">
        <f>VLOOKUP(B568,baru!$B$2:$I$2271,6,FALSE)</f>
        <v>BREBES</v>
      </c>
    </row>
    <row r="569" spans="1:12" x14ac:dyDescent="0.35">
      <c r="A569" s="6">
        <v>1982717</v>
      </c>
      <c r="B569" s="7" t="str">
        <f>"3329092002040004"</f>
        <v>3329092002040004</v>
      </c>
      <c r="C569" s="7" t="s">
        <v>5765</v>
      </c>
      <c r="D569" s="7" t="s">
        <v>10</v>
      </c>
      <c r="E569" s="7" t="s">
        <v>11</v>
      </c>
      <c r="F569" s="7" t="s">
        <v>18</v>
      </c>
      <c r="G569" s="7" t="s">
        <v>19</v>
      </c>
      <c r="H569" s="7" t="s">
        <v>5581</v>
      </c>
      <c r="I569" s="8" t="s">
        <v>5589</v>
      </c>
      <c r="J569" t="str">
        <f>VLOOKUP(B569,baru!$B$2:$I$2271,4,FALSE)</f>
        <v>Reguler</v>
      </c>
      <c r="K569" t="str">
        <f>VLOOKUP(B569,baru!$B$2:$I$2271,5,FALSE)</f>
        <v>JAWA TENGAH</v>
      </c>
      <c r="L569" t="str">
        <f>VLOOKUP(B569,baru!$B$2:$I$2271,6,FALSE)</f>
        <v>BREBES</v>
      </c>
    </row>
    <row r="570" spans="1:12" x14ac:dyDescent="0.35">
      <c r="A570" s="6">
        <v>2004731</v>
      </c>
      <c r="B570" s="7" t="str">
        <f>"3329094612950009"</f>
        <v>3329094612950009</v>
      </c>
      <c r="C570" s="7" t="s">
        <v>5769</v>
      </c>
      <c r="D570" s="7" t="s">
        <v>10</v>
      </c>
      <c r="E570" s="7" t="s">
        <v>11</v>
      </c>
      <c r="F570" s="7" t="s">
        <v>18</v>
      </c>
      <c r="G570" s="7" t="s">
        <v>19</v>
      </c>
      <c r="H570" s="7" t="s">
        <v>5581</v>
      </c>
      <c r="I570" s="8" t="s">
        <v>5581</v>
      </c>
      <c r="J570" t="str">
        <f>VLOOKUP(B570,baru!$B$2:$I$2271,4,FALSE)</f>
        <v>Reguler</v>
      </c>
      <c r="K570" t="str">
        <f>VLOOKUP(B570,baru!$B$2:$I$2271,5,FALSE)</f>
        <v>JAWA TENGAH</v>
      </c>
      <c r="L570" t="str">
        <f>VLOOKUP(B570,baru!$B$2:$I$2271,6,FALSE)</f>
        <v>BREBES</v>
      </c>
    </row>
    <row r="571" spans="1:12" x14ac:dyDescent="0.35">
      <c r="A571" s="6">
        <v>1967490</v>
      </c>
      <c r="B571" s="7" t="str">
        <f>"3375011306980003"</f>
        <v>3375011306980003</v>
      </c>
      <c r="C571" s="7" t="s">
        <v>5776</v>
      </c>
      <c r="D571" s="7" t="s">
        <v>10</v>
      </c>
      <c r="E571" s="7" t="s">
        <v>11</v>
      </c>
      <c r="F571" s="7" t="s">
        <v>18</v>
      </c>
      <c r="G571" s="7" t="s">
        <v>19</v>
      </c>
      <c r="H571" s="7" t="s">
        <v>5581</v>
      </c>
      <c r="I571" s="8" t="s">
        <v>5599</v>
      </c>
      <c r="J571" t="str">
        <f>VLOOKUP(B571,baru!$B$2:$I$2271,4,FALSE)</f>
        <v>Reguler</v>
      </c>
      <c r="K571" t="str">
        <f>VLOOKUP(B571,baru!$B$2:$I$2271,5,FALSE)</f>
        <v>JAWA TENGAH</v>
      </c>
      <c r="L571" t="str">
        <f>VLOOKUP(B571,baru!$B$2:$I$2271,6,FALSE)</f>
        <v>KOTA PEKALONGAN</v>
      </c>
    </row>
    <row r="572" spans="1:12" x14ac:dyDescent="0.35">
      <c r="A572" s="6">
        <v>1967492</v>
      </c>
      <c r="B572" s="7" t="str">
        <f>"3375011312000003"</f>
        <v>3375011312000003</v>
      </c>
      <c r="C572" s="7" t="s">
        <v>5779</v>
      </c>
      <c r="D572" s="7" t="s">
        <v>10</v>
      </c>
      <c r="E572" s="7" t="s">
        <v>11</v>
      </c>
      <c r="F572" s="7" t="s">
        <v>18</v>
      </c>
      <c r="G572" s="7" t="s">
        <v>19</v>
      </c>
      <c r="H572" s="7" t="s">
        <v>5581</v>
      </c>
      <c r="I572" s="8" t="s">
        <v>5599</v>
      </c>
      <c r="J572" t="str">
        <f>VLOOKUP(B572,baru!$B$2:$I$2271,4,FALSE)</f>
        <v>Reguler</v>
      </c>
      <c r="K572" t="str">
        <f>VLOOKUP(B572,baru!$B$2:$I$2271,5,FALSE)</f>
        <v>JAWA TENGAH</v>
      </c>
      <c r="L572" t="str">
        <f>VLOOKUP(B572,baru!$B$2:$I$2271,6,FALSE)</f>
        <v>KOTA PEKALONGAN</v>
      </c>
    </row>
    <row r="573" spans="1:12" x14ac:dyDescent="0.35">
      <c r="A573" s="6">
        <v>1967494</v>
      </c>
      <c r="B573" s="7" t="str">
        <f>"3375012203030006"</f>
        <v>3375012203030006</v>
      </c>
      <c r="C573" s="7" t="s">
        <v>5780</v>
      </c>
      <c r="D573" s="7" t="s">
        <v>10</v>
      </c>
      <c r="E573" s="7" t="s">
        <v>11</v>
      </c>
      <c r="F573" s="7" t="s">
        <v>18</v>
      </c>
      <c r="G573" s="7" t="s">
        <v>19</v>
      </c>
      <c r="H573" s="7" t="s">
        <v>5581</v>
      </c>
      <c r="I573" s="8" t="s">
        <v>5599</v>
      </c>
      <c r="J573" t="str">
        <f>VLOOKUP(B573,baru!$B$2:$I$2271,4,FALSE)</f>
        <v>Reguler</v>
      </c>
      <c r="K573" t="str">
        <f>VLOOKUP(B573,baru!$B$2:$I$2271,5,FALSE)</f>
        <v>JAWA TENGAH</v>
      </c>
      <c r="L573" t="str">
        <f>VLOOKUP(B573,baru!$B$2:$I$2271,6,FALSE)</f>
        <v>KOTA PEKALONGAN</v>
      </c>
    </row>
    <row r="574" spans="1:12" x14ac:dyDescent="0.35">
      <c r="A574" s="6">
        <v>1967491</v>
      </c>
      <c r="B574" s="7" t="str">
        <f>"3375014308060004"</f>
        <v>3375014308060004</v>
      </c>
      <c r="C574" s="7" t="s">
        <v>5781</v>
      </c>
      <c r="D574" s="7" t="s">
        <v>189</v>
      </c>
      <c r="E574" s="7" t="s">
        <v>11</v>
      </c>
      <c r="F574" s="7" t="s">
        <v>18</v>
      </c>
      <c r="G574" s="7" t="s">
        <v>19</v>
      </c>
      <c r="H574" s="7" t="s">
        <v>5581</v>
      </c>
      <c r="I574" s="8" t="s">
        <v>5599</v>
      </c>
      <c r="J574" t="str">
        <f>VLOOKUP(B574,baru!$B$2:$I$2271,4,FALSE)</f>
        <v>Reguler</v>
      </c>
      <c r="K574" t="str">
        <f>VLOOKUP(B574,baru!$B$2:$I$2271,5,FALSE)</f>
        <v>JAWA TENGAH</v>
      </c>
      <c r="L574" t="str">
        <f>VLOOKUP(B574,baru!$B$2:$I$2271,6,FALSE)</f>
        <v>KOTA PEKALONGAN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26084-3F2C-4067-8C26-A8265122866F}">
  <sheetPr>
    <tabColor rgb="FFFF0000"/>
  </sheetPr>
  <dimension ref="A1:L38"/>
  <sheetViews>
    <sheetView workbookViewId="0">
      <selection activeCell="C16" sqref="C16"/>
    </sheetView>
  </sheetViews>
  <sheetFormatPr defaultRowHeight="14.5" x14ac:dyDescent="0.35"/>
  <cols>
    <col min="1" max="1" width="9" bestFit="1" customWidth="1"/>
    <col min="2" max="2" width="15.453125" bestFit="1" customWidth="1"/>
    <col min="3" max="3" width="52.81640625" bestFit="1" customWidth="1"/>
    <col min="4" max="4" width="10.08984375" bestFit="1" customWidth="1"/>
    <col min="5" max="5" width="12.7265625" bestFit="1" customWidth="1"/>
    <col min="6" max="6" width="26.453125" bestFit="1" customWidth="1"/>
    <col min="7" max="7" width="26" bestFit="1" customWidth="1"/>
    <col min="8" max="8" width="20.7265625" bestFit="1" customWidth="1"/>
    <col min="9" max="9" width="26.90625" bestFit="1" customWidth="1"/>
    <col min="10" max="10" width="24.453125" bestFit="1" customWidth="1"/>
    <col min="11" max="11" width="29.08984375" bestFit="1" customWidth="1"/>
    <col min="12" max="12" width="13.1796875" bestFit="1" customWidth="1"/>
  </cols>
  <sheetData>
    <row r="1" spans="1:12" x14ac:dyDescent="0.3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12" t="s">
        <v>5802</v>
      </c>
      <c r="K1" s="12" t="s">
        <v>5803</v>
      </c>
      <c r="L1" s="12" t="s">
        <v>5804</v>
      </c>
    </row>
    <row r="2" spans="1:12" x14ac:dyDescent="0.35">
      <c r="A2" s="17">
        <v>2425875</v>
      </c>
      <c r="B2" s="18" t="str">
        <f>"3328021610840003"</f>
        <v>3328021610840003</v>
      </c>
      <c r="C2" s="18" t="s">
        <v>683</v>
      </c>
      <c r="D2" s="18" t="s">
        <v>10</v>
      </c>
      <c r="E2" s="18" t="s">
        <v>11</v>
      </c>
      <c r="F2" s="18" t="s">
        <v>18</v>
      </c>
      <c r="G2" s="18" t="s">
        <v>19</v>
      </c>
      <c r="H2" s="18" t="s">
        <v>527</v>
      </c>
      <c r="I2" s="19" t="s">
        <v>684</v>
      </c>
      <c r="J2" s="20" t="str">
        <f>VLOOKUP(B2,baru!$B$2:$I$2271,4,FALSE)</f>
        <v>Khusus</v>
      </c>
      <c r="K2" s="20" t="str">
        <f>VLOOKUP(B2,baru!$B$2:$I$2271,5,FALSE)</f>
        <v>JAWA BARAT</v>
      </c>
      <c r="L2" s="20" t="str">
        <f>VLOOKUP(B2,baru!$B$2:$I$2271,6,FALSE)</f>
        <v>KOTA BEKASI</v>
      </c>
    </row>
    <row r="3" spans="1:12" x14ac:dyDescent="0.35">
      <c r="A3" s="17">
        <v>2426419</v>
      </c>
      <c r="B3" s="18" t="str">
        <f>"3328022409010004"</f>
        <v>3328022409010004</v>
      </c>
      <c r="C3" s="18" t="s">
        <v>721</v>
      </c>
      <c r="D3" s="18" t="s">
        <v>10</v>
      </c>
      <c r="E3" s="18" t="s">
        <v>11</v>
      </c>
      <c r="F3" s="18" t="s">
        <v>18</v>
      </c>
      <c r="G3" s="18" t="s">
        <v>19</v>
      </c>
      <c r="H3" s="18" t="s">
        <v>527</v>
      </c>
      <c r="I3" s="19" t="s">
        <v>539</v>
      </c>
      <c r="J3" s="20" t="str">
        <f>VLOOKUP(B3,baru!$B$2:$I$2271,4,FALSE)</f>
        <v>Khusus</v>
      </c>
      <c r="K3" s="20" t="str">
        <f>VLOOKUP(B3,baru!$B$2:$I$2271,5,FALSE)</f>
        <v>JAWA TENGAH</v>
      </c>
      <c r="L3" s="20" t="str">
        <f>VLOOKUP(B3,baru!$B$2:$I$2271,6,FALSE)</f>
        <v>CILACAP</v>
      </c>
    </row>
    <row r="4" spans="1:12" x14ac:dyDescent="0.35">
      <c r="A4" s="17">
        <v>1563742</v>
      </c>
      <c r="B4" s="18" t="str">
        <f>"3328031506980002"</f>
        <v>3328031506980002</v>
      </c>
      <c r="C4" s="18" t="s">
        <v>1038</v>
      </c>
      <c r="D4" s="18" t="s">
        <v>189</v>
      </c>
      <c r="E4" s="18" t="s">
        <v>11</v>
      </c>
      <c r="F4" s="18" t="s">
        <v>18</v>
      </c>
      <c r="G4" s="18" t="s">
        <v>19</v>
      </c>
      <c r="H4" s="18" t="s">
        <v>906</v>
      </c>
      <c r="I4" s="19" t="s">
        <v>939</v>
      </c>
      <c r="J4" s="20" t="str">
        <f>VLOOKUP(B4,baru!$B$2:$I$2271,4,FALSE)</f>
        <v>Khusus</v>
      </c>
      <c r="K4" s="20" t="str">
        <f>VLOOKUP(B4,baru!$B$2:$I$2271,5,FALSE)</f>
        <v>JAWA TENGAH</v>
      </c>
      <c r="L4" s="20" t="str">
        <f>VLOOKUP(B4,baru!$B$2:$I$2271,6,FALSE)</f>
        <v>CILACAP</v>
      </c>
    </row>
    <row r="5" spans="1:12" x14ac:dyDescent="0.35">
      <c r="A5" s="17">
        <v>1579357</v>
      </c>
      <c r="B5" s="18" t="str">
        <f>"3328035304060001"</f>
        <v>3328035304060001</v>
      </c>
      <c r="C5" s="18" t="s">
        <v>1145</v>
      </c>
      <c r="D5" s="18" t="s">
        <v>189</v>
      </c>
      <c r="E5" s="18" t="s">
        <v>11</v>
      </c>
      <c r="F5" s="18" t="s">
        <v>18</v>
      </c>
      <c r="G5" s="18" t="s">
        <v>19</v>
      </c>
      <c r="H5" s="18" t="s">
        <v>906</v>
      </c>
      <c r="I5" s="19" t="s">
        <v>942</v>
      </c>
      <c r="J5" s="20" t="str">
        <f>VLOOKUP(B5,baru!$B$2:$I$2271,4,FALSE)</f>
        <v>Khusus</v>
      </c>
      <c r="K5" s="20" t="str">
        <f>VLOOKUP(B5,baru!$B$2:$I$2271,5,FALSE)</f>
        <v>JAWA TENGAH</v>
      </c>
      <c r="L5" s="20" t="str">
        <f>VLOOKUP(B5,baru!$B$2:$I$2271,6,FALSE)</f>
        <v>MAGELANG</v>
      </c>
    </row>
    <row r="6" spans="1:12" x14ac:dyDescent="0.35">
      <c r="A6" s="17">
        <v>2272189</v>
      </c>
      <c r="B6" s="18" t="str">
        <f>"3328040806920001"</f>
        <v>3328040806920001</v>
      </c>
      <c r="C6" s="18" t="s">
        <v>1445</v>
      </c>
      <c r="D6" s="18" t="s">
        <v>10</v>
      </c>
      <c r="E6" s="18" t="s">
        <v>11</v>
      </c>
      <c r="F6" s="18" t="s">
        <v>18</v>
      </c>
      <c r="G6" s="18" t="s">
        <v>19</v>
      </c>
      <c r="H6" s="18" t="s">
        <v>745</v>
      </c>
      <c r="I6" s="19" t="s">
        <v>1348</v>
      </c>
      <c r="J6" s="20" t="str">
        <f>VLOOKUP(B6,baru!$B$2:$I$2271,4,FALSE)</f>
        <v>Khusus</v>
      </c>
      <c r="K6" s="20" t="str">
        <f>VLOOKUP(B6,baru!$B$2:$I$2271,5,FALSE)</f>
        <v>JAWA TENGAH</v>
      </c>
      <c r="L6" s="20" t="str">
        <f>VLOOKUP(B6,baru!$B$2:$I$2271,6,FALSE)</f>
        <v>CILACAP</v>
      </c>
    </row>
    <row r="7" spans="1:12" x14ac:dyDescent="0.35">
      <c r="A7" s="17">
        <v>2341146</v>
      </c>
      <c r="B7" s="18" t="str">
        <f>"3328041903860001"</f>
        <v>3328041903860001</v>
      </c>
      <c r="C7" s="18" t="s">
        <v>1484</v>
      </c>
      <c r="D7" s="18" t="s">
        <v>189</v>
      </c>
      <c r="E7" s="18" t="s">
        <v>11</v>
      </c>
      <c r="F7" s="18" t="s">
        <v>18</v>
      </c>
      <c r="G7" s="18" t="s">
        <v>19</v>
      </c>
      <c r="H7" s="18" t="s">
        <v>745</v>
      </c>
      <c r="I7" s="19" t="s">
        <v>1277</v>
      </c>
      <c r="J7" s="20" t="str">
        <f>VLOOKUP(B7,baru!$B$2:$I$2271,4,FALSE)</f>
        <v>Khusus</v>
      </c>
      <c r="K7" s="20" t="str">
        <f>VLOOKUP(B7,baru!$B$2:$I$2271,5,FALSE)</f>
        <v>JAWA TENGAH</v>
      </c>
      <c r="L7" s="20" t="str">
        <f>VLOOKUP(B7,baru!$B$2:$I$2271,6,FALSE)</f>
        <v>CILACAP</v>
      </c>
    </row>
    <row r="8" spans="1:12" x14ac:dyDescent="0.35">
      <c r="A8" s="17">
        <v>2138461</v>
      </c>
      <c r="B8" s="18" t="str">
        <f>"3328050504720004"</f>
        <v>3328050504720004</v>
      </c>
      <c r="C8" s="18" t="s">
        <v>1821</v>
      </c>
      <c r="D8" s="18" t="s">
        <v>10</v>
      </c>
      <c r="E8" s="18" t="s">
        <v>11</v>
      </c>
      <c r="F8" s="18" t="s">
        <v>18</v>
      </c>
      <c r="G8" s="18" t="s">
        <v>19</v>
      </c>
      <c r="H8" s="18" t="s">
        <v>1720</v>
      </c>
      <c r="I8" s="19" t="s">
        <v>1723</v>
      </c>
      <c r="J8" s="20" t="str">
        <f>VLOOKUP(B8,baru!$B$2:$I$2271,4,FALSE)</f>
        <v>Khusus</v>
      </c>
      <c r="K8" s="20" t="str">
        <f>VLOOKUP(B8,baru!$B$2:$I$2271,5,FALSE)</f>
        <v>JAWA TENGAH</v>
      </c>
      <c r="L8" s="20" t="str">
        <f>VLOOKUP(B8,baru!$B$2:$I$2271,6,FALSE)</f>
        <v>CILACAP</v>
      </c>
    </row>
    <row r="9" spans="1:12" x14ac:dyDescent="0.35">
      <c r="A9" s="17">
        <v>1350701</v>
      </c>
      <c r="B9" s="18" t="str">
        <f>"3328056309990005"</f>
        <v>3328056309990005</v>
      </c>
      <c r="C9" s="18" t="s">
        <v>2014</v>
      </c>
      <c r="D9" s="18" t="s">
        <v>10</v>
      </c>
      <c r="E9" s="18" t="s">
        <v>11</v>
      </c>
      <c r="F9" s="18" t="s">
        <v>18</v>
      </c>
      <c r="G9" s="18" t="s">
        <v>19</v>
      </c>
      <c r="H9" s="18" t="s">
        <v>1720</v>
      </c>
      <c r="I9" s="19" t="s">
        <v>789</v>
      </c>
      <c r="J9" s="20" t="str">
        <f>VLOOKUP(B9,baru!$B$2:$I$2271,4,FALSE)</f>
        <v>Khusus</v>
      </c>
      <c r="K9" s="20" t="str">
        <f>VLOOKUP(B9,baru!$B$2:$I$2271,5,FALSE)</f>
        <v>DAERAH ISTIMEWA YOGYAKARTA</v>
      </c>
      <c r="L9" s="20" t="str">
        <f>VLOOKUP(B9,baru!$B$2:$I$2271,6,FALSE)</f>
        <v>KOTA YOGYAKARTA</v>
      </c>
    </row>
    <row r="10" spans="1:12" x14ac:dyDescent="0.35">
      <c r="A10" s="17">
        <v>1824417</v>
      </c>
      <c r="B10" s="18" t="str">
        <f>"3328061708760011"</f>
        <v>3328061708760011</v>
      </c>
      <c r="C10" s="18" t="s">
        <v>2554</v>
      </c>
      <c r="D10" s="18" t="s">
        <v>10</v>
      </c>
      <c r="E10" s="18" t="s">
        <v>11</v>
      </c>
      <c r="F10" s="18" t="s">
        <v>18</v>
      </c>
      <c r="G10" s="18" t="s">
        <v>19</v>
      </c>
      <c r="H10" s="18" t="s">
        <v>1394</v>
      </c>
      <c r="I10" s="19" t="s">
        <v>2172</v>
      </c>
      <c r="J10" s="20" t="str">
        <f>VLOOKUP(B10,baru!$B$2:$I$2271,4,FALSE)</f>
        <v>Khusus</v>
      </c>
      <c r="K10" s="20" t="str">
        <f>VLOOKUP(B10,baru!$B$2:$I$2271,5,FALSE)</f>
        <v>PAPUA BARAT DAYA</v>
      </c>
      <c r="L10" s="20" t="str">
        <f>VLOOKUP(B10,baru!$B$2:$I$2271,6,FALSE)</f>
        <v>SORONG SELATAN</v>
      </c>
    </row>
    <row r="11" spans="1:12" x14ac:dyDescent="0.35">
      <c r="A11" s="17">
        <v>1731073</v>
      </c>
      <c r="B11" s="18" t="str">
        <f>"3328071010060006"</f>
        <v>3328071010060006</v>
      </c>
      <c r="C11" s="18" t="s">
        <v>2914</v>
      </c>
      <c r="D11" s="18" t="s">
        <v>10</v>
      </c>
      <c r="E11" s="18" t="s">
        <v>11</v>
      </c>
      <c r="F11" s="18" t="s">
        <v>18</v>
      </c>
      <c r="G11" s="18" t="s">
        <v>19</v>
      </c>
      <c r="H11" s="18" t="s">
        <v>59</v>
      </c>
      <c r="I11" s="19" t="s">
        <v>2849</v>
      </c>
      <c r="J11" s="20" t="str">
        <f>VLOOKUP(B11,baru!$B$2:$I$2271,4,FALSE)</f>
        <v>Khusus</v>
      </c>
      <c r="K11" s="20" t="str">
        <f>VLOOKUP(B11,baru!$B$2:$I$2271,5,FALSE)</f>
        <v>JAWA TENGAH</v>
      </c>
      <c r="L11" s="20" t="str">
        <f>VLOOKUP(B11,baru!$B$2:$I$2271,6,FALSE)</f>
        <v>MAGELANG</v>
      </c>
    </row>
    <row r="12" spans="1:12" x14ac:dyDescent="0.35">
      <c r="A12" s="17">
        <v>2035459</v>
      </c>
      <c r="B12" s="18" t="str">
        <f>"3328080101060003"</f>
        <v>3328080101060003</v>
      </c>
      <c r="C12" s="18" t="s">
        <v>3073</v>
      </c>
      <c r="D12" s="18" t="s">
        <v>189</v>
      </c>
      <c r="E12" s="18" t="s">
        <v>11</v>
      </c>
      <c r="F12" s="18" t="s">
        <v>18</v>
      </c>
      <c r="G12" s="18" t="s">
        <v>19</v>
      </c>
      <c r="H12" s="18" t="s">
        <v>3014</v>
      </c>
      <c r="I12" s="19" t="s">
        <v>3074</v>
      </c>
      <c r="J12" s="20" t="str">
        <f>VLOOKUP(B12,baru!$B$2:$I$2271,4,FALSE)</f>
        <v>Khusus</v>
      </c>
      <c r="K12" s="20" t="str">
        <f>VLOOKUP(B12,baru!$B$2:$I$2271,5,FALSE)</f>
        <v>JAWA TENGAH</v>
      </c>
      <c r="L12" s="20" t="str">
        <f>VLOOKUP(B12,baru!$B$2:$I$2271,6,FALSE)</f>
        <v>MAGELANG</v>
      </c>
    </row>
    <row r="13" spans="1:12" x14ac:dyDescent="0.35">
      <c r="A13" s="17">
        <v>2023035</v>
      </c>
      <c r="B13" s="18" t="str">
        <f>"3328081607650005"</f>
        <v>3328081607650005</v>
      </c>
      <c r="C13" s="18" t="s">
        <v>3094</v>
      </c>
      <c r="D13" s="18" t="s">
        <v>10</v>
      </c>
      <c r="E13" s="18" t="s">
        <v>11</v>
      </c>
      <c r="F13" s="18" t="s">
        <v>18</v>
      </c>
      <c r="G13" s="18" t="s">
        <v>19</v>
      </c>
      <c r="H13" s="18" t="s">
        <v>3014</v>
      </c>
      <c r="I13" s="19" t="s">
        <v>492</v>
      </c>
      <c r="J13" s="20" t="str">
        <f>VLOOKUP(B13,baru!$B$2:$I$2271,4,FALSE)</f>
        <v>Khusus</v>
      </c>
      <c r="K13" s="20" t="str">
        <f>VLOOKUP(B13,baru!$B$2:$I$2271,5,FALSE)</f>
        <v>JAWA TENGAH</v>
      </c>
      <c r="L13" s="20" t="str">
        <f>VLOOKUP(B13,baru!$B$2:$I$2271,6,FALSE)</f>
        <v>CILACAP</v>
      </c>
    </row>
    <row r="14" spans="1:12" x14ac:dyDescent="0.35">
      <c r="A14" s="17">
        <v>1759364</v>
      </c>
      <c r="B14" s="18" t="str">
        <f>"3328090601060002"</f>
        <v>3328090601060002</v>
      </c>
      <c r="C14" s="18" t="s">
        <v>3244</v>
      </c>
      <c r="D14" s="18" t="s">
        <v>10</v>
      </c>
      <c r="E14" s="18" t="s">
        <v>11</v>
      </c>
      <c r="F14" s="18" t="s">
        <v>18</v>
      </c>
      <c r="G14" s="18" t="s">
        <v>19</v>
      </c>
      <c r="H14" s="18" t="s">
        <v>2575</v>
      </c>
      <c r="I14" s="19" t="s">
        <v>3174</v>
      </c>
      <c r="J14" s="20" t="str">
        <f>VLOOKUP(B14,baru!$B$2:$I$2271,4,FALSE)</f>
        <v>Khusus</v>
      </c>
      <c r="K14" s="20" t="str">
        <f>VLOOKUP(B14,baru!$B$2:$I$2271,5,FALSE)</f>
        <v>JAWA BARAT</v>
      </c>
      <c r="L14" s="20" t="str">
        <f>VLOOKUP(B14,baru!$B$2:$I$2271,6,FALSE)</f>
        <v>INDRAMAYU</v>
      </c>
    </row>
    <row r="15" spans="1:12" x14ac:dyDescent="0.35">
      <c r="A15" s="17">
        <v>1434856</v>
      </c>
      <c r="B15" s="18" t="str">
        <f>"3328094911050003"</f>
        <v>3328094911050003</v>
      </c>
      <c r="C15" s="18" t="s">
        <v>3316</v>
      </c>
      <c r="D15" s="18" t="s">
        <v>189</v>
      </c>
      <c r="E15" s="18" t="s">
        <v>11</v>
      </c>
      <c r="F15" s="18" t="s">
        <v>18</v>
      </c>
      <c r="G15" s="18" t="s">
        <v>19</v>
      </c>
      <c r="H15" s="18" t="s">
        <v>2575</v>
      </c>
      <c r="I15" s="19" t="s">
        <v>3180</v>
      </c>
      <c r="J15" s="20" t="str">
        <f>VLOOKUP(B15,baru!$B$2:$I$2271,4,FALSE)</f>
        <v>Khusus</v>
      </c>
      <c r="K15" s="20" t="str">
        <f>VLOOKUP(B15,baru!$B$2:$I$2271,5,FALSE)</f>
        <v>JAWA TENGAH</v>
      </c>
      <c r="L15" s="20" t="str">
        <f>VLOOKUP(B15,baru!$B$2:$I$2271,6,FALSE)</f>
        <v>MAGELANG</v>
      </c>
    </row>
    <row r="16" spans="1:12" x14ac:dyDescent="0.35">
      <c r="A16" s="17">
        <v>2309929</v>
      </c>
      <c r="B16" s="18" t="str">
        <f>"3328100804900002"</f>
        <v>3328100804900002</v>
      </c>
      <c r="C16" s="18" t="s">
        <v>3498</v>
      </c>
      <c r="D16" s="18" t="s">
        <v>10</v>
      </c>
      <c r="E16" s="18" t="s">
        <v>11</v>
      </c>
      <c r="F16" s="18" t="s">
        <v>18</v>
      </c>
      <c r="G16" s="18" t="s">
        <v>19</v>
      </c>
      <c r="H16" s="18" t="s">
        <v>251</v>
      </c>
      <c r="I16" s="19" t="s">
        <v>3414</v>
      </c>
      <c r="J16" s="20" t="str">
        <f>VLOOKUP(B16,baru!$B$2:$I$2271,4,FALSE)</f>
        <v>Khusus</v>
      </c>
      <c r="K16" s="20" t="str">
        <f>VLOOKUP(B16,baru!$B$2:$I$2271,5,FALSE)</f>
        <v>JAWA TENGAH</v>
      </c>
      <c r="L16" s="20" t="str">
        <f>VLOOKUP(B16,baru!$B$2:$I$2271,6,FALSE)</f>
        <v>CILACAP</v>
      </c>
    </row>
    <row r="17" spans="1:12" x14ac:dyDescent="0.35">
      <c r="A17" s="17">
        <v>2265528</v>
      </c>
      <c r="B17" s="18" t="str">
        <f>"3328101611960002"</f>
        <v>3328101611960002</v>
      </c>
      <c r="C17" s="18" t="s">
        <v>3517</v>
      </c>
      <c r="D17" s="18" t="s">
        <v>10</v>
      </c>
      <c r="E17" s="18" t="s">
        <v>11</v>
      </c>
      <c r="F17" s="18" t="s">
        <v>18</v>
      </c>
      <c r="G17" s="18" t="s">
        <v>19</v>
      </c>
      <c r="H17" s="18" t="s">
        <v>251</v>
      </c>
      <c r="I17" s="19" t="s">
        <v>3344</v>
      </c>
      <c r="J17" s="20" t="str">
        <f>VLOOKUP(B17,baru!$B$2:$I$2271,4,FALSE)</f>
        <v>Khusus</v>
      </c>
      <c r="K17" s="20" t="str">
        <f>VLOOKUP(B17,baru!$B$2:$I$2271,5,FALSE)</f>
        <v>JAWA TENGAH</v>
      </c>
      <c r="L17" s="20" t="str">
        <f>VLOOKUP(B17,baru!$B$2:$I$2271,6,FALSE)</f>
        <v>CILACAP</v>
      </c>
    </row>
    <row r="18" spans="1:12" x14ac:dyDescent="0.35">
      <c r="A18" s="17">
        <v>2321891</v>
      </c>
      <c r="B18" s="18" t="str">
        <f>"3328101911640005"</f>
        <v>3328101911640005</v>
      </c>
      <c r="C18" s="18" t="s">
        <v>2850</v>
      </c>
      <c r="D18" s="18" t="s">
        <v>10</v>
      </c>
      <c r="E18" s="18" t="s">
        <v>11</v>
      </c>
      <c r="F18" s="18" t="s">
        <v>18</v>
      </c>
      <c r="G18" s="18" t="s">
        <v>19</v>
      </c>
      <c r="H18" s="18" t="s">
        <v>251</v>
      </c>
      <c r="I18" s="19" t="s">
        <v>3400</v>
      </c>
      <c r="J18" s="20" t="str">
        <f>VLOOKUP(B18,baru!$B$2:$I$2271,4,FALSE)</f>
        <v>Khusus</v>
      </c>
      <c r="K18" s="20" t="str">
        <f>VLOOKUP(B18,baru!$B$2:$I$2271,5,FALSE)</f>
        <v>JAWA TENGAH</v>
      </c>
      <c r="L18" s="20" t="str">
        <f>VLOOKUP(B18,baru!$B$2:$I$2271,6,FALSE)</f>
        <v>CILACAP</v>
      </c>
    </row>
    <row r="19" spans="1:12" x14ac:dyDescent="0.35">
      <c r="A19" s="17">
        <v>2115605</v>
      </c>
      <c r="B19" s="18" t="str">
        <f>"3328111006040002"</f>
        <v>3328111006040002</v>
      </c>
      <c r="C19" s="18" t="s">
        <v>3756</v>
      </c>
      <c r="D19" s="18" t="s">
        <v>10</v>
      </c>
      <c r="E19" s="18" t="s">
        <v>11</v>
      </c>
      <c r="F19" s="18" t="s">
        <v>18</v>
      </c>
      <c r="G19" s="18" t="s">
        <v>19</v>
      </c>
      <c r="H19" s="18" t="s">
        <v>348</v>
      </c>
      <c r="I19" s="19" t="s">
        <v>1777</v>
      </c>
      <c r="J19" s="20" t="str">
        <f>VLOOKUP(B19,baru!$B$2:$I$2271,4,FALSE)</f>
        <v>Khusus</v>
      </c>
      <c r="K19" s="20" t="str">
        <f>VLOOKUP(B19,baru!$B$2:$I$2271,5,FALSE)</f>
        <v>JAWA TENGAH</v>
      </c>
      <c r="L19" s="20" t="str">
        <f>VLOOKUP(B19,baru!$B$2:$I$2271,6,FALSE)</f>
        <v>MAGELANG</v>
      </c>
    </row>
    <row r="20" spans="1:12" x14ac:dyDescent="0.35">
      <c r="A20" s="17">
        <v>2154770</v>
      </c>
      <c r="B20" s="18" t="str">
        <f>"3328111504710011"</f>
        <v>3328111504710011</v>
      </c>
      <c r="C20" s="18" t="s">
        <v>1190</v>
      </c>
      <c r="D20" s="18" t="s">
        <v>10</v>
      </c>
      <c r="E20" s="18" t="s">
        <v>11</v>
      </c>
      <c r="F20" s="18" t="s">
        <v>18</v>
      </c>
      <c r="G20" s="18" t="s">
        <v>19</v>
      </c>
      <c r="H20" s="18" t="s">
        <v>348</v>
      </c>
      <c r="I20" s="19" t="s">
        <v>3688</v>
      </c>
      <c r="J20" s="20" t="str">
        <f>VLOOKUP(B20,baru!$B$2:$I$2271,4,FALSE)</f>
        <v>Khusus</v>
      </c>
      <c r="K20" s="20" t="str">
        <f>VLOOKUP(B20,baru!$B$2:$I$2271,5,FALSE)</f>
        <v>JAWA BARAT</v>
      </c>
      <c r="L20" s="20" t="str">
        <f>VLOOKUP(B20,baru!$B$2:$I$2271,6,FALSE)</f>
        <v>KOTA BEKASI</v>
      </c>
    </row>
    <row r="21" spans="1:12" x14ac:dyDescent="0.35">
      <c r="A21" s="17">
        <v>2158962</v>
      </c>
      <c r="B21" s="18" t="str">
        <f>"3328112311060006"</f>
        <v>3328112311060006</v>
      </c>
      <c r="C21" s="18" t="s">
        <v>3813</v>
      </c>
      <c r="D21" s="18" t="s">
        <v>189</v>
      </c>
      <c r="E21" s="18" t="s">
        <v>11</v>
      </c>
      <c r="F21" s="18" t="s">
        <v>18</v>
      </c>
      <c r="G21" s="18" t="s">
        <v>19</v>
      </c>
      <c r="H21" s="18" t="s">
        <v>348</v>
      </c>
      <c r="I21" s="19" t="s">
        <v>3688</v>
      </c>
      <c r="J21" s="20" t="str">
        <f>VLOOKUP(B21,baru!$B$2:$I$2271,4,FALSE)</f>
        <v>Khusus</v>
      </c>
      <c r="K21" s="20" t="str">
        <f>VLOOKUP(B21,baru!$B$2:$I$2271,5,FALSE)</f>
        <v>JAWA TENGAH</v>
      </c>
      <c r="L21" s="20" t="str">
        <f>VLOOKUP(B21,baru!$B$2:$I$2271,6,FALSE)</f>
        <v>BATANG</v>
      </c>
    </row>
    <row r="22" spans="1:12" x14ac:dyDescent="0.35">
      <c r="A22" s="17">
        <v>2016348</v>
      </c>
      <c r="B22" s="18" t="str">
        <f>"3328116701070010"</f>
        <v>3328116701070010</v>
      </c>
      <c r="C22" s="18" t="s">
        <v>3895</v>
      </c>
      <c r="D22" s="18" t="s">
        <v>189</v>
      </c>
      <c r="E22" s="18" t="s">
        <v>11</v>
      </c>
      <c r="F22" s="18" t="s">
        <v>18</v>
      </c>
      <c r="G22" s="18" t="s">
        <v>19</v>
      </c>
      <c r="H22" s="18" t="s">
        <v>348</v>
      </c>
      <c r="I22" s="19" t="s">
        <v>349</v>
      </c>
      <c r="J22" s="20" t="str">
        <f>VLOOKUP(B22,baru!$B$2:$I$2271,4,FALSE)</f>
        <v>Khusus</v>
      </c>
      <c r="K22" s="20" t="str">
        <f>VLOOKUP(B22,baru!$B$2:$I$2271,5,FALSE)</f>
        <v>JAWA TENGAH</v>
      </c>
      <c r="L22" s="20" t="str">
        <f>VLOOKUP(B22,baru!$B$2:$I$2271,6,FALSE)</f>
        <v>MAGELANG</v>
      </c>
    </row>
    <row r="23" spans="1:12" x14ac:dyDescent="0.35">
      <c r="A23" s="17">
        <v>2339169</v>
      </c>
      <c r="B23" s="18" t="str">
        <f>"3328120705950001"</f>
        <v>3328120705950001</v>
      </c>
      <c r="C23" s="18" t="s">
        <v>4105</v>
      </c>
      <c r="D23" s="18" t="s">
        <v>10</v>
      </c>
      <c r="E23" s="18" t="s">
        <v>11</v>
      </c>
      <c r="F23" s="18" t="s">
        <v>18</v>
      </c>
      <c r="G23" s="18" t="s">
        <v>19</v>
      </c>
      <c r="H23" s="18" t="s">
        <v>3354</v>
      </c>
      <c r="I23" s="19" t="s">
        <v>4026</v>
      </c>
      <c r="J23" s="20" t="str">
        <f>VLOOKUP(B23,baru!$B$2:$I$2271,4,FALSE)</f>
        <v>Khusus</v>
      </c>
      <c r="K23" s="20" t="str">
        <f>VLOOKUP(B23,baru!$B$2:$I$2271,5,FALSE)</f>
        <v>JAWA TENGAH</v>
      </c>
      <c r="L23" s="20" t="str">
        <f>VLOOKUP(B23,baru!$B$2:$I$2271,6,FALSE)</f>
        <v>KOTA PEKALONGAN</v>
      </c>
    </row>
    <row r="24" spans="1:12" x14ac:dyDescent="0.35">
      <c r="A24" s="17">
        <v>2328227</v>
      </c>
      <c r="B24" s="18" t="str">
        <f>"3328124212050001"</f>
        <v>3328124212050001</v>
      </c>
      <c r="C24" s="18" t="s">
        <v>4161</v>
      </c>
      <c r="D24" s="18" t="s">
        <v>189</v>
      </c>
      <c r="E24" s="18" t="s">
        <v>11</v>
      </c>
      <c r="F24" s="18" t="s">
        <v>18</v>
      </c>
      <c r="G24" s="18" t="s">
        <v>19</v>
      </c>
      <c r="H24" s="18" t="s">
        <v>3354</v>
      </c>
      <c r="I24" s="19" t="s">
        <v>307</v>
      </c>
      <c r="J24" s="20" t="str">
        <f>VLOOKUP(B24,baru!$B$2:$I$2271,4,FALSE)</f>
        <v>Khusus</v>
      </c>
      <c r="K24" s="20" t="str">
        <f>VLOOKUP(B24,baru!$B$2:$I$2271,5,FALSE)</f>
        <v>JAWA TENGAH</v>
      </c>
      <c r="L24" s="20" t="str">
        <f>VLOOKUP(B24,baru!$B$2:$I$2271,6,FALSE)</f>
        <v>MAGELANG</v>
      </c>
    </row>
    <row r="25" spans="1:12" x14ac:dyDescent="0.35">
      <c r="A25" s="17">
        <v>2238252</v>
      </c>
      <c r="B25" s="18" t="str">
        <f>"3328124406060003"</f>
        <v>3328124406060003</v>
      </c>
      <c r="C25" s="18" t="s">
        <v>4165</v>
      </c>
      <c r="D25" s="18" t="s">
        <v>10</v>
      </c>
      <c r="E25" s="18" t="s">
        <v>11</v>
      </c>
      <c r="F25" s="18" t="s">
        <v>18</v>
      </c>
      <c r="G25" s="18" t="s">
        <v>19</v>
      </c>
      <c r="H25" s="18" t="s">
        <v>3354</v>
      </c>
      <c r="I25" s="19" t="s">
        <v>613</v>
      </c>
      <c r="J25" s="20" t="str">
        <f>VLOOKUP(B25,baru!$B$2:$I$2271,4,FALSE)</f>
        <v>Khusus</v>
      </c>
      <c r="K25" s="20" t="str">
        <f>VLOOKUP(B25,baru!$B$2:$I$2271,5,FALSE)</f>
        <v>JAWA TENGAH</v>
      </c>
      <c r="L25" s="20" t="str">
        <f>VLOOKUP(B25,baru!$B$2:$I$2271,6,FALSE)</f>
        <v>MAGELANG</v>
      </c>
    </row>
    <row r="26" spans="1:12" x14ac:dyDescent="0.35">
      <c r="A26" s="17">
        <v>2328298</v>
      </c>
      <c r="B26" s="18" t="str">
        <f>"3328126108060002"</f>
        <v>3328126108060002</v>
      </c>
      <c r="C26" s="18" t="s">
        <v>4197</v>
      </c>
      <c r="D26" s="18" t="s">
        <v>10</v>
      </c>
      <c r="E26" s="18" t="s">
        <v>11</v>
      </c>
      <c r="F26" s="18" t="s">
        <v>18</v>
      </c>
      <c r="G26" s="18" t="s">
        <v>19</v>
      </c>
      <c r="H26" s="18" t="s">
        <v>3354</v>
      </c>
      <c r="I26" s="19" t="s">
        <v>307</v>
      </c>
      <c r="J26" s="20" t="str">
        <f>VLOOKUP(B26,baru!$B$2:$I$2271,4,FALSE)</f>
        <v>Khusus</v>
      </c>
      <c r="K26" s="20" t="str">
        <f>VLOOKUP(B26,baru!$B$2:$I$2271,5,FALSE)</f>
        <v>JAWA TENGAH</v>
      </c>
      <c r="L26" s="20" t="str">
        <f>VLOOKUP(B26,baru!$B$2:$I$2271,6,FALSE)</f>
        <v>MAGELANG</v>
      </c>
    </row>
    <row r="27" spans="1:12" x14ac:dyDescent="0.35">
      <c r="A27" s="17">
        <v>2237057</v>
      </c>
      <c r="B27" s="18" t="str">
        <f>"3328126709940004"</f>
        <v>3328126709940004</v>
      </c>
      <c r="C27" s="18" t="s">
        <v>4204</v>
      </c>
      <c r="D27" s="18" t="s">
        <v>10</v>
      </c>
      <c r="E27" s="18" t="s">
        <v>11</v>
      </c>
      <c r="F27" s="18" t="s">
        <v>18</v>
      </c>
      <c r="G27" s="18" t="s">
        <v>19</v>
      </c>
      <c r="H27" s="18" t="s">
        <v>3354</v>
      </c>
      <c r="I27" s="19" t="s">
        <v>613</v>
      </c>
      <c r="J27" s="20" t="str">
        <f>VLOOKUP(B27,baru!$B$2:$I$2271,4,FALSE)</f>
        <v>Khusus</v>
      </c>
      <c r="K27" s="20" t="str">
        <f>VLOOKUP(B27,baru!$B$2:$I$2271,5,FALSE)</f>
        <v>JAWA TIMUR</v>
      </c>
      <c r="L27" s="20" t="str">
        <f>VLOOKUP(B27,baru!$B$2:$I$2271,6,FALSE)</f>
        <v>KOTA MOJOKERTO</v>
      </c>
    </row>
    <row r="28" spans="1:12" x14ac:dyDescent="0.35">
      <c r="A28" s="17">
        <v>1879967</v>
      </c>
      <c r="B28" s="18" t="str">
        <f>"3201150304670012"</f>
        <v>3201150304670012</v>
      </c>
      <c r="C28" s="18" t="s">
        <v>4319</v>
      </c>
      <c r="D28" s="18" t="s">
        <v>10</v>
      </c>
      <c r="E28" s="18" t="s">
        <v>11</v>
      </c>
      <c r="F28" s="18" t="s">
        <v>18</v>
      </c>
      <c r="G28" s="18" t="s">
        <v>19</v>
      </c>
      <c r="H28" s="18" t="s">
        <v>4290</v>
      </c>
      <c r="I28" s="19" t="s">
        <v>4303</v>
      </c>
      <c r="J28" s="20" t="str">
        <f>VLOOKUP(B28,baru!$B$2:$I$2271,4,FALSE)</f>
        <v>Khusus</v>
      </c>
      <c r="K28" s="20" t="str">
        <f>VLOOKUP(B28,baru!$B$2:$I$2271,5,FALSE)</f>
        <v>KALIMANTAN BARAT</v>
      </c>
      <c r="L28" s="20" t="str">
        <f>VLOOKUP(B28,baru!$B$2:$I$2271,6,FALSE)</f>
        <v>KUBU RAYA</v>
      </c>
    </row>
    <row r="29" spans="1:12" x14ac:dyDescent="0.35">
      <c r="A29" s="17">
        <v>1879569</v>
      </c>
      <c r="B29" s="18" t="str">
        <f>"3328131805050005"</f>
        <v>3328131805050005</v>
      </c>
      <c r="C29" s="18" t="s">
        <v>4480</v>
      </c>
      <c r="D29" s="18" t="s">
        <v>10</v>
      </c>
      <c r="E29" s="18" t="s">
        <v>11</v>
      </c>
      <c r="F29" s="18" t="s">
        <v>18</v>
      </c>
      <c r="G29" s="18" t="s">
        <v>19</v>
      </c>
      <c r="H29" s="18" t="s">
        <v>4290</v>
      </c>
      <c r="I29" s="19" t="s">
        <v>4303</v>
      </c>
      <c r="J29" s="20" t="str">
        <f>VLOOKUP(B29,baru!$B$2:$I$2271,4,FALSE)</f>
        <v>Khusus</v>
      </c>
      <c r="K29" s="20" t="str">
        <f>VLOOKUP(B29,baru!$B$2:$I$2271,5,FALSE)</f>
        <v>JAWA TENGAH</v>
      </c>
      <c r="L29" s="20" t="str">
        <f>VLOOKUP(B29,baru!$B$2:$I$2271,6,FALSE)</f>
        <v>BATANG</v>
      </c>
    </row>
    <row r="30" spans="1:12" x14ac:dyDescent="0.35">
      <c r="A30" s="17">
        <v>2108789</v>
      </c>
      <c r="B30" s="18" t="str">
        <f>"3328132708890005"</f>
        <v>3328132708890005</v>
      </c>
      <c r="C30" s="18" t="s">
        <v>4519</v>
      </c>
      <c r="D30" s="18" t="s">
        <v>10</v>
      </c>
      <c r="E30" s="18" t="s">
        <v>11</v>
      </c>
      <c r="F30" s="18" t="s">
        <v>18</v>
      </c>
      <c r="G30" s="18" t="s">
        <v>19</v>
      </c>
      <c r="H30" s="18" t="s">
        <v>4290</v>
      </c>
      <c r="I30" s="19" t="s">
        <v>4347</v>
      </c>
      <c r="J30" s="20" t="str">
        <f>VLOOKUP(B30,baru!$B$2:$I$2271,4,FALSE)</f>
        <v>Khusus</v>
      </c>
      <c r="K30" s="20" t="str">
        <f>VLOOKUP(B30,baru!$B$2:$I$2271,5,FALSE)</f>
        <v>JAWA TENGAH</v>
      </c>
      <c r="L30" s="20" t="str">
        <f>VLOOKUP(B30,baru!$B$2:$I$2271,6,FALSE)</f>
        <v>KOTA PEKALONGAN</v>
      </c>
    </row>
    <row r="31" spans="1:12" x14ac:dyDescent="0.35">
      <c r="A31" s="17">
        <v>1915210</v>
      </c>
      <c r="B31" s="18" t="str">
        <f>"3328146512050001"</f>
        <v>3328146512050001</v>
      </c>
      <c r="C31" s="18" t="s">
        <v>4907</v>
      </c>
      <c r="D31" s="18" t="s">
        <v>10</v>
      </c>
      <c r="E31" s="18" t="s">
        <v>11</v>
      </c>
      <c r="F31" s="18" t="s">
        <v>18</v>
      </c>
      <c r="G31" s="18" t="s">
        <v>19</v>
      </c>
      <c r="H31" s="18" t="s">
        <v>3565</v>
      </c>
      <c r="I31" s="19" t="s">
        <v>4719</v>
      </c>
      <c r="J31" s="20" t="str">
        <f>VLOOKUP(B31,baru!$B$2:$I$2271,4,FALSE)</f>
        <v>Khusus</v>
      </c>
      <c r="K31" s="20" t="str">
        <f>VLOOKUP(B31,baru!$B$2:$I$2271,5,FALSE)</f>
        <v>JAWA TENGAH</v>
      </c>
      <c r="L31" s="20" t="str">
        <f>VLOOKUP(B31,baru!$B$2:$I$2271,6,FALSE)</f>
        <v>BATANG</v>
      </c>
    </row>
    <row r="32" spans="1:12" x14ac:dyDescent="0.35">
      <c r="A32" s="17">
        <v>1297368</v>
      </c>
      <c r="B32" s="18" t="str">
        <f>"3328151509880004"</f>
        <v>3328151509880004</v>
      </c>
      <c r="C32" s="18" t="s">
        <v>5066</v>
      </c>
      <c r="D32" s="18" t="s">
        <v>10</v>
      </c>
      <c r="E32" s="18" t="s">
        <v>11</v>
      </c>
      <c r="F32" s="18" t="s">
        <v>18</v>
      </c>
      <c r="G32" s="18" t="s">
        <v>19</v>
      </c>
      <c r="H32" s="18" t="s">
        <v>266</v>
      </c>
      <c r="I32" s="19" t="s">
        <v>5067</v>
      </c>
      <c r="J32" s="20" t="str">
        <f>VLOOKUP(B32,baru!$B$2:$I$2271,4,FALSE)</f>
        <v>Khusus</v>
      </c>
      <c r="K32" s="20" t="str">
        <f>VLOOKUP(B32,baru!$B$2:$I$2271,5,FALSE)</f>
        <v>PAPUA BARAT</v>
      </c>
      <c r="L32" s="20" t="str">
        <f>VLOOKUP(B32,baru!$B$2:$I$2271,6,FALSE)</f>
        <v>KAIMANA</v>
      </c>
    </row>
    <row r="33" spans="1:12" x14ac:dyDescent="0.35">
      <c r="A33" s="17">
        <v>1374722</v>
      </c>
      <c r="B33" s="18" t="str">
        <f>"3328160503780005"</f>
        <v>3328160503780005</v>
      </c>
      <c r="C33" s="18" t="s">
        <v>3155</v>
      </c>
      <c r="D33" s="18" t="s">
        <v>10</v>
      </c>
      <c r="E33" s="18" t="s">
        <v>11</v>
      </c>
      <c r="F33" s="18" t="s">
        <v>18</v>
      </c>
      <c r="G33" s="18" t="s">
        <v>19</v>
      </c>
      <c r="H33" s="18" t="s">
        <v>5207</v>
      </c>
      <c r="I33" s="19" t="s">
        <v>5242</v>
      </c>
      <c r="J33" s="20" t="str">
        <f>VLOOKUP(B33,baru!$B$2:$I$2271,4,FALSE)</f>
        <v>Khusus</v>
      </c>
      <c r="K33" s="20" t="str">
        <f>VLOOKUP(B33,baru!$B$2:$I$2271,5,FALSE)</f>
        <v>PAPUA BARAT</v>
      </c>
      <c r="L33" s="20" t="str">
        <f>VLOOKUP(B33,baru!$B$2:$I$2271,6,FALSE)</f>
        <v>KAIMANA</v>
      </c>
    </row>
    <row r="34" spans="1:12" x14ac:dyDescent="0.35">
      <c r="A34" s="17">
        <v>1375842</v>
      </c>
      <c r="B34" s="18" t="str">
        <f>"3328161708810011"</f>
        <v>3328161708810011</v>
      </c>
      <c r="C34" s="18" t="s">
        <v>5312</v>
      </c>
      <c r="D34" s="18" t="s">
        <v>10</v>
      </c>
      <c r="E34" s="18" t="s">
        <v>11</v>
      </c>
      <c r="F34" s="18" t="s">
        <v>18</v>
      </c>
      <c r="G34" s="18" t="s">
        <v>19</v>
      </c>
      <c r="H34" s="18" t="s">
        <v>5207</v>
      </c>
      <c r="I34" s="19" t="s">
        <v>5242</v>
      </c>
      <c r="J34" s="20" t="str">
        <f>VLOOKUP(B34,baru!$B$2:$I$2271,4,FALSE)</f>
        <v>Khusus</v>
      </c>
      <c r="K34" s="20" t="str">
        <f>VLOOKUP(B34,baru!$B$2:$I$2271,5,FALSE)</f>
        <v>PAPUA BARAT</v>
      </c>
      <c r="L34" s="20" t="str">
        <f>VLOOKUP(B34,baru!$B$2:$I$2271,6,FALSE)</f>
        <v>KAIMANA</v>
      </c>
    </row>
    <row r="35" spans="1:12" x14ac:dyDescent="0.35">
      <c r="A35" s="17">
        <v>1375359</v>
      </c>
      <c r="B35" s="18" t="str">
        <f>"3328162511930003"</f>
        <v>3328162511930003</v>
      </c>
      <c r="C35" s="18" t="s">
        <v>5076</v>
      </c>
      <c r="D35" s="18" t="s">
        <v>10</v>
      </c>
      <c r="E35" s="18" t="s">
        <v>11</v>
      </c>
      <c r="F35" s="18" t="s">
        <v>18</v>
      </c>
      <c r="G35" s="18" t="s">
        <v>19</v>
      </c>
      <c r="H35" s="18" t="s">
        <v>5207</v>
      </c>
      <c r="I35" s="19" t="s">
        <v>5242</v>
      </c>
      <c r="J35" s="20" t="str">
        <f>VLOOKUP(B35,baru!$B$2:$I$2271,4,FALSE)</f>
        <v>Khusus</v>
      </c>
      <c r="K35" s="20" t="str">
        <f>VLOOKUP(B35,baru!$B$2:$I$2271,5,FALSE)</f>
        <v>PAPUA BARAT</v>
      </c>
      <c r="L35" s="20" t="str">
        <f>VLOOKUP(B35,baru!$B$2:$I$2271,6,FALSE)</f>
        <v>KAIMANA</v>
      </c>
    </row>
    <row r="36" spans="1:12" x14ac:dyDescent="0.35">
      <c r="A36" s="17">
        <v>1375616</v>
      </c>
      <c r="B36" s="18" t="str">
        <f>"3328162907940001"</f>
        <v>3328162907940001</v>
      </c>
      <c r="C36" s="18" t="s">
        <v>5325</v>
      </c>
      <c r="D36" s="18" t="s">
        <v>10</v>
      </c>
      <c r="E36" s="18" t="s">
        <v>11</v>
      </c>
      <c r="F36" s="18" t="s">
        <v>18</v>
      </c>
      <c r="G36" s="18" t="s">
        <v>19</v>
      </c>
      <c r="H36" s="18" t="s">
        <v>5207</v>
      </c>
      <c r="I36" s="19" t="s">
        <v>5242</v>
      </c>
      <c r="J36" s="20" t="str">
        <f>VLOOKUP(B36,baru!$B$2:$I$2271,4,FALSE)</f>
        <v>Khusus</v>
      </c>
      <c r="K36" s="20" t="str">
        <f>VLOOKUP(B36,baru!$B$2:$I$2271,5,FALSE)</f>
        <v>PAPUA BARAT</v>
      </c>
      <c r="L36" s="20" t="str">
        <f>VLOOKUP(B36,baru!$B$2:$I$2271,6,FALSE)</f>
        <v>KAIMANA</v>
      </c>
    </row>
    <row r="37" spans="1:12" x14ac:dyDescent="0.35">
      <c r="A37" s="17">
        <v>1519326</v>
      </c>
      <c r="B37" s="18" t="str">
        <f>"3328171805060008"</f>
        <v>3328171805060008</v>
      </c>
      <c r="C37" s="18" t="s">
        <v>5505</v>
      </c>
      <c r="D37" s="18" t="s">
        <v>10</v>
      </c>
      <c r="E37" s="18" t="s">
        <v>11</v>
      </c>
      <c r="F37" s="18" t="s">
        <v>18</v>
      </c>
      <c r="G37" s="18" t="s">
        <v>19</v>
      </c>
      <c r="H37" s="18" t="s">
        <v>4754</v>
      </c>
      <c r="I37" s="19" t="s">
        <v>4755</v>
      </c>
      <c r="J37" s="20" t="str">
        <f>VLOOKUP(B37,baru!$B$2:$I$2271,4,FALSE)</f>
        <v>Khusus</v>
      </c>
      <c r="K37" s="20" t="str">
        <f>VLOOKUP(B37,baru!$B$2:$I$2271,5,FALSE)</f>
        <v>JAWA TENGAH</v>
      </c>
      <c r="L37" s="20" t="str">
        <f>VLOOKUP(B37,baru!$B$2:$I$2271,6,FALSE)</f>
        <v>BATANG</v>
      </c>
    </row>
    <row r="38" spans="1:12" x14ac:dyDescent="0.35">
      <c r="A38" s="17">
        <v>1950172</v>
      </c>
      <c r="B38" s="18" t="str">
        <f>"3328185104050002"</f>
        <v>3328185104050002</v>
      </c>
      <c r="C38" s="18" t="s">
        <v>5723</v>
      </c>
      <c r="D38" s="18" t="s">
        <v>10</v>
      </c>
      <c r="E38" s="18" t="s">
        <v>11</v>
      </c>
      <c r="F38" s="18" t="s">
        <v>18</v>
      </c>
      <c r="G38" s="18" t="s">
        <v>19</v>
      </c>
      <c r="H38" s="18" t="s">
        <v>5581</v>
      </c>
      <c r="I38" s="19" t="s">
        <v>5611</v>
      </c>
      <c r="J38" s="20" t="str">
        <f>VLOOKUP(B38,baru!$B$2:$I$2271,4,FALSE)</f>
        <v>Khusus</v>
      </c>
      <c r="K38" s="20" t="str">
        <f>VLOOKUP(B38,baru!$B$2:$I$2271,5,FALSE)</f>
        <v>JAWA TIMUR</v>
      </c>
      <c r="L38" s="20" t="str">
        <f>VLOOKUP(B38,baru!$B$2:$I$2271,6,FALSE)</f>
        <v>PONOROGO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70C85-E0E3-459F-97A6-EC05A65F9624}">
  <sheetPr>
    <tabColor rgb="FFFF0000"/>
  </sheetPr>
  <dimension ref="A1:K689"/>
  <sheetViews>
    <sheetView workbookViewId="0">
      <selection activeCell="C16" sqref="C16"/>
    </sheetView>
  </sheetViews>
  <sheetFormatPr defaultRowHeight="14.5" x14ac:dyDescent="0.35"/>
  <cols>
    <col min="1" max="1" width="9" bestFit="1" customWidth="1"/>
    <col min="2" max="2" width="15.453125" bestFit="1" customWidth="1"/>
    <col min="3" max="3" width="15.81640625" bestFit="1" customWidth="1"/>
    <col min="4" max="4" width="15.453125" customWidth="1"/>
    <col min="5" max="5" width="52.81640625" bestFit="1" customWidth="1"/>
    <col min="6" max="6" width="10.08984375" bestFit="1" customWidth="1"/>
    <col min="7" max="7" width="12.7265625" bestFit="1" customWidth="1"/>
    <col min="8" max="8" width="26.453125" bestFit="1" customWidth="1"/>
    <col min="9" max="9" width="26" bestFit="1" customWidth="1"/>
    <col min="10" max="10" width="20.7265625" bestFit="1" customWidth="1"/>
    <col min="11" max="11" width="26.90625" bestFit="1" customWidth="1"/>
  </cols>
  <sheetData>
    <row r="1" spans="1:11" x14ac:dyDescent="0.35">
      <c r="A1" s="4" t="s">
        <v>0</v>
      </c>
      <c r="B1" s="4" t="s">
        <v>1</v>
      </c>
      <c r="C1" s="4" t="s">
        <v>5805</v>
      </c>
      <c r="D1" s="4" t="s">
        <v>5806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5" t="s">
        <v>8</v>
      </c>
    </row>
    <row r="2" spans="1:11" x14ac:dyDescent="0.35">
      <c r="A2" s="7">
        <v>2416009</v>
      </c>
      <c r="B2" s="7" t="str">
        <f>"3172020301930002"</f>
        <v>3172020301930002</v>
      </c>
      <c r="C2" s="7" t="str">
        <f t="shared" ref="C2:C65" si="0">"'"&amp;B2</f>
        <v>'3172020301930002</v>
      </c>
      <c r="D2" s="7" t="str">
        <f t="shared" ref="D2:D65" si="1">IF(COUNTIF($C:$C,C2)&gt;1,"ganda","tidak ganda")</f>
        <v>ganda</v>
      </c>
      <c r="E2" s="7" t="s">
        <v>54</v>
      </c>
      <c r="F2" s="7" t="s">
        <v>10</v>
      </c>
      <c r="G2" s="7" t="s">
        <v>11</v>
      </c>
      <c r="H2" s="7" t="s">
        <v>18</v>
      </c>
      <c r="I2" s="7" t="s">
        <v>19</v>
      </c>
      <c r="J2" s="7" t="s">
        <v>20</v>
      </c>
      <c r="K2" s="8" t="s">
        <v>55</v>
      </c>
    </row>
    <row r="3" spans="1:11" x14ac:dyDescent="0.35">
      <c r="A3" s="7">
        <v>2422122</v>
      </c>
      <c r="B3" s="7" t="str">
        <f>"3172020301930002"</f>
        <v>3172020301930002</v>
      </c>
      <c r="C3" s="7" t="str">
        <f t="shared" si="0"/>
        <v>'3172020301930002</v>
      </c>
      <c r="D3" s="7" t="str">
        <f t="shared" si="1"/>
        <v>ganda</v>
      </c>
      <c r="E3" s="7" t="s">
        <v>56</v>
      </c>
      <c r="F3" s="7" t="s">
        <v>10</v>
      </c>
      <c r="G3" s="7" t="s">
        <v>57</v>
      </c>
      <c r="H3" s="7" t="s">
        <v>50</v>
      </c>
      <c r="I3" s="7" t="s">
        <v>58</v>
      </c>
      <c r="J3" s="7" t="s">
        <v>59</v>
      </c>
      <c r="K3" s="8" t="s">
        <v>60</v>
      </c>
    </row>
    <row r="4" spans="1:11" x14ac:dyDescent="0.35">
      <c r="A4" s="7">
        <v>2060341</v>
      </c>
      <c r="B4" s="7" t="str">
        <f>"3317046107900001"</f>
        <v>3317046107900001</v>
      </c>
      <c r="C4" s="7" t="str">
        <f t="shared" si="0"/>
        <v>'3317046107900001</v>
      </c>
      <c r="D4" s="7" t="str">
        <f t="shared" si="1"/>
        <v>ganda</v>
      </c>
      <c r="E4" s="7" t="s">
        <v>178</v>
      </c>
      <c r="F4" s="7" t="s">
        <v>10</v>
      </c>
      <c r="G4" s="7" t="s">
        <v>11</v>
      </c>
      <c r="H4" s="7" t="s">
        <v>18</v>
      </c>
      <c r="I4" s="7" t="s">
        <v>19</v>
      </c>
      <c r="J4" s="7" t="s">
        <v>20</v>
      </c>
      <c r="K4" s="8" t="s">
        <v>20</v>
      </c>
    </row>
    <row r="5" spans="1:11" x14ac:dyDescent="0.35">
      <c r="A5" s="7">
        <v>1175129</v>
      </c>
      <c r="B5" s="7" t="str">
        <f>"3317046107900001"</f>
        <v>3317046107900001</v>
      </c>
      <c r="C5" s="7" t="str">
        <f t="shared" si="0"/>
        <v>'3317046107900001</v>
      </c>
      <c r="D5" s="7" t="str">
        <f t="shared" si="1"/>
        <v>ganda</v>
      </c>
      <c r="E5" s="7" t="s">
        <v>179</v>
      </c>
      <c r="F5" s="7" t="s">
        <v>10</v>
      </c>
      <c r="G5" s="7" t="s">
        <v>11</v>
      </c>
      <c r="H5" s="7" t="s">
        <v>18</v>
      </c>
      <c r="I5" s="7" t="s">
        <v>180</v>
      </c>
      <c r="J5" s="7" t="s">
        <v>181</v>
      </c>
      <c r="K5" s="8" t="s">
        <v>182</v>
      </c>
    </row>
    <row r="6" spans="1:11" x14ac:dyDescent="0.35">
      <c r="A6" s="7">
        <v>2063387</v>
      </c>
      <c r="B6" s="7" t="str">
        <f>"3328010107870203"</f>
        <v>3328010107870203</v>
      </c>
      <c r="C6" s="7" t="str">
        <f t="shared" si="0"/>
        <v>'3328010107870203</v>
      </c>
      <c r="D6" s="7" t="str">
        <f t="shared" si="1"/>
        <v>ganda</v>
      </c>
      <c r="E6" s="7" t="s">
        <v>207</v>
      </c>
      <c r="F6" s="7" t="s">
        <v>10</v>
      </c>
      <c r="G6" s="7" t="s">
        <v>11</v>
      </c>
      <c r="H6" s="7" t="s">
        <v>18</v>
      </c>
      <c r="I6" s="7" t="s">
        <v>19</v>
      </c>
      <c r="J6" s="7" t="s">
        <v>20</v>
      </c>
      <c r="K6" s="8" t="s">
        <v>20</v>
      </c>
    </row>
    <row r="7" spans="1:11" x14ac:dyDescent="0.35">
      <c r="A7" s="7">
        <v>2662156</v>
      </c>
      <c r="B7" s="7" t="str">
        <f>"3328010107870203"</f>
        <v>3328010107870203</v>
      </c>
      <c r="C7" s="7" t="str">
        <f t="shared" si="0"/>
        <v>'3328010107870203</v>
      </c>
      <c r="D7" s="7" t="str">
        <f t="shared" si="1"/>
        <v>ganda</v>
      </c>
      <c r="E7" s="7" t="s">
        <v>207</v>
      </c>
      <c r="F7" s="7" t="s">
        <v>10</v>
      </c>
      <c r="G7" s="7" t="s">
        <v>57</v>
      </c>
      <c r="H7" s="7" t="s">
        <v>18</v>
      </c>
      <c r="I7" s="7" t="s">
        <v>199</v>
      </c>
      <c r="J7" s="7" t="s">
        <v>208</v>
      </c>
      <c r="K7" s="8" t="s">
        <v>209</v>
      </c>
    </row>
    <row r="8" spans="1:11" x14ac:dyDescent="0.35">
      <c r="A8" s="7">
        <v>1447426</v>
      </c>
      <c r="B8" s="7" t="str">
        <f>"3328010711810002"</f>
        <v>3328010711810002</v>
      </c>
      <c r="C8" s="7" t="str">
        <f t="shared" si="0"/>
        <v>'3328010711810002</v>
      </c>
      <c r="D8" s="7" t="str">
        <f t="shared" si="1"/>
        <v>ganda</v>
      </c>
      <c r="E8" s="7" t="s">
        <v>257</v>
      </c>
      <c r="F8" s="7" t="s">
        <v>10</v>
      </c>
      <c r="G8" s="7" t="s">
        <v>11</v>
      </c>
      <c r="H8" s="7" t="s">
        <v>18</v>
      </c>
      <c r="I8" s="7" t="s">
        <v>19</v>
      </c>
      <c r="J8" s="7" t="s">
        <v>20</v>
      </c>
      <c r="K8" s="8" t="s">
        <v>53</v>
      </c>
    </row>
    <row r="9" spans="1:11" x14ac:dyDescent="0.35">
      <c r="A9" s="7">
        <v>2419007</v>
      </c>
      <c r="B9" s="7" t="str">
        <f>"3328010711810002"</f>
        <v>3328010711810002</v>
      </c>
      <c r="C9" s="7" t="str">
        <f t="shared" si="0"/>
        <v>'3328010711810002</v>
      </c>
      <c r="D9" s="7" t="str">
        <f t="shared" si="1"/>
        <v>ganda</v>
      </c>
      <c r="E9" s="7" t="s">
        <v>258</v>
      </c>
      <c r="F9" s="7" t="s">
        <v>10</v>
      </c>
      <c r="G9" s="7" t="s">
        <v>57</v>
      </c>
      <c r="H9" s="7" t="s">
        <v>50</v>
      </c>
      <c r="I9" s="7" t="s">
        <v>58</v>
      </c>
      <c r="J9" s="7" t="s">
        <v>59</v>
      </c>
      <c r="K9" s="8" t="s">
        <v>60</v>
      </c>
    </row>
    <row r="10" spans="1:11" x14ac:dyDescent="0.35">
      <c r="A10" s="7">
        <v>1459696</v>
      </c>
      <c r="B10" s="7" t="str">
        <f>"3328011212790011"</f>
        <v>3328011212790011</v>
      </c>
      <c r="C10" s="7" t="str">
        <f t="shared" si="0"/>
        <v>'3328011212790011</v>
      </c>
      <c r="D10" s="7" t="str">
        <f t="shared" si="1"/>
        <v>ganda</v>
      </c>
      <c r="E10" s="7" t="s">
        <v>275</v>
      </c>
      <c r="F10" s="7" t="s">
        <v>10</v>
      </c>
      <c r="G10" s="7" t="s">
        <v>11</v>
      </c>
      <c r="H10" s="7" t="s">
        <v>18</v>
      </c>
      <c r="I10" s="7" t="s">
        <v>19</v>
      </c>
      <c r="J10" s="7" t="s">
        <v>20</v>
      </c>
      <c r="K10" s="8" t="s">
        <v>76</v>
      </c>
    </row>
    <row r="11" spans="1:11" x14ac:dyDescent="0.35">
      <c r="A11" s="7">
        <v>423828</v>
      </c>
      <c r="B11" s="7" t="str">
        <f>"3328011212790011"</f>
        <v>3328011212790011</v>
      </c>
      <c r="C11" s="7" t="str">
        <f t="shared" si="0"/>
        <v>'3328011212790011</v>
      </c>
      <c r="D11" s="7" t="str">
        <f t="shared" si="1"/>
        <v>ganda</v>
      </c>
      <c r="E11" s="7" t="s">
        <v>276</v>
      </c>
      <c r="F11" s="7" t="s">
        <v>10</v>
      </c>
      <c r="G11" s="7" t="s">
        <v>57</v>
      </c>
      <c r="H11" s="7" t="s">
        <v>18</v>
      </c>
      <c r="I11" s="7" t="s">
        <v>268</v>
      </c>
      <c r="J11" s="7" t="s">
        <v>277</v>
      </c>
      <c r="K11" s="8" t="s">
        <v>278</v>
      </c>
    </row>
    <row r="12" spans="1:11" x14ac:dyDescent="0.35">
      <c r="A12" s="7">
        <v>2071912</v>
      </c>
      <c r="B12" s="7" t="str">
        <f>"3328013112880035"</f>
        <v>3328013112880035</v>
      </c>
      <c r="C12" s="7" t="str">
        <f t="shared" si="0"/>
        <v>'3328013112880035</v>
      </c>
      <c r="D12" s="7" t="str">
        <f t="shared" si="1"/>
        <v>ganda</v>
      </c>
      <c r="E12" s="7" t="s">
        <v>357</v>
      </c>
      <c r="F12" s="7" t="s">
        <v>10</v>
      </c>
      <c r="G12" s="7" t="s">
        <v>11</v>
      </c>
      <c r="H12" s="7" t="s">
        <v>18</v>
      </c>
      <c r="I12" s="7" t="s">
        <v>19</v>
      </c>
      <c r="J12" s="7" t="s">
        <v>20</v>
      </c>
      <c r="K12" s="8" t="s">
        <v>37</v>
      </c>
    </row>
    <row r="13" spans="1:11" x14ac:dyDescent="0.35">
      <c r="A13" s="7">
        <v>1637310</v>
      </c>
      <c r="B13" s="7" t="str">
        <f>"3328013112880035"</f>
        <v>3328013112880035</v>
      </c>
      <c r="C13" s="7" t="str">
        <f t="shared" si="0"/>
        <v>'3328013112880035</v>
      </c>
      <c r="D13" s="7" t="str">
        <f t="shared" si="1"/>
        <v>ganda</v>
      </c>
      <c r="E13" s="7" t="s">
        <v>358</v>
      </c>
      <c r="F13" s="7" t="s">
        <v>10</v>
      </c>
      <c r="G13" s="7" t="s">
        <v>57</v>
      </c>
      <c r="H13" s="7" t="s">
        <v>18</v>
      </c>
      <c r="I13" s="7" t="s">
        <v>264</v>
      </c>
      <c r="J13" s="7" t="s">
        <v>264</v>
      </c>
      <c r="K13" s="8" t="s">
        <v>264</v>
      </c>
    </row>
    <row r="14" spans="1:11" x14ac:dyDescent="0.35">
      <c r="A14" s="7">
        <v>2069081</v>
      </c>
      <c r="B14" s="7" t="str">
        <f>"3328014211010003"</f>
        <v>3328014211010003</v>
      </c>
      <c r="C14" s="7" t="str">
        <f t="shared" si="0"/>
        <v>'3328014211010003</v>
      </c>
      <c r="D14" s="7" t="str">
        <f t="shared" si="1"/>
        <v>ganda</v>
      </c>
      <c r="E14" s="7" t="s">
        <v>374</v>
      </c>
      <c r="F14" s="7" t="s">
        <v>10</v>
      </c>
      <c r="G14" s="7" t="s">
        <v>11</v>
      </c>
      <c r="H14" s="7" t="s">
        <v>18</v>
      </c>
      <c r="I14" s="7" t="s">
        <v>19</v>
      </c>
      <c r="J14" s="7" t="s">
        <v>20</v>
      </c>
      <c r="K14" s="8" t="s">
        <v>37</v>
      </c>
    </row>
    <row r="15" spans="1:11" x14ac:dyDescent="0.35">
      <c r="A15" s="7">
        <v>2595323</v>
      </c>
      <c r="B15" s="7" t="str">
        <f>"3328014211010003"</f>
        <v>3328014211010003</v>
      </c>
      <c r="C15" s="7" t="str">
        <f t="shared" si="0"/>
        <v>'3328014211010003</v>
      </c>
      <c r="D15" s="7" t="str">
        <f t="shared" si="1"/>
        <v>ganda</v>
      </c>
      <c r="E15" s="7" t="s">
        <v>374</v>
      </c>
      <c r="F15" s="7" t="s">
        <v>10</v>
      </c>
      <c r="G15" s="7" t="s">
        <v>57</v>
      </c>
      <c r="H15" s="7" t="s">
        <v>67</v>
      </c>
      <c r="I15" s="7" t="s">
        <v>375</v>
      </c>
      <c r="J15" s="7" t="s">
        <v>376</v>
      </c>
      <c r="K15" s="8" t="s">
        <v>377</v>
      </c>
    </row>
    <row r="16" spans="1:11" x14ac:dyDescent="0.35">
      <c r="A16" s="7">
        <v>2484224</v>
      </c>
      <c r="B16" s="7" t="str">
        <f>"3328020107990051"</f>
        <v>3328020107990051</v>
      </c>
      <c r="C16" s="7" t="str">
        <f t="shared" si="0"/>
        <v>'3328020107990051</v>
      </c>
      <c r="D16" s="7" t="str">
        <f t="shared" si="1"/>
        <v>ganda</v>
      </c>
      <c r="E16" s="7" t="s">
        <v>618</v>
      </c>
      <c r="F16" s="7" t="s">
        <v>10</v>
      </c>
      <c r="G16" s="7" t="s">
        <v>11</v>
      </c>
      <c r="H16" s="7" t="s">
        <v>18</v>
      </c>
      <c r="I16" s="7" t="s">
        <v>19</v>
      </c>
      <c r="J16" s="7" t="s">
        <v>527</v>
      </c>
      <c r="K16" s="8" t="s">
        <v>590</v>
      </c>
    </row>
    <row r="17" spans="1:11" x14ac:dyDescent="0.35">
      <c r="A17" s="7">
        <v>423775</v>
      </c>
      <c r="B17" s="7" t="str">
        <f>"3328020107990051"</f>
        <v>3328020107990051</v>
      </c>
      <c r="C17" s="7" t="str">
        <f t="shared" si="0"/>
        <v>'3328020107990051</v>
      </c>
      <c r="D17" s="7" t="str">
        <f t="shared" si="1"/>
        <v>ganda</v>
      </c>
      <c r="E17" s="7" t="s">
        <v>619</v>
      </c>
      <c r="F17" s="7" t="s">
        <v>10</v>
      </c>
      <c r="G17" s="7" t="s">
        <v>57</v>
      </c>
      <c r="H17" s="7" t="s">
        <v>18</v>
      </c>
      <c r="I17" s="7" t="s">
        <v>268</v>
      </c>
      <c r="J17" s="7" t="s">
        <v>277</v>
      </c>
      <c r="K17" s="8" t="s">
        <v>278</v>
      </c>
    </row>
    <row r="18" spans="1:11" x14ac:dyDescent="0.35">
      <c r="A18" s="7">
        <v>2430745</v>
      </c>
      <c r="B18" s="7" t="str">
        <f>"3328020501870011"</f>
        <v>3328020501870011</v>
      </c>
      <c r="C18" s="7" t="str">
        <f t="shared" si="0"/>
        <v>'3328020501870011</v>
      </c>
      <c r="D18" s="7" t="str">
        <f t="shared" si="1"/>
        <v>ganda</v>
      </c>
      <c r="E18" s="7" t="s">
        <v>623</v>
      </c>
      <c r="F18" s="7" t="s">
        <v>10</v>
      </c>
      <c r="G18" s="7" t="s">
        <v>11</v>
      </c>
      <c r="H18" s="7" t="s">
        <v>18</v>
      </c>
      <c r="I18" s="7" t="s">
        <v>19</v>
      </c>
      <c r="J18" s="7" t="s">
        <v>527</v>
      </c>
      <c r="K18" s="8" t="s">
        <v>539</v>
      </c>
    </row>
    <row r="19" spans="1:11" x14ac:dyDescent="0.35">
      <c r="A19" s="7">
        <v>1178476</v>
      </c>
      <c r="B19" s="7" t="str">
        <f>"3328020501870011"</f>
        <v>3328020501870011</v>
      </c>
      <c r="C19" s="7" t="str">
        <f t="shared" si="0"/>
        <v>'3328020501870011</v>
      </c>
      <c r="D19" s="7" t="str">
        <f t="shared" si="1"/>
        <v>ganda</v>
      </c>
      <c r="E19" s="7" t="s">
        <v>623</v>
      </c>
      <c r="F19" s="7" t="s">
        <v>10</v>
      </c>
      <c r="G19" s="7" t="s">
        <v>11</v>
      </c>
      <c r="H19" s="7" t="s">
        <v>18</v>
      </c>
      <c r="I19" s="7" t="s">
        <v>180</v>
      </c>
      <c r="J19" s="7" t="s">
        <v>181</v>
      </c>
      <c r="K19" s="8" t="s">
        <v>624</v>
      </c>
    </row>
    <row r="20" spans="1:11" x14ac:dyDescent="0.35">
      <c r="A20" s="7">
        <v>2491013</v>
      </c>
      <c r="B20" s="7" t="str">
        <f>"3328021005920013"</f>
        <v>3328021005920013</v>
      </c>
      <c r="C20" s="7" t="str">
        <f t="shared" si="0"/>
        <v>'3328021005920013</v>
      </c>
      <c r="D20" s="7" t="str">
        <f t="shared" si="1"/>
        <v>ganda</v>
      </c>
      <c r="E20" s="7" t="s">
        <v>645</v>
      </c>
      <c r="F20" s="7" t="s">
        <v>10</v>
      </c>
      <c r="G20" s="7" t="s">
        <v>11</v>
      </c>
      <c r="H20" s="7" t="s">
        <v>18</v>
      </c>
      <c r="I20" s="7" t="s">
        <v>19</v>
      </c>
      <c r="J20" s="7" t="s">
        <v>527</v>
      </c>
      <c r="K20" s="8" t="s">
        <v>532</v>
      </c>
    </row>
    <row r="21" spans="1:11" x14ac:dyDescent="0.35">
      <c r="A21" s="7">
        <v>212498</v>
      </c>
      <c r="B21" s="7" t="str">
        <f>"3328021005920013"</f>
        <v>3328021005920013</v>
      </c>
      <c r="C21" s="7" t="str">
        <f t="shared" si="0"/>
        <v>'3328021005920013</v>
      </c>
      <c r="D21" s="7" t="str">
        <f t="shared" si="1"/>
        <v>ganda</v>
      </c>
      <c r="E21" s="7" t="s">
        <v>646</v>
      </c>
      <c r="F21" s="7" t="s">
        <v>10</v>
      </c>
      <c r="G21" s="7" t="s">
        <v>57</v>
      </c>
      <c r="H21" s="7" t="s">
        <v>240</v>
      </c>
      <c r="I21" s="7" t="s">
        <v>647</v>
      </c>
      <c r="J21" s="7" t="s">
        <v>640</v>
      </c>
      <c r="K21" s="8" t="s">
        <v>648</v>
      </c>
    </row>
    <row r="22" spans="1:11" x14ac:dyDescent="0.35">
      <c r="A22" s="7">
        <v>2456598</v>
      </c>
      <c r="B22" s="7" t="str">
        <f>"3328021202000001"</f>
        <v>3328021202000001</v>
      </c>
      <c r="C22" s="7" t="str">
        <f t="shared" si="0"/>
        <v>'3328021202000001</v>
      </c>
      <c r="D22" s="7" t="str">
        <f t="shared" si="1"/>
        <v>ganda</v>
      </c>
      <c r="E22" s="7" t="s">
        <v>653</v>
      </c>
      <c r="F22" s="7" t="s">
        <v>10</v>
      </c>
      <c r="G22" s="7" t="s">
        <v>11</v>
      </c>
      <c r="H22" s="7" t="s">
        <v>18</v>
      </c>
      <c r="I22" s="7" t="s">
        <v>19</v>
      </c>
      <c r="J22" s="7" t="s">
        <v>527</v>
      </c>
      <c r="K22" s="8" t="s">
        <v>602</v>
      </c>
    </row>
    <row r="23" spans="1:11" x14ac:dyDescent="0.35">
      <c r="A23" s="7">
        <v>1351186</v>
      </c>
      <c r="B23" s="7" t="str">
        <f>"3328021202000001"</f>
        <v>3328021202000001</v>
      </c>
      <c r="C23" s="7" t="str">
        <f t="shared" si="0"/>
        <v>'3328021202000001</v>
      </c>
      <c r="D23" s="7" t="str">
        <f t="shared" si="1"/>
        <v>ganda</v>
      </c>
      <c r="E23" s="7" t="s">
        <v>653</v>
      </c>
      <c r="F23" s="7" t="s">
        <v>10</v>
      </c>
      <c r="G23" s="7" t="s">
        <v>57</v>
      </c>
      <c r="H23" s="7" t="s">
        <v>303</v>
      </c>
      <c r="I23" s="7" t="s">
        <v>608</v>
      </c>
      <c r="J23" s="7" t="s">
        <v>609</v>
      </c>
      <c r="K23" s="8" t="s">
        <v>610</v>
      </c>
    </row>
    <row r="24" spans="1:11" x14ac:dyDescent="0.35">
      <c r="A24" s="7">
        <v>2426510</v>
      </c>
      <c r="B24" s="7" t="str">
        <f>"3328021204000007"</f>
        <v>3328021204000007</v>
      </c>
      <c r="C24" s="7" t="str">
        <f t="shared" si="0"/>
        <v>'3328021204000007</v>
      </c>
      <c r="D24" s="7" t="str">
        <f t="shared" si="1"/>
        <v>ganda</v>
      </c>
      <c r="E24" s="7" t="s">
        <v>654</v>
      </c>
      <c r="F24" s="7" t="s">
        <v>10</v>
      </c>
      <c r="G24" s="7" t="s">
        <v>11</v>
      </c>
      <c r="H24" s="7" t="s">
        <v>18</v>
      </c>
      <c r="I24" s="7" t="s">
        <v>19</v>
      </c>
      <c r="J24" s="7" t="s">
        <v>527</v>
      </c>
      <c r="K24" s="8" t="s">
        <v>539</v>
      </c>
    </row>
    <row r="25" spans="1:11" x14ac:dyDescent="0.35">
      <c r="A25" s="7">
        <v>1351189</v>
      </c>
      <c r="B25" s="7" t="str">
        <f>"3328021204000007"</f>
        <v>3328021204000007</v>
      </c>
      <c r="C25" s="7" t="str">
        <f t="shared" si="0"/>
        <v>'3328021204000007</v>
      </c>
      <c r="D25" s="7" t="str">
        <f t="shared" si="1"/>
        <v>ganda</v>
      </c>
      <c r="E25" s="7" t="s">
        <v>655</v>
      </c>
      <c r="F25" s="7" t="s">
        <v>10</v>
      </c>
      <c r="G25" s="7" t="s">
        <v>57</v>
      </c>
      <c r="H25" s="7" t="s">
        <v>303</v>
      </c>
      <c r="I25" s="7" t="s">
        <v>608</v>
      </c>
      <c r="J25" s="7" t="s">
        <v>609</v>
      </c>
      <c r="K25" s="8" t="s">
        <v>610</v>
      </c>
    </row>
    <row r="26" spans="1:11" x14ac:dyDescent="0.35">
      <c r="A26" s="7">
        <v>2474242</v>
      </c>
      <c r="B26" s="7" t="str">
        <f>"3328021210920003"</f>
        <v>3328021210920003</v>
      </c>
      <c r="C26" s="7" t="str">
        <f t="shared" si="0"/>
        <v>'3328021210920003</v>
      </c>
      <c r="D26" s="7" t="str">
        <f t="shared" si="1"/>
        <v>ganda</v>
      </c>
      <c r="E26" s="7" t="s">
        <v>656</v>
      </c>
      <c r="F26" s="7" t="s">
        <v>10</v>
      </c>
      <c r="G26" s="7" t="s">
        <v>11</v>
      </c>
      <c r="H26" s="7" t="s">
        <v>18</v>
      </c>
      <c r="I26" s="7" t="s">
        <v>19</v>
      </c>
      <c r="J26" s="7" t="s">
        <v>527</v>
      </c>
      <c r="K26" s="8" t="s">
        <v>640</v>
      </c>
    </row>
    <row r="27" spans="1:11" x14ac:dyDescent="0.35">
      <c r="A27" s="7">
        <v>257586</v>
      </c>
      <c r="B27" s="7" t="str">
        <f>"3328021210920003"</f>
        <v>3328021210920003</v>
      </c>
      <c r="C27" s="7" t="str">
        <f t="shared" si="0"/>
        <v>'3328021210920003</v>
      </c>
      <c r="D27" s="7" t="str">
        <f t="shared" si="1"/>
        <v>ganda</v>
      </c>
      <c r="E27" s="7" t="s">
        <v>656</v>
      </c>
      <c r="F27" s="7" t="s">
        <v>10</v>
      </c>
      <c r="G27" s="7" t="s">
        <v>57</v>
      </c>
      <c r="H27" s="7" t="s">
        <v>521</v>
      </c>
      <c r="I27" s="7" t="s">
        <v>657</v>
      </c>
      <c r="J27" s="7" t="s">
        <v>658</v>
      </c>
      <c r="K27" s="8" t="s">
        <v>659</v>
      </c>
    </row>
    <row r="28" spans="1:11" x14ac:dyDescent="0.35">
      <c r="A28" s="7">
        <v>2484219</v>
      </c>
      <c r="B28" s="7" t="str">
        <f>"3328021303010002"</f>
        <v>3328021303010002</v>
      </c>
      <c r="C28" s="7" t="str">
        <f t="shared" si="0"/>
        <v>'3328021303010002</v>
      </c>
      <c r="D28" s="7" t="str">
        <f t="shared" si="1"/>
        <v>ganda</v>
      </c>
      <c r="E28" s="7" t="s">
        <v>660</v>
      </c>
      <c r="F28" s="7" t="s">
        <v>10</v>
      </c>
      <c r="G28" s="7" t="s">
        <v>11</v>
      </c>
      <c r="H28" s="7" t="s">
        <v>18</v>
      </c>
      <c r="I28" s="7" t="s">
        <v>19</v>
      </c>
      <c r="J28" s="7" t="s">
        <v>527</v>
      </c>
      <c r="K28" s="8" t="s">
        <v>590</v>
      </c>
    </row>
    <row r="29" spans="1:11" x14ac:dyDescent="0.35">
      <c r="A29" s="7">
        <v>423688</v>
      </c>
      <c r="B29" s="7" t="str">
        <f>"3328021303010002"</f>
        <v>3328021303010002</v>
      </c>
      <c r="C29" s="7" t="str">
        <f t="shared" si="0"/>
        <v>'3328021303010002</v>
      </c>
      <c r="D29" s="7" t="str">
        <f t="shared" si="1"/>
        <v>ganda</v>
      </c>
      <c r="E29" s="7" t="s">
        <v>661</v>
      </c>
      <c r="F29" s="7" t="s">
        <v>10</v>
      </c>
      <c r="G29" s="7" t="s">
        <v>57</v>
      </c>
      <c r="H29" s="7" t="s">
        <v>18</v>
      </c>
      <c r="I29" s="7" t="s">
        <v>268</v>
      </c>
      <c r="J29" s="7" t="s">
        <v>277</v>
      </c>
      <c r="K29" s="8" t="s">
        <v>278</v>
      </c>
    </row>
    <row r="30" spans="1:11" x14ac:dyDescent="0.35">
      <c r="A30" s="7">
        <v>2455644</v>
      </c>
      <c r="B30" s="7" t="str">
        <f>"3328021306030002"</f>
        <v>3328021306030002</v>
      </c>
      <c r="C30" s="7" t="str">
        <f t="shared" si="0"/>
        <v>'3328021306030002</v>
      </c>
      <c r="D30" s="7" t="str">
        <f t="shared" si="1"/>
        <v>ganda</v>
      </c>
      <c r="E30" s="7" t="s">
        <v>662</v>
      </c>
      <c r="F30" s="7" t="s">
        <v>10</v>
      </c>
      <c r="G30" s="7" t="s">
        <v>11</v>
      </c>
      <c r="H30" s="7" t="s">
        <v>18</v>
      </c>
      <c r="I30" s="7" t="s">
        <v>19</v>
      </c>
      <c r="J30" s="7" t="s">
        <v>527</v>
      </c>
      <c r="K30" s="8" t="s">
        <v>602</v>
      </c>
    </row>
    <row r="31" spans="1:11" x14ac:dyDescent="0.35">
      <c r="A31" s="7">
        <v>1351187</v>
      </c>
      <c r="B31" s="7" t="str">
        <f>"3328021306030002"</f>
        <v>3328021306030002</v>
      </c>
      <c r="C31" s="7" t="str">
        <f t="shared" si="0"/>
        <v>'3328021306030002</v>
      </c>
      <c r="D31" s="7" t="str">
        <f t="shared" si="1"/>
        <v>ganda</v>
      </c>
      <c r="E31" s="7" t="s">
        <v>662</v>
      </c>
      <c r="F31" s="7" t="s">
        <v>10</v>
      </c>
      <c r="G31" s="7" t="s">
        <v>57</v>
      </c>
      <c r="H31" s="7" t="s">
        <v>303</v>
      </c>
      <c r="I31" s="7" t="s">
        <v>608</v>
      </c>
      <c r="J31" s="7" t="s">
        <v>609</v>
      </c>
      <c r="K31" s="8" t="s">
        <v>610</v>
      </c>
    </row>
    <row r="32" spans="1:11" x14ac:dyDescent="0.35">
      <c r="A32" s="7">
        <v>2456241</v>
      </c>
      <c r="B32" s="7" t="str">
        <f>"3328021504030002"</f>
        <v>3328021504030002</v>
      </c>
      <c r="C32" s="7" t="str">
        <f t="shared" si="0"/>
        <v>'3328021504030002</v>
      </c>
      <c r="D32" s="7" t="str">
        <f t="shared" si="1"/>
        <v>ganda</v>
      </c>
      <c r="E32" s="7" t="s">
        <v>675</v>
      </c>
      <c r="F32" s="7" t="s">
        <v>10</v>
      </c>
      <c r="G32" s="7" t="s">
        <v>11</v>
      </c>
      <c r="H32" s="7" t="s">
        <v>18</v>
      </c>
      <c r="I32" s="7" t="s">
        <v>19</v>
      </c>
      <c r="J32" s="7" t="s">
        <v>527</v>
      </c>
      <c r="K32" s="8" t="s">
        <v>602</v>
      </c>
    </row>
    <row r="33" spans="1:11" x14ac:dyDescent="0.35">
      <c r="A33" s="7">
        <v>1351188</v>
      </c>
      <c r="B33" s="7" t="str">
        <f>"3328021504030002"</f>
        <v>3328021504030002</v>
      </c>
      <c r="C33" s="7" t="str">
        <f t="shared" si="0"/>
        <v>'3328021504030002</v>
      </c>
      <c r="D33" s="7" t="str">
        <f t="shared" si="1"/>
        <v>ganda</v>
      </c>
      <c r="E33" s="7" t="s">
        <v>676</v>
      </c>
      <c r="F33" s="7" t="s">
        <v>10</v>
      </c>
      <c r="G33" s="7" t="s">
        <v>57</v>
      </c>
      <c r="H33" s="7" t="s">
        <v>303</v>
      </c>
      <c r="I33" s="7" t="s">
        <v>608</v>
      </c>
      <c r="J33" s="7" t="s">
        <v>609</v>
      </c>
      <c r="K33" s="8" t="s">
        <v>610</v>
      </c>
    </row>
    <row r="34" spans="1:11" x14ac:dyDescent="0.35">
      <c r="A34" s="7">
        <v>2148693</v>
      </c>
      <c r="B34" s="7" t="str">
        <f>"3328021607020001"</f>
        <v>3328021607020001</v>
      </c>
      <c r="C34" s="7" t="str">
        <f t="shared" si="0"/>
        <v>'3328021607020001</v>
      </c>
      <c r="D34" s="7" t="str">
        <f t="shared" si="1"/>
        <v>ganda</v>
      </c>
      <c r="E34" s="7" t="s">
        <v>681</v>
      </c>
      <c r="F34" s="7" t="s">
        <v>10</v>
      </c>
      <c r="G34" s="7" t="s">
        <v>11</v>
      </c>
      <c r="H34" s="7" t="s">
        <v>18</v>
      </c>
      <c r="I34" s="7" t="s">
        <v>19</v>
      </c>
      <c r="J34" s="7" t="s">
        <v>527</v>
      </c>
      <c r="K34" s="8" t="s">
        <v>682</v>
      </c>
    </row>
    <row r="35" spans="1:11" x14ac:dyDescent="0.35">
      <c r="A35" s="7">
        <v>1351184</v>
      </c>
      <c r="B35" s="7" t="str">
        <f>"3328021607020001"</f>
        <v>3328021607020001</v>
      </c>
      <c r="C35" s="7" t="str">
        <f t="shared" si="0"/>
        <v>'3328021607020001</v>
      </c>
      <c r="D35" s="7" t="str">
        <f t="shared" si="1"/>
        <v>ganda</v>
      </c>
      <c r="E35" s="7" t="s">
        <v>681</v>
      </c>
      <c r="F35" s="7" t="s">
        <v>10</v>
      </c>
      <c r="G35" s="7" t="s">
        <v>57</v>
      </c>
      <c r="H35" s="7" t="s">
        <v>303</v>
      </c>
      <c r="I35" s="7" t="s">
        <v>608</v>
      </c>
      <c r="J35" s="7" t="s">
        <v>609</v>
      </c>
      <c r="K35" s="8" t="s">
        <v>610</v>
      </c>
    </row>
    <row r="36" spans="1:11" x14ac:dyDescent="0.35">
      <c r="A36" s="7">
        <v>2491917</v>
      </c>
      <c r="B36" s="7" t="str">
        <f>"3328022211990003"</f>
        <v>3328022211990003</v>
      </c>
      <c r="C36" s="7" t="str">
        <f t="shared" si="0"/>
        <v>'3328022211990003</v>
      </c>
      <c r="D36" s="7" t="str">
        <f t="shared" si="1"/>
        <v>ganda</v>
      </c>
      <c r="E36" s="7" t="s">
        <v>716</v>
      </c>
      <c r="F36" s="7" t="s">
        <v>10</v>
      </c>
      <c r="G36" s="7" t="s">
        <v>11</v>
      </c>
      <c r="H36" s="7" t="s">
        <v>18</v>
      </c>
      <c r="I36" s="7" t="s">
        <v>19</v>
      </c>
      <c r="J36" s="7" t="s">
        <v>527</v>
      </c>
      <c r="K36" s="8" t="s">
        <v>532</v>
      </c>
    </row>
    <row r="37" spans="1:11" x14ac:dyDescent="0.35">
      <c r="A37" s="7">
        <v>762475</v>
      </c>
      <c r="B37" s="7" t="str">
        <f>"3328022211990003"</f>
        <v>3328022211990003</v>
      </c>
      <c r="C37" s="7" t="str">
        <f t="shared" si="0"/>
        <v>'3328022211990003</v>
      </c>
      <c r="D37" s="7" t="str">
        <f t="shared" si="1"/>
        <v>ganda</v>
      </c>
      <c r="E37" s="7" t="s">
        <v>717</v>
      </c>
      <c r="F37" s="7" t="s">
        <v>10</v>
      </c>
      <c r="G37" s="7" t="s">
        <v>57</v>
      </c>
      <c r="H37" s="7" t="s">
        <v>379</v>
      </c>
      <c r="I37" s="7" t="s">
        <v>711</v>
      </c>
      <c r="J37" s="7" t="s">
        <v>718</v>
      </c>
      <c r="K37" s="8" t="s">
        <v>719</v>
      </c>
    </row>
    <row r="38" spans="1:11" x14ac:dyDescent="0.35">
      <c r="A38" s="7">
        <v>2468864</v>
      </c>
      <c r="B38" s="7" t="str">
        <f>"3328022601960002"</f>
        <v>3328022601960002</v>
      </c>
      <c r="C38" s="7" t="str">
        <f t="shared" si="0"/>
        <v>'3328022601960002</v>
      </c>
      <c r="D38" s="7" t="str">
        <f t="shared" si="1"/>
        <v>ganda</v>
      </c>
      <c r="E38" s="7" t="s">
        <v>715</v>
      </c>
      <c r="F38" s="7" t="s">
        <v>10</v>
      </c>
      <c r="G38" s="7" t="s">
        <v>11</v>
      </c>
      <c r="H38" s="7" t="s">
        <v>18</v>
      </c>
      <c r="I38" s="7" t="s">
        <v>19</v>
      </c>
      <c r="J38" s="7" t="s">
        <v>527</v>
      </c>
      <c r="K38" s="8" t="s">
        <v>671</v>
      </c>
    </row>
    <row r="39" spans="1:11" x14ac:dyDescent="0.35">
      <c r="A39" s="7">
        <v>1862133</v>
      </c>
      <c r="B39" s="7" t="str">
        <f>"3328022601960002"</f>
        <v>3328022601960002</v>
      </c>
      <c r="C39" s="7" t="str">
        <f t="shared" si="0"/>
        <v>'3328022601960002</v>
      </c>
      <c r="D39" s="7" t="str">
        <f t="shared" si="1"/>
        <v>ganda</v>
      </c>
      <c r="E39" s="7" t="s">
        <v>732</v>
      </c>
      <c r="F39" s="7" t="s">
        <v>10</v>
      </c>
      <c r="G39" s="7" t="s">
        <v>57</v>
      </c>
      <c r="H39" s="7" t="s">
        <v>18</v>
      </c>
      <c r="I39" s="7" t="s">
        <v>733</v>
      </c>
      <c r="J39" s="7" t="s">
        <v>733</v>
      </c>
      <c r="K39" s="8" t="s">
        <v>734</v>
      </c>
    </row>
    <row r="40" spans="1:11" x14ac:dyDescent="0.35">
      <c r="A40" s="7">
        <v>2506481</v>
      </c>
      <c r="B40" s="7" t="str">
        <f>"3328022608990003"</f>
        <v>3328022608990003</v>
      </c>
      <c r="C40" s="7" t="str">
        <f t="shared" si="0"/>
        <v>'3328022608990003</v>
      </c>
      <c r="D40" s="7" t="str">
        <f t="shared" si="1"/>
        <v>ganda</v>
      </c>
      <c r="E40" s="7" t="s">
        <v>735</v>
      </c>
      <c r="F40" s="7" t="s">
        <v>10</v>
      </c>
      <c r="G40" s="7" t="s">
        <v>11</v>
      </c>
      <c r="H40" s="7" t="s">
        <v>18</v>
      </c>
      <c r="I40" s="7" t="s">
        <v>19</v>
      </c>
      <c r="J40" s="7" t="s">
        <v>527</v>
      </c>
      <c r="K40" s="8" t="s">
        <v>527</v>
      </c>
    </row>
    <row r="41" spans="1:11" x14ac:dyDescent="0.35">
      <c r="A41" s="7">
        <v>423750</v>
      </c>
      <c r="B41" s="7" t="str">
        <f>"3328022608990003"</f>
        <v>3328022608990003</v>
      </c>
      <c r="C41" s="7" t="str">
        <f t="shared" si="0"/>
        <v>'3328022608990003</v>
      </c>
      <c r="D41" s="7" t="str">
        <f t="shared" si="1"/>
        <v>ganda</v>
      </c>
      <c r="E41" s="7" t="s">
        <v>736</v>
      </c>
      <c r="F41" s="7" t="s">
        <v>10</v>
      </c>
      <c r="G41" s="7" t="s">
        <v>57</v>
      </c>
      <c r="H41" s="7" t="s">
        <v>18</v>
      </c>
      <c r="I41" s="7" t="s">
        <v>268</v>
      </c>
      <c r="J41" s="7" t="s">
        <v>277</v>
      </c>
      <c r="K41" s="8" t="s">
        <v>278</v>
      </c>
    </row>
    <row r="42" spans="1:11" x14ac:dyDescent="0.35">
      <c r="A42" s="7">
        <v>2430644</v>
      </c>
      <c r="B42" s="7" t="str">
        <f>"3328022704030002"</f>
        <v>3328022704030002</v>
      </c>
      <c r="C42" s="7" t="str">
        <f t="shared" si="0"/>
        <v>'3328022704030002</v>
      </c>
      <c r="D42" s="7" t="str">
        <f t="shared" si="1"/>
        <v>ganda</v>
      </c>
      <c r="E42" s="7" t="s">
        <v>740</v>
      </c>
      <c r="F42" s="7" t="s">
        <v>10</v>
      </c>
      <c r="G42" s="7" t="s">
        <v>11</v>
      </c>
      <c r="H42" s="7" t="s">
        <v>18</v>
      </c>
      <c r="I42" s="7" t="s">
        <v>19</v>
      </c>
      <c r="J42" s="7" t="s">
        <v>527</v>
      </c>
      <c r="K42" s="8" t="s">
        <v>539</v>
      </c>
    </row>
    <row r="43" spans="1:11" x14ac:dyDescent="0.35">
      <c r="A43" s="7">
        <v>1351191</v>
      </c>
      <c r="B43" s="7" t="str">
        <f>"3328022704030002"</f>
        <v>3328022704030002</v>
      </c>
      <c r="C43" s="7" t="str">
        <f t="shared" si="0"/>
        <v>'3328022704030002</v>
      </c>
      <c r="D43" s="7" t="str">
        <f t="shared" si="1"/>
        <v>ganda</v>
      </c>
      <c r="E43" s="7" t="s">
        <v>740</v>
      </c>
      <c r="F43" s="7" t="s">
        <v>10</v>
      </c>
      <c r="G43" s="7" t="s">
        <v>57</v>
      </c>
      <c r="H43" s="7" t="s">
        <v>303</v>
      </c>
      <c r="I43" s="7" t="s">
        <v>608</v>
      </c>
      <c r="J43" s="7" t="s">
        <v>609</v>
      </c>
      <c r="K43" s="8" t="s">
        <v>610</v>
      </c>
    </row>
    <row r="44" spans="1:11" x14ac:dyDescent="0.35">
      <c r="A44" s="7">
        <v>2430854</v>
      </c>
      <c r="B44" s="7" t="str">
        <f>"3328025405940006"</f>
        <v>3328025405940006</v>
      </c>
      <c r="C44" s="7" t="str">
        <f t="shared" si="0"/>
        <v>'3328025405940006</v>
      </c>
      <c r="D44" s="7" t="str">
        <f t="shared" si="1"/>
        <v>ganda</v>
      </c>
      <c r="E44" s="7" t="s">
        <v>797</v>
      </c>
      <c r="F44" s="7" t="s">
        <v>10</v>
      </c>
      <c r="G44" s="7" t="s">
        <v>11</v>
      </c>
      <c r="H44" s="7" t="s">
        <v>18</v>
      </c>
      <c r="I44" s="7" t="s">
        <v>19</v>
      </c>
      <c r="J44" s="7" t="s">
        <v>527</v>
      </c>
      <c r="K44" s="8" t="s">
        <v>539</v>
      </c>
    </row>
    <row r="45" spans="1:11" x14ac:dyDescent="0.35">
      <c r="A45" s="7">
        <v>1178477</v>
      </c>
      <c r="B45" s="7" t="str">
        <f>"3328025405940006"</f>
        <v>3328025405940006</v>
      </c>
      <c r="C45" s="7" t="str">
        <f t="shared" si="0"/>
        <v>'3328025405940006</v>
      </c>
      <c r="D45" s="7" t="str">
        <f t="shared" si="1"/>
        <v>ganda</v>
      </c>
      <c r="E45" s="7" t="s">
        <v>797</v>
      </c>
      <c r="F45" s="7" t="s">
        <v>10</v>
      </c>
      <c r="G45" s="7" t="s">
        <v>11</v>
      </c>
      <c r="H45" s="7" t="s">
        <v>18</v>
      </c>
      <c r="I45" s="7" t="s">
        <v>180</v>
      </c>
      <c r="J45" s="7" t="s">
        <v>181</v>
      </c>
      <c r="K45" s="8" t="s">
        <v>624</v>
      </c>
    </row>
    <row r="46" spans="1:11" x14ac:dyDescent="0.35">
      <c r="A46" s="7">
        <v>2452347</v>
      </c>
      <c r="B46" s="7" t="str">
        <f>"3328025711040003"</f>
        <v>3328025711040003</v>
      </c>
      <c r="C46" s="7" t="str">
        <f t="shared" si="0"/>
        <v>'3328025711040003</v>
      </c>
      <c r="D46" s="7" t="str">
        <f t="shared" si="1"/>
        <v>ganda</v>
      </c>
      <c r="E46" s="7" t="s">
        <v>815</v>
      </c>
      <c r="F46" s="7" t="s">
        <v>10</v>
      </c>
      <c r="G46" s="7" t="s">
        <v>11</v>
      </c>
      <c r="H46" s="7" t="s">
        <v>18</v>
      </c>
      <c r="I46" s="7" t="s">
        <v>19</v>
      </c>
      <c r="J46" s="7" t="s">
        <v>527</v>
      </c>
      <c r="K46" s="8" t="s">
        <v>691</v>
      </c>
    </row>
    <row r="47" spans="1:11" x14ac:dyDescent="0.35">
      <c r="A47" s="7">
        <v>1352891</v>
      </c>
      <c r="B47" s="7" t="str">
        <f>"3328025711040003"</f>
        <v>3328025711040003</v>
      </c>
      <c r="C47" s="7" t="str">
        <f t="shared" si="0"/>
        <v>'3328025711040003</v>
      </c>
      <c r="D47" s="7" t="str">
        <f t="shared" si="1"/>
        <v>ganda</v>
      </c>
      <c r="E47" s="7" t="s">
        <v>815</v>
      </c>
      <c r="F47" s="7" t="s">
        <v>10</v>
      </c>
      <c r="G47" s="7" t="s">
        <v>57</v>
      </c>
      <c r="H47" s="7" t="s">
        <v>303</v>
      </c>
      <c r="I47" s="7" t="s">
        <v>608</v>
      </c>
      <c r="J47" s="7" t="s">
        <v>609</v>
      </c>
      <c r="K47" s="8" t="s">
        <v>610</v>
      </c>
    </row>
    <row r="48" spans="1:11" x14ac:dyDescent="0.35">
      <c r="A48" s="7">
        <v>2440387</v>
      </c>
      <c r="B48" s="7" t="str">
        <f>"3328025802020002"</f>
        <v>3328025802020002</v>
      </c>
      <c r="C48" s="7" t="str">
        <f t="shared" si="0"/>
        <v>'3328025802020002</v>
      </c>
      <c r="D48" s="7" t="str">
        <f t="shared" si="1"/>
        <v>ganda</v>
      </c>
      <c r="E48" s="7" t="s">
        <v>816</v>
      </c>
      <c r="F48" s="7" t="s">
        <v>10</v>
      </c>
      <c r="G48" s="7" t="s">
        <v>11</v>
      </c>
      <c r="H48" s="7" t="s">
        <v>18</v>
      </c>
      <c r="I48" s="7" t="s">
        <v>19</v>
      </c>
      <c r="J48" s="7" t="s">
        <v>527</v>
      </c>
      <c r="K48" s="8" t="s">
        <v>535</v>
      </c>
    </row>
    <row r="49" spans="1:11" x14ac:dyDescent="0.35">
      <c r="A49" s="7">
        <v>1352890</v>
      </c>
      <c r="B49" s="7" t="str">
        <f>"3328025802020002"</f>
        <v>3328025802020002</v>
      </c>
      <c r="C49" s="7" t="str">
        <f t="shared" si="0"/>
        <v>'3328025802020002</v>
      </c>
      <c r="D49" s="7" t="str">
        <f t="shared" si="1"/>
        <v>ganda</v>
      </c>
      <c r="E49" s="7" t="s">
        <v>817</v>
      </c>
      <c r="F49" s="7" t="s">
        <v>10</v>
      </c>
      <c r="G49" s="7" t="s">
        <v>57</v>
      </c>
      <c r="H49" s="7" t="s">
        <v>303</v>
      </c>
      <c r="I49" s="7" t="s">
        <v>608</v>
      </c>
      <c r="J49" s="7" t="s">
        <v>609</v>
      </c>
      <c r="K49" s="8" t="s">
        <v>610</v>
      </c>
    </row>
    <row r="50" spans="1:11" x14ac:dyDescent="0.35">
      <c r="A50" s="7">
        <v>2456736</v>
      </c>
      <c r="B50" s="7" t="str">
        <f>"3328025807060002"</f>
        <v>3328025807060002</v>
      </c>
      <c r="C50" s="7" t="str">
        <f t="shared" si="0"/>
        <v>'3328025807060002</v>
      </c>
      <c r="D50" s="7" t="str">
        <f t="shared" si="1"/>
        <v>ganda</v>
      </c>
      <c r="E50" s="7" t="s">
        <v>819</v>
      </c>
      <c r="F50" s="7" t="s">
        <v>10</v>
      </c>
      <c r="G50" s="7" t="s">
        <v>11</v>
      </c>
      <c r="H50" s="7" t="s">
        <v>18</v>
      </c>
      <c r="I50" s="7" t="s">
        <v>19</v>
      </c>
      <c r="J50" s="7" t="s">
        <v>527</v>
      </c>
      <c r="K50" s="8" t="s">
        <v>602</v>
      </c>
    </row>
    <row r="51" spans="1:11" x14ac:dyDescent="0.35">
      <c r="A51" s="7">
        <v>1352893</v>
      </c>
      <c r="B51" s="7" t="str">
        <f>"3328025807060002"</f>
        <v>3328025807060002</v>
      </c>
      <c r="C51" s="7" t="str">
        <f t="shared" si="0"/>
        <v>'3328025807060002</v>
      </c>
      <c r="D51" s="7" t="str">
        <f t="shared" si="1"/>
        <v>ganda</v>
      </c>
      <c r="E51" s="7" t="s">
        <v>819</v>
      </c>
      <c r="F51" s="7" t="s">
        <v>10</v>
      </c>
      <c r="G51" s="7" t="s">
        <v>57</v>
      </c>
      <c r="H51" s="7" t="s">
        <v>303</v>
      </c>
      <c r="I51" s="7" t="s">
        <v>608</v>
      </c>
      <c r="J51" s="7" t="s">
        <v>609</v>
      </c>
      <c r="K51" s="8" t="s">
        <v>610</v>
      </c>
    </row>
    <row r="52" spans="1:11" x14ac:dyDescent="0.35">
      <c r="A52" s="7">
        <v>2511823</v>
      </c>
      <c r="B52" s="7" t="str">
        <f>"3328111106190003"</f>
        <v>3328111106190003</v>
      </c>
      <c r="C52" s="7" t="str">
        <f t="shared" si="0"/>
        <v>'3328111106190003</v>
      </c>
      <c r="D52" s="7" t="str">
        <f t="shared" si="1"/>
        <v>ganda</v>
      </c>
      <c r="E52" s="7" t="s">
        <v>837</v>
      </c>
      <c r="F52" s="7" t="s">
        <v>10</v>
      </c>
      <c r="G52" s="7" t="s">
        <v>11</v>
      </c>
      <c r="H52" s="7" t="s">
        <v>18</v>
      </c>
      <c r="I52" s="7" t="s">
        <v>19</v>
      </c>
      <c r="J52" s="7" t="s">
        <v>527</v>
      </c>
      <c r="K52" s="8" t="s">
        <v>527</v>
      </c>
    </row>
    <row r="53" spans="1:11" x14ac:dyDescent="0.35">
      <c r="A53" s="7">
        <v>2662274</v>
      </c>
      <c r="B53" s="7" t="str">
        <f>"3328111106190003"</f>
        <v>3328111106190003</v>
      </c>
      <c r="C53" s="7" t="str">
        <f t="shared" si="0"/>
        <v>'3328111106190003</v>
      </c>
      <c r="D53" s="7" t="str">
        <f t="shared" si="1"/>
        <v>ganda</v>
      </c>
      <c r="E53" s="7" t="s">
        <v>838</v>
      </c>
      <c r="F53" s="7" t="s">
        <v>10</v>
      </c>
      <c r="G53" s="7" t="s">
        <v>57</v>
      </c>
      <c r="H53" s="7" t="s">
        <v>18</v>
      </c>
      <c r="I53" s="7" t="s">
        <v>199</v>
      </c>
      <c r="J53" s="7" t="s">
        <v>199</v>
      </c>
      <c r="K53" s="8" t="s">
        <v>839</v>
      </c>
    </row>
    <row r="54" spans="1:11" x14ac:dyDescent="0.35">
      <c r="A54" s="7">
        <v>2496908</v>
      </c>
      <c r="B54" s="7" t="str">
        <f>"3329092711870007"</f>
        <v>3329092711870007</v>
      </c>
      <c r="C54" s="7" t="str">
        <f t="shared" si="0"/>
        <v>'3329092711870007</v>
      </c>
      <c r="D54" s="7" t="str">
        <f t="shared" si="1"/>
        <v>ganda</v>
      </c>
      <c r="E54" s="7" t="s">
        <v>869</v>
      </c>
      <c r="F54" s="7" t="s">
        <v>10</v>
      </c>
      <c r="G54" s="7" t="s">
        <v>11</v>
      </c>
      <c r="H54" s="7" t="s">
        <v>18</v>
      </c>
      <c r="I54" s="7" t="s">
        <v>19</v>
      </c>
      <c r="J54" s="7" t="s">
        <v>527</v>
      </c>
      <c r="K54" s="8" t="s">
        <v>528</v>
      </c>
    </row>
    <row r="55" spans="1:11" x14ac:dyDescent="0.35">
      <c r="A55" s="7">
        <v>254129</v>
      </c>
      <c r="B55" s="7" t="str">
        <f>"3329092711870007"</f>
        <v>3329092711870007</v>
      </c>
      <c r="C55" s="7" t="str">
        <f t="shared" si="0"/>
        <v>'3329092711870007</v>
      </c>
      <c r="D55" s="7" t="str">
        <f t="shared" si="1"/>
        <v>ganda</v>
      </c>
      <c r="E55" s="7" t="s">
        <v>870</v>
      </c>
      <c r="F55" s="7" t="s">
        <v>10</v>
      </c>
      <c r="G55" s="7" t="s">
        <v>57</v>
      </c>
      <c r="H55" s="7" t="s">
        <v>521</v>
      </c>
      <c r="I55" s="7" t="s">
        <v>657</v>
      </c>
      <c r="J55" s="7" t="s">
        <v>658</v>
      </c>
      <c r="K55" s="8" t="s">
        <v>871</v>
      </c>
    </row>
    <row r="56" spans="1:11" x14ac:dyDescent="0.35">
      <c r="A56" s="7">
        <v>1565480</v>
      </c>
      <c r="B56" s="7" t="str">
        <f>"3321011410920002"</f>
        <v>3321011410920002</v>
      </c>
      <c r="C56" s="7" t="str">
        <f t="shared" si="0"/>
        <v>'3321011410920002</v>
      </c>
      <c r="D56" s="7" t="str">
        <f t="shared" si="1"/>
        <v>ganda</v>
      </c>
      <c r="E56" s="7" t="s">
        <v>958</v>
      </c>
      <c r="F56" s="7" t="s">
        <v>10</v>
      </c>
      <c r="G56" s="7" t="s">
        <v>11</v>
      </c>
      <c r="H56" s="7" t="s">
        <v>18</v>
      </c>
      <c r="I56" s="7" t="s">
        <v>19</v>
      </c>
      <c r="J56" s="7" t="s">
        <v>906</v>
      </c>
      <c r="K56" s="8" t="s">
        <v>959</v>
      </c>
    </row>
    <row r="57" spans="1:11" x14ac:dyDescent="0.35">
      <c r="A57" s="7">
        <v>2662276</v>
      </c>
      <c r="B57" s="7" t="str">
        <f>"3321011410920002"</f>
        <v>3321011410920002</v>
      </c>
      <c r="C57" s="7" t="str">
        <f t="shared" si="0"/>
        <v>'3321011410920002</v>
      </c>
      <c r="D57" s="7" t="str">
        <f t="shared" si="1"/>
        <v>ganda</v>
      </c>
      <c r="E57" s="7" t="s">
        <v>960</v>
      </c>
      <c r="F57" s="7" t="s">
        <v>10</v>
      </c>
      <c r="G57" s="7" t="s">
        <v>57</v>
      </c>
      <c r="H57" s="7" t="s">
        <v>18</v>
      </c>
      <c r="I57" s="7" t="s">
        <v>199</v>
      </c>
      <c r="J57" s="7" t="s">
        <v>199</v>
      </c>
      <c r="K57" s="8" t="s">
        <v>839</v>
      </c>
    </row>
    <row r="58" spans="1:11" x14ac:dyDescent="0.35">
      <c r="A58" s="7">
        <v>1593158</v>
      </c>
      <c r="B58" s="7" t="str">
        <f>"3328030211990008"</f>
        <v>3328030211990008</v>
      </c>
      <c r="C58" s="7" t="str">
        <f t="shared" si="0"/>
        <v>'3328030211990008</v>
      </c>
      <c r="D58" s="7" t="str">
        <f t="shared" si="1"/>
        <v>ganda</v>
      </c>
      <c r="E58" s="7" t="s">
        <v>991</v>
      </c>
      <c r="F58" s="7" t="s">
        <v>10</v>
      </c>
      <c r="G58" s="7" t="s">
        <v>11</v>
      </c>
      <c r="H58" s="7" t="s">
        <v>18</v>
      </c>
      <c r="I58" s="7" t="s">
        <v>19</v>
      </c>
      <c r="J58" s="7" t="s">
        <v>906</v>
      </c>
      <c r="K58" s="8" t="s">
        <v>992</v>
      </c>
    </row>
    <row r="59" spans="1:11" x14ac:dyDescent="0.35">
      <c r="A59" s="7">
        <v>1351155</v>
      </c>
      <c r="B59" s="7" t="str">
        <f>"3328030211990008"</f>
        <v>3328030211990008</v>
      </c>
      <c r="C59" s="7" t="str">
        <f t="shared" si="0"/>
        <v>'3328030211990008</v>
      </c>
      <c r="D59" s="7" t="str">
        <f t="shared" si="1"/>
        <v>ganda</v>
      </c>
      <c r="E59" s="7" t="s">
        <v>993</v>
      </c>
      <c r="F59" s="7" t="s">
        <v>10</v>
      </c>
      <c r="G59" s="7" t="s">
        <v>57</v>
      </c>
      <c r="H59" s="7" t="s">
        <v>303</v>
      </c>
      <c r="I59" s="7" t="s">
        <v>608</v>
      </c>
      <c r="J59" s="7" t="s">
        <v>609</v>
      </c>
      <c r="K59" s="8" t="s">
        <v>610</v>
      </c>
    </row>
    <row r="60" spans="1:11" x14ac:dyDescent="0.35">
      <c r="A60" s="7">
        <v>1589129</v>
      </c>
      <c r="B60" s="7" t="str">
        <f>"3328030305020002"</f>
        <v>3328030305020002</v>
      </c>
      <c r="C60" s="7" t="str">
        <f t="shared" si="0"/>
        <v>'3328030305020002</v>
      </c>
      <c r="D60" s="7" t="str">
        <f t="shared" si="1"/>
        <v>ganda</v>
      </c>
      <c r="E60" s="7" t="s">
        <v>994</v>
      </c>
      <c r="F60" s="7" t="s">
        <v>10</v>
      </c>
      <c r="G60" s="7" t="s">
        <v>11</v>
      </c>
      <c r="H60" s="7" t="s">
        <v>18</v>
      </c>
      <c r="I60" s="7" t="s">
        <v>19</v>
      </c>
      <c r="J60" s="7" t="s">
        <v>906</v>
      </c>
      <c r="K60" s="8" t="s">
        <v>929</v>
      </c>
    </row>
    <row r="61" spans="1:11" x14ac:dyDescent="0.35">
      <c r="A61" s="7">
        <v>1351150</v>
      </c>
      <c r="B61" s="7" t="str">
        <f>"3328030305020002"</f>
        <v>3328030305020002</v>
      </c>
      <c r="C61" s="7" t="str">
        <f t="shared" si="0"/>
        <v>'3328030305020002</v>
      </c>
      <c r="D61" s="7" t="str">
        <f t="shared" si="1"/>
        <v>ganda</v>
      </c>
      <c r="E61" s="7" t="s">
        <v>994</v>
      </c>
      <c r="F61" s="7" t="s">
        <v>10</v>
      </c>
      <c r="G61" s="7" t="s">
        <v>57</v>
      </c>
      <c r="H61" s="7" t="s">
        <v>303</v>
      </c>
      <c r="I61" s="7" t="s">
        <v>608</v>
      </c>
      <c r="J61" s="7" t="s">
        <v>609</v>
      </c>
      <c r="K61" s="8" t="s">
        <v>610</v>
      </c>
    </row>
    <row r="62" spans="1:11" x14ac:dyDescent="0.35">
      <c r="A62" s="7">
        <v>1583654</v>
      </c>
      <c r="B62" s="7" t="str">
        <f>"3328030502020005"</f>
        <v>3328030502020005</v>
      </c>
      <c r="C62" s="7" t="str">
        <f t="shared" si="0"/>
        <v>'3328030502020005</v>
      </c>
      <c r="D62" s="7" t="str">
        <f t="shared" si="1"/>
        <v>ganda</v>
      </c>
      <c r="E62" s="7" t="s">
        <v>1001</v>
      </c>
      <c r="F62" s="7" t="s">
        <v>10</v>
      </c>
      <c r="G62" s="7" t="s">
        <v>11</v>
      </c>
      <c r="H62" s="7" t="s">
        <v>18</v>
      </c>
      <c r="I62" s="7" t="s">
        <v>19</v>
      </c>
      <c r="J62" s="7" t="s">
        <v>906</v>
      </c>
      <c r="K62" s="8" t="s">
        <v>906</v>
      </c>
    </row>
    <row r="63" spans="1:11" x14ac:dyDescent="0.35">
      <c r="A63" s="7">
        <v>1351130</v>
      </c>
      <c r="B63" s="7" t="str">
        <f>"3328030502020005"</f>
        <v>3328030502020005</v>
      </c>
      <c r="C63" s="7" t="str">
        <f t="shared" si="0"/>
        <v>'3328030502020005</v>
      </c>
      <c r="D63" s="7" t="str">
        <f t="shared" si="1"/>
        <v>ganda</v>
      </c>
      <c r="E63" s="7" t="s">
        <v>1002</v>
      </c>
      <c r="F63" s="7" t="s">
        <v>10</v>
      </c>
      <c r="G63" s="7" t="s">
        <v>57</v>
      </c>
      <c r="H63" s="7" t="s">
        <v>303</v>
      </c>
      <c r="I63" s="7" t="s">
        <v>608</v>
      </c>
      <c r="J63" s="7" t="s">
        <v>609</v>
      </c>
      <c r="K63" s="8" t="s">
        <v>610</v>
      </c>
    </row>
    <row r="64" spans="1:11" x14ac:dyDescent="0.35">
      <c r="A64" s="7">
        <v>1573256</v>
      </c>
      <c r="B64" s="7" t="str">
        <f>"3328030504000003"</f>
        <v>3328030504000003</v>
      </c>
      <c r="C64" s="7" t="str">
        <f t="shared" si="0"/>
        <v>'3328030504000003</v>
      </c>
      <c r="D64" s="7" t="str">
        <f t="shared" si="1"/>
        <v>ganda</v>
      </c>
      <c r="E64" s="7" t="s">
        <v>1003</v>
      </c>
      <c r="F64" s="7" t="s">
        <v>10</v>
      </c>
      <c r="G64" s="7" t="s">
        <v>11</v>
      </c>
      <c r="H64" s="7" t="s">
        <v>18</v>
      </c>
      <c r="I64" s="7" t="s">
        <v>19</v>
      </c>
      <c r="J64" s="7" t="s">
        <v>906</v>
      </c>
      <c r="K64" s="8" t="s">
        <v>942</v>
      </c>
    </row>
    <row r="65" spans="1:11" x14ac:dyDescent="0.35">
      <c r="A65" s="7">
        <v>1351166</v>
      </c>
      <c r="B65" s="7" t="str">
        <f>"3328030504000003"</f>
        <v>3328030504000003</v>
      </c>
      <c r="C65" s="7" t="str">
        <f t="shared" si="0"/>
        <v>'3328030504000003</v>
      </c>
      <c r="D65" s="7" t="str">
        <f t="shared" si="1"/>
        <v>ganda</v>
      </c>
      <c r="E65" s="7" t="s">
        <v>1004</v>
      </c>
      <c r="F65" s="7" t="s">
        <v>10</v>
      </c>
      <c r="G65" s="7" t="s">
        <v>57</v>
      </c>
      <c r="H65" s="7" t="s">
        <v>303</v>
      </c>
      <c r="I65" s="7" t="s">
        <v>608</v>
      </c>
      <c r="J65" s="7" t="s">
        <v>609</v>
      </c>
      <c r="K65" s="8" t="s">
        <v>610</v>
      </c>
    </row>
    <row r="66" spans="1:11" x14ac:dyDescent="0.35">
      <c r="A66" s="7">
        <v>1586889</v>
      </c>
      <c r="B66" s="7" t="str">
        <f>"3328030504020001"</f>
        <v>3328030504020001</v>
      </c>
      <c r="C66" s="7" t="str">
        <f t="shared" ref="C66:C129" si="2">"'"&amp;B66</f>
        <v>'3328030504020001</v>
      </c>
      <c r="D66" s="7" t="str">
        <f t="shared" ref="D66:D129" si="3">IF(COUNTIF($C:$C,C66)&gt;1,"ganda","tidak ganda")</f>
        <v>ganda</v>
      </c>
      <c r="E66" s="7" t="s">
        <v>1005</v>
      </c>
      <c r="F66" s="7" t="s">
        <v>10</v>
      </c>
      <c r="G66" s="7" t="s">
        <v>11</v>
      </c>
      <c r="H66" s="7" t="s">
        <v>18</v>
      </c>
      <c r="I66" s="7" t="s">
        <v>19</v>
      </c>
      <c r="J66" s="7" t="s">
        <v>906</v>
      </c>
      <c r="K66" s="8" t="s">
        <v>906</v>
      </c>
    </row>
    <row r="67" spans="1:11" x14ac:dyDescent="0.35">
      <c r="A67" s="7">
        <v>1351136</v>
      </c>
      <c r="B67" s="7" t="str">
        <f>"3328030504020001"</f>
        <v>3328030504020001</v>
      </c>
      <c r="C67" s="7" t="str">
        <f t="shared" si="2"/>
        <v>'3328030504020001</v>
      </c>
      <c r="D67" s="7" t="str">
        <f t="shared" si="3"/>
        <v>ganda</v>
      </c>
      <c r="E67" s="7" t="s">
        <v>1005</v>
      </c>
      <c r="F67" s="7" t="s">
        <v>10</v>
      </c>
      <c r="G67" s="7" t="s">
        <v>57</v>
      </c>
      <c r="H67" s="7" t="s">
        <v>303</v>
      </c>
      <c r="I67" s="7" t="s">
        <v>608</v>
      </c>
      <c r="J67" s="7" t="s">
        <v>609</v>
      </c>
      <c r="K67" s="8" t="s">
        <v>610</v>
      </c>
    </row>
    <row r="68" spans="1:11" x14ac:dyDescent="0.35">
      <c r="A68" s="7">
        <v>1578999</v>
      </c>
      <c r="B68" s="7" t="str">
        <f>"3328030505020002"</f>
        <v>3328030505020002</v>
      </c>
      <c r="C68" s="7" t="str">
        <f t="shared" si="2"/>
        <v>'3328030505020002</v>
      </c>
      <c r="D68" s="7" t="str">
        <f t="shared" si="3"/>
        <v>ganda</v>
      </c>
      <c r="E68" s="7" t="s">
        <v>1009</v>
      </c>
      <c r="F68" s="7" t="s">
        <v>10</v>
      </c>
      <c r="G68" s="7" t="s">
        <v>11</v>
      </c>
      <c r="H68" s="7" t="s">
        <v>18</v>
      </c>
      <c r="I68" s="7" t="s">
        <v>19</v>
      </c>
      <c r="J68" s="7" t="s">
        <v>906</v>
      </c>
      <c r="K68" s="8" t="s">
        <v>942</v>
      </c>
    </row>
    <row r="69" spans="1:11" x14ac:dyDescent="0.35">
      <c r="A69" s="7">
        <v>1351168</v>
      </c>
      <c r="B69" s="7" t="str">
        <f>"3328030505020002"</f>
        <v>3328030505020002</v>
      </c>
      <c r="C69" s="7" t="str">
        <f t="shared" si="2"/>
        <v>'3328030505020002</v>
      </c>
      <c r="D69" s="7" t="str">
        <f t="shared" si="3"/>
        <v>ganda</v>
      </c>
      <c r="E69" s="7" t="s">
        <v>1009</v>
      </c>
      <c r="F69" s="7" t="s">
        <v>10</v>
      </c>
      <c r="G69" s="7" t="s">
        <v>57</v>
      </c>
      <c r="H69" s="7" t="s">
        <v>303</v>
      </c>
      <c r="I69" s="7" t="s">
        <v>608</v>
      </c>
      <c r="J69" s="7" t="s">
        <v>609</v>
      </c>
      <c r="K69" s="8" t="s">
        <v>610</v>
      </c>
    </row>
    <row r="70" spans="1:11" x14ac:dyDescent="0.35">
      <c r="A70" s="7">
        <v>1558832</v>
      </c>
      <c r="B70" s="7" t="str">
        <f>"3328030604990013"</f>
        <v>3328030604990013</v>
      </c>
      <c r="C70" s="7" t="str">
        <f t="shared" si="2"/>
        <v>'3328030604990013</v>
      </c>
      <c r="D70" s="7" t="str">
        <f t="shared" si="3"/>
        <v>ganda</v>
      </c>
      <c r="E70" s="7" t="s">
        <v>1010</v>
      </c>
      <c r="F70" s="7" t="s">
        <v>10</v>
      </c>
      <c r="G70" s="7" t="s">
        <v>11</v>
      </c>
      <c r="H70" s="7" t="s">
        <v>18</v>
      </c>
      <c r="I70" s="7" t="s">
        <v>19</v>
      </c>
      <c r="J70" s="7" t="s">
        <v>906</v>
      </c>
      <c r="K70" s="8" t="s">
        <v>1011</v>
      </c>
    </row>
    <row r="71" spans="1:11" x14ac:dyDescent="0.35">
      <c r="A71" s="7">
        <v>1351163</v>
      </c>
      <c r="B71" s="7" t="str">
        <f>"3328030604990013"</f>
        <v>3328030604990013</v>
      </c>
      <c r="C71" s="7" t="str">
        <f t="shared" si="2"/>
        <v>'3328030604990013</v>
      </c>
      <c r="D71" s="7" t="str">
        <f t="shared" si="3"/>
        <v>ganda</v>
      </c>
      <c r="E71" s="7" t="s">
        <v>1012</v>
      </c>
      <c r="F71" s="7" t="s">
        <v>10</v>
      </c>
      <c r="G71" s="7" t="s">
        <v>57</v>
      </c>
      <c r="H71" s="7" t="s">
        <v>303</v>
      </c>
      <c r="I71" s="7" t="s">
        <v>608</v>
      </c>
      <c r="J71" s="7" t="s">
        <v>609</v>
      </c>
      <c r="K71" s="8" t="s">
        <v>610</v>
      </c>
    </row>
    <row r="72" spans="1:11" x14ac:dyDescent="0.35">
      <c r="A72" s="7">
        <v>1573047</v>
      </c>
      <c r="B72" s="7" t="str">
        <f>"3328030606060004"</f>
        <v>3328030606060004</v>
      </c>
      <c r="C72" s="7" t="str">
        <f t="shared" si="2"/>
        <v>'3328030606060004</v>
      </c>
      <c r="D72" s="7" t="str">
        <f t="shared" si="3"/>
        <v>ganda</v>
      </c>
      <c r="E72" s="7" t="s">
        <v>1013</v>
      </c>
      <c r="F72" s="7" t="s">
        <v>10</v>
      </c>
      <c r="G72" s="7" t="s">
        <v>11</v>
      </c>
      <c r="H72" s="7" t="s">
        <v>18</v>
      </c>
      <c r="I72" s="7" t="s">
        <v>19</v>
      </c>
      <c r="J72" s="7" t="s">
        <v>906</v>
      </c>
      <c r="K72" s="8" t="s">
        <v>942</v>
      </c>
    </row>
    <row r="73" spans="1:11" x14ac:dyDescent="0.35">
      <c r="A73" s="7">
        <v>1351173</v>
      </c>
      <c r="B73" s="7" t="str">
        <f>"3328030606060004"</f>
        <v>3328030606060004</v>
      </c>
      <c r="C73" s="7" t="str">
        <f t="shared" si="2"/>
        <v>'3328030606060004</v>
      </c>
      <c r="D73" s="7" t="str">
        <f t="shared" si="3"/>
        <v>ganda</v>
      </c>
      <c r="E73" s="7" t="s">
        <v>1014</v>
      </c>
      <c r="F73" s="7" t="s">
        <v>10</v>
      </c>
      <c r="G73" s="7" t="s">
        <v>57</v>
      </c>
      <c r="H73" s="7" t="s">
        <v>303</v>
      </c>
      <c r="I73" s="7" t="s">
        <v>608</v>
      </c>
      <c r="J73" s="7" t="s">
        <v>609</v>
      </c>
      <c r="K73" s="8" t="s">
        <v>610</v>
      </c>
    </row>
    <row r="74" spans="1:11" x14ac:dyDescent="0.35">
      <c r="A74" s="7">
        <v>1558843</v>
      </c>
      <c r="B74" s="7" t="str">
        <f>"3328030701980004"</f>
        <v>3328030701980004</v>
      </c>
      <c r="C74" s="7" t="str">
        <f t="shared" si="2"/>
        <v>'3328030701980004</v>
      </c>
      <c r="D74" s="7" t="str">
        <f t="shared" si="3"/>
        <v>ganda</v>
      </c>
      <c r="E74" s="7" t="s">
        <v>1020</v>
      </c>
      <c r="F74" s="7" t="s">
        <v>10</v>
      </c>
      <c r="G74" s="7" t="s">
        <v>11</v>
      </c>
      <c r="H74" s="7" t="s">
        <v>18</v>
      </c>
      <c r="I74" s="7" t="s">
        <v>19</v>
      </c>
      <c r="J74" s="7" t="s">
        <v>906</v>
      </c>
      <c r="K74" s="8" t="s">
        <v>1011</v>
      </c>
    </row>
    <row r="75" spans="1:11" x14ac:dyDescent="0.35">
      <c r="A75" s="7">
        <v>1351164</v>
      </c>
      <c r="B75" s="7" t="str">
        <f>"3328030701980004"</f>
        <v>3328030701980004</v>
      </c>
      <c r="C75" s="7" t="str">
        <f t="shared" si="2"/>
        <v>'3328030701980004</v>
      </c>
      <c r="D75" s="7" t="str">
        <f t="shared" si="3"/>
        <v>ganda</v>
      </c>
      <c r="E75" s="7" t="s">
        <v>1020</v>
      </c>
      <c r="F75" s="7" t="s">
        <v>10</v>
      </c>
      <c r="G75" s="7" t="s">
        <v>57</v>
      </c>
      <c r="H75" s="7" t="s">
        <v>303</v>
      </c>
      <c r="I75" s="7" t="s">
        <v>608</v>
      </c>
      <c r="J75" s="7" t="s">
        <v>609</v>
      </c>
      <c r="K75" s="8" t="s">
        <v>610</v>
      </c>
    </row>
    <row r="76" spans="1:11" x14ac:dyDescent="0.35">
      <c r="A76" s="7">
        <v>1589023</v>
      </c>
      <c r="B76" s="7" t="str">
        <f>"3328030808720003"</f>
        <v>3328030808720003</v>
      </c>
      <c r="C76" s="7" t="str">
        <f t="shared" si="2"/>
        <v>'3328030808720003</v>
      </c>
      <c r="D76" s="7" t="str">
        <f t="shared" si="3"/>
        <v>ganda</v>
      </c>
      <c r="E76" s="7" t="s">
        <v>1021</v>
      </c>
      <c r="F76" s="7" t="s">
        <v>10</v>
      </c>
      <c r="G76" s="7" t="s">
        <v>11</v>
      </c>
      <c r="H76" s="7" t="s">
        <v>18</v>
      </c>
      <c r="I76" s="7" t="s">
        <v>19</v>
      </c>
      <c r="J76" s="7" t="s">
        <v>906</v>
      </c>
      <c r="K76" s="8" t="s">
        <v>929</v>
      </c>
    </row>
    <row r="77" spans="1:11" x14ac:dyDescent="0.35">
      <c r="A77" s="7">
        <v>1352880</v>
      </c>
      <c r="B77" s="7" t="str">
        <f>"3328030808720003"</f>
        <v>3328030808720003</v>
      </c>
      <c r="C77" s="7" t="str">
        <f t="shared" si="2"/>
        <v>'3328030808720003</v>
      </c>
      <c r="D77" s="7" t="str">
        <f t="shared" si="3"/>
        <v>ganda</v>
      </c>
      <c r="E77" s="7" t="s">
        <v>1022</v>
      </c>
      <c r="F77" s="7" t="s">
        <v>10</v>
      </c>
      <c r="G77" s="7" t="s">
        <v>57</v>
      </c>
      <c r="H77" s="7" t="s">
        <v>303</v>
      </c>
      <c r="I77" s="7" t="s">
        <v>608</v>
      </c>
      <c r="J77" s="7" t="s">
        <v>609</v>
      </c>
      <c r="K77" s="8" t="s">
        <v>610</v>
      </c>
    </row>
    <row r="78" spans="1:11" x14ac:dyDescent="0.35">
      <c r="A78" s="7">
        <v>1592189</v>
      </c>
      <c r="B78" s="7" t="str">
        <f>"3328030909020006"</f>
        <v>3328030909020006</v>
      </c>
      <c r="C78" s="7" t="str">
        <f t="shared" si="2"/>
        <v>'3328030909020006</v>
      </c>
      <c r="D78" s="7" t="str">
        <f t="shared" si="3"/>
        <v>ganda</v>
      </c>
      <c r="E78" s="7" t="s">
        <v>1026</v>
      </c>
      <c r="F78" s="7" t="s">
        <v>10</v>
      </c>
      <c r="G78" s="7" t="s">
        <v>11</v>
      </c>
      <c r="H78" s="7" t="s">
        <v>18</v>
      </c>
      <c r="I78" s="7" t="s">
        <v>19</v>
      </c>
      <c r="J78" s="7" t="s">
        <v>906</v>
      </c>
      <c r="K78" s="8" t="s">
        <v>992</v>
      </c>
    </row>
    <row r="79" spans="1:11" x14ac:dyDescent="0.35">
      <c r="A79" s="7">
        <v>1351156</v>
      </c>
      <c r="B79" s="7" t="str">
        <f>"3328030909020006"</f>
        <v>3328030909020006</v>
      </c>
      <c r="C79" s="7" t="str">
        <f t="shared" si="2"/>
        <v>'3328030909020006</v>
      </c>
      <c r="D79" s="7" t="str">
        <f t="shared" si="3"/>
        <v>ganda</v>
      </c>
      <c r="E79" s="7" t="s">
        <v>1027</v>
      </c>
      <c r="F79" s="7" t="s">
        <v>10</v>
      </c>
      <c r="G79" s="7" t="s">
        <v>57</v>
      </c>
      <c r="H79" s="7" t="s">
        <v>303</v>
      </c>
      <c r="I79" s="7" t="s">
        <v>608</v>
      </c>
      <c r="J79" s="7" t="s">
        <v>609</v>
      </c>
      <c r="K79" s="8" t="s">
        <v>610</v>
      </c>
    </row>
    <row r="80" spans="1:11" x14ac:dyDescent="0.35">
      <c r="A80" s="7">
        <v>1570890</v>
      </c>
      <c r="B80" s="7" t="str">
        <f>"3328031207020010"</f>
        <v>3328031207020010</v>
      </c>
      <c r="C80" s="7" t="str">
        <f t="shared" si="2"/>
        <v>'3328031207020010</v>
      </c>
      <c r="D80" s="7" t="str">
        <f t="shared" si="3"/>
        <v>ganda</v>
      </c>
      <c r="E80" s="7" t="s">
        <v>1030</v>
      </c>
      <c r="F80" s="7" t="s">
        <v>10</v>
      </c>
      <c r="G80" s="7" t="s">
        <v>11</v>
      </c>
      <c r="H80" s="7" t="s">
        <v>18</v>
      </c>
      <c r="I80" s="7" t="s">
        <v>19</v>
      </c>
      <c r="J80" s="7" t="s">
        <v>906</v>
      </c>
      <c r="K80" s="8" t="s">
        <v>933</v>
      </c>
    </row>
    <row r="81" spans="1:11" x14ac:dyDescent="0.35">
      <c r="A81" s="7">
        <v>1351153</v>
      </c>
      <c r="B81" s="7" t="str">
        <f>"3328031207020010"</f>
        <v>3328031207020010</v>
      </c>
      <c r="C81" s="7" t="str">
        <f t="shared" si="2"/>
        <v>'3328031207020010</v>
      </c>
      <c r="D81" s="7" t="str">
        <f t="shared" si="3"/>
        <v>ganda</v>
      </c>
      <c r="E81" s="7" t="s">
        <v>1030</v>
      </c>
      <c r="F81" s="7" t="s">
        <v>10</v>
      </c>
      <c r="G81" s="7" t="s">
        <v>57</v>
      </c>
      <c r="H81" s="7" t="s">
        <v>303</v>
      </c>
      <c r="I81" s="7" t="s">
        <v>608</v>
      </c>
      <c r="J81" s="7" t="s">
        <v>609</v>
      </c>
      <c r="K81" s="8" t="s">
        <v>610</v>
      </c>
    </row>
    <row r="82" spans="1:11" x14ac:dyDescent="0.35">
      <c r="A82" s="7">
        <v>1592084</v>
      </c>
      <c r="B82" s="7" t="str">
        <f>"3328031308010005"</f>
        <v>3328031308010005</v>
      </c>
      <c r="C82" s="7" t="str">
        <f t="shared" si="2"/>
        <v>'3328031308010005</v>
      </c>
      <c r="D82" s="7" t="str">
        <f t="shared" si="3"/>
        <v>ganda</v>
      </c>
      <c r="E82" s="7" t="s">
        <v>1031</v>
      </c>
      <c r="F82" s="7" t="s">
        <v>10</v>
      </c>
      <c r="G82" s="7" t="s">
        <v>11</v>
      </c>
      <c r="H82" s="7" t="s">
        <v>18</v>
      </c>
      <c r="I82" s="7" t="s">
        <v>19</v>
      </c>
      <c r="J82" s="7" t="s">
        <v>906</v>
      </c>
      <c r="K82" s="8" t="s">
        <v>992</v>
      </c>
    </row>
    <row r="83" spans="1:11" x14ac:dyDescent="0.35">
      <c r="A83" s="7">
        <v>1351157</v>
      </c>
      <c r="B83" s="7" t="str">
        <f>"3328031308010005"</f>
        <v>3328031308010005</v>
      </c>
      <c r="C83" s="7" t="str">
        <f t="shared" si="2"/>
        <v>'3328031308010005</v>
      </c>
      <c r="D83" s="7" t="str">
        <f t="shared" si="3"/>
        <v>ganda</v>
      </c>
      <c r="E83" s="7" t="s">
        <v>1031</v>
      </c>
      <c r="F83" s="7" t="s">
        <v>10</v>
      </c>
      <c r="G83" s="7" t="s">
        <v>57</v>
      </c>
      <c r="H83" s="7" t="s">
        <v>303</v>
      </c>
      <c r="I83" s="7" t="s">
        <v>608</v>
      </c>
      <c r="J83" s="7" t="s">
        <v>609</v>
      </c>
      <c r="K83" s="8" t="s">
        <v>610</v>
      </c>
    </row>
    <row r="84" spans="1:11" x14ac:dyDescent="0.35">
      <c r="A84" s="7">
        <v>1585805</v>
      </c>
      <c r="B84" s="7" t="str">
        <f>"3328031503040005"</f>
        <v>3328031503040005</v>
      </c>
      <c r="C84" s="7" t="str">
        <f t="shared" si="2"/>
        <v>'3328031503040005</v>
      </c>
      <c r="D84" s="7" t="str">
        <f t="shared" si="3"/>
        <v>ganda</v>
      </c>
      <c r="E84" s="7" t="s">
        <v>1032</v>
      </c>
      <c r="F84" s="7" t="s">
        <v>10</v>
      </c>
      <c r="G84" s="7" t="s">
        <v>11</v>
      </c>
      <c r="H84" s="7" t="s">
        <v>18</v>
      </c>
      <c r="I84" s="7" t="s">
        <v>19</v>
      </c>
      <c r="J84" s="7" t="s">
        <v>906</v>
      </c>
      <c r="K84" s="8" t="s">
        <v>906</v>
      </c>
    </row>
    <row r="85" spans="1:11" x14ac:dyDescent="0.35">
      <c r="A85" s="7">
        <v>1351135</v>
      </c>
      <c r="B85" s="7" t="str">
        <f>"3328031503040005"</f>
        <v>3328031503040005</v>
      </c>
      <c r="C85" s="7" t="str">
        <f t="shared" si="2"/>
        <v>'3328031503040005</v>
      </c>
      <c r="D85" s="7" t="str">
        <f t="shared" si="3"/>
        <v>ganda</v>
      </c>
      <c r="E85" s="7" t="s">
        <v>1033</v>
      </c>
      <c r="F85" s="7" t="s">
        <v>10</v>
      </c>
      <c r="G85" s="7" t="s">
        <v>57</v>
      </c>
      <c r="H85" s="7" t="s">
        <v>303</v>
      </c>
      <c r="I85" s="7" t="s">
        <v>608</v>
      </c>
      <c r="J85" s="7" t="s">
        <v>609</v>
      </c>
      <c r="K85" s="8" t="s">
        <v>610</v>
      </c>
    </row>
    <row r="86" spans="1:11" x14ac:dyDescent="0.35">
      <c r="A86" s="7">
        <v>1575478</v>
      </c>
      <c r="B86" s="7" t="str">
        <f>"3328031505000002"</f>
        <v>3328031505000002</v>
      </c>
      <c r="C86" s="7" t="str">
        <f t="shared" si="2"/>
        <v>'3328031505000002</v>
      </c>
      <c r="D86" s="7" t="str">
        <f t="shared" si="3"/>
        <v>ganda</v>
      </c>
      <c r="E86" s="7" t="s">
        <v>1034</v>
      </c>
      <c r="F86" s="7" t="s">
        <v>10</v>
      </c>
      <c r="G86" s="7" t="s">
        <v>11</v>
      </c>
      <c r="H86" s="7" t="s">
        <v>18</v>
      </c>
      <c r="I86" s="7" t="s">
        <v>19</v>
      </c>
      <c r="J86" s="7" t="s">
        <v>906</v>
      </c>
      <c r="K86" s="8" t="s">
        <v>942</v>
      </c>
    </row>
    <row r="87" spans="1:11" x14ac:dyDescent="0.35">
      <c r="A87" s="7">
        <v>423773</v>
      </c>
      <c r="B87" s="7" t="str">
        <f>"3328031505000002"</f>
        <v>3328031505000002</v>
      </c>
      <c r="C87" s="7" t="str">
        <f t="shared" si="2"/>
        <v>'3328031505000002</v>
      </c>
      <c r="D87" s="7" t="str">
        <f t="shared" si="3"/>
        <v>ganda</v>
      </c>
      <c r="E87" s="7" t="s">
        <v>1035</v>
      </c>
      <c r="F87" s="7" t="s">
        <v>10</v>
      </c>
      <c r="G87" s="7" t="s">
        <v>57</v>
      </c>
      <c r="H87" s="7" t="s">
        <v>18</v>
      </c>
      <c r="I87" s="7" t="s">
        <v>268</v>
      </c>
      <c r="J87" s="7" t="s">
        <v>277</v>
      </c>
      <c r="K87" s="8" t="s">
        <v>278</v>
      </c>
    </row>
    <row r="88" spans="1:11" x14ac:dyDescent="0.35">
      <c r="A88" s="7">
        <v>1590551</v>
      </c>
      <c r="B88" s="7" t="str">
        <f>"3328031505970010"</f>
        <v>3328031505970010</v>
      </c>
      <c r="C88" s="7" t="str">
        <f t="shared" si="2"/>
        <v>'3328031505970010</v>
      </c>
      <c r="D88" s="7" t="str">
        <f t="shared" si="3"/>
        <v>ganda</v>
      </c>
      <c r="E88" s="7" t="s">
        <v>1036</v>
      </c>
      <c r="F88" s="7" t="s">
        <v>10</v>
      </c>
      <c r="G88" s="7" t="s">
        <v>11</v>
      </c>
      <c r="H88" s="7" t="s">
        <v>18</v>
      </c>
      <c r="I88" s="7" t="s">
        <v>19</v>
      </c>
      <c r="J88" s="7" t="s">
        <v>906</v>
      </c>
      <c r="K88" s="8" t="s">
        <v>992</v>
      </c>
    </row>
    <row r="89" spans="1:11" x14ac:dyDescent="0.35">
      <c r="A89" s="7">
        <v>1351158</v>
      </c>
      <c r="B89" s="7" t="str">
        <f>"3328031505970010"</f>
        <v>3328031505970010</v>
      </c>
      <c r="C89" s="7" t="str">
        <f t="shared" si="2"/>
        <v>'3328031505970010</v>
      </c>
      <c r="D89" s="7" t="str">
        <f t="shared" si="3"/>
        <v>ganda</v>
      </c>
      <c r="E89" s="7" t="s">
        <v>1037</v>
      </c>
      <c r="F89" s="7" t="s">
        <v>10</v>
      </c>
      <c r="G89" s="7" t="s">
        <v>57</v>
      </c>
      <c r="H89" s="7" t="s">
        <v>303</v>
      </c>
      <c r="I89" s="7" t="s">
        <v>608</v>
      </c>
      <c r="J89" s="7" t="s">
        <v>609</v>
      </c>
      <c r="K89" s="8" t="s">
        <v>610</v>
      </c>
    </row>
    <row r="90" spans="1:11" x14ac:dyDescent="0.35">
      <c r="A90" s="7">
        <v>1594184</v>
      </c>
      <c r="B90" s="7" t="str">
        <f>"3328031606950003"</f>
        <v>3328031606950003</v>
      </c>
      <c r="C90" s="7" t="str">
        <f t="shared" si="2"/>
        <v>'3328031606950003</v>
      </c>
      <c r="D90" s="7" t="str">
        <f t="shared" si="3"/>
        <v>ganda</v>
      </c>
      <c r="E90" s="7" t="s">
        <v>1056</v>
      </c>
      <c r="F90" s="7" t="s">
        <v>10</v>
      </c>
      <c r="G90" s="7" t="s">
        <v>11</v>
      </c>
      <c r="H90" s="7" t="s">
        <v>18</v>
      </c>
      <c r="I90" s="7" t="s">
        <v>19</v>
      </c>
      <c r="J90" s="7" t="s">
        <v>906</v>
      </c>
      <c r="K90" s="8" t="s">
        <v>978</v>
      </c>
    </row>
    <row r="91" spans="1:11" x14ac:dyDescent="0.35">
      <c r="A91" s="7">
        <v>1433623</v>
      </c>
      <c r="B91" s="7" t="str">
        <f>"3328031606950003"</f>
        <v>3328031606950003</v>
      </c>
      <c r="C91" s="7" t="str">
        <f t="shared" si="2"/>
        <v>'3328031606950003</v>
      </c>
      <c r="D91" s="7" t="str">
        <f t="shared" si="3"/>
        <v>ganda</v>
      </c>
      <c r="E91" s="7" t="s">
        <v>1056</v>
      </c>
      <c r="F91" s="7" t="s">
        <v>10</v>
      </c>
      <c r="G91" s="7" t="s">
        <v>11</v>
      </c>
      <c r="H91" s="7" t="s">
        <v>91</v>
      </c>
      <c r="I91" s="7" t="s">
        <v>903</v>
      </c>
      <c r="J91" s="7" t="s">
        <v>1057</v>
      </c>
      <c r="K91" s="8" t="s">
        <v>1058</v>
      </c>
    </row>
    <row r="92" spans="1:11" x14ac:dyDescent="0.35">
      <c r="A92" s="7">
        <v>1573407</v>
      </c>
      <c r="B92" s="7" t="str">
        <f>"3328031608050001"</f>
        <v>3328031608050001</v>
      </c>
      <c r="C92" s="7" t="str">
        <f t="shared" si="2"/>
        <v>'3328031608050001</v>
      </c>
      <c r="D92" s="7" t="str">
        <f t="shared" si="3"/>
        <v>ganda</v>
      </c>
      <c r="E92" s="7" t="s">
        <v>1059</v>
      </c>
      <c r="F92" s="7" t="s">
        <v>10</v>
      </c>
      <c r="G92" s="7" t="s">
        <v>11</v>
      </c>
      <c r="H92" s="7" t="s">
        <v>18</v>
      </c>
      <c r="I92" s="7" t="s">
        <v>19</v>
      </c>
      <c r="J92" s="7" t="s">
        <v>906</v>
      </c>
      <c r="K92" s="8" t="s">
        <v>942</v>
      </c>
    </row>
    <row r="93" spans="1:11" x14ac:dyDescent="0.35">
      <c r="A93" s="7">
        <v>1351137</v>
      </c>
      <c r="B93" s="7" t="str">
        <f>"3328031608050001"</f>
        <v>3328031608050001</v>
      </c>
      <c r="C93" s="7" t="str">
        <f t="shared" si="2"/>
        <v>'3328031608050001</v>
      </c>
      <c r="D93" s="7" t="str">
        <f t="shared" si="3"/>
        <v>ganda</v>
      </c>
      <c r="E93" s="7" t="s">
        <v>1060</v>
      </c>
      <c r="F93" s="7" t="s">
        <v>10</v>
      </c>
      <c r="G93" s="7" t="s">
        <v>57</v>
      </c>
      <c r="H93" s="7" t="s">
        <v>303</v>
      </c>
      <c r="I93" s="7" t="s">
        <v>608</v>
      </c>
      <c r="J93" s="7" t="s">
        <v>609</v>
      </c>
      <c r="K93" s="8" t="s">
        <v>610</v>
      </c>
    </row>
    <row r="94" spans="1:11" x14ac:dyDescent="0.35">
      <c r="A94" s="7">
        <v>1579718</v>
      </c>
      <c r="B94" s="7" t="str">
        <f>"3328031812060007"</f>
        <v>3328031812060007</v>
      </c>
      <c r="C94" s="7" t="str">
        <f t="shared" si="2"/>
        <v>'3328031812060007</v>
      </c>
      <c r="D94" s="7" t="str">
        <f t="shared" si="3"/>
        <v>ganda</v>
      </c>
      <c r="E94" s="7" t="s">
        <v>1062</v>
      </c>
      <c r="F94" s="7" t="s">
        <v>10</v>
      </c>
      <c r="G94" s="7" t="s">
        <v>11</v>
      </c>
      <c r="H94" s="7" t="s">
        <v>18</v>
      </c>
      <c r="I94" s="7" t="s">
        <v>19</v>
      </c>
      <c r="J94" s="7" t="s">
        <v>906</v>
      </c>
      <c r="K94" s="8" t="s">
        <v>942</v>
      </c>
    </row>
    <row r="95" spans="1:11" x14ac:dyDescent="0.35">
      <c r="A95" s="7">
        <v>1351140</v>
      </c>
      <c r="B95" s="7" t="str">
        <f>"3328031812060007"</f>
        <v>3328031812060007</v>
      </c>
      <c r="C95" s="7" t="str">
        <f t="shared" si="2"/>
        <v>'3328031812060007</v>
      </c>
      <c r="D95" s="7" t="str">
        <f t="shared" si="3"/>
        <v>ganda</v>
      </c>
      <c r="E95" s="7" t="s">
        <v>1062</v>
      </c>
      <c r="F95" s="7" t="s">
        <v>10</v>
      </c>
      <c r="G95" s="7" t="s">
        <v>57</v>
      </c>
      <c r="H95" s="7" t="s">
        <v>303</v>
      </c>
      <c r="I95" s="7" t="s">
        <v>608</v>
      </c>
      <c r="J95" s="7" t="s">
        <v>609</v>
      </c>
      <c r="K95" s="8" t="s">
        <v>610</v>
      </c>
    </row>
    <row r="96" spans="1:11" x14ac:dyDescent="0.35">
      <c r="A96" s="7">
        <v>1578952</v>
      </c>
      <c r="B96" s="7" t="str">
        <f>"3328031912020002"</f>
        <v>3328031912020002</v>
      </c>
      <c r="C96" s="7" t="str">
        <f t="shared" si="2"/>
        <v>'3328031912020002</v>
      </c>
      <c r="D96" s="7" t="str">
        <f t="shared" si="3"/>
        <v>ganda</v>
      </c>
      <c r="E96" s="7" t="s">
        <v>1063</v>
      </c>
      <c r="F96" s="7" t="s">
        <v>10</v>
      </c>
      <c r="G96" s="7" t="s">
        <v>11</v>
      </c>
      <c r="H96" s="7" t="s">
        <v>18</v>
      </c>
      <c r="I96" s="7" t="s">
        <v>19</v>
      </c>
      <c r="J96" s="7" t="s">
        <v>906</v>
      </c>
      <c r="K96" s="8" t="s">
        <v>942</v>
      </c>
    </row>
    <row r="97" spans="1:11" x14ac:dyDescent="0.35">
      <c r="A97" s="7">
        <v>1351169</v>
      </c>
      <c r="B97" s="7" t="str">
        <f>"3328031912020002"</f>
        <v>3328031912020002</v>
      </c>
      <c r="C97" s="7" t="str">
        <f t="shared" si="2"/>
        <v>'3328031912020002</v>
      </c>
      <c r="D97" s="7" t="str">
        <f t="shared" si="3"/>
        <v>ganda</v>
      </c>
      <c r="E97" s="7" t="s">
        <v>1063</v>
      </c>
      <c r="F97" s="7" t="s">
        <v>10</v>
      </c>
      <c r="G97" s="7" t="s">
        <v>57</v>
      </c>
      <c r="H97" s="7" t="s">
        <v>303</v>
      </c>
      <c r="I97" s="7" t="s">
        <v>608</v>
      </c>
      <c r="J97" s="7" t="s">
        <v>609</v>
      </c>
      <c r="K97" s="8" t="s">
        <v>610</v>
      </c>
    </row>
    <row r="98" spans="1:11" x14ac:dyDescent="0.35">
      <c r="A98" s="7">
        <v>1591901</v>
      </c>
      <c r="B98" s="7" t="str">
        <f>"3328032006020010"</f>
        <v>3328032006020010</v>
      </c>
      <c r="C98" s="7" t="str">
        <f t="shared" si="2"/>
        <v>'3328032006020010</v>
      </c>
      <c r="D98" s="7" t="str">
        <f t="shared" si="3"/>
        <v>ganda</v>
      </c>
      <c r="E98" s="7" t="s">
        <v>1066</v>
      </c>
      <c r="F98" s="7" t="s">
        <v>10</v>
      </c>
      <c r="G98" s="7" t="s">
        <v>11</v>
      </c>
      <c r="H98" s="7" t="s">
        <v>18</v>
      </c>
      <c r="I98" s="7" t="s">
        <v>19</v>
      </c>
      <c r="J98" s="7" t="s">
        <v>906</v>
      </c>
      <c r="K98" s="8" t="s">
        <v>992</v>
      </c>
    </row>
    <row r="99" spans="1:11" x14ac:dyDescent="0.35">
      <c r="A99" s="7">
        <v>1351160</v>
      </c>
      <c r="B99" s="7" t="str">
        <f>"3328032006020010"</f>
        <v>3328032006020010</v>
      </c>
      <c r="C99" s="7" t="str">
        <f t="shared" si="2"/>
        <v>'3328032006020010</v>
      </c>
      <c r="D99" s="7" t="str">
        <f t="shared" si="3"/>
        <v>ganda</v>
      </c>
      <c r="E99" s="7" t="s">
        <v>1067</v>
      </c>
      <c r="F99" s="7" t="s">
        <v>10</v>
      </c>
      <c r="G99" s="7" t="s">
        <v>57</v>
      </c>
      <c r="H99" s="7" t="s">
        <v>303</v>
      </c>
      <c r="I99" s="7" t="s">
        <v>608</v>
      </c>
      <c r="J99" s="7" t="s">
        <v>609</v>
      </c>
      <c r="K99" s="8" t="s">
        <v>610</v>
      </c>
    </row>
    <row r="100" spans="1:11" x14ac:dyDescent="0.35">
      <c r="A100" s="7">
        <v>1592676</v>
      </c>
      <c r="B100" s="7" t="str">
        <f>"3328032106020006"</f>
        <v>3328032106020006</v>
      </c>
      <c r="C100" s="7" t="str">
        <f t="shared" si="2"/>
        <v>'3328032106020006</v>
      </c>
      <c r="D100" s="7" t="str">
        <f t="shared" si="3"/>
        <v>ganda</v>
      </c>
      <c r="E100" s="7" t="s">
        <v>1070</v>
      </c>
      <c r="F100" s="7" t="s">
        <v>10</v>
      </c>
      <c r="G100" s="7" t="s">
        <v>11</v>
      </c>
      <c r="H100" s="7" t="s">
        <v>18</v>
      </c>
      <c r="I100" s="7" t="s">
        <v>19</v>
      </c>
      <c r="J100" s="7" t="s">
        <v>906</v>
      </c>
      <c r="K100" s="8" t="s">
        <v>992</v>
      </c>
    </row>
    <row r="101" spans="1:11" x14ac:dyDescent="0.35">
      <c r="A101" s="7">
        <v>1351161</v>
      </c>
      <c r="B101" s="7" t="str">
        <f>"3328032106020006"</f>
        <v>3328032106020006</v>
      </c>
      <c r="C101" s="7" t="str">
        <f t="shared" si="2"/>
        <v>'3328032106020006</v>
      </c>
      <c r="D101" s="7" t="str">
        <f t="shared" si="3"/>
        <v>ganda</v>
      </c>
      <c r="E101" s="7" t="s">
        <v>1070</v>
      </c>
      <c r="F101" s="7" t="s">
        <v>10</v>
      </c>
      <c r="G101" s="7" t="s">
        <v>57</v>
      </c>
      <c r="H101" s="7" t="s">
        <v>303</v>
      </c>
      <c r="I101" s="7" t="s">
        <v>608</v>
      </c>
      <c r="J101" s="7" t="s">
        <v>609</v>
      </c>
      <c r="K101" s="8" t="s">
        <v>610</v>
      </c>
    </row>
    <row r="102" spans="1:11" x14ac:dyDescent="0.35">
      <c r="A102" s="7">
        <v>1561121</v>
      </c>
      <c r="B102" s="7" t="str">
        <f>"3328032301030005"</f>
        <v>3328032301030005</v>
      </c>
      <c r="C102" s="7" t="str">
        <f t="shared" si="2"/>
        <v>'3328032301030005</v>
      </c>
      <c r="D102" s="7" t="str">
        <f t="shared" si="3"/>
        <v>ganda</v>
      </c>
      <c r="E102" s="7" t="s">
        <v>1075</v>
      </c>
      <c r="F102" s="7" t="s">
        <v>10</v>
      </c>
      <c r="G102" s="7" t="s">
        <v>11</v>
      </c>
      <c r="H102" s="7" t="s">
        <v>18</v>
      </c>
      <c r="I102" s="7" t="s">
        <v>19</v>
      </c>
      <c r="J102" s="7" t="s">
        <v>906</v>
      </c>
      <c r="K102" s="8" t="s">
        <v>1011</v>
      </c>
    </row>
    <row r="103" spans="1:11" x14ac:dyDescent="0.35">
      <c r="A103" s="7">
        <v>1351143</v>
      </c>
      <c r="B103" s="7" t="str">
        <f>"3328032301030005"</f>
        <v>3328032301030005</v>
      </c>
      <c r="C103" s="7" t="str">
        <f t="shared" si="2"/>
        <v>'3328032301030005</v>
      </c>
      <c r="D103" s="7" t="str">
        <f t="shared" si="3"/>
        <v>ganda</v>
      </c>
      <c r="E103" s="7" t="s">
        <v>1076</v>
      </c>
      <c r="F103" s="7" t="s">
        <v>10</v>
      </c>
      <c r="G103" s="7" t="s">
        <v>57</v>
      </c>
      <c r="H103" s="7" t="s">
        <v>303</v>
      </c>
      <c r="I103" s="7" t="s">
        <v>608</v>
      </c>
      <c r="J103" s="7" t="s">
        <v>609</v>
      </c>
      <c r="K103" s="8" t="s">
        <v>610</v>
      </c>
    </row>
    <row r="104" spans="1:11" x14ac:dyDescent="0.35">
      <c r="A104" s="7">
        <v>1573651</v>
      </c>
      <c r="B104" s="7" t="str">
        <f>"3328032303010004"</f>
        <v>3328032303010004</v>
      </c>
      <c r="C104" s="7" t="str">
        <f t="shared" si="2"/>
        <v>'3328032303010004</v>
      </c>
      <c r="D104" s="7" t="str">
        <f t="shared" si="3"/>
        <v>ganda</v>
      </c>
      <c r="E104" s="7" t="s">
        <v>1077</v>
      </c>
      <c r="F104" s="7" t="s">
        <v>10</v>
      </c>
      <c r="G104" s="7" t="s">
        <v>11</v>
      </c>
      <c r="H104" s="7" t="s">
        <v>18</v>
      </c>
      <c r="I104" s="7" t="s">
        <v>19</v>
      </c>
      <c r="J104" s="7" t="s">
        <v>906</v>
      </c>
      <c r="K104" s="8" t="s">
        <v>942</v>
      </c>
    </row>
    <row r="105" spans="1:11" x14ac:dyDescent="0.35">
      <c r="A105" s="7">
        <v>1351178</v>
      </c>
      <c r="B105" s="7" t="str">
        <f>"3328032303010004"</f>
        <v>3328032303010004</v>
      </c>
      <c r="C105" s="7" t="str">
        <f t="shared" si="2"/>
        <v>'3328032303010004</v>
      </c>
      <c r="D105" s="7" t="str">
        <f t="shared" si="3"/>
        <v>ganda</v>
      </c>
      <c r="E105" s="7" t="s">
        <v>1077</v>
      </c>
      <c r="F105" s="7" t="s">
        <v>10</v>
      </c>
      <c r="G105" s="7" t="s">
        <v>57</v>
      </c>
      <c r="H105" s="7" t="s">
        <v>303</v>
      </c>
      <c r="I105" s="7" t="s">
        <v>608</v>
      </c>
      <c r="J105" s="7" t="s">
        <v>609</v>
      </c>
      <c r="K105" s="8" t="s">
        <v>610</v>
      </c>
    </row>
    <row r="106" spans="1:11" x14ac:dyDescent="0.35">
      <c r="A106" s="7">
        <v>1578748</v>
      </c>
      <c r="B106" s="7" t="str">
        <f>"3328032308980003"</f>
        <v>3328032308980003</v>
      </c>
      <c r="C106" s="7" t="str">
        <f t="shared" si="2"/>
        <v>'3328032308980003</v>
      </c>
      <c r="D106" s="7" t="str">
        <f t="shared" si="3"/>
        <v>ganda</v>
      </c>
      <c r="E106" s="7" t="s">
        <v>1078</v>
      </c>
      <c r="F106" s="7" t="s">
        <v>10</v>
      </c>
      <c r="G106" s="7" t="s">
        <v>11</v>
      </c>
      <c r="H106" s="7" t="s">
        <v>18</v>
      </c>
      <c r="I106" s="7" t="s">
        <v>19</v>
      </c>
      <c r="J106" s="7" t="s">
        <v>906</v>
      </c>
      <c r="K106" s="8" t="s">
        <v>942</v>
      </c>
    </row>
    <row r="107" spans="1:11" x14ac:dyDescent="0.35">
      <c r="A107" s="7">
        <v>1351180</v>
      </c>
      <c r="B107" s="7" t="str">
        <f>"3328032308980003"</f>
        <v>3328032308980003</v>
      </c>
      <c r="C107" s="7" t="str">
        <f t="shared" si="2"/>
        <v>'3328032308980003</v>
      </c>
      <c r="D107" s="7" t="str">
        <f t="shared" si="3"/>
        <v>ganda</v>
      </c>
      <c r="E107" s="7" t="s">
        <v>1079</v>
      </c>
      <c r="F107" s="7" t="s">
        <v>10</v>
      </c>
      <c r="G107" s="7" t="s">
        <v>57</v>
      </c>
      <c r="H107" s="7" t="s">
        <v>303</v>
      </c>
      <c r="I107" s="7" t="s">
        <v>608</v>
      </c>
      <c r="J107" s="7" t="s">
        <v>609</v>
      </c>
      <c r="K107" s="8" t="s">
        <v>610</v>
      </c>
    </row>
    <row r="108" spans="1:11" x14ac:dyDescent="0.35">
      <c r="A108" s="7">
        <v>1572800</v>
      </c>
      <c r="B108" s="7" t="str">
        <f>"3328032403020002"</f>
        <v>3328032403020002</v>
      </c>
      <c r="C108" s="7" t="str">
        <f t="shared" si="2"/>
        <v>'3328032403020002</v>
      </c>
      <c r="D108" s="7" t="str">
        <f t="shared" si="3"/>
        <v>ganda</v>
      </c>
      <c r="E108" s="7" t="s">
        <v>1080</v>
      </c>
      <c r="F108" s="7" t="s">
        <v>10</v>
      </c>
      <c r="G108" s="7" t="s">
        <v>11</v>
      </c>
      <c r="H108" s="7" t="s">
        <v>18</v>
      </c>
      <c r="I108" s="7" t="s">
        <v>19</v>
      </c>
      <c r="J108" s="7" t="s">
        <v>906</v>
      </c>
      <c r="K108" s="8" t="s">
        <v>933</v>
      </c>
    </row>
    <row r="109" spans="1:11" x14ac:dyDescent="0.35">
      <c r="A109" s="7">
        <v>1351154</v>
      </c>
      <c r="B109" s="7" t="str">
        <f>"3328032403020002"</f>
        <v>3328032403020002</v>
      </c>
      <c r="C109" s="7" t="str">
        <f t="shared" si="2"/>
        <v>'3328032403020002</v>
      </c>
      <c r="D109" s="7" t="str">
        <f t="shared" si="3"/>
        <v>ganda</v>
      </c>
      <c r="E109" s="7" t="s">
        <v>1081</v>
      </c>
      <c r="F109" s="7" t="s">
        <v>10</v>
      </c>
      <c r="G109" s="7" t="s">
        <v>57</v>
      </c>
      <c r="H109" s="7" t="s">
        <v>303</v>
      </c>
      <c r="I109" s="7" t="s">
        <v>608</v>
      </c>
      <c r="J109" s="7" t="s">
        <v>609</v>
      </c>
      <c r="K109" s="8" t="s">
        <v>610</v>
      </c>
    </row>
    <row r="110" spans="1:11" x14ac:dyDescent="0.35">
      <c r="A110" s="7">
        <v>1576849</v>
      </c>
      <c r="B110" s="7" t="str">
        <f>"3328032507030004"</f>
        <v>3328032507030004</v>
      </c>
      <c r="C110" s="7" t="str">
        <f t="shared" si="2"/>
        <v>'3328032507030004</v>
      </c>
      <c r="D110" s="7" t="str">
        <f t="shared" si="3"/>
        <v>ganda</v>
      </c>
      <c r="E110" s="7" t="s">
        <v>1084</v>
      </c>
      <c r="F110" s="7" t="s">
        <v>10</v>
      </c>
      <c r="G110" s="7" t="s">
        <v>11</v>
      </c>
      <c r="H110" s="7" t="s">
        <v>18</v>
      </c>
      <c r="I110" s="7" t="s">
        <v>19</v>
      </c>
      <c r="J110" s="7" t="s">
        <v>906</v>
      </c>
      <c r="K110" s="8" t="s">
        <v>942</v>
      </c>
    </row>
    <row r="111" spans="1:11" x14ac:dyDescent="0.35">
      <c r="A111" s="7">
        <v>1684307</v>
      </c>
      <c r="B111" s="7" t="str">
        <f>"3328032507030004"</f>
        <v>3328032507030004</v>
      </c>
      <c r="C111" s="7" t="str">
        <f t="shared" si="2"/>
        <v>'3328032507030004</v>
      </c>
      <c r="D111" s="7" t="str">
        <f t="shared" si="3"/>
        <v>ganda</v>
      </c>
      <c r="E111" s="7" t="s">
        <v>1084</v>
      </c>
      <c r="F111" s="7" t="s">
        <v>10</v>
      </c>
      <c r="G111" s="7" t="s">
        <v>57</v>
      </c>
      <c r="H111" s="7" t="s">
        <v>18</v>
      </c>
      <c r="I111" s="7" t="s">
        <v>184</v>
      </c>
      <c r="J111" s="7" t="s">
        <v>1085</v>
      </c>
      <c r="K111" s="8" t="s">
        <v>1086</v>
      </c>
    </row>
    <row r="112" spans="1:11" x14ac:dyDescent="0.35">
      <c r="A112" s="7">
        <v>1934925</v>
      </c>
      <c r="B112" s="7" t="str">
        <f>"3328032603030008"</f>
        <v>3328032603030008</v>
      </c>
      <c r="C112" s="7" t="str">
        <f t="shared" si="2"/>
        <v>'3328032603030008</v>
      </c>
      <c r="D112" s="7" t="str">
        <f t="shared" si="3"/>
        <v>ganda</v>
      </c>
      <c r="E112" s="7" t="s">
        <v>1087</v>
      </c>
      <c r="F112" s="7" t="s">
        <v>10</v>
      </c>
      <c r="G112" s="7" t="s">
        <v>11</v>
      </c>
      <c r="H112" s="7" t="s">
        <v>18</v>
      </c>
      <c r="I112" s="7" t="s">
        <v>19</v>
      </c>
      <c r="J112" s="7" t="s">
        <v>906</v>
      </c>
      <c r="K112" s="8" t="s">
        <v>913</v>
      </c>
    </row>
    <row r="113" spans="1:11" x14ac:dyDescent="0.35">
      <c r="A113" s="7">
        <v>1392523</v>
      </c>
      <c r="B113" s="7" t="str">
        <f>"3328032603030008"</f>
        <v>3328032603030008</v>
      </c>
      <c r="C113" s="7" t="str">
        <f t="shared" si="2"/>
        <v>'3328032603030008</v>
      </c>
      <c r="D113" s="7" t="str">
        <f t="shared" si="3"/>
        <v>ganda</v>
      </c>
      <c r="E113" s="7" t="s">
        <v>1088</v>
      </c>
      <c r="F113" s="7" t="s">
        <v>10</v>
      </c>
      <c r="G113" s="7" t="s">
        <v>57</v>
      </c>
      <c r="H113" s="7" t="s">
        <v>303</v>
      </c>
      <c r="I113" s="7" t="s">
        <v>608</v>
      </c>
      <c r="J113" s="7" t="s">
        <v>1089</v>
      </c>
      <c r="K113" s="8" t="s">
        <v>1090</v>
      </c>
    </row>
    <row r="114" spans="1:11" x14ac:dyDescent="0.35">
      <c r="A114" s="7">
        <v>1579239</v>
      </c>
      <c r="B114" s="7" t="str">
        <f>"3328032603040001"</f>
        <v>3328032603040001</v>
      </c>
      <c r="C114" s="7" t="str">
        <f t="shared" si="2"/>
        <v>'3328032603040001</v>
      </c>
      <c r="D114" s="7" t="str">
        <f t="shared" si="3"/>
        <v>ganda</v>
      </c>
      <c r="E114" s="7" t="s">
        <v>1091</v>
      </c>
      <c r="F114" s="7" t="s">
        <v>10</v>
      </c>
      <c r="G114" s="7" t="s">
        <v>11</v>
      </c>
      <c r="H114" s="7" t="s">
        <v>18</v>
      </c>
      <c r="I114" s="7" t="s">
        <v>19</v>
      </c>
      <c r="J114" s="7" t="s">
        <v>906</v>
      </c>
      <c r="K114" s="8" t="s">
        <v>942</v>
      </c>
    </row>
    <row r="115" spans="1:11" x14ac:dyDescent="0.35">
      <c r="A115" s="7">
        <v>1351145</v>
      </c>
      <c r="B115" s="7" t="str">
        <f>"3328032603040001"</f>
        <v>3328032603040001</v>
      </c>
      <c r="C115" s="7" t="str">
        <f t="shared" si="2"/>
        <v>'3328032603040001</v>
      </c>
      <c r="D115" s="7" t="str">
        <f t="shared" si="3"/>
        <v>ganda</v>
      </c>
      <c r="E115" s="7" t="s">
        <v>1091</v>
      </c>
      <c r="F115" s="7" t="s">
        <v>10</v>
      </c>
      <c r="G115" s="7" t="s">
        <v>57</v>
      </c>
      <c r="H115" s="7" t="s">
        <v>303</v>
      </c>
      <c r="I115" s="7" t="s">
        <v>608</v>
      </c>
      <c r="J115" s="7" t="s">
        <v>609</v>
      </c>
      <c r="K115" s="8" t="s">
        <v>610</v>
      </c>
    </row>
    <row r="116" spans="1:11" x14ac:dyDescent="0.35">
      <c r="A116" s="7">
        <v>1580093</v>
      </c>
      <c r="B116" s="7" t="str">
        <f>"3328032708030001"</f>
        <v>3328032708030001</v>
      </c>
      <c r="C116" s="7" t="str">
        <f t="shared" si="2"/>
        <v>'3328032708030001</v>
      </c>
      <c r="D116" s="7" t="str">
        <f t="shared" si="3"/>
        <v>ganda</v>
      </c>
      <c r="E116" s="7" t="s">
        <v>1100</v>
      </c>
      <c r="F116" s="7" t="s">
        <v>10</v>
      </c>
      <c r="G116" s="7" t="s">
        <v>11</v>
      </c>
      <c r="H116" s="7" t="s">
        <v>18</v>
      </c>
      <c r="I116" s="7" t="s">
        <v>19</v>
      </c>
      <c r="J116" s="7" t="s">
        <v>906</v>
      </c>
      <c r="K116" s="8" t="s">
        <v>942</v>
      </c>
    </row>
    <row r="117" spans="1:11" x14ac:dyDescent="0.35">
      <c r="A117" s="7">
        <v>1351146</v>
      </c>
      <c r="B117" s="7" t="str">
        <f>"3328032708030001"</f>
        <v>3328032708030001</v>
      </c>
      <c r="C117" s="7" t="str">
        <f t="shared" si="2"/>
        <v>'3328032708030001</v>
      </c>
      <c r="D117" s="7" t="str">
        <f t="shared" si="3"/>
        <v>ganda</v>
      </c>
      <c r="E117" s="7" t="s">
        <v>1101</v>
      </c>
      <c r="F117" s="7" t="s">
        <v>10</v>
      </c>
      <c r="G117" s="7" t="s">
        <v>57</v>
      </c>
      <c r="H117" s="7" t="s">
        <v>303</v>
      </c>
      <c r="I117" s="7" t="s">
        <v>608</v>
      </c>
      <c r="J117" s="7" t="s">
        <v>609</v>
      </c>
      <c r="K117" s="8" t="s">
        <v>610</v>
      </c>
    </row>
    <row r="118" spans="1:11" x14ac:dyDescent="0.35">
      <c r="A118" s="7">
        <v>1572956</v>
      </c>
      <c r="B118" s="7" t="str">
        <f>"3328032912030001"</f>
        <v>3328032912030001</v>
      </c>
      <c r="C118" s="7" t="str">
        <f t="shared" si="2"/>
        <v>'3328032912030001</v>
      </c>
      <c r="D118" s="7" t="str">
        <f t="shared" si="3"/>
        <v>ganda</v>
      </c>
      <c r="E118" s="7" t="s">
        <v>1102</v>
      </c>
      <c r="F118" s="7" t="s">
        <v>10</v>
      </c>
      <c r="G118" s="7" t="s">
        <v>11</v>
      </c>
      <c r="H118" s="7" t="s">
        <v>18</v>
      </c>
      <c r="I118" s="7" t="s">
        <v>19</v>
      </c>
      <c r="J118" s="7" t="s">
        <v>906</v>
      </c>
      <c r="K118" s="8" t="s">
        <v>942</v>
      </c>
    </row>
    <row r="119" spans="1:11" x14ac:dyDescent="0.35">
      <c r="A119" s="7">
        <v>1351182</v>
      </c>
      <c r="B119" s="7" t="str">
        <f>"3328032912030001"</f>
        <v>3328032912030001</v>
      </c>
      <c r="C119" s="7" t="str">
        <f t="shared" si="2"/>
        <v>'3328032912030001</v>
      </c>
      <c r="D119" s="7" t="str">
        <f t="shared" si="3"/>
        <v>ganda</v>
      </c>
      <c r="E119" s="7" t="s">
        <v>1102</v>
      </c>
      <c r="F119" s="7" t="s">
        <v>10</v>
      </c>
      <c r="G119" s="7" t="s">
        <v>57</v>
      </c>
      <c r="H119" s="7" t="s">
        <v>303</v>
      </c>
      <c r="I119" s="7" t="s">
        <v>608</v>
      </c>
      <c r="J119" s="7" t="s">
        <v>609</v>
      </c>
      <c r="K119" s="8" t="s">
        <v>610</v>
      </c>
    </row>
    <row r="120" spans="1:11" x14ac:dyDescent="0.35">
      <c r="A120" s="7">
        <v>1573882</v>
      </c>
      <c r="B120" s="7" t="str">
        <f>"3328033103060001"</f>
        <v>3328033103060001</v>
      </c>
      <c r="C120" s="7" t="str">
        <f t="shared" si="2"/>
        <v>'3328033103060001</v>
      </c>
      <c r="D120" s="7" t="str">
        <f t="shared" si="3"/>
        <v>ganda</v>
      </c>
      <c r="E120" s="7" t="s">
        <v>1104</v>
      </c>
      <c r="F120" s="7" t="s">
        <v>10</v>
      </c>
      <c r="G120" s="7" t="s">
        <v>11</v>
      </c>
      <c r="H120" s="7" t="s">
        <v>18</v>
      </c>
      <c r="I120" s="7" t="s">
        <v>19</v>
      </c>
      <c r="J120" s="7" t="s">
        <v>906</v>
      </c>
      <c r="K120" s="8" t="s">
        <v>942</v>
      </c>
    </row>
    <row r="121" spans="1:11" x14ac:dyDescent="0.35">
      <c r="A121" s="7">
        <v>1351148</v>
      </c>
      <c r="B121" s="7" t="str">
        <f>"3328033103060001"</f>
        <v>3328033103060001</v>
      </c>
      <c r="C121" s="7" t="str">
        <f t="shared" si="2"/>
        <v>'3328033103060001</v>
      </c>
      <c r="D121" s="7" t="str">
        <f t="shared" si="3"/>
        <v>ganda</v>
      </c>
      <c r="E121" s="7" t="s">
        <v>1104</v>
      </c>
      <c r="F121" s="7" t="s">
        <v>10</v>
      </c>
      <c r="G121" s="7" t="s">
        <v>57</v>
      </c>
      <c r="H121" s="7" t="s">
        <v>303</v>
      </c>
      <c r="I121" s="7" t="s">
        <v>608</v>
      </c>
      <c r="J121" s="7" t="s">
        <v>609</v>
      </c>
      <c r="K121" s="8" t="s">
        <v>610</v>
      </c>
    </row>
    <row r="122" spans="1:11" x14ac:dyDescent="0.35">
      <c r="A122" s="7">
        <v>1583518</v>
      </c>
      <c r="B122" s="7" t="str">
        <f>"3328034202050004"</f>
        <v>3328034202050004</v>
      </c>
      <c r="C122" s="7" t="str">
        <f t="shared" si="2"/>
        <v>'3328034202050004</v>
      </c>
      <c r="D122" s="7" t="str">
        <f t="shared" si="3"/>
        <v>ganda</v>
      </c>
      <c r="E122" s="7" t="s">
        <v>1115</v>
      </c>
      <c r="F122" s="7" t="s">
        <v>10</v>
      </c>
      <c r="G122" s="7" t="s">
        <v>11</v>
      </c>
      <c r="H122" s="7" t="s">
        <v>18</v>
      </c>
      <c r="I122" s="7" t="s">
        <v>19</v>
      </c>
      <c r="J122" s="7" t="s">
        <v>906</v>
      </c>
      <c r="K122" s="8" t="s">
        <v>906</v>
      </c>
    </row>
    <row r="123" spans="1:11" x14ac:dyDescent="0.35">
      <c r="A123" s="7">
        <v>762806</v>
      </c>
      <c r="B123" s="7" t="str">
        <f>"3328034202050004"</f>
        <v>3328034202050004</v>
      </c>
      <c r="C123" s="7" t="str">
        <f t="shared" si="2"/>
        <v>'3328034202050004</v>
      </c>
      <c r="D123" s="7" t="str">
        <f t="shared" si="3"/>
        <v>ganda</v>
      </c>
      <c r="E123" s="7" t="s">
        <v>1116</v>
      </c>
      <c r="F123" s="7" t="s">
        <v>10</v>
      </c>
      <c r="G123" s="7" t="s">
        <v>57</v>
      </c>
      <c r="H123" s="7" t="s">
        <v>379</v>
      </c>
      <c r="I123" s="7" t="s">
        <v>711</v>
      </c>
      <c r="J123" s="7" t="s">
        <v>718</v>
      </c>
      <c r="K123" s="8" t="s">
        <v>719</v>
      </c>
    </row>
    <row r="124" spans="1:11" x14ac:dyDescent="0.35">
      <c r="A124" s="7">
        <v>1579413</v>
      </c>
      <c r="B124" s="7" t="str">
        <f>"3328034304840002"</f>
        <v>3328034304840002</v>
      </c>
      <c r="C124" s="7" t="str">
        <f t="shared" si="2"/>
        <v>'3328034304840002</v>
      </c>
      <c r="D124" s="7" t="str">
        <f t="shared" si="3"/>
        <v>ganda</v>
      </c>
      <c r="E124" s="7" t="s">
        <v>1124</v>
      </c>
      <c r="F124" s="7" t="s">
        <v>10</v>
      </c>
      <c r="G124" s="7" t="s">
        <v>11</v>
      </c>
      <c r="H124" s="7" t="s">
        <v>18</v>
      </c>
      <c r="I124" s="7" t="s">
        <v>19</v>
      </c>
      <c r="J124" s="7" t="s">
        <v>906</v>
      </c>
      <c r="K124" s="8" t="s">
        <v>942</v>
      </c>
    </row>
    <row r="125" spans="1:11" x14ac:dyDescent="0.35">
      <c r="A125" s="7">
        <v>1352172</v>
      </c>
      <c r="B125" s="7" t="str">
        <f>"3328034304840002"</f>
        <v>3328034304840002</v>
      </c>
      <c r="C125" s="7" t="str">
        <f t="shared" si="2"/>
        <v>'3328034304840002</v>
      </c>
      <c r="D125" s="7" t="str">
        <f t="shared" si="3"/>
        <v>ganda</v>
      </c>
      <c r="E125" s="7" t="s">
        <v>1125</v>
      </c>
      <c r="F125" s="7" t="s">
        <v>10</v>
      </c>
      <c r="G125" s="7" t="s">
        <v>57</v>
      </c>
      <c r="H125" s="7" t="s">
        <v>303</v>
      </c>
      <c r="I125" s="7" t="s">
        <v>608</v>
      </c>
      <c r="J125" s="7" t="s">
        <v>609</v>
      </c>
      <c r="K125" s="8" t="s">
        <v>610</v>
      </c>
    </row>
    <row r="126" spans="1:11" x14ac:dyDescent="0.35">
      <c r="A126" s="7">
        <v>1555328</v>
      </c>
      <c r="B126" s="7" t="str">
        <f>"3328034308040003"</f>
        <v>3328034308040003</v>
      </c>
      <c r="C126" s="7" t="str">
        <f t="shared" si="2"/>
        <v>'3328034308040003</v>
      </c>
      <c r="D126" s="7" t="str">
        <f t="shared" si="3"/>
        <v>ganda</v>
      </c>
      <c r="E126" s="7" t="s">
        <v>1126</v>
      </c>
      <c r="F126" s="7" t="s">
        <v>10</v>
      </c>
      <c r="G126" s="7" t="s">
        <v>11</v>
      </c>
      <c r="H126" s="7" t="s">
        <v>18</v>
      </c>
      <c r="I126" s="7" t="s">
        <v>19</v>
      </c>
      <c r="J126" s="7" t="s">
        <v>906</v>
      </c>
      <c r="K126" s="8" t="s">
        <v>1011</v>
      </c>
    </row>
    <row r="127" spans="1:11" x14ac:dyDescent="0.35">
      <c r="A127" s="7">
        <v>1862956</v>
      </c>
      <c r="B127" s="7" t="str">
        <f>"3328034308040003"</f>
        <v>3328034308040003</v>
      </c>
      <c r="C127" s="7" t="str">
        <f t="shared" si="2"/>
        <v>'3328034308040003</v>
      </c>
      <c r="D127" s="7" t="str">
        <f t="shared" si="3"/>
        <v>ganda</v>
      </c>
      <c r="E127" s="7" t="s">
        <v>1126</v>
      </c>
      <c r="F127" s="7" t="s">
        <v>10</v>
      </c>
      <c r="G127" s="7" t="s">
        <v>57</v>
      </c>
      <c r="H127" s="7" t="s">
        <v>18</v>
      </c>
      <c r="I127" s="7" t="s">
        <v>733</v>
      </c>
      <c r="J127" s="7" t="s">
        <v>1127</v>
      </c>
      <c r="K127" s="8" t="s">
        <v>1127</v>
      </c>
    </row>
    <row r="128" spans="1:11" x14ac:dyDescent="0.35">
      <c r="A128" s="7">
        <v>1575020</v>
      </c>
      <c r="B128" s="7" t="str">
        <f>"3328034704020001"</f>
        <v>3328034704020001</v>
      </c>
      <c r="C128" s="7" t="str">
        <f t="shared" si="2"/>
        <v>'3328034704020001</v>
      </c>
      <c r="D128" s="7" t="str">
        <f t="shared" si="3"/>
        <v>ganda</v>
      </c>
      <c r="E128" s="7" t="s">
        <v>1135</v>
      </c>
      <c r="F128" s="7" t="s">
        <v>10</v>
      </c>
      <c r="G128" s="7" t="s">
        <v>11</v>
      </c>
      <c r="H128" s="7" t="s">
        <v>18</v>
      </c>
      <c r="I128" s="7" t="s">
        <v>19</v>
      </c>
      <c r="J128" s="7" t="s">
        <v>906</v>
      </c>
      <c r="K128" s="8" t="s">
        <v>942</v>
      </c>
    </row>
    <row r="129" spans="1:11" x14ac:dyDescent="0.35">
      <c r="A129" s="7">
        <v>1352884</v>
      </c>
      <c r="B129" s="7" t="str">
        <f>"3328034704020001"</f>
        <v>3328034704020001</v>
      </c>
      <c r="C129" s="7" t="str">
        <f t="shared" si="2"/>
        <v>'3328034704020001</v>
      </c>
      <c r="D129" s="7" t="str">
        <f t="shared" si="3"/>
        <v>ganda</v>
      </c>
      <c r="E129" s="7" t="s">
        <v>1136</v>
      </c>
      <c r="F129" s="7" t="s">
        <v>10</v>
      </c>
      <c r="G129" s="7" t="s">
        <v>57</v>
      </c>
      <c r="H129" s="7" t="s">
        <v>303</v>
      </c>
      <c r="I129" s="7" t="s">
        <v>608</v>
      </c>
      <c r="J129" s="7" t="s">
        <v>609</v>
      </c>
      <c r="K129" s="8" t="s">
        <v>610</v>
      </c>
    </row>
    <row r="130" spans="1:11" x14ac:dyDescent="0.35">
      <c r="A130" s="7">
        <v>1577165</v>
      </c>
      <c r="B130" s="7" t="str">
        <f>"3328035009010003"</f>
        <v>3328035009010003</v>
      </c>
      <c r="C130" s="7" t="str">
        <f t="shared" ref="C130:C193" si="4">"'"&amp;B130</f>
        <v>'3328035009010003</v>
      </c>
      <c r="D130" s="7" t="str">
        <f t="shared" ref="D130:D193" si="5">IF(COUNTIF($C:$C,C130)&gt;1,"ganda","tidak ganda")</f>
        <v>ganda</v>
      </c>
      <c r="E130" s="7" t="s">
        <v>1139</v>
      </c>
      <c r="F130" s="7" t="s">
        <v>10</v>
      </c>
      <c r="G130" s="7" t="s">
        <v>11</v>
      </c>
      <c r="H130" s="7" t="s">
        <v>18</v>
      </c>
      <c r="I130" s="7" t="s">
        <v>19</v>
      </c>
      <c r="J130" s="7" t="s">
        <v>906</v>
      </c>
      <c r="K130" s="8" t="s">
        <v>942</v>
      </c>
    </row>
    <row r="131" spans="1:11" x14ac:dyDescent="0.35">
      <c r="A131" s="7">
        <v>1352888</v>
      </c>
      <c r="B131" s="7" t="str">
        <f>"3328035009010003"</f>
        <v>3328035009010003</v>
      </c>
      <c r="C131" s="7" t="str">
        <f t="shared" si="4"/>
        <v>'3328035009010003</v>
      </c>
      <c r="D131" s="7" t="str">
        <f t="shared" si="5"/>
        <v>ganda</v>
      </c>
      <c r="E131" s="7" t="s">
        <v>1139</v>
      </c>
      <c r="F131" s="7" t="s">
        <v>10</v>
      </c>
      <c r="G131" s="7" t="s">
        <v>57</v>
      </c>
      <c r="H131" s="7" t="s">
        <v>303</v>
      </c>
      <c r="I131" s="7" t="s">
        <v>608</v>
      </c>
      <c r="J131" s="7" t="s">
        <v>609</v>
      </c>
      <c r="K131" s="8" t="s">
        <v>610</v>
      </c>
    </row>
    <row r="132" spans="1:11" x14ac:dyDescent="0.35">
      <c r="A132" s="7">
        <v>1563366</v>
      </c>
      <c r="B132" s="7" t="str">
        <f>"3328035211850001"</f>
        <v>3328035211850001</v>
      </c>
      <c r="C132" s="7" t="str">
        <f t="shared" si="4"/>
        <v>'3328035211850001</v>
      </c>
      <c r="D132" s="7" t="str">
        <f t="shared" si="5"/>
        <v>ganda</v>
      </c>
      <c r="E132" s="7" t="s">
        <v>1143</v>
      </c>
      <c r="F132" s="7" t="s">
        <v>10</v>
      </c>
      <c r="G132" s="7" t="s">
        <v>11</v>
      </c>
      <c r="H132" s="7" t="s">
        <v>18</v>
      </c>
      <c r="I132" s="7" t="s">
        <v>19</v>
      </c>
      <c r="J132" s="7" t="s">
        <v>906</v>
      </c>
      <c r="K132" s="8" t="s">
        <v>939</v>
      </c>
    </row>
    <row r="133" spans="1:11" x14ac:dyDescent="0.35">
      <c r="A133" s="7">
        <v>1352170</v>
      </c>
      <c r="B133" s="7" t="str">
        <f>"3328035211850001"</f>
        <v>3328035211850001</v>
      </c>
      <c r="C133" s="7" t="str">
        <f t="shared" si="4"/>
        <v>'3328035211850001</v>
      </c>
      <c r="D133" s="7" t="str">
        <f t="shared" si="5"/>
        <v>ganda</v>
      </c>
      <c r="E133" s="7" t="s">
        <v>1144</v>
      </c>
      <c r="F133" s="7" t="s">
        <v>10</v>
      </c>
      <c r="G133" s="7" t="s">
        <v>57</v>
      </c>
      <c r="H133" s="7" t="s">
        <v>303</v>
      </c>
      <c r="I133" s="7" t="s">
        <v>608</v>
      </c>
      <c r="J133" s="7" t="s">
        <v>609</v>
      </c>
      <c r="K133" s="8" t="s">
        <v>610</v>
      </c>
    </row>
    <row r="134" spans="1:11" x14ac:dyDescent="0.35">
      <c r="A134" s="7">
        <v>1584310</v>
      </c>
      <c r="B134" s="7" t="str">
        <f>"3328035408720003"</f>
        <v>3328035408720003</v>
      </c>
      <c r="C134" s="7" t="str">
        <f t="shared" si="4"/>
        <v>'3328035408720003</v>
      </c>
      <c r="D134" s="7" t="str">
        <f t="shared" si="5"/>
        <v>ganda</v>
      </c>
      <c r="E134" s="7" t="s">
        <v>1147</v>
      </c>
      <c r="F134" s="7" t="s">
        <v>10</v>
      </c>
      <c r="G134" s="7" t="s">
        <v>11</v>
      </c>
      <c r="H134" s="7" t="s">
        <v>18</v>
      </c>
      <c r="I134" s="7" t="s">
        <v>19</v>
      </c>
      <c r="J134" s="7" t="s">
        <v>906</v>
      </c>
      <c r="K134" s="8" t="s">
        <v>906</v>
      </c>
    </row>
    <row r="135" spans="1:11" x14ac:dyDescent="0.35">
      <c r="A135" s="7">
        <v>1349030</v>
      </c>
      <c r="B135" s="7" t="str">
        <f>"3328035408720003"</f>
        <v>3328035408720003</v>
      </c>
      <c r="C135" s="7" t="str">
        <f t="shared" si="4"/>
        <v>'3328035408720003</v>
      </c>
      <c r="D135" s="7" t="str">
        <f t="shared" si="5"/>
        <v>ganda</v>
      </c>
      <c r="E135" s="7" t="s">
        <v>1148</v>
      </c>
      <c r="F135" s="7" t="s">
        <v>10</v>
      </c>
      <c r="G135" s="7" t="s">
        <v>57</v>
      </c>
      <c r="H135" s="7" t="s">
        <v>303</v>
      </c>
      <c r="I135" s="7" t="s">
        <v>608</v>
      </c>
      <c r="J135" s="7" t="s">
        <v>609</v>
      </c>
      <c r="K135" s="8" t="s">
        <v>610</v>
      </c>
    </row>
    <row r="136" spans="1:11" x14ac:dyDescent="0.35">
      <c r="A136" s="7">
        <v>1590149</v>
      </c>
      <c r="B136" s="7" t="str">
        <f>"3328035608740001"</f>
        <v>3328035608740001</v>
      </c>
      <c r="C136" s="7" t="str">
        <f t="shared" si="4"/>
        <v>'3328035608740001</v>
      </c>
      <c r="D136" s="7" t="str">
        <f t="shared" si="5"/>
        <v>ganda</v>
      </c>
      <c r="E136" s="7" t="s">
        <v>1151</v>
      </c>
      <c r="F136" s="7" t="s">
        <v>10</v>
      </c>
      <c r="G136" s="7" t="s">
        <v>11</v>
      </c>
      <c r="H136" s="7" t="s">
        <v>18</v>
      </c>
      <c r="I136" s="7" t="s">
        <v>19</v>
      </c>
      <c r="J136" s="7" t="s">
        <v>906</v>
      </c>
      <c r="K136" s="8" t="s">
        <v>929</v>
      </c>
    </row>
    <row r="137" spans="1:11" x14ac:dyDescent="0.35">
      <c r="A137" s="7">
        <v>1349031</v>
      </c>
      <c r="B137" s="7" t="str">
        <f>"3328035608740001"</f>
        <v>3328035608740001</v>
      </c>
      <c r="C137" s="7" t="str">
        <f t="shared" si="4"/>
        <v>'3328035608740001</v>
      </c>
      <c r="D137" s="7" t="str">
        <f t="shared" si="5"/>
        <v>ganda</v>
      </c>
      <c r="E137" s="7" t="s">
        <v>1152</v>
      </c>
      <c r="F137" s="7" t="s">
        <v>10</v>
      </c>
      <c r="G137" s="7" t="s">
        <v>57</v>
      </c>
      <c r="H137" s="7" t="s">
        <v>303</v>
      </c>
      <c r="I137" s="7" t="s">
        <v>608</v>
      </c>
      <c r="J137" s="7" t="s">
        <v>609</v>
      </c>
      <c r="K137" s="8" t="s">
        <v>610</v>
      </c>
    </row>
    <row r="138" spans="1:11" x14ac:dyDescent="0.35">
      <c r="A138" s="7">
        <v>1576679</v>
      </c>
      <c r="B138" s="7" t="str">
        <f>"3328035911020003"</f>
        <v>3328035911020003</v>
      </c>
      <c r="C138" s="7" t="str">
        <f t="shared" si="4"/>
        <v>'3328035911020003</v>
      </c>
      <c r="D138" s="7" t="str">
        <f t="shared" si="5"/>
        <v>ganda</v>
      </c>
      <c r="E138" s="7" t="s">
        <v>1153</v>
      </c>
      <c r="F138" s="7" t="s">
        <v>10</v>
      </c>
      <c r="G138" s="7" t="s">
        <v>11</v>
      </c>
      <c r="H138" s="7" t="s">
        <v>18</v>
      </c>
      <c r="I138" s="7" t="s">
        <v>19</v>
      </c>
      <c r="J138" s="7" t="s">
        <v>906</v>
      </c>
      <c r="K138" s="8" t="s">
        <v>942</v>
      </c>
    </row>
    <row r="139" spans="1:11" x14ac:dyDescent="0.35">
      <c r="A139" s="7">
        <v>1352889</v>
      </c>
      <c r="B139" s="7" t="str">
        <f>"3328035911020003"</f>
        <v>3328035911020003</v>
      </c>
      <c r="C139" s="7" t="str">
        <f t="shared" si="4"/>
        <v>'3328035911020003</v>
      </c>
      <c r="D139" s="7" t="str">
        <f t="shared" si="5"/>
        <v>ganda</v>
      </c>
      <c r="E139" s="7" t="s">
        <v>1154</v>
      </c>
      <c r="F139" s="7" t="s">
        <v>10</v>
      </c>
      <c r="G139" s="7" t="s">
        <v>57</v>
      </c>
      <c r="H139" s="7" t="s">
        <v>303</v>
      </c>
      <c r="I139" s="7" t="s">
        <v>608</v>
      </c>
      <c r="J139" s="7" t="s">
        <v>609</v>
      </c>
      <c r="K139" s="8" t="s">
        <v>610</v>
      </c>
    </row>
    <row r="140" spans="1:11" x14ac:dyDescent="0.35">
      <c r="A140" s="7">
        <v>1573398</v>
      </c>
      <c r="B140" s="7" t="str">
        <f>"3328036304030001"</f>
        <v>3328036304030001</v>
      </c>
      <c r="C140" s="7" t="str">
        <f t="shared" si="4"/>
        <v>'3328036304030001</v>
      </c>
      <c r="D140" s="7" t="str">
        <f t="shared" si="5"/>
        <v>ganda</v>
      </c>
      <c r="E140" s="7" t="s">
        <v>1159</v>
      </c>
      <c r="F140" s="7" t="s">
        <v>10</v>
      </c>
      <c r="G140" s="7" t="s">
        <v>11</v>
      </c>
      <c r="H140" s="7" t="s">
        <v>18</v>
      </c>
      <c r="I140" s="7" t="s">
        <v>19</v>
      </c>
      <c r="J140" s="7" t="s">
        <v>906</v>
      </c>
      <c r="K140" s="8" t="s">
        <v>942</v>
      </c>
    </row>
    <row r="141" spans="1:11" x14ac:dyDescent="0.35">
      <c r="A141" s="7">
        <v>1351179</v>
      </c>
      <c r="B141" s="7" t="str">
        <f>"3328036304030001"</f>
        <v>3328036304030001</v>
      </c>
      <c r="C141" s="7" t="str">
        <f t="shared" si="4"/>
        <v>'3328036304030001</v>
      </c>
      <c r="D141" s="7" t="str">
        <f t="shared" si="5"/>
        <v>ganda</v>
      </c>
      <c r="E141" s="7" t="s">
        <v>1159</v>
      </c>
      <c r="F141" s="7" t="s">
        <v>10</v>
      </c>
      <c r="G141" s="7" t="s">
        <v>57</v>
      </c>
      <c r="H141" s="7" t="s">
        <v>303</v>
      </c>
      <c r="I141" s="7" t="s">
        <v>608</v>
      </c>
      <c r="J141" s="7" t="s">
        <v>609</v>
      </c>
      <c r="K141" s="8" t="s">
        <v>610</v>
      </c>
    </row>
    <row r="142" spans="1:11" x14ac:dyDescent="0.35">
      <c r="A142" s="7">
        <v>1555644</v>
      </c>
      <c r="B142" s="7" t="str">
        <f>"3328036511060002"</f>
        <v>3328036511060002</v>
      </c>
      <c r="C142" s="7" t="str">
        <f t="shared" si="4"/>
        <v>'3328036511060002</v>
      </c>
      <c r="D142" s="7" t="str">
        <f t="shared" si="5"/>
        <v>ganda</v>
      </c>
      <c r="E142" s="7" t="s">
        <v>1161</v>
      </c>
      <c r="F142" s="7" t="s">
        <v>10</v>
      </c>
      <c r="G142" s="7" t="s">
        <v>11</v>
      </c>
      <c r="H142" s="7" t="s">
        <v>18</v>
      </c>
      <c r="I142" s="7" t="s">
        <v>19</v>
      </c>
      <c r="J142" s="7" t="s">
        <v>906</v>
      </c>
      <c r="K142" s="8" t="s">
        <v>1011</v>
      </c>
    </row>
    <row r="143" spans="1:11" x14ac:dyDescent="0.35">
      <c r="A143" s="7">
        <v>1352882</v>
      </c>
      <c r="B143" s="7" t="str">
        <f>"3328036511060002"</f>
        <v>3328036511060002</v>
      </c>
      <c r="C143" s="7" t="str">
        <f t="shared" si="4"/>
        <v>'3328036511060002</v>
      </c>
      <c r="D143" s="7" t="str">
        <f t="shared" si="5"/>
        <v>ganda</v>
      </c>
      <c r="E143" s="7" t="s">
        <v>1162</v>
      </c>
      <c r="F143" s="7" t="s">
        <v>10</v>
      </c>
      <c r="G143" s="7" t="s">
        <v>57</v>
      </c>
      <c r="H143" s="7" t="s">
        <v>303</v>
      </c>
      <c r="I143" s="7" t="s">
        <v>608</v>
      </c>
      <c r="J143" s="7" t="s">
        <v>609</v>
      </c>
      <c r="K143" s="8" t="s">
        <v>610</v>
      </c>
    </row>
    <row r="144" spans="1:11" x14ac:dyDescent="0.35">
      <c r="A144" s="7">
        <v>2371742</v>
      </c>
      <c r="B144" s="7" t="str">
        <f>"3175054606861002"</f>
        <v>3175054606861002</v>
      </c>
      <c r="C144" s="7" t="str">
        <f t="shared" si="4"/>
        <v>'3175054606861002</v>
      </c>
      <c r="D144" s="7" t="str">
        <f t="shared" si="5"/>
        <v>ganda</v>
      </c>
      <c r="E144" s="7" t="s">
        <v>1285</v>
      </c>
      <c r="F144" s="7" t="s">
        <v>10</v>
      </c>
      <c r="G144" s="7" t="s">
        <v>11</v>
      </c>
      <c r="H144" s="7" t="s">
        <v>18</v>
      </c>
      <c r="I144" s="7" t="s">
        <v>19</v>
      </c>
      <c r="J144" s="7" t="s">
        <v>745</v>
      </c>
      <c r="K144" s="8" t="s">
        <v>746</v>
      </c>
    </row>
    <row r="145" spans="1:11" x14ac:dyDescent="0.35">
      <c r="A145" s="7">
        <v>1352168</v>
      </c>
      <c r="B145" s="7" t="str">
        <f>"3175054606861002"</f>
        <v>3175054606861002</v>
      </c>
      <c r="C145" s="7" t="str">
        <f t="shared" si="4"/>
        <v>'3175054606861002</v>
      </c>
      <c r="D145" s="7" t="str">
        <f t="shared" si="5"/>
        <v>ganda</v>
      </c>
      <c r="E145" s="7" t="s">
        <v>1286</v>
      </c>
      <c r="F145" s="7" t="s">
        <v>10</v>
      </c>
      <c r="G145" s="7" t="s">
        <v>57</v>
      </c>
      <c r="H145" s="7" t="s">
        <v>303</v>
      </c>
      <c r="I145" s="7" t="s">
        <v>608</v>
      </c>
      <c r="J145" s="7" t="s">
        <v>609</v>
      </c>
      <c r="K145" s="8" t="s">
        <v>610</v>
      </c>
    </row>
    <row r="146" spans="1:11" x14ac:dyDescent="0.35">
      <c r="A146" s="7">
        <v>2347644</v>
      </c>
      <c r="B146" s="7" t="str">
        <f>"3276040410880004"</f>
        <v>3276040410880004</v>
      </c>
      <c r="C146" s="7" t="str">
        <f t="shared" si="4"/>
        <v>'3276040410880004</v>
      </c>
      <c r="D146" s="7" t="str">
        <f t="shared" si="5"/>
        <v>ganda</v>
      </c>
      <c r="E146" s="7" t="s">
        <v>1339</v>
      </c>
      <c r="F146" s="7" t="s">
        <v>10</v>
      </c>
      <c r="G146" s="7" t="s">
        <v>11</v>
      </c>
      <c r="H146" s="7" t="s">
        <v>18</v>
      </c>
      <c r="I146" s="7" t="s">
        <v>19</v>
      </c>
      <c r="J146" s="7" t="s">
        <v>745</v>
      </c>
      <c r="K146" s="8" t="s">
        <v>1262</v>
      </c>
    </row>
    <row r="147" spans="1:11" x14ac:dyDescent="0.35">
      <c r="A147" s="7">
        <v>2422580</v>
      </c>
      <c r="B147" s="7" t="str">
        <f>"3276040410880004"</f>
        <v>3276040410880004</v>
      </c>
      <c r="C147" s="7" t="str">
        <f t="shared" si="4"/>
        <v>'3276040410880004</v>
      </c>
      <c r="D147" s="7" t="str">
        <f t="shared" si="5"/>
        <v>ganda</v>
      </c>
      <c r="E147" s="7" t="s">
        <v>1340</v>
      </c>
      <c r="F147" s="7" t="s">
        <v>10</v>
      </c>
      <c r="G147" s="7" t="s">
        <v>57</v>
      </c>
      <c r="H147" s="7" t="s">
        <v>50</v>
      </c>
      <c r="I147" s="7" t="s">
        <v>58</v>
      </c>
      <c r="J147" s="7" t="s">
        <v>59</v>
      </c>
      <c r="K147" s="8" t="s">
        <v>60</v>
      </c>
    </row>
    <row r="148" spans="1:11" x14ac:dyDescent="0.35">
      <c r="A148" s="7">
        <v>2295552</v>
      </c>
      <c r="B148" s="7" t="str">
        <f>"3328040103060003"</f>
        <v>3328040103060003</v>
      </c>
      <c r="C148" s="7" t="str">
        <f t="shared" si="4"/>
        <v>'3328040103060003</v>
      </c>
      <c r="D148" s="7" t="str">
        <f t="shared" si="5"/>
        <v>ganda</v>
      </c>
      <c r="E148" s="7" t="s">
        <v>1362</v>
      </c>
      <c r="F148" s="7" t="s">
        <v>10</v>
      </c>
      <c r="G148" s="7" t="s">
        <v>11</v>
      </c>
      <c r="H148" s="7" t="s">
        <v>18</v>
      </c>
      <c r="I148" s="7" t="s">
        <v>19</v>
      </c>
      <c r="J148" s="7" t="s">
        <v>745</v>
      </c>
      <c r="K148" s="8" t="s">
        <v>1264</v>
      </c>
    </row>
    <row r="149" spans="1:11" x14ac:dyDescent="0.35">
      <c r="A149" s="7">
        <v>1351118</v>
      </c>
      <c r="B149" s="7" t="str">
        <f>"3328040103060003"</f>
        <v>3328040103060003</v>
      </c>
      <c r="C149" s="7" t="str">
        <f t="shared" si="4"/>
        <v>'3328040103060003</v>
      </c>
      <c r="D149" s="7" t="str">
        <f t="shared" si="5"/>
        <v>ganda</v>
      </c>
      <c r="E149" s="7" t="s">
        <v>1363</v>
      </c>
      <c r="F149" s="7" t="s">
        <v>10</v>
      </c>
      <c r="G149" s="7" t="s">
        <v>57</v>
      </c>
      <c r="H149" s="7" t="s">
        <v>303</v>
      </c>
      <c r="I149" s="7" t="s">
        <v>608</v>
      </c>
      <c r="J149" s="7" t="s">
        <v>609</v>
      </c>
      <c r="K149" s="8" t="s">
        <v>610</v>
      </c>
    </row>
    <row r="150" spans="1:11" x14ac:dyDescent="0.35">
      <c r="A150" s="7">
        <v>2294008</v>
      </c>
      <c r="B150" s="7" t="str">
        <f>"3328040111020003"</f>
        <v>3328040111020003</v>
      </c>
      <c r="C150" s="7" t="str">
        <f t="shared" si="4"/>
        <v>'3328040111020003</v>
      </c>
      <c r="D150" s="7" t="str">
        <f t="shared" si="5"/>
        <v>ganda</v>
      </c>
      <c r="E150" s="7" t="s">
        <v>1383</v>
      </c>
      <c r="F150" s="7" t="s">
        <v>10</v>
      </c>
      <c r="G150" s="7" t="s">
        <v>11</v>
      </c>
      <c r="H150" s="7" t="s">
        <v>18</v>
      </c>
      <c r="I150" s="7" t="s">
        <v>19</v>
      </c>
      <c r="J150" s="7" t="s">
        <v>745</v>
      </c>
      <c r="K150" s="8" t="s">
        <v>1264</v>
      </c>
    </row>
    <row r="151" spans="1:11" x14ac:dyDescent="0.35">
      <c r="A151" s="7">
        <v>1392758</v>
      </c>
      <c r="B151" s="7" t="str">
        <f>"3328040111020003"</f>
        <v>3328040111020003</v>
      </c>
      <c r="C151" s="7" t="str">
        <f t="shared" si="4"/>
        <v>'3328040111020003</v>
      </c>
      <c r="D151" s="7" t="str">
        <f t="shared" si="5"/>
        <v>ganda</v>
      </c>
      <c r="E151" s="7" t="s">
        <v>1383</v>
      </c>
      <c r="F151" s="7" t="s">
        <v>10</v>
      </c>
      <c r="G151" s="7" t="s">
        <v>57</v>
      </c>
      <c r="H151" s="7" t="s">
        <v>303</v>
      </c>
      <c r="I151" s="7" t="s">
        <v>608</v>
      </c>
      <c r="J151" s="7" t="s">
        <v>1384</v>
      </c>
      <c r="K151" s="8" t="s">
        <v>1385</v>
      </c>
    </row>
    <row r="152" spans="1:11" x14ac:dyDescent="0.35">
      <c r="A152" s="7">
        <v>2286638</v>
      </c>
      <c r="B152" s="7" t="str">
        <f>"3328040210900006"</f>
        <v>3328040210900006</v>
      </c>
      <c r="C152" s="7" t="str">
        <f t="shared" si="4"/>
        <v>'3328040210900006</v>
      </c>
      <c r="D152" s="7" t="str">
        <f t="shared" si="5"/>
        <v>ganda</v>
      </c>
      <c r="E152" s="7" t="s">
        <v>1392</v>
      </c>
      <c r="F152" s="7" t="s">
        <v>10</v>
      </c>
      <c r="G152" s="7" t="s">
        <v>11</v>
      </c>
      <c r="H152" s="7" t="s">
        <v>18</v>
      </c>
      <c r="I152" s="7" t="s">
        <v>19</v>
      </c>
      <c r="J152" s="7" t="s">
        <v>745</v>
      </c>
      <c r="K152" s="8" t="s">
        <v>1264</v>
      </c>
    </row>
    <row r="153" spans="1:11" x14ac:dyDescent="0.35">
      <c r="A153" s="7">
        <v>2571622</v>
      </c>
      <c r="B153" s="7" t="str">
        <f>"3328040210900006"</f>
        <v>3328040210900006</v>
      </c>
      <c r="C153" s="7" t="str">
        <f t="shared" si="4"/>
        <v>'3328040210900006</v>
      </c>
      <c r="D153" s="7" t="str">
        <f t="shared" si="5"/>
        <v>ganda</v>
      </c>
      <c r="E153" s="7" t="s">
        <v>1393</v>
      </c>
      <c r="F153" s="7" t="s">
        <v>10</v>
      </c>
      <c r="G153" s="7" t="s">
        <v>11</v>
      </c>
      <c r="H153" s="7" t="s">
        <v>18</v>
      </c>
      <c r="I153" s="7" t="s">
        <v>19</v>
      </c>
      <c r="J153" s="7" t="s">
        <v>1394</v>
      </c>
      <c r="K153" s="8" t="s">
        <v>1395</v>
      </c>
    </row>
    <row r="154" spans="1:11" x14ac:dyDescent="0.35">
      <c r="A154" s="7">
        <v>2368854</v>
      </c>
      <c r="B154" s="7" t="str">
        <f>"3328040302030001"</f>
        <v>3328040302030001</v>
      </c>
      <c r="C154" s="7" t="str">
        <f t="shared" si="4"/>
        <v>'3328040302030001</v>
      </c>
      <c r="D154" s="7" t="str">
        <f t="shared" si="5"/>
        <v>ganda</v>
      </c>
      <c r="E154" s="7" t="s">
        <v>1396</v>
      </c>
      <c r="F154" s="7" t="s">
        <v>10</v>
      </c>
      <c r="G154" s="7" t="s">
        <v>11</v>
      </c>
      <c r="H154" s="7" t="s">
        <v>18</v>
      </c>
      <c r="I154" s="7" t="s">
        <v>19</v>
      </c>
      <c r="J154" s="7" t="s">
        <v>745</v>
      </c>
      <c r="K154" s="8" t="s">
        <v>746</v>
      </c>
    </row>
    <row r="155" spans="1:11" x14ac:dyDescent="0.35">
      <c r="A155" s="7">
        <v>1351127</v>
      </c>
      <c r="B155" s="7" t="str">
        <f>"3328040302030001"</f>
        <v>3328040302030001</v>
      </c>
      <c r="C155" s="7" t="str">
        <f t="shared" si="4"/>
        <v>'3328040302030001</v>
      </c>
      <c r="D155" s="7" t="str">
        <f t="shared" si="5"/>
        <v>ganda</v>
      </c>
      <c r="E155" s="7" t="s">
        <v>1396</v>
      </c>
      <c r="F155" s="7" t="s">
        <v>10</v>
      </c>
      <c r="G155" s="7" t="s">
        <v>57</v>
      </c>
      <c r="H155" s="7" t="s">
        <v>303</v>
      </c>
      <c r="I155" s="7" t="s">
        <v>608</v>
      </c>
      <c r="J155" s="7" t="s">
        <v>609</v>
      </c>
      <c r="K155" s="8" t="s">
        <v>610</v>
      </c>
    </row>
    <row r="156" spans="1:11" x14ac:dyDescent="0.35">
      <c r="A156" s="7">
        <v>2345946</v>
      </c>
      <c r="B156" s="7" t="str">
        <f>"3328040310030004"</f>
        <v>3328040310030004</v>
      </c>
      <c r="C156" s="7" t="str">
        <f t="shared" si="4"/>
        <v>'3328040310030004</v>
      </c>
      <c r="D156" s="7" t="str">
        <f t="shared" si="5"/>
        <v>ganda</v>
      </c>
      <c r="E156" s="7" t="s">
        <v>1407</v>
      </c>
      <c r="F156" s="7" t="s">
        <v>10</v>
      </c>
      <c r="G156" s="7" t="s">
        <v>11</v>
      </c>
      <c r="H156" s="7" t="s">
        <v>18</v>
      </c>
      <c r="I156" s="7" t="s">
        <v>19</v>
      </c>
      <c r="J156" s="7" t="s">
        <v>745</v>
      </c>
      <c r="K156" s="8" t="s">
        <v>1262</v>
      </c>
    </row>
    <row r="157" spans="1:11" x14ac:dyDescent="0.35">
      <c r="A157" s="7">
        <v>1351121</v>
      </c>
      <c r="B157" s="7" t="str">
        <f>"3328040310030004"</f>
        <v>3328040310030004</v>
      </c>
      <c r="C157" s="7" t="str">
        <f t="shared" si="4"/>
        <v>'3328040310030004</v>
      </c>
      <c r="D157" s="7" t="str">
        <f t="shared" si="5"/>
        <v>ganda</v>
      </c>
      <c r="E157" s="7" t="s">
        <v>1408</v>
      </c>
      <c r="F157" s="7" t="s">
        <v>10</v>
      </c>
      <c r="G157" s="7" t="s">
        <v>57</v>
      </c>
      <c r="H157" s="7" t="s">
        <v>303</v>
      </c>
      <c r="I157" s="7" t="s">
        <v>608</v>
      </c>
      <c r="J157" s="7" t="s">
        <v>609</v>
      </c>
      <c r="K157" s="8" t="s">
        <v>610</v>
      </c>
    </row>
    <row r="158" spans="1:11" x14ac:dyDescent="0.35">
      <c r="A158" s="7">
        <v>2373093</v>
      </c>
      <c r="B158" s="7" t="str">
        <f>"3328040703060002"</f>
        <v>3328040703060002</v>
      </c>
      <c r="C158" s="7" t="str">
        <f t="shared" si="4"/>
        <v>'3328040703060002</v>
      </c>
      <c r="D158" s="7" t="str">
        <f t="shared" si="5"/>
        <v>ganda</v>
      </c>
      <c r="E158" s="7" t="s">
        <v>1436</v>
      </c>
      <c r="F158" s="7" t="s">
        <v>10</v>
      </c>
      <c r="G158" s="7" t="s">
        <v>11</v>
      </c>
      <c r="H158" s="7" t="s">
        <v>18</v>
      </c>
      <c r="I158" s="7" t="s">
        <v>19</v>
      </c>
      <c r="J158" s="7" t="s">
        <v>745</v>
      </c>
      <c r="K158" s="8" t="s">
        <v>746</v>
      </c>
    </row>
    <row r="159" spans="1:11" x14ac:dyDescent="0.35">
      <c r="A159" s="7">
        <v>2618072</v>
      </c>
      <c r="B159" s="7" t="str">
        <f>"3328040703060002"</f>
        <v>3328040703060002</v>
      </c>
      <c r="C159" s="7" t="str">
        <f t="shared" si="4"/>
        <v>'3328040703060002</v>
      </c>
      <c r="D159" s="7" t="str">
        <f t="shared" si="5"/>
        <v>ganda</v>
      </c>
      <c r="E159" s="7" t="s">
        <v>1437</v>
      </c>
      <c r="F159" s="7" t="s">
        <v>10</v>
      </c>
      <c r="G159" s="7" t="s">
        <v>57</v>
      </c>
      <c r="H159" s="7" t="s">
        <v>18</v>
      </c>
      <c r="I159" s="7" t="s">
        <v>1438</v>
      </c>
      <c r="J159" s="7" t="s">
        <v>1439</v>
      </c>
      <c r="K159" s="8" t="s">
        <v>1440</v>
      </c>
    </row>
    <row r="160" spans="1:11" x14ac:dyDescent="0.35">
      <c r="A160" s="7">
        <v>2213052</v>
      </c>
      <c r="B160" s="7" t="str">
        <f>"3328040907010001"</f>
        <v>3328040907010001</v>
      </c>
      <c r="C160" s="7" t="str">
        <f t="shared" si="4"/>
        <v>'3328040907010001</v>
      </c>
      <c r="D160" s="7" t="str">
        <f t="shared" si="5"/>
        <v>ganda</v>
      </c>
      <c r="E160" s="7" t="s">
        <v>1448</v>
      </c>
      <c r="F160" s="7" t="s">
        <v>10</v>
      </c>
      <c r="G160" s="7" t="s">
        <v>11</v>
      </c>
      <c r="H160" s="7" t="s">
        <v>18</v>
      </c>
      <c r="I160" s="7" t="s">
        <v>19</v>
      </c>
      <c r="J160" s="7" t="s">
        <v>745</v>
      </c>
      <c r="K160" s="8" t="s">
        <v>1235</v>
      </c>
    </row>
    <row r="161" spans="1:11" x14ac:dyDescent="0.35">
      <c r="A161" s="7">
        <v>1351129</v>
      </c>
      <c r="B161" s="7" t="str">
        <f>"3328040907010001"</f>
        <v>3328040907010001</v>
      </c>
      <c r="C161" s="7" t="str">
        <f t="shared" si="4"/>
        <v>'3328040907010001</v>
      </c>
      <c r="D161" s="7" t="str">
        <f t="shared" si="5"/>
        <v>ganda</v>
      </c>
      <c r="E161" s="7" t="s">
        <v>1448</v>
      </c>
      <c r="F161" s="7" t="s">
        <v>10</v>
      </c>
      <c r="G161" s="7" t="s">
        <v>57</v>
      </c>
      <c r="H161" s="7" t="s">
        <v>303</v>
      </c>
      <c r="I161" s="7" t="s">
        <v>608</v>
      </c>
      <c r="J161" s="7" t="s">
        <v>609</v>
      </c>
      <c r="K161" s="8" t="s">
        <v>610</v>
      </c>
    </row>
    <row r="162" spans="1:11" x14ac:dyDescent="0.35">
      <c r="A162" s="7">
        <v>2372748</v>
      </c>
      <c r="B162" s="7" t="str">
        <f>"3328041106020002"</f>
        <v>3328041106020002</v>
      </c>
      <c r="C162" s="7" t="str">
        <f t="shared" si="4"/>
        <v>'3328041106020002</v>
      </c>
      <c r="D162" s="7" t="str">
        <f t="shared" si="5"/>
        <v>ganda</v>
      </c>
      <c r="E162" s="7" t="s">
        <v>1456</v>
      </c>
      <c r="F162" s="7" t="s">
        <v>10</v>
      </c>
      <c r="G162" s="7" t="s">
        <v>11</v>
      </c>
      <c r="H162" s="7" t="s">
        <v>18</v>
      </c>
      <c r="I162" s="7" t="s">
        <v>19</v>
      </c>
      <c r="J162" s="7" t="s">
        <v>745</v>
      </c>
      <c r="K162" s="8" t="s">
        <v>746</v>
      </c>
    </row>
    <row r="163" spans="1:11" x14ac:dyDescent="0.35">
      <c r="A163" s="7">
        <v>1351126</v>
      </c>
      <c r="B163" s="7" t="str">
        <f>"3328041106020002"</f>
        <v>3328041106020002</v>
      </c>
      <c r="C163" s="7" t="str">
        <f t="shared" si="4"/>
        <v>'3328041106020002</v>
      </c>
      <c r="D163" s="7" t="str">
        <f t="shared" si="5"/>
        <v>ganda</v>
      </c>
      <c r="E163" s="7" t="s">
        <v>1456</v>
      </c>
      <c r="F163" s="7" t="s">
        <v>10</v>
      </c>
      <c r="G163" s="7" t="s">
        <v>57</v>
      </c>
      <c r="H163" s="7" t="s">
        <v>303</v>
      </c>
      <c r="I163" s="7" t="s">
        <v>608</v>
      </c>
      <c r="J163" s="7" t="s">
        <v>609</v>
      </c>
      <c r="K163" s="8" t="s">
        <v>610</v>
      </c>
    </row>
    <row r="164" spans="1:11" x14ac:dyDescent="0.35">
      <c r="A164" s="7">
        <v>2292348</v>
      </c>
      <c r="B164" s="7" t="str">
        <f>"3328041110940001"</f>
        <v>3328041110940001</v>
      </c>
      <c r="C164" s="7" t="str">
        <f t="shared" si="4"/>
        <v>'3328041110940001</v>
      </c>
      <c r="D164" s="7" t="str">
        <f t="shared" si="5"/>
        <v>ganda</v>
      </c>
      <c r="E164" s="7" t="s">
        <v>1460</v>
      </c>
      <c r="F164" s="7" t="s">
        <v>10</v>
      </c>
      <c r="G164" s="7" t="s">
        <v>11</v>
      </c>
      <c r="H164" s="7" t="s">
        <v>18</v>
      </c>
      <c r="I164" s="7" t="s">
        <v>19</v>
      </c>
      <c r="J164" s="7" t="s">
        <v>745</v>
      </c>
      <c r="K164" s="8" t="s">
        <v>1264</v>
      </c>
    </row>
    <row r="165" spans="1:11" x14ac:dyDescent="0.35">
      <c r="A165" s="7">
        <v>1351117</v>
      </c>
      <c r="B165" s="7" t="str">
        <f>"3328041110940001"</f>
        <v>3328041110940001</v>
      </c>
      <c r="C165" s="7" t="str">
        <f t="shared" si="4"/>
        <v>'3328041110940001</v>
      </c>
      <c r="D165" s="7" t="str">
        <f t="shared" si="5"/>
        <v>ganda</v>
      </c>
      <c r="E165" s="7" t="s">
        <v>1460</v>
      </c>
      <c r="F165" s="7" t="s">
        <v>10</v>
      </c>
      <c r="G165" s="7" t="s">
        <v>57</v>
      </c>
      <c r="H165" s="7" t="s">
        <v>303</v>
      </c>
      <c r="I165" s="7" t="s">
        <v>608</v>
      </c>
      <c r="J165" s="7" t="s">
        <v>609</v>
      </c>
      <c r="K165" s="8" t="s">
        <v>610</v>
      </c>
    </row>
    <row r="166" spans="1:11" x14ac:dyDescent="0.35">
      <c r="A166" s="7">
        <v>2346919</v>
      </c>
      <c r="B166" s="7" t="str">
        <f>"3328041208040005"</f>
        <v>3328041208040005</v>
      </c>
      <c r="C166" s="7" t="str">
        <f t="shared" si="4"/>
        <v>'3328041208040005</v>
      </c>
      <c r="D166" s="7" t="str">
        <f t="shared" si="5"/>
        <v>ganda</v>
      </c>
      <c r="E166" s="7" t="s">
        <v>1461</v>
      </c>
      <c r="F166" s="7" t="s">
        <v>10</v>
      </c>
      <c r="G166" s="7" t="s">
        <v>11</v>
      </c>
      <c r="H166" s="7" t="s">
        <v>18</v>
      </c>
      <c r="I166" s="7" t="s">
        <v>19</v>
      </c>
      <c r="J166" s="7" t="s">
        <v>745</v>
      </c>
      <c r="K166" s="8" t="s">
        <v>1262</v>
      </c>
    </row>
    <row r="167" spans="1:11" x14ac:dyDescent="0.35">
      <c r="A167" s="7">
        <v>1351123</v>
      </c>
      <c r="B167" s="7" t="str">
        <f>"3328041208040005"</f>
        <v>3328041208040005</v>
      </c>
      <c r="C167" s="7" t="str">
        <f t="shared" si="4"/>
        <v>'3328041208040005</v>
      </c>
      <c r="D167" s="7" t="str">
        <f t="shared" si="5"/>
        <v>ganda</v>
      </c>
      <c r="E167" s="7" t="s">
        <v>1461</v>
      </c>
      <c r="F167" s="7" t="s">
        <v>10</v>
      </c>
      <c r="G167" s="7" t="s">
        <v>57</v>
      </c>
      <c r="H167" s="7" t="s">
        <v>303</v>
      </c>
      <c r="I167" s="7" t="s">
        <v>608</v>
      </c>
      <c r="J167" s="7" t="s">
        <v>609</v>
      </c>
      <c r="K167" s="8" t="s">
        <v>610</v>
      </c>
    </row>
    <row r="168" spans="1:11" x14ac:dyDescent="0.35">
      <c r="A168" s="7">
        <v>2345664</v>
      </c>
      <c r="B168" s="7" t="str">
        <f>"3328041603000007"</f>
        <v>3328041603000007</v>
      </c>
      <c r="C168" s="7" t="str">
        <f t="shared" si="4"/>
        <v>'3328041603000007</v>
      </c>
      <c r="D168" s="7" t="str">
        <f t="shared" si="5"/>
        <v>ganda</v>
      </c>
      <c r="E168" s="7" t="s">
        <v>1471</v>
      </c>
      <c r="F168" s="7" t="s">
        <v>10</v>
      </c>
      <c r="G168" s="7" t="s">
        <v>11</v>
      </c>
      <c r="H168" s="7" t="s">
        <v>18</v>
      </c>
      <c r="I168" s="7" t="s">
        <v>19</v>
      </c>
      <c r="J168" s="7" t="s">
        <v>745</v>
      </c>
      <c r="K168" s="8" t="s">
        <v>1262</v>
      </c>
    </row>
    <row r="169" spans="1:11" x14ac:dyDescent="0.35">
      <c r="A169" s="7">
        <v>1351124</v>
      </c>
      <c r="B169" s="7" t="str">
        <f>"3328041603000007"</f>
        <v>3328041603000007</v>
      </c>
      <c r="C169" s="7" t="str">
        <f t="shared" si="4"/>
        <v>'3328041603000007</v>
      </c>
      <c r="D169" s="7" t="str">
        <f t="shared" si="5"/>
        <v>ganda</v>
      </c>
      <c r="E169" s="7" t="s">
        <v>1471</v>
      </c>
      <c r="F169" s="7" t="s">
        <v>10</v>
      </c>
      <c r="G169" s="7" t="s">
        <v>57</v>
      </c>
      <c r="H169" s="7" t="s">
        <v>303</v>
      </c>
      <c r="I169" s="7" t="s">
        <v>608</v>
      </c>
      <c r="J169" s="7" t="s">
        <v>609</v>
      </c>
      <c r="K169" s="8" t="s">
        <v>610</v>
      </c>
    </row>
    <row r="170" spans="1:11" x14ac:dyDescent="0.35">
      <c r="A170" s="7">
        <v>2295653</v>
      </c>
      <c r="B170" s="7" t="str">
        <f>"3328042502040002"</f>
        <v>3328042502040002</v>
      </c>
      <c r="C170" s="7" t="str">
        <f t="shared" si="4"/>
        <v>'3328042502040002</v>
      </c>
      <c r="D170" s="7" t="str">
        <f t="shared" si="5"/>
        <v>ganda</v>
      </c>
      <c r="E170" s="7" t="s">
        <v>1503</v>
      </c>
      <c r="F170" s="7" t="s">
        <v>10</v>
      </c>
      <c r="G170" s="7" t="s">
        <v>11</v>
      </c>
      <c r="H170" s="7" t="s">
        <v>18</v>
      </c>
      <c r="I170" s="7" t="s">
        <v>19</v>
      </c>
      <c r="J170" s="7" t="s">
        <v>745</v>
      </c>
      <c r="K170" s="8" t="s">
        <v>1264</v>
      </c>
    </row>
    <row r="171" spans="1:11" x14ac:dyDescent="0.35">
      <c r="A171" s="7">
        <v>1351120</v>
      </c>
      <c r="B171" s="7" t="str">
        <f>"3328042502040002"</f>
        <v>3328042502040002</v>
      </c>
      <c r="C171" s="7" t="str">
        <f t="shared" si="4"/>
        <v>'3328042502040002</v>
      </c>
      <c r="D171" s="7" t="str">
        <f t="shared" si="5"/>
        <v>ganda</v>
      </c>
      <c r="E171" s="7" t="s">
        <v>1504</v>
      </c>
      <c r="F171" s="7" t="s">
        <v>10</v>
      </c>
      <c r="G171" s="7" t="s">
        <v>57</v>
      </c>
      <c r="H171" s="7" t="s">
        <v>303</v>
      </c>
      <c r="I171" s="7" t="s">
        <v>608</v>
      </c>
      <c r="J171" s="7" t="s">
        <v>609</v>
      </c>
      <c r="K171" s="8" t="s">
        <v>610</v>
      </c>
    </row>
    <row r="172" spans="1:11" x14ac:dyDescent="0.35">
      <c r="A172" s="7">
        <v>2404601</v>
      </c>
      <c r="B172" s="7" t="str">
        <f>"3328042904900005"</f>
        <v>3328042904900005</v>
      </c>
      <c r="C172" s="7" t="str">
        <f t="shared" si="4"/>
        <v>'3328042904900005</v>
      </c>
      <c r="D172" s="7" t="str">
        <f t="shared" si="5"/>
        <v>ganda</v>
      </c>
      <c r="E172" s="7" t="s">
        <v>1512</v>
      </c>
      <c r="F172" s="7" t="s">
        <v>10</v>
      </c>
      <c r="G172" s="7" t="s">
        <v>11</v>
      </c>
      <c r="H172" s="7" t="s">
        <v>18</v>
      </c>
      <c r="I172" s="7" t="s">
        <v>19</v>
      </c>
      <c r="J172" s="7" t="s">
        <v>745</v>
      </c>
      <c r="K172" s="8" t="s">
        <v>1230</v>
      </c>
    </row>
    <row r="173" spans="1:11" x14ac:dyDescent="0.35">
      <c r="A173" s="7">
        <v>1696350</v>
      </c>
      <c r="B173" s="7" t="str">
        <f>"3328042904900005"</f>
        <v>3328042904900005</v>
      </c>
      <c r="C173" s="7" t="str">
        <f t="shared" si="4"/>
        <v>'3328042904900005</v>
      </c>
      <c r="D173" s="7" t="str">
        <f t="shared" si="5"/>
        <v>ganda</v>
      </c>
      <c r="E173" s="7" t="s">
        <v>1513</v>
      </c>
      <c r="F173" s="7" t="s">
        <v>10</v>
      </c>
      <c r="G173" s="7" t="s">
        <v>57</v>
      </c>
      <c r="H173" s="7" t="s">
        <v>18</v>
      </c>
      <c r="I173" s="7" t="s">
        <v>1514</v>
      </c>
      <c r="J173" s="7" t="s">
        <v>1515</v>
      </c>
      <c r="K173" s="8" t="s">
        <v>1516</v>
      </c>
    </row>
    <row r="174" spans="1:11" x14ac:dyDescent="0.35">
      <c r="A174" s="7">
        <v>2272592</v>
      </c>
      <c r="B174" s="7" t="str">
        <f>"3328043012720013"</f>
        <v>3328043012720013</v>
      </c>
      <c r="C174" s="7" t="str">
        <f t="shared" si="4"/>
        <v>'3328043012720013</v>
      </c>
      <c r="D174" s="7" t="str">
        <f t="shared" si="5"/>
        <v>ganda</v>
      </c>
      <c r="E174" s="7" t="s">
        <v>1521</v>
      </c>
      <c r="F174" s="7" t="s">
        <v>10</v>
      </c>
      <c r="G174" s="7" t="s">
        <v>11</v>
      </c>
      <c r="H174" s="7" t="s">
        <v>18</v>
      </c>
      <c r="I174" s="7" t="s">
        <v>19</v>
      </c>
      <c r="J174" s="7" t="s">
        <v>745</v>
      </c>
      <c r="K174" s="8" t="s">
        <v>1348</v>
      </c>
    </row>
    <row r="175" spans="1:11" x14ac:dyDescent="0.35">
      <c r="A175" s="7">
        <v>884796</v>
      </c>
      <c r="B175" s="7" t="str">
        <f>"3328043012720013"</f>
        <v>3328043012720013</v>
      </c>
      <c r="C175" s="7" t="str">
        <f t="shared" si="4"/>
        <v>'3328043012720013</v>
      </c>
      <c r="D175" s="7" t="str">
        <f t="shared" si="5"/>
        <v>ganda</v>
      </c>
      <c r="E175" s="7" t="s">
        <v>1521</v>
      </c>
      <c r="F175" s="7" t="s">
        <v>10</v>
      </c>
      <c r="G175" s="7" t="s">
        <v>11</v>
      </c>
      <c r="H175" s="7" t="s">
        <v>18</v>
      </c>
      <c r="I175" s="7" t="s">
        <v>1522</v>
      </c>
      <c r="J175" s="7" t="s">
        <v>1523</v>
      </c>
      <c r="K175" s="8" t="s">
        <v>1524</v>
      </c>
    </row>
    <row r="176" spans="1:11" x14ac:dyDescent="0.35">
      <c r="A176" s="7">
        <v>2344464</v>
      </c>
      <c r="B176" s="7" t="str">
        <f>"3328044511030001"</f>
        <v>3328044511030001</v>
      </c>
      <c r="C176" s="7" t="str">
        <f t="shared" si="4"/>
        <v>'3328044511030001</v>
      </c>
      <c r="D176" s="7" t="str">
        <f t="shared" si="5"/>
        <v>ganda</v>
      </c>
      <c r="E176" s="7" t="s">
        <v>1552</v>
      </c>
      <c r="F176" s="7" t="s">
        <v>10</v>
      </c>
      <c r="G176" s="7" t="s">
        <v>11</v>
      </c>
      <c r="H176" s="7" t="s">
        <v>18</v>
      </c>
      <c r="I176" s="7" t="s">
        <v>19</v>
      </c>
      <c r="J176" s="7" t="s">
        <v>745</v>
      </c>
      <c r="K176" s="8" t="s">
        <v>1262</v>
      </c>
    </row>
    <row r="177" spans="1:11" x14ac:dyDescent="0.35">
      <c r="A177" s="7">
        <v>1351122</v>
      </c>
      <c r="B177" s="7" t="str">
        <f>"3328044511030001"</f>
        <v>3328044511030001</v>
      </c>
      <c r="C177" s="7" t="str">
        <f t="shared" si="4"/>
        <v>'3328044511030001</v>
      </c>
      <c r="D177" s="7" t="str">
        <f t="shared" si="5"/>
        <v>ganda</v>
      </c>
      <c r="E177" s="7" t="s">
        <v>1553</v>
      </c>
      <c r="F177" s="7" t="s">
        <v>10</v>
      </c>
      <c r="G177" s="7" t="s">
        <v>57</v>
      </c>
      <c r="H177" s="7" t="s">
        <v>303</v>
      </c>
      <c r="I177" s="7" t="s">
        <v>608</v>
      </c>
      <c r="J177" s="7" t="s">
        <v>609</v>
      </c>
      <c r="K177" s="8" t="s">
        <v>610</v>
      </c>
    </row>
    <row r="178" spans="1:11" x14ac:dyDescent="0.35">
      <c r="A178" s="7">
        <v>2344250</v>
      </c>
      <c r="B178" s="7" t="str">
        <f>"3328044802020001"</f>
        <v>3328044802020001</v>
      </c>
      <c r="C178" s="7" t="str">
        <f t="shared" si="4"/>
        <v>'3328044802020001</v>
      </c>
      <c r="D178" s="7" t="str">
        <f t="shared" si="5"/>
        <v>ganda</v>
      </c>
      <c r="E178" s="7" t="s">
        <v>1563</v>
      </c>
      <c r="F178" s="7" t="s">
        <v>10</v>
      </c>
      <c r="G178" s="7" t="s">
        <v>11</v>
      </c>
      <c r="H178" s="7" t="s">
        <v>18</v>
      </c>
      <c r="I178" s="7" t="s">
        <v>19</v>
      </c>
      <c r="J178" s="7" t="s">
        <v>745</v>
      </c>
      <c r="K178" s="8" t="s">
        <v>1262</v>
      </c>
    </row>
    <row r="179" spans="1:11" x14ac:dyDescent="0.35">
      <c r="A179" s="7">
        <v>1862380</v>
      </c>
      <c r="B179" s="7" t="str">
        <f>"3328044802020001"</f>
        <v>3328044802020001</v>
      </c>
      <c r="C179" s="7" t="str">
        <f t="shared" si="4"/>
        <v>'3328044802020001</v>
      </c>
      <c r="D179" s="7" t="str">
        <f t="shared" si="5"/>
        <v>ganda</v>
      </c>
      <c r="E179" s="7" t="s">
        <v>1564</v>
      </c>
      <c r="F179" s="7" t="s">
        <v>10</v>
      </c>
      <c r="G179" s="7" t="s">
        <v>57</v>
      </c>
      <c r="H179" s="7" t="s">
        <v>18</v>
      </c>
      <c r="I179" s="7" t="s">
        <v>733</v>
      </c>
      <c r="J179" s="7" t="s">
        <v>733</v>
      </c>
      <c r="K179" s="8" t="s">
        <v>734</v>
      </c>
    </row>
    <row r="180" spans="1:11" x14ac:dyDescent="0.35">
      <c r="A180" s="7">
        <v>2385028</v>
      </c>
      <c r="B180" s="7" t="str">
        <f>"3328044902910005"</f>
        <v>3328044902910005</v>
      </c>
      <c r="C180" s="7" t="str">
        <f t="shared" si="4"/>
        <v>'3328044902910005</v>
      </c>
      <c r="D180" s="7" t="str">
        <f t="shared" si="5"/>
        <v>ganda</v>
      </c>
      <c r="E180" s="7" t="s">
        <v>1565</v>
      </c>
      <c r="F180" s="7" t="s">
        <v>10</v>
      </c>
      <c r="G180" s="7" t="s">
        <v>11</v>
      </c>
      <c r="H180" s="7" t="s">
        <v>18</v>
      </c>
      <c r="I180" s="7" t="s">
        <v>19</v>
      </c>
      <c r="J180" s="7" t="s">
        <v>745</v>
      </c>
      <c r="K180" s="8" t="s">
        <v>352</v>
      </c>
    </row>
    <row r="181" spans="1:11" x14ac:dyDescent="0.35">
      <c r="A181" s="7">
        <v>1434114</v>
      </c>
      <c r="B181" s="7" t="str">
        <f>"3328044902910005"</f>
        <v>3328044902910005</v>
      </c>
      <c r="C181" s="7" t="str">
        <f t="shared" si="4"/>
        <v>'3328044902910005</v>
      </c>
      <c r="D181" s="7" t="str">
        <f t="shared" si="5"/>
        <v>ganda</v>
      </c>
      <c r="E181" s="7" t="s">
        <v>1565</v>
      </c>
      <c r="F181" s="7" t="s">
        <v>10</v>
      </c>
      <c r="G181" s="7" t="s">
        <v>11</v>
      </c>
      <c r="H181" s="7" t="s">
        <v>91</v>
      </c>
      <c r="I181" s="7" t="s">
        <v>903</v>
      </c>
      <c r="J181" s="7" t="s">
        <v>767</v>
      </c>
      <c r="K181" s="8" t="s">
        <v>1566</v>
      </c>
    </row>
    <row r="182" spans="1:11" x14ac:dyDescent="0.35">
      <c r="A182" s="7">
        <v>2402035</v>
      </c>
      <c r="B182" s="7" t="str">
        <f>"3328045207670004"</f>
        <v>3328045207670004</v>
      </c>
      <c r="C182" s="7" t="str">
        <f t="shared" si="4"/>
        <v>'3328045207670004</v>
      </c>
      <c r="D182" s="7" t="str">
        <f t="shared" si="5"/>
        <v>ganda</v>
      </c>
      <c r="E182" s="7" t="s">
        <v>1577</v>
      </c>
      <c r="F182" s="7" t="s">
        <v>10</v>
      </c>
      <c r="G182" s="7" t="s">
        <v>11</v>
      </c>
      <c r="H182" s="7" t="s">
        <v>18</v>
      </c>
      <c r="I182" s="7" t="s">
        <v>19</v>
      </c>
      <c r="J182" s="7" t="s">
        <v>745</v>
      </c>
      <c r="K182" s="8" t="s">
        <v>1303</v>
      </c>
    </row>
    <row r="183" spans="1:11" x14ac:dyDescent="0.35">
      <c r="A183" s="7">
        <v>1349029</v>
      </c>
      <c r="B183" s="7" t="str">
        <f>"3328045207670004"</f>
        <v>3328045207670004</v>
      </c>
      <c r="C183" s="7" t="str">
        <f t="shared" si="4"/>
        <v>'3328045207670004</v>
      </c>
      <c r="D183" s="7" t="str">
        <f t="shared" si="5"/>
        <v>ganda</v>
      </c>
      <c r="E183" s="7" t="s">
        <v>1578</v>
      </c>
      <c r="F183" s="7" t="s">
        <v>10</v>
      </c>
      <c r="G183" s="7" t="s">
        <v>57</v>
      </c>
      <c r="H183" s="7" t="s">
        <v>303</v>
      </c>
      <c r="I183" s="7" t="s">
        <v>608</v>
      </c>
      <c r="J183" s="7" t="s">
        <v>609</v>
      </c>
      <c r="K183" s="8" t="s">
        <v>610</v>
      </c>
    </row>
    <row r="184" spans="1:11" x14ac:dyDescent="0.35">
      <c r="A184" s="7">
        <v>2345042</v>
      </c>
      <c r="B184" s="7" t="str">
        <f>"3328046109040002"</f>
        <v>3328046109040002</v>
      </c>
      <c r="C184" s="7" t="str">
        <f t="shared" si="4"/>
        <v>'3328046109040002</v>
      </c>
      <c r="D184" s="7" t="str">
        <f t="shared" si="5"/>
        <v>ganda</v>
      </c>
      <c r="E184" s="7" t="s">
        <v>1599</v>
      </c>
      <c r="F184" s="7" t="s">
        <v>10</v>
      </c>
      <c r="G184" s="7" t="s">
        <v>11</v>
      </c>
      <c r="H184" s="7" t="s">
        <v>18</v>
      </c>
      <c r="I184" s="7" t="s">
        <v>19</v>
      </c>
      <c r="J184" s="7" t="s">
        <v>745</v>
      </c>
      <c r="K184" s="8" t="s">
        <v>1262</v>
      </c>
    </row>
    <row r="185" spans="1:11" x14ac:dyDescent="0.35">
      <c r="A185" s="7">
        <v>1384111</v>
      </c>
      <c r="B185" s="7" t="str">
        <f>"3328046109040002"</f>
        <v>3328046109040002</v>
      </c>
      <c r="C185" s="7" t="str">
        <f t="shared" si="4"/>
        <v>'3328046109040002</v>
      </c>
      <c r="D185" s="7" t="str">
        <f t="shared" si="5"/>
        <v>ganda</v>
      </c>
      <c r="E185" s="7" t="s">
        <v>1600</v>
      </c>
      <c r="F185" s="7" t="s">
        <v>10</v>
      </c>
      <c r="G185" s="7" t="s">
        <v>11</v>
      </c>
      <c r="H185" s="7" t="s">
        <v>303</v>
      </c>
      <c r="I185" s="7" t="s">
        <v>608</v>
      </c>
      <c r="J185" s="7" t="s">
        <v>1601</v>
      </c>
      <c r="K185" s="8" t="s">
        <v>1602</v>
      </c>
    </row>
    <row r="186" spans="1:11" x14ac:dyDescent="0.35">
      <c r="A186" s="7">
        <v>2346738</v>
      </c>
      <c r="B186" s="7" t="str">
        <f>"3328046909010004"</f>
        <v>3328046909010004</v>
      </c>
      <c r="C186" s="7" t="str">
        <f t="shared" si="4"/>
        <v>'3328046909010004</v>
      </c>
      <c r="D186" s="7" t="str">
        <f t="shared" si="5"/>
        <v>ganda</v>
      </c>
      <c r="E186" s="7" t="s">
        <v>1609</v>
      </c>
      <c r="F186" s="7" t="s">
        <v>10</v>
      </c>
      <c r="G186" s="7" t="s">
        <v>11</v>
      </c>
      <c r="H186" s="7" t="s">
        <v>18</v>
      </c>
      <c r="I186" s="7" t="s">
        <v>19</v>
      </c>
      <c r="J186" s="7" t="s">
        <v>745</v>
      </c>
      <c r="K186" s="8" t="s">
        <v>1262</v>
      </c>
    </row>
    <row r="187" spans="1:11" x14ac:dyDescent="0.35">
      <c r="A187" s="7">
        <v>1862976</v>
      </c>
      <c r="B187" s="7" t="str">
        <f>"3328046909010004"</f>
        <v>3328046909010004</v>
      </c>
      <c r="C187" s="7" t="str">
        <f t="shared" si="4"/>
        <v>'3328046909010004</v>
      </c>
      <c r="D187" s="7" t="str">
        <f t="shared" si="5"/>
        <v>ganda</v>
      </c>
      <c r="E187" s="7" t="s">
        <v>1610</v>
      </c>
      <c r="F187" s="7" t="s">
        <v>10</v>
      </c>
      <c r="G187" s="7" t="s">
        <v>57</v>
      </c>
      <c r="H187" s="7" t="s">
        <v>18</v>
      </c>
      <c r="I187" s="7" t="s">
        <v>733</v>
      </c>
      <c r="J187" s="7" t="s">
        <v>1127</v>
      </c>
      <c r="K187" s="8" t="s">
        <v>1127</v>
      </c>
    </row>
    <row r="188" spans="1:11" x14ac:dyDescent="0.35">
      <c r="A188" s="7">
        <v>109926</v>
      </c>
      <c r="B188" s="7" t="str">
        <f>"3172011502800016"</f>
        <v>3172011502800016</v>
      </c>
      <c r="C188" s="7" t="str">
        <f t="shared" si="4"/>
        <v>'3172011502800016</v>
      </c>
      <c r="D188" s="7" t="str">
        <f t="shared" si="5"/>
        <v>ganda</v>
      </c>
      <c r="E188" s="7" t="s">
        <v>1718</v>
      </c>
      <c r="F188" s="7" t="s">
        <v>10</v>
      </c>
      <c r="G188" s="7" t="s">
        <v>11</v>
      </c>
      <c r="H188" s="7" t="s">
        <v>50</v>
      </c>
      <c r="I188" s="7" t="s">
        <v>51</v>
      </c>
      <c r="J188" s="7" t="s">
        <v>52</v>
      </c>
      <c r="K188" s="8" t="s">
        <v>1719</v>
      </c>
    </row>
    <row r="189" spans="1:11" x14ac:dyDescent="0.35">
      <c r="A189" s="7">
        <v>2534943</v>
      </c>
      <c r="B189" s="7" t="str">
        <f>"3172011502800016"</f>
        <v>3172011502800016</v>
      </c>
      <c r="C189" s="7" t="str">
        <f t="shared" si="4"/>
        <v>'3172011502800016</v>
      </c>
      <c r="D189" s="7" t="str">
        <f t="shared" si="5"/>
        <v>ganda</v>
      </c>
      <c r="E189" s="7" t="s">
        <v>1718</v>
      </c>
      <c r="F189" s="7" t="s">
        <v>10</v>
      </c>
      <c r="G189" s="7" t="s">
        <v>11</v>
      </c>
      <c r="H189" s="7" t="s">
        <v>18</v>
      </c>
      <c r="I189" s="7" t="s">
        <v>19</v>
      </c>
      <c r="J189" s="7" t="s">
        <v>1720</v>
      </c>
      <c r="K189" s="8" t="s">
        <v>1721</v>
      </c>
    </row>
    <row r="190" spans="1:11" x14ac:dyDescent="0.35">
      <c r="A190" s="7">
        <v>1546673</v>
      </c>
      <c r="B190" s="7" t="str">
        <f>"3325112007670001"</f>
        <v>3325112007670001</v>
      </c>
      <c r="C190" s="7" t="str">
        <f t="shared" si="4"/>
        <v>'3325112007670001</v>
      </c>
      <c r="D190" s="7" t="str">
        <f t="shared" si="5"/>
        <v>ganda</v>
      </c>
      <c r="E190" s="7" t="s">
        <v>1790</v>
      </c>
      <c r="F190" s="7" t="s">
        <v>10</v>
      </c>
      <c r="G190" s="7" t="s">
        <v>11</v>
      </c>
      <c r="H190" s="7" t="s">
        <v>18</v>
      </c>
      <c r="I190" s="7" t="s">
        <v>19</v>
      </c>
      <c r="J190" s="7" t="s">
        <v>1720</v>
      </c>
      <c r="K190" s="8" t="s">
        <v>1771</v>
      </c>
    </row>
    <row r="191" spans="1:11" x14ac:dyDescent="0.35">
      <c r="A191" s="7">
        <v>2662325</v>
      </c>
      <c r="B191" s="7" t="str">
        <f>"3325112007670001"</f>
        <v>3325112007670001</v>
      </c>
      <c r="C191" s="7" t="str">
        <f t="shared" si="4"/>
        <v>'3325112007670001</v>
      </c>
      <c r="D191" s="7" t="str">
        <f t="shared" si="5"/>
        <v>ganda</v>
      </c>
      <c r="E191" s="7" t="s">
        <v>1791</v>
      </c>
      <c r="F191" s="7" t="s">
        <v>10</v>
      </c>
      <c r="G191" s="7" t="s">
        <v>57</v>
      </c>
      <c r="H191" s="7" t="s">
        <v>18</v>
      </c>
      <c r="I191" s="7" t="s">
        <v>199</v>
      </c>
      <c r="J191" s="7" t="s">
        <v>199</v>
      </c>
      <c r="K191" s="8" t="s">
        <v>839</v>
      </c>
    </row>
    <row r="192" spans="1:11" x14ac:dyDescent="0.35">
      <c r="A192" s="7">
        <v>2128717</v>
      </c>
      <c r="B192" s="7" t="str">
        <f>"3328050506920002"</f>
        <v>3328050506920002</v>
      </c>
      <c r="C192" s="7" t="str">
        <f t="shared" si="4"/>
        <v>'3328050506920002</v>
      </c>
      <c r="D192" s="7" t="str">
        <f t="shared" si="5"/>
        <v>ganda</v>
      </c>
      <c r="E192" s="7" t="s">
        <v>1822</v>
      </c>
      <c r="F192" s="7" t="s">
        <v>10</v>
      </c>
      <c r="G192" s="7" t="s">
        <v>11</v>
      </c>
      <c r="H192" s="7" t="s">
        <v>18</v>
      </c>
      <c r="I192" s="7" t="s">
        <v>19</v>
      </c>
      <c r="J192" s="7" t="s">
        <v>1720</v>
      </c>
      <c r="K192" s="8" t="s">
        <v>1731</v>
      </c>
    </row>
    <row r="193" spans="1:11" x14ac:dyDescent="0.35">
      <c r="A193" s="7">
        <v>255958</v>
      </c>
      <c r="B193" s="7" t="str">
        <f>"3328050506920002"</f>
        <v>3328050506920002</v>
      </c>
      <c r="C193" s="7" t="str">
        <f t="shared" si="4"/>
        <v>'3328050506920002</v>
      </c>
      <c r="D193" s="7" t="str">
        <f t="shared" si="5"/>
        <v>ganda</v>
      </c>
      <c r="E193" s="7" t="s">
        <v>1822</v>
      </c>
      <c r="F193" s="7" t="s">
        <v>10</v>
      </c>
      <c r="G193" s="7" t="s">
        <v>57</v>
      </c>
      <c r="H193" s="7" t="s">
        <v>521</v>
      </c>
      <c r="I193" s="7" t="s">
        <v>657</v>
      </c>
      <c r="J193" s="7" t="s">
        <v>658</v>
      </c>
      <c r="K193" s="8" t="s">
        <v>659</v>
      </c>
    </row>
    <row r="194" spans="1:11" x14ac:dyDescent="0.35">
      <c r="A194" s="7">
        <v>1366571</v>
      </c>
      <c r="B194" s="7" t="str">
        <f>"3328051210940001"</f>
        <v>3328051210940001</v>
      </c>
      <c r="C194" s="7" t="str">
        <f t="shared" ref="C194:C257" si="6">"'"&amp;B194</f>
        <v>'3328051210940001</v>
      </c>
      <c r="D194" s="7" t="str">
        <f t="shared" ref="D194:D257" si="7">IF(COUNTIF($C:$C,C194)&gt;1,"ganda","tidak ganda")</f>
        <v>ganda</v>
      </c>
      <c r="E194" s="7" t="s">
        <v>1866</v>
      </c>
      <c r="F194" s="7" t="s">
        <v>10</v>
      </c>
      <c r="G194" s="7" t="s">
        <v>11</v>
      </c>
      <c r="H194" s="7" t="s">
        <v>18</v>
      </c>
      <c r="I194" s="7" t="s">
        <v>19</v>
      </c>
      <c r="J194" s="7" t="s">
        <v>1720</v>
      </c>
      <c r="K194" s="8" t="s">
        <v>1740</v>
      </c>
    </row>
    <row r="195" spans="1:11" x14ac:dyDescent="0.35">
      <c r="A195" s="7">
        <v>474870</v>
      </c>
      <c r="B195" s="7" t="str">
        <f>"3328051210940001"</f>
        <v>3328051210940001</v>
      </c>
      <c r="C195" s="7" t="str">
        <f t="shared" si="6"/>
        <v>'3328051210940001</v>
      </c>
      <c r="D195" s="7" t="str">
        <f t="shared" si="7"/>
        <v>ganda</v>
      </c>
      <c r="E195" s="7" t="s">
        <v>1866</v>
      </c>
      <c r="F195" s="7" t="s">
        <v>10</v>
      </c>
      <c r="G195" s="7" t="s">
        <v>57</v>
      </c>
      <c r="H195" s="7" t="s">
        <v>727</v>
      </c>
      <c r="I195" s="7" t="s">
        <v>728</v>
      </c>
      <c r="J195" s="7" t="s">
        <v>1867</v>
      </c>
      <c r="K195" s="8" t="s">
        <v>1867</v>
      </c>
    </row>
    <row r="196" spans="1:11" x14ac:dyDescent="0.35">
      <c r="A196" s="7">
        <v>2143863</v>
      </c>
      <c r="B196" s="7" t="str">
        <f>"3328051305040004"</f>
        <v>3328051305040004</v>
      </c>
      <c r="C196" s="7" t="str">
        <f t="shared" si="6"/>
        <v>'3328051305040004</v>
      </c>
      <c r="D196" s="7" t="str">
        <f t="shared" si="7"/>
        <v>ganda</v>
      </c>
      <c r="E196" s="7" t="s">
        <v>1873</v>
      </c>
      <c r="F196" s="7" t="s">
        <v>10</v>
      </c>
      <c r="G196" s="7" t="s">
        <v>11</v>
      </c>
      <c r="H196" s="7" t="s">
        <v>18</v>
      </c>
      <c r="I196" s="7" t="s">
        <v>19</v>
      </c>
      <c r="J196" s="7" t="s">
        <v>1720</v>
      </c>
      <c r="K196" s="8" t="s">
        <v>1857</v>
      </c>
    </row>
    <row r="197" spans="1:11" x14ac:dyDescent="0.35">
      <c r="A197" s="7">
        <v>761473</v>
      </c>
      <c r="B197" s="7" t="str">
        <f>"3328051305040004"</f>
        <v>3328051305040004</v>
      </c>
      <c r="C197" s="7" t="str">
        <f t="shared" si="6"/>
        <v>'3328051305040004</v>
      </c>
      <c r="D197" s="7" t="str">
        <f t="shared" si="7"/>
        <v>ganda</v>
      </c>
      <c r="E197" s="7" t="s">
        <v>1874</v>
      </c>
      <c r="F197" s="7" t="s">
        <v>10</v>
      </c>
      <c r="G197" s="7" t="s">
        <v>57</v>
      </c>
      <c r="H197" s="7" t="s">
        <v>379</v>
      </c>
      <c r="I197" s="7" t="s">
        <v>711</v>
      </c>
      <c r="J197" s="7" t="s">
        <v>1875</v>
      </c>
      <c r="K197" s="8" t="s">
        <v>1876</v>
      </c>
    </row>
    <row r="198" spans="1:11" x14ac:dyDescent="0.35">
      <c r="A198" s="7">
        <v>1348729</v>
      </c>
      <c r="B198" s="7" t="str">
        <f>"3328051701000002"</f>
        <v>3328051701000002</v>
      </c>
      <c r="C198" s="7" t="str">
        <f t="shared" si="6"/>
        <v>'3328051701000002</v>
      </c>
      <c r="D198" s="7" t="str">
        <f t="shared" si="7"/>
        <v>ganda</v>
      </c>
      <c r="E198" s="7" t="s">
        <v>1888</v>
      </c>
      <c r="F198" s="7" t="s">
        <v>10</v>
      </c>
      <c r="G198" s="7" t="s">
        <v>11</v>
      </c>
      <c r="H198" s="7" t="s">
        <v>18</v>
      </c>
      <c r="I198" s="7" t="s">
        <v>19</v>
      </c>
      <c r="J198" s="7" t="s">
        <v>1720</v>
      </c>
      <c r="K198" s="8" t="s">
        <v>1381</v>
      </c>
    </row>
    <row r="199" spans="1:11" x14ac:dyDescent="0.35">
      <c r="A199" s="7">
        <v>1350405</v>
      </c>
      <c r="B199" s="7" t="str">
        <f>"3328051701000002"</f>
        <v>3328051701000002</v>
      </c>
      <c r="C199" s="7" t="str">
        <f t="shared" si="6"/>
        <v>'3328051701000002</v>
      </c>
      <c r="D199" s="7" t="str">
        <f t="shared" si="7"/>
        <v>ganda</v>
      </c>
      <c r="E199" s="7" t="s">
        <v>1888</v>
      </c>
      <c r="F199" s="7" t="s">
        <v>10</v>
      </c>
      <c r="G199" s="7" t="s">
        <v>57</v>
      </c>
      <c r="H199" s="7" t="s">
        <v>303</v>
      </c>
      <c r="I199" s="7" t="s">
        <v>608</v>
      </c>
      <c r="J199" s="7" t="s">
        <v>609</v>
      </c>
      <c r="K199" s="8" t="s">
        <v>610</v>
      </c>
    </row>
    <row r="200" spans="1:11" x14ac:dyDescent="0.35">
      <c r="A200" s="7">
        <v>1364060</v>
      </c>
      <c r="B200" s="7" t="str">
        <f>"3328052404000002"</f>
        <v>3328052404000002</v>
      </c>
      <c r="C200" s="7" t="str">
        <f t="shared" si="6"/>
        <v>'3328052404000002</v>
      </c>
      <c r="D200" s="7" t="str">
        <f t="shared" si="7"/>
        <v>ganda</v>
      </c>
      <c r="E200" s="7" t="s">
        <v>1912</v>
      </c>
      <c r="F200" s="7" t="s">
        <v>10</v>
      </c>
      <c r="G200" s="7" t="s">
        <v>11</v>
      </c>
      <c r="H200" s="7" t="s">
        <v>18</v>
      </c>
      <c r="I200" s="7" t="s">
        <v>19</v>
      </c>
      <c r="J200" s="7" t="s">
        <v>1720</v>
      </c>
      <c r="K200" s="8" t="s">
        <v>1740</v>
      </c>
    </row>
    <row r="201" spans="1:11" x14ac:dyDescent="0.35">
      <c r="A201" s="7">
        <v>1392483</v>
      </c>
      <c r="B201" s="7" t="str">
        <f>"3328052404000002"</f>
        <v>3328052404000002</v>
      </c>
      <c r="C201" s="7" t="str">
        <f t="shared" si="6"/>
        <v>'3328052404000002</v>
      </c>
      <c r="D201" s="7" t="str">
        <f t="shared" si="7"/>
        <v>ganda</v>
      </c>
      <c r="E201" s="7" t="s">
        <v>1913</v>
      </c>
      <c r="F201" s="7" t="s">
        <v>10</v>
      </c>
      <c r="G201" s="7" t="s">
        <v>57</v>
      </c>
      <c r="H201" s="7" t="s">
        <v>303</v>
      </c>
      <c r="I201" s="7" t="s">
        <v>608</v>
      </c>
      <c r="J201" s="7" t="s">
        <v>1089</v>
      </c>
      <c r="K201" s="8" t="s">
        <v>1090</v>
      </c>
    </row>
    <row r="202" spans="1:11" x14ac:dyDescent="0.35">
      <c r="A202" s="7">
        <v>1542198</v>
      </c>
      <c r="B202" s="7" t="str">
        <f>"3329152712940004"</f>
        <v>3329152712940004</v>
      </c>
      <c r="C202" s="7" t="str">
        <f t="shared" si="6"/>
        <v>'3329152712940004</v>
      </c>
      <c r="D202" s="7" t="str">
        <f t="shared" si="7"/>
        <v>ganda</v>
      </c>
      <c r="E202" s="7" t="s">
        <v>2094</v>
      </c>
      <c r="F202" s="7" t="s">
        <v>10</v>
      </c>
      <c r="G202" s="7" t="s">
        <v>11</v>
      </c>
      <c r="H202" s="7" t="s">
        <v>18</v>
      </c>
      <c r="I202" s="7" t="s">
        <v>264</v>
      </c>
      <c r="J202" s="7" t="s">
        <v>330</v>
      </c>
      <c r="K202" s="8" t="s">
        <v>2095</v>
      </c>
    </row>
    <row r="203" spans="1:11" x14ac:dyDescent="0.35">
      <c r="A203" s="7">
        <v>2534919</v>
      </c>
      <c r="B203" s="7" t="str">
        <f>"3329152712940004"</f>
        <v>3329152712940004</v>
      </c>
      <c r="C203" s="7" t="str">
        <f t="shared" si="6"/>
        <v>'3329152712940004</v>
      </c>
      <c r="D203" s="7" t="str">
        <f t="shared" si="7"/>
        <v>ganda</v>
      </c>
      <c r="E203" s="7" t="s">
        <v>2094</v>
      </c>
      <c r="F203" s="7" t="s">
        <v>10</v>
      </c>
      <c r="G203" s="7" t="s">
        <v>11</v>
      </c>
      <c r="H203" s="7" t="s">
        <v>18</v>
      </c>
      <c r="I203" s="7" t="s">
        <v>19</v>
      </c>
      <c r="J203" s="7" t="s">
        <v>1720</v>
      </c>
      <c r="K203" s="8" t="s">
        <v>1721</v>
      </c>
    </row>
    <row r="204" spans="1:11" x14ac:dyDescent="0.35">
      <c r="A204" s="7">
        <v>2304124</v>
      </c>
      <c r="B204" s="7" t="str">
        <f>"3604180404940003"</f>
        <v>3604180404940003</v>
      </c>
      <c r="C204" s="7" t="str">
        <f t="shared" si="6"/>
        <v>'3604180404940003</v>
      </c>
      <c r="D204" s="7" t="str">
        <f t="shared" si="7"/>
        <v>ganda</v>
      </c>
      <c r="E204" s="7" t="s">
        <v>2113</v>
      </c>
      <c r="F204" s="7" t="s">
        <v>10</v>
      </c>
      <c r="G204" s="7" t="s">
        <v>11</v>
      </c>
      <c r="H204" s="7" t="s">
        <v>67</v>
      </c>
      <c r="I204" s="7" t="s">
        <v>375</v>
      </c>
      <c r="J204" s="7" t="s">
        <v>2114</v>
      </c>
      <c r="K204" s="8" t="s">
        <v>417</v>
      </c>
    </row>
    <row r="205" spans="1:11" x14ac:dyDescent="0.35">
      <c r="A205" s="7">
        <v>2534917</v>
      </c>
      <c r="B205" s="7" t="str">
        <f>"3604180404940003"</f>
        <v>3604180404940003</v>
      </c>
      <c r="C205" s="7" t="str">
        <f t="shared" si="6"/>
        <v>'3604180404940003</v>
      </c>
      <c r="D205" s="7" t="str">
        <f t="shared" si="7"/>
        <v>ganda</v>
      </c>
      <c r="E205" s="7" t="s">
        <v>2113</v>
      </c>
      <c r="F205" s="7" t="s">
        <v>10</v>
      </c>
      <c r="G205" s="7" t="s">
        <v>11</v>
      </c>
      <c r="H205" s="7" t="s">
        <v>18</v>
      </c>
      <c r="I205" s="7" t="s">
        <v>19</v>
      </c>
      <c r="J205" s="7" t="s">
        <v>1720</v>
      </c>
      <c r="K205" s="8" t="s">
        <v>1721</v>
      </c>
    </row>
    <row r="206" spans="1:11" x14ac:dyDescent="0.35">
      <c r="A206" s="7">
        <v>814921</v>
      </c>
      <c r="B206" s="7" t="str">
        <f>"1108160511990001"</f>
        <v>1108160511990001</v>
      </c>
      <c r="C206" s="7" t="str">
        <f t="shared" si="6"/>
        <v>'1108160511990001</v>
      </c>
      <c r="D206" s="7" t="str">
        <f t="shared" si="7"/>
        <v>ganda</v>
      </c>
      <c r="E206" s="7" t="s">
        <v>2127</v>
      </c>
      <c r="F206" s="7" t="s">
        <v>10</v>
      </c>
      <c r="G206" s="7" t="s">
        <v>11</v>
      </c>
      <c r="H206" s="7" t="s">
        <v>412</v>
      </c>
      <c r="I206" s="7" t="s">
        <v>2128</v>
      </c>
      <c r="J206" s="7" t="s">
        <v>2129</v>
      </c>
      <c r="K206" s="8" t="s">
        <v>2130</v>
      </c>
    </row>
    <row r="207" spans="1:11" x14ac:dyDescent="0.35">
      <c r="A207" s="7">
        <v>2540895</v>
      </c>
      <c r="B207" s="7" t="str">
        <f>"1108160511990001"</f>
        <v>1108160511990001</v>
      </c>
      <c r="C207" s="7" t="str">
        <f t="shared" si="6"/>
        <v>'1108160511990001</v>
      </c>
      <c r="D207" s="7" t="str">
        <f t="shared" si="7"/>
        <v>ganda</v>
      </c>
      <c r="E207" s="7" t="s">
        <v>2131</v>
      </c>
      <c r="F207" s="7" t="s">
        <v>10</v>
      </c>
      <c r="G207" s="7" t="s">
        <v>57</v>
      </c>
      <c r="H207" s="7" t="s">
        <v>18</v>
      </c>
      <c r="I207" s="7" t="s">
        <v>19</v>
      </c>
      <c r="J207" s="7" t="s">
        <v>1394</v>
      </c>
      <c r="K207" s="8" t="s">
        <v>1395</v>
      </c>
    </row>
    <row r="208" spans="1:11" x14ac:dyDescent="0.35">
      <c r="A208" s="7">
        <v>470865</v>
      </c>
      <c r="B208" s="7" t="str">
        <f>"1111132406840002"</f>
        <v>1111132406840002</v>
      </c>
      <c r="C208" s="7" t="str">
        <f t="shared" si="6"/>
        <v>'1111132406840002</v>
      </c>
      <c r="D208" s="7" t="str">
        <f t="shared" si="7"/>
        <v>ganda</v>
      </c>
      <c r="E208" s="7" t="s">
        <v>2132</v>
      </c>
      <c r="F208" s="7" t="s">
        <v>10</v>
      </c>
      <c r="G208" s="7" t="s">
        <v>11</v>
      </c>
      <c r="H208" s="7" t="s">
        <v>412</v>
      </c>
      <c r="I208" s="7" t="s">
        <v>2128</v>
      </c>
      <c r="J208" s="7" t="s">
        <v>2133</v>
      </c>
      <c r="K208" s="8" t="s">
        <v>2134</v>
      </c>
    </row>
    <row r="209" spans="1:11" x14ac:dyDescent="0.35">
      <c r="A209" s="7">
        <v>2540849</v>
      </c>
      <c r="B209" s="7" t="str">
        <f>"1111132406840002"</f>
        <v>1111132406840002</v>
      </c>
      <c r="C209" s="7" t="str">
        <f t="shared" si="6"/>
        <v>'1111132406840002</v>
      </c>
      <c r="D209" s="7" t="str">
        <f t="shared" si="7"/>
        <v>ganda</v>
      </c>
      <c r="E209" s="7" t="s">
        <v>2135</v>
      </c>
      <c r="F209" s="7" t="s">
        <v>10</v>
      </c>
      <c r="G209" s="7" t="s">
        <v>57</v>
      </c>
      <c r="H209" s="7" t="s">
        <v>18</v>
      </c>
      <c r="I209" s="7" t="s">
        <v>19</v>
      </c>
      <c r="J209" s="7" t="s">
        <v>1394</v>
      </c>
      <c r="K209" s="8" t="s">
        <v>1395</v>
      </c>
    </row>
    <row r="210" spans="1:11" x14ac:dyDescent="0.35">
      <c r="A210" s="7">
        <v>189097</v>
      </c>
      <c r="B210" s="7" t="str">
        <f>"1223011807880007"</f>
        <v>1223011807880007</v>
      </c>
      <c r="C210" s="7" t="str">
        <f t="shared" si="6"/>
        <v>'1223011807880007</v>
      </c>
      <c r="D210" s="7" t="str">
        <f t="shared" si="7"/>
        <v>ganda</v>
      </c>
      <c r="E210" s="7" t="s">
        <v>2141</v>
      </c>
      <c r="F210" s="7" t="s">
        <v>10</v>
      </c>
      <c r="G210" s="7" t="s">
        <v>11</v>
      </c>
      <c r="H210" s="7" t="s">
        <v>228</v>
      </c>
      <c r="I210" s="7" t="s">
        <v>2142</v>
      </c>
      <c r="J210" s="7" t="s">
        <v>2143</v>
      </c>
      <c r="K210" s="8" t="s">
        <v>2144</v>
      </c>
    </row>
    <row r="211" spans="1:11" x14ac:dyDescent="0.35">
      <c r="A211" s="7">
        <v>2540898</v>
      </c>
      <c r="B211" s="7" t="str">
        <f>"1223011807880007"</f>
        <v>1223011807880007</v>
      </c>
      <c r="C211" s="7" t="str">
        <f t="shared" si="6"/>
        <v>'1223011807880007</v>
      </c>
      <c r="D211" s="7" t="str">
        <f t="shared" si="7"/>
        <v>ganda</v>
      </c>
      <c r="E211" s="7" t="s">
        <v>2145</v>
      </c>
      <c r="F211" s="7" t="s">
        <v>10</v>
      </c>
      <c r="G211" s="7" t="s">
        <v>57</v>
      </c>
      <c r="H211" s="7" t="s">
        <v>18</v>
      </c>
      <c r="I211" s="7" t="s">
        <v>19</v>
      </c>
      <c r="J211" s="7" t="s">
        <v>1394</v>
      </c>
      <c r="K211" s="8" t="s">
        <v>1395</v>
      </c>
    </row>
    <row r="212" spans="1:11" x14ac:dyDescent="0.35">
      <c r="A212" s="7">
        <v>82549</v>
      </c>
      <c r="B212" s="7" t="str">
        <f>"1223021010000003"</f>
        <v>1223021010000003</v>
      </c>
      <c r="C212" s="7" t="str">
        <f t="shared" si="6"/>
        <v>'1223021010000003</v>
      </c>
      <c r="D212" s="7" t="str">
        <f t="shared" si="7"/>
        <v>ganda</v>
      </c>
      <c r="E212" s="7" t="s">
        <v>2146</v>
      </c>
      <c r="F212" s="7" t="s">
        <v>10</v>
      </c>
      <c r="G212" s="7" t="s">
        <v>11</v>
      </c>
      <c r="H212" s="7" t="s">
        <v>667</v>
      </c>
      <c r="I212" s="7" t="s">
        <v>2147</v>
      </c>
      <c r="J212" s="7" t="s">
        <v>2148</v>
      </c>
      <c r="K212" s="8" t="s">
        <v>2149</v>
      </c>
    </row>
    <row r="213" spans="1:11" x14ac:dyDescent="0.35">
      <c r="A213" s="7">
        <v>2540874</v>
      </c>
      <c r="B213" s="7" t="str">
        <f>"1223021010000003"</f>
        <v>1223021010000003</v>
      </c>
      <c r="C213" s="7" t="str">
        <f t="shared" si="6"/>
        <v>'1223021010000003</v>
      </c>
      <c r="D213" s="7" t="str">
        <f t="shared" si="7"/>
        <v>ganda</v>
      </c>
      <c r="E213" s="7" t="s">
        <v>2150</v>
      </c>
      <c r="F213" s="7" t="s">
        <v>10</v>
      </c>
      <c r="G213" s="7" t="s">
        <v>57</v>
      </c>
      <c r="H213" s="7" t="s">
        <v>18</v>
      </c>
      <c r="I213" s="7" t="s">
        <v>19</v>
      </c>
      <c r="J213" s="7" t="s">
        <v>1394</v>
      </c>
      <c r="K213" s="8" t="s">
        <v>1395</v>
      </c>
    </row>
    <row r="214" spans="1:11" x14ac:dyDescent="0.35">
      <c r="A214" s="7">
        <v>226575</v>
      </c>
      <c r="B214" s="7" t="str">
        <f>"1801040606940021"</f>
        <v>1801040606940021</v>
      </c>
      <c r="C214" s="7" t="str">
        <f t="shared" si="6"/>
        <v>'1801040606940021</v>
      </c>
      <c r="D214" s="7" t="str">
        <f t="shared" si="7"/>
        <v>ganda</v>
      </c>
      <c r="E214" s="7" t="s">
        <v>2166</v>
      </c>
      <c r="F214" s="7" t="s">
        <v>10</v>
      </c>
      <c r="G214" s="7" t="s">
        <v>11</v>
      </c>
      <c r="H214" s="7" t="s">
        <v>44</v>
      </c>
      <c r="I214" s="7" t="s">
        <v>909</v>
      </c>
      <c r="J214" s="7" t="s">
        <v>2167</v>
      </c>
      <c r="K214" s="8" t="s">
        <v>2168</v>
      </c>
    </row>
    <row r="215" spans="1:11" x14ac:dyDescent="0.35">
      <c r="A215" s="7">
        <v>2540890</v>
      </c>
      <c r="B215" s="7" t="str">
        <f>"1801040606940021"</f>
        <v>1801040606940021</v>
      </c>
      <c r="C215" s="7" t="str">
        <f t="shared" si="6"/>
        <v>'1801040606940021</v>
      </c>
      <c r="D215" s="7" t="str">
        <f t="shared" si="7"/>
        <v>ganda</v>
      </c>
      <c r="E215" s="7" t="s">
        <v>2169</v>
      </c>
      <c r="F215" s="7" t="s">
        <v>10</v>
      </c>
      <c r="G215" s="7" t="s">
        <v>57</v>
      </c>
      <c r="H215" s="7" t="s">
        <v>18</v>
      </c>
      <c r="I215" s="7" t="s">
        <v>19</v>
      </c>
      <c r="J215" s="7" t="s">
        <v>1394</v>
      </c>
      <c r="K215" s="8" t="s">
        <v>1395</v>
      </c>
    </row>
    <row r="216" spans="1:11" x14ac:dyDescent="0.35">
      <c r="A216" s="7">
        <v>344011</v>
      </c>
      <c r="B216" s="7" t="str">
        <f>"1808100511910004"</f>
        <v>1808100511910004</v>
      </c>
      <c r="C216" s="7" t="str">
        <f t="shared" si="6"/>
        <v>'1808100511910004</v>
      </c>
      <c r="D216" s="7" t="str">
        <f t="shared" si="7"/>
        <v>ganda</v>
      </c>
      <c r="E216" s="7" t="s">
        <v>2173</v>
      </c>
      <c r="F216" s="7" t="s">
        <v>10</v>
      </c>
      <c r="G216" s="7" t="s">
        <v>11</v>
      </c>
      <c r="H216" s="7" t="s">
        <v>44</v>
      </c>
      <c r="I216" s="7" t="s">
        <v>2174</v>
      </c>
      <c r="J216" s="7" t="s">
        <v>2175</v>
      </c>
      <c r="K216" s="8" t="s">
        <v>2176</v>
      </c>
    </row>
    <row r="217" spans="1:11" x14ac:dyDescent="0.35">
      <c r="A217" s="7">
        <v>2540900</v>
      </c>
      <c r="B217" s="7" t="str">
        <f>"1808100511910004"</f>
        <v>1808100511910004</v>
      </c>
      <c r="C217" s="7" t="str">
        <f t="shared" si="6"/>
        <v>'1808100511910004</v>
      </c>
      <c r="D217" s="7" t="str">
        <f t="shared" si="7"/>
        <v>ganda</v>
      </c>
      <c r="E217" s="7" t="s">
        <v>2177</v>
      </c>
      <c r="F217" s="7" t="s">
        <v>10</v>
      </c>
      <c r="G217" s="7" t="s">
        <v>57</v>
      </c>
      <c r="H217" s="7" t="s">
        <v>18</v>
      </c>
      <c r="I217" s="7" t="s">
        <v>19</v>
      </c>
      <c r="J217" s="7" t="s">
        <v>1394</v>
      </c>
      <c r="K217" s="8" t="s">
        <v>1395</v>
      </c>
    </row>
    <row r="218" spans="1:11" x14ac:dyDescent="0.35">
      <c r="A218" s="7">
        <v>225298</v>
      </c>
      <c r="B218" s="7" t="str">
        <f>"3171041205951001"</f>
        <v>3171041205951001</v>
      </c>
      <c r="C218" s="7" t="str">
        <f t="shared" si="6"/>
        <v>'3171041205951001</v>
      </c>
      <c r="D218" s="7" t="str">
        <f t="shared" si="7"/>
        <v>ganda</v>
      </c>
      <c r="E218" s="7" t="s">
        <v>2178</v>
      </c>
      <c r="F218" s="7" t="s">
        <v>10</v>
      </c>
      <c r="G218" s="7" t="s">
        <v>11</v>
      </c>
      <c r="H218" s="7" t="s">
        <v>50</v>
      </c>
      <c r="I218" s="7" t="s">
        <v>280</v>
      </c>
      <c r="J218" s="7" t="s">
        <v>2179</v>
      </c>
      <c r="K218" s="8" t="s">
        <v>266</v>
      </c>
    </row>
    <row r="219" spans="1:11" x14ac:dyDescent="0.35">
      <c r="A219" s="7">
        <v>2540710</v>
      </c>
      <c r="B219" s="7" t="str">
        <f>"3171041205951001"</f>
        <v>3171041205951001</v>
      </c>
      <c r="C219" s="7" t="str">
        <f t="shared" si="6"/>
        <v>'3171041205951001</v>
      </c>
      <c r="D219" s="7" t="str">
        <f t="shared" si="7"/>
        <v>ganda</v>
      </c>
      <c r="E219" s="7" t="s">
        <v>2180</v>
      </c>
      <c r="F219" s="7" t="s">
        <v>10</v>
      </c>
      <c r="G219" s="7" t="s">
        <v>57</v>
      </c>
      <c r="H219" s="7" t="s">
        <v>18</v>
      </c>
      <c r="I219" s="7" t="s">
        <v>19</v>
      </c>
      <c r="J219" s="7" t="s">
        <v>1394</v>
      </c>
      <c r="K219" s="8" t="s">
        <v>1395</v>
      </c>
    </row>
    <row r="220" spans="1:11" x14ac:dyDescent="0.35">
      <c r="A220" s="7">
        <v>185148</v>
      </c>
      <c r="B220" s="7" t="str">
        <f>"3171050402870001"</f>
        <v>3171050402870001</v>
      </c>
      <c r="C220" s="7" t="str">
        <f t="shared" si="6"/>
        <v>'3171050402870001</v>
      </c>
      <c r="D220" s="7" t="str">
        <f t="shared" si="7"/>
        <v>ganda</v>
      </c>
      <c r="E220" s="7" t="s">
        <v>2181</v>
      </c>
      <c r="F220" s="7" t="s">
        <v>10</v>
      </c>
      <c r="G220" s="7" t="s">
        <v>11</v>
      </c>
      <c r="H220" s="7" t="s">
        <v>50</v>
      </c>
      <c r="I220" s="7" t="s">
        <v>280</v>
      </c>
      <c r="J220" s="7" t="s">
        <v>776</v>
      </c>
      <c r="K220" s="8" t="s">
        <v>2182</v>
      </c>
    </row>
    <row r="221" spans="1:11" x14ac:dyDescent="0.35">
      <c r="A221" s="7">
        <v>2540727</v>
      </c>
      <c r="B221" s="7" t="str">
        <f>"3171050402870001"</f>
        <v>3171050402870001</v>
      </c>
      <c r="C221" s="7" t="str">
        <f t="shared" si="6"/>
        <v>'3171050402870001</v>
      </c>
      <c r="D221" s="7" t="str">
        <f t="shared" si="7"/>
        <v>ganda</v>
      </c>
      <c r="E221" s="7" t="s">
        <v>2183</v>
      </c>
      <c r="F221" s="7" t="s">
        <v>10</v>
      </c>
      <c r="G221" s="7" t="s">
        <v>57</v>
      </c>
      <c r="H221" s="7" t="s">
        <v>18</v>
      </c>
      <c r="I221" s="7" t="s">
        <v>19</v>
      </c>
      <c r="J221" s="7" t="s">
        <v>1394</v>
      </c>
      <c r="K221" s="8" t="s">
        <v>1395</v>
      </c>
    </row>
    <row r="222" spans="1:11" x14ac:dyDescent="0.35">
      <c r="A222" s="7">
        <v>982203</v>
      </c>
      <c r="B222" s="7" t="str">
        <f>"3172040203820024"</f>
        <v>3172040203820024</v>
      </c>
      <c r="C222" s="7" t="str">
        <f t="shared" si="6"/>
        <v>'3172040203820024</v>
      </c>
      <c r="D222" s="7" t="str">
        <f t="shared" si="7"/>
        <v>ganda</v>
      </c>
      <c r="E222" s="7" t="s">
        <v>2197</v>
      </c>
      <c r="F222" s="7" t="s">
        <v>10</v>
      </c>
      <c r="G222" s="7" t="s">
        <v>11</v>
      </c>
      <c r="H222" s="7" t="s">
        <v>50</v>
      </c>
      <c r="I222" s="7" t="s">
        <v>51</v>
      </c>
      <c r="J222" s="7" t="s">
        <v>78</v>
      </c>
      <c r="K222" s="8" t="s">
        <v>81</v>
      </c>
    </row>
    <row r="223" spans="1:11" x14ac:dyDescent="0.35">
      <c r="A223" s="7">
        <v>2540671</v>
      </c>
      <c r="B223" s="7" t="str">
        <f>"3172040203820024"</f>
        <v>3172040203820024</v>
      </c>
      <c r="C223" s="7" t="str">
        <f t="shared" si="6"/>
        <v>'3172040203820024</v>
      </c>
      <c r="D223" s="7" t="str">
        <f t="shared" si="7"/>
        <v>ganda</v>
      </c>
      <c r="E223" s="7" t="s">
        <v>2198</v>
      </c>
      <c r="F223" s="7" t="s">
        <v>10</v>
      </c>
      <c r="G223" s="7" t="s">
        <v>57</v>
      </c>
      <c r="H223" s="7" t="s">
        <v>18</v>
      </c>
      <c r="I223" s="7" t="s">
        <v>19</v>
      </c>
      <c r="J223" s="7" t="s">
        <v>1394</v>
      </c>
      <c r="K223" s="8" t="s">
        <v>1395</v>
      </c>
    </row>
    <row r="224" spans="1:11" x14ac:dyDescent="0.35">
      <c r="A224" s="7">
        <v>1803751</v>
      </c>
      <c r="B224" s="7" t="str">
        <f>"3172061802950005"</f>
        <v>3172061802950005</v>
      </c>
      <c r="C224" s="7" t="str">
        <f t="shared" si="6"/>
        <v>'3172061802950005</v>
      </c>
      <c r="D224" s="7" t="str">
        <f t="shared" si="7"/>
        <v>ganda</v>
      </c>
      <c r="E224" s="7" t="s">
        <v>2199</v>
      </c>
      <c r="F224" s="7" t="s">
        <v>10</v>
      </c>
      <c r="G224" s="7" t="s">
        <v>11</v>
      </c>
      <c r="H224" s="7" t="s">
        <v>91</v>
      </c>
      <c r="I224" s="7" t="s">
        <v>159</v>
      </c>
      <c r="J224" s="7" t="s">
        <v>1332</v>
      </c>
      <c r="K224" s="8" t="s">
        <v>2200</v>
      </c>
    </row>
    <row r="225" spans="1:11" x14ac:dyDescent="0.35">
      <c r="A225" s="7">
        <v>2540720</v>
      </c>
      <c r="B225" s="7" t="str">
        <f>"3172061802950005"</f>
        <v>3172061802950005</v>
      </c>
      <c r="C225" s="7" t="str">
        <f t="shared" si="6"/>
        <v>'3172061802950005</v>
      </c>
      <c r="D225" s="7" t="str">
        <f t="shared" si="7"/>
        <v>ganda</v>
      </c>
      <c r="E225" s="7" t="s">
        <v>2201</v>
      </c>
      <c r="F225" s="7" t="s">
        <v>10</v>
      </c>
      <c r="G225" s="7" t="s">
        <v>57</v>
      </c>
      <c r="H225" s="7" t="s">
        <v>18</v>
      </c>
      <c r="I225" s="7" t="s">
        <v>19</v>
      </c>
      <c r="J225" s="7" t="s">
        <v>1394</v>
      </c>
      <c r="K225" s="8" t="s">
        <v>1395</v>
      </c>
    </row>
    <row r="226" spans="1:11" x14ac:dyDescent="0.35">
      <c r="A226" s="7">
        <v>1313382</v>
      </c>
      <c r="B226" s="7" t="str">
        <f>"3173011408940006"</f>
        <v>3173011408940006</v>
      </c>
      <c r="C226" s="7" t="str">
        <f t="shared" si="6"/>
        <v>'3173011408940006</v>
      </c>
      <c r="D226" s="7" t="str">
        <f t="shared" si="7"/>
        <v>ganda</v>
      </c>
      <c r="E226" s="7" t="s">
        <v>2202</v>
      </c>
      <c r="F226" s="7" t="s">
        <v>10</v>
      </c>
      <c r="G226" s="7" t="s">
        <v>11</v>
      </c>
      <c r="H226" s="7" t="s">
        <v>50</v>
      </c>
      <c r="I226" s="7" t="s">
        <v>86</v>
      </c>
      <c r="J226" s="7" t="s">
        <v>1268</v>
      </c>
      <c r="K226" s="8" t="s">
        <v>2203</v>
      </c>
    </row>
    <row r="227" spans="1:11" x14ac:dyDescent="0.35">
      <c r="A227" s="7">
        <v>2540659</v>
      </c>
      <c r="B227" s="7" t="str">
        <f>"3173011408940006"</f>
        <v>3173011408940006</v>
      </c>
      <c r="C227" s="7" t="str">
        <f t="shared" si="6"/>
        <v>'3173011408940006</v>
      </c>
      <c r="D227" s="7" t="str">
        <f t="shared" si="7"/>
        <v>ganda</v>
      </c>
      <c r="E227" s="7" t="s">
        <v>2204</v>
      </c>
      <c r="F227" s="7" t="s">
        <v>10</v>
      </c>
      <c r="G227" s="7" t="s">
        <v>57</v>
      </c>
      <c r="H227" s="7" t="s">
        <v>18</v>
      </c>
      <c r="I227" s="7" t="s">
        <v>19</v>
      </c>
      <c r="J227" s="7" t="s">
        <v>1394</v>
      </c>
      <c r="K227" s="8" t="s">
        <v>1395</v>
      </c>
    </row>
    <row r="228" spans="1:11" x14ac:dyDescent="0.35">
      <c r="A228" s="7">
        <v>1563996</v>
      </c>
      <c r="B228" s="7" t="str">
        <f>"3173012306830010"</f>
        <v>3173012306830010</v>
      </c>
      <c r="C228" s="7" t="str">
        <f t="shared" si="6"/>
        <v>'3173012306830010</v>
      </c>
      <c r="D228" s="7" t="str">
        <f t="shared" si="7"/>
        <v>ganda</v>
      </c>
      <c r="E228" s="7" t="s">
        <v>2205</v>
      </c>
      <c r="F228" s="7" t="s">
        <v>10</v>
      </c>
      <c r="G228" s="7" t="s">
        <v>11</v>
      </c>
      <c r="H228" s="7" t="s">
        <v>50</v>
      </c>
      <c r="I228" s="7" t="s">
        <v>86</v>
      </c>
      <c r="J228" s="7" t="s">
        <v>1268</v>
      </c>
      <c r="K228" s="8" t="s">
        <v>1978</v>
      </c>
    </row>
    <row r="229" spans="1:11" x14ac:dyDescent="0.35">
      <c r="A229" s="7">
        <v>2540751</v>
      </c>
      <c r="B229" s="7" t="str">
        <f>"3173012306830010"</f>
        <v>3173012306830010</v>
      </c>
      <c r="C229" s="7" t="str">
        <f t="shared" si="6"/>
        <v>'3173012306830010</v>
      </c>
      <c r="D229" s="7" t="str">
        <f t="shared" si="7"/>
        <v>ganda</v>
      </c>
      <c r="E229" s="7" t="s">
        <v>2206</v>
      </c>
      <c r="F229" s="7" t="s">
        <v>10</v>
      </c>
      <c r="G229" s="7" t="s">
        <v>57</v>
      </c>
      <c r="H229" s="7" t="s">
        <v>18</v>
      </c>
      <c r="I229" s="7" t="s">
        <v>19</v>
      </c>
      <c r="J229" s="7" t="s">
        <v>1394</v>
      </c>
      <c r="K229" s="8" t="s">
        <v>1395</v>
      </c>
    </row>
    <row r="230" spans="1:11" x14ac:dyDescent="0.35">
      <c r="A230" s="7">
        <v>1174115</v>
      </c>
      <c r="B230" s="7" t="str">
        <f>"3173050203780005"</f>
        <v>3173050203780005</v>
      </c>
      <c r="C230" s="7" t="str">
        <f t="shared" si="6"/>
        <v>'3173050203780005</v>
      </c>
      <c r="D230" s="7" t="str">
        <f t="shared" si="7"/>
        <v>ganda</v>
      </c>
      <c r="E230" s="7" t="s">
        <v>2218</v>
      </c>
      <c r="F230" s="7" t="s">
        <v>10</v>
      </c>
      <c r="G230" s="7" t="s">
        <v>11</v>
      </c>
      <c r="H230" s="7" t="s">
        <v>50</v>
      </c>
      <c r="I230" s="7" t="s">
        <v>86</v>
      </c>
      <c r="J230" s="7" t="s">
        <v>313</v>
      </c>
      <c r="K230" s="8" t="s">
        <v>2219</v>
      </c>
    </row>
    <row r="231" spans="1:11" x14ac:dyDescent="0.35">
      <c r="A231" s="7">
        <v>2540715</v>
      </c>
      <c r="B231" s="7" t="str">
        <f>"3173050203780005"</f>
        <v>3173050203780005</v>
      </c>
      <c r="C231" s="7" t="str">
        <f t="shared" si="6"/>
        <v>'3173050203780005</v>
      </c>
      <c r="D231" s="7" t="str">
        <f t="shared" si="7"/>
        <v>ganda</v>
      </c>
      <c r="E231" s="7" t="s">
        <v>2220</v>
      </c>
      <c r="F231" s="7" t="s">
        <v>10</v>
      </c>
      <c r="G231" s="7" t="s">
        <v>57</v>
      </c>
      <c r="H231" s="7" t="s">
        <v>18</v>
      </c>
      <c r="I231" s="7" t="s">
        <v>19</v>
      </c>
      <c r="J231" s="7" t="s">
        <v>1394</v>
      </c>
      <c r="K231" s="8" t="s">
        <v>1395</v>
      </c>
    </row>
    <row r="232" spans="1:11" x14ac:dyDescent="0.35">
      <c r="A232" s="7">
        <v>1050317</v>
      </c>
      <c r="B232" s="7" t="str">
        <f>"3174022206870002"</f>
        <v>3174022206870002</v>
      </c>
      <c r="C232" s="7" t="str">
        <f t="shared" si="6"/>
        <v>'3174022206870002</v>
      </c>
      <c r="D232" s="7" t="str">
        <f t="shared" si="7"/>
        <v>ganda</v>
      </c>
      <c r="E232" s="7" t="s">
        <v>2221</v>
      </c>
      <c r="F232" s="7" t="s">
        <v>10</v>
      </c>
      <c r="G232" s="7" t="s">
        <v>11</v>
      </c>
      <c r="H232" s="7" t="s">
        <v>50</v>
      </c>
      <c r="I232" s="7" t="s">
        <v>72</v>
      </c>
      <c r="J232" s="7" t="s">
        <v>703</v>
      </c>
      <c r="K232" s="8" t="s">
        <v>2222</v>
      </c>
    </row>
    <row r="233" spans="1:11" x14ac:dyDescent="0.35">
      <c r="A233" s="7">
        <v>2540666</v>
      </c>
      <c r="B233" s="7" t="str">
        <f>"3174022206870002"</f>
        <v>3174022206870002</v>
      </c>
      <c r="C233" s="7" t="str">
        <f t="shared" si="6"/>
        <v>'3174022206870002</v>
      </c>
      <c r="D233" s="7" t="str">
        <f t="shared" si="7"/>
        <v>ganda</v>
      </c>
      <c r="E233" s="7" t="s">
        <v>2223</v>
      </c>
      <c r="F233" s="7" t="s">
        <v>10</v>
      </c>
      <c r="G233" s="7" t="s">
        <v>57</v>
      </c>
      <c r="H233" s="7" t="s">
        <v>18</v>
      </c>
      <c r="I233" s="7" t="s">
        <v>19</v>
      </c>
      <c r="J233" s="7" t="s">
        <v>1394</v>
      </c>
      <c r="K233" s="8" t="s">
        <v>1395</v>
      </c>
    </row>
    <row r="234" spans="1:11" x14ac:dyDescent="0.35">
      <c r="A234" s="7">
        <v>806240</v>
      </c>
      <c r="B234" s="7" t="str">
        <f>"3174070211730003"</f>
        <v>3174070211730003</v>
      </c>
      <c r="C234" s="7" t="str">
        <f t="shared" si="6"/>
        <v>'3174070211730003</v>
      </c>
      <c r="D234" s="7" t="str">
        <f t="shared" si="7"/>
        <v>ganda</v>
      </c>
      <c r="E234" s="7" t="s">
        <v>2247</v>
      </c>
      <c r="F234" s="7" t="s">
        <v>10</v>
      </c>
      <c r="G234" s="7" t="s">
        <v>11</v>
      </c>
      <c r="H234" s="7" t="s">
        <v>50</v>
      </c>
      <c r="I234" s="7" t="s">
        <v>72</v>
      </c>
      <c r="J234" s="7" t="s">
        <v>628</v>
      </c>
      <c r="K234" s="8" t="s">
        <v>2248</v>
      </c>
    </row>
    <row r="235" spans="1:11" x14ac:dyDescent="0.35">
      <c r="A235" s="7">
        <v>2540880</v>
      </c>
      <c r="B235" s="7" t="str">
        <f>"3174070211730003"</f>
        <v>3174070211730003</v>
      </c>
      <c r="C235" s="7" t="str">
        <f t="shared" si="6"/>
        <v>'3174070211730003</v>
      </c>
      <c r="D235" s="7" t="str">
        <f t="shared" si="7"/>
        <v>ganda</v>
      </c>
      <c r="E235" s="7" t="s">
        <v>2249</v>
      </c>
      <c r="F235" s="7" t="s">
        <v>10</v>
      </c>
      <c r="G235" s="7" t="s">
        <v>57</v>
      </c>
      <c r="H235" s="7" t="s">
        <v>18</v>
      </c>
      <c r="I235" s="7" t="s">
        <v>19</v>
      </c>
      <c r="J235" s="7" t="s">
        <v>1394</v>
      </c>
      <c r="K235" s="8" t="s">
        <v>1395</v>
      </c>
    </row>
    <row r="236" spans="1:11" x14ac:dyDescent="0.35">
      <c r="A236" s="7">
        <v>1734867</v>
      </c>
      <c r="B236" s="7" t="str">
        <f>"3175052208740003"</f>
        <v>3175052208740003</v>
      </c>
      <c r="C236" s="7" t="str">
        <f t="shared" si="6"/>
        <v>'3175052208740003</v>
      </c>
      <c r="D236" s="7" t="str">
        <f t="shared" si="7"/>
        <v>ganda</v>
      </c>
      <c r="E236" s="7" t="s">
        <v>2266</v>
      </c>
      <c r="F236" s="7" t="s">
        <v>10</v>
      </c>
      <c r="G236" s="7" t="s">
        <v>11</v>
      </c>
      <c r="H236" s="7" t="s">
        <v>50</v>
      </c>
      <c r="I236" s="7" t="s">
        <v>58</v>
      </c>
      <c r="J236" s="7" t="s">
        <v>260</v>
      </c>
      <c r="K236" s="8" t="s">
        <v>626</v>
      </c>
    </row>
    <row r="237" spans="1:11" x14ac:dyDescent="0.35">
      <c r="A237" s="7">
        <v>2540676</v>
      </c>
      <c r="B237" s="7" t="str">
        <f>"3175052208740003"</f>
        <v>3175052208740003</v>
      </c>
      <c r="C237" s="7" t="str">
        <f t="shared" si="6"/>
        <v>'3175052208740003</v>
      </c>
      <c r="D237" s="7" t="str">
        <f t="shared" si="7"/>
        <v>ganda</v>
      </c>
      <c r="E237" s="7" t="s">
        <v>2267</v>
      </c>
      <c r="F237" s="7" t="s">
        <v>10</v>
      </c>
      <c r="G237" s="7" t="s">
        <v>57</v>
      </c>
      <c r="H237" s="7" t="s">
        <v>18</v>
      </c>
      <c r="I237" s="7" t="s">
        <v>19</v>
      </c>
      <c r="J237" s="7" t="s">
        <v>1394</v>
      </c>
      <c r="K237" s="8" t="s">
        <v>1395</v>
      </c>
    </row>
    <row r="238" spans="1:11" x14ac:dyDescent="0.35">
      <c r="A238" s="7">
        <v>1133179</v>
      </c>
      <c r="B238" s="7" t="str">
        <f>"3201241808850012"</f>
        <v>3201241808850012</v>
      </c>
      <c r="C238" s="7" t="str">
        <f t="shared" si="6"/>
        <v>'3201241808850012</v>
      </c>
      <c r="D238" s="7" t="str">
        <f t="shared" si="7"/>
        <v>ganda</v>
      </c>
      <c r="E238" s="7" t="s">
        <v>2288</v>
      </c>
      <c r="F238" s="7" t="s">
        <v>10</v>
      </c>
      <c r="G238" s="7" t="s">
        <v>11</v>
      </c>
      <c r="H238" s="7" t="s">
        <v>50</v>
      </c>
      <c r="I238" s="7" t="s">
        <v>86</v>
      </c>
      <c r="J238" s="7" t="s">
        <v>87</v>
      </c>
      <c r="K238" s="8" t="s">
        <v>87</v>
      </c>
    </row>
    <row r="239" spans="1:11" x14ac:dyDescent="0.35">
      <c r="A239" s="7">
        <v>2540823</v>
      </c>
      <c r="B239" s="7" t="str">
        <f>"3201241808850012"</f>
        <v>3201241808850012</v>
      </c>
      <c r="C239" s="7" t="str">
        <f t="shared" si="6"/>
        <v>'3201241808850012</v>
      </c>
      <c r="D239" s="7" t="str">
        <f t="shared" si="7"/>
        <v>ganda</v>
      </c>
      <c r="E239" s="7" t="s">
        <v>2289</v>
      </c>
      <c r="F239" s="7" t="s">
        <v>10</v>
      </c>
      <c r="G239" s="7" t="s">
        <v>57</v>
      </c>
      <c r="H239" s="7" t="s">
        <v>18</v>
      </c>
      <c r="I239" s="7" t="s">
        <v>19</v>
      </c>
      <c r="J239" s="7" t="s">
        <v>1394</v>
      </c>
      <c r="K239" s="8" t="s">
        <v>1395</v>
      </c>
    </row>
    <row r="240" spans="1:11" x14ac:dyDescent="0.35">
      <c r="A240" s="7">
        <v>1074714</v>
      </c>
      <c r="B240" s="7" t="str">
        <f>"3201390306790007"</f>
        <v>3201390306790007</v>
      </c>
      <c r="C240" s="7" t="str">
        <f t="shared" si="6"/>
        <v>'3201390306790007</v>
      </c>
      <c r="D240" s="7" t="str">
        <f t="shared" si="7"/>
        <v>ganda</v>
      </c>
      <c r="E240" s="7" t="s">
        <v>2290</v>
      </c>
      <c r="F240" s="7" t="s">
        <v>10</v>
      </c>
      <c r="G240" s="7" t="s">
        <v>11</v>
      </c>
      <c r="H240" s="7" t="s">
        <v>50</v>
      </c>
      <c r="I240" s="7" t="s">
        <v>58</v>
      </c>
      <c r="J240" s="7" t="s">
        <v>1747</v>
      </c>
      <c r="K240" s="8" t="s">
        <v>2291</v>
      </c>
    </row>
    <row r="241" spans="1:11" x14ac:dyDescent="0.35">
      <c r="A241" s="7">
        <v>2540802</v>
      </c>
      <c r="B241" s="7" t="str">
        <f>"3201390306790007"</f>
        <v>3201390306790007</v>
      </c>
      <c r="C241" s="7" t="str">
        <f t="shared" si="6"/>
        <v>'3201390306790007</v>
      </c>
      <c r="D241" s="7" t="str">
        <f t="shared" si="7"/>
        <v>ganda</v>
      </c>
      <c r="E241" s="7" t="s">
        <v>2292</v>
      </c>
      <c r="F241" s="7" t="s">
        <v>10</v>
      </c>
      <c r="G241" s="7" t="s">
        <v>57</v>
      </c>
      <c r="H241" s="7" t="s">
        <v>18</v>
      </c>
      <c r="I241" s="7" t="s">
        <v>19</v>
      </c>
      <c r="J241" s="7" t="s">
        <v>1394</v>
      </c>
      <c r="K241" s="8" t="s">
        <v>1395</v>
      </c>
    </row>
    <row r="242" spans="1:11" x14ac:dyDescent="0.35">
      <c r="A242" s="7">
        <v>1152109</v>
      </c>
      <c r="B242" s="7" t="str">
        <f>"3204150811900003"</f>
        <v>3204150811900003</v>
      </c>
      <c r="C242" s="7" t="str">
        <f t="shared" si="6"/>
        <v>'3204150811900003</v>
      </c>
      <c r="D242" s="7" t="str">
        <f t="shared" si="7"/>
        <v>ganda</v>
      </c>
      <c r="E242" s="7" t="s">
        <v>2302</v>
      </c>
      <c r="F242" s="7" t="s">
        <v>10</v>
      </c>
      <c r="G242" s="7" t="s">
        <v>11</v>
      </c>
      <c r="H242" s="7" t="s">
        <v>91</v>
      </c>
      <c r="I242" s="7" t="s">
        <v>1398</v>
      </c>
      <c r="J242" s="7" t="s">
        <v>2303</v>
      </c>
      <c r="K242" s="8" t="s">
        <v>2304</v>
      </c>
    </row>
    <row r="243" spans="1:11" x14ac:dyDescent="0.35">
      <c r="A243" s="7">
        <v>2540714</v>
      </c>
      <c r="B243" s="7" t="str">
        <f>"3204150811900003"</f>
        <v>3204150811900003</v>
      </c>
      <c r="C243" s="7" t="str">
        <f t="shared" si="6"/>
        <v>'3204150811900003</v>
      </c>
      <c r="D243" s="7" t="str">
        <f t="shared" si="7"/>
        <v>ganda</v>
      </c>
      <c r="E243" s="7" t="s">
        <v>2305</v>
      </c>
      <c r="F243" s="7" t="s">
        <v>10</v>
      </c>
      <c r="G243" s="7" t="s">
        <v>57</v>
      </c>
      <c r="H243" s="7" t="s">
        <v>18</v>
      </c>
      <c r="I243" s="7" t="s">
        <v>19</v>
      </c>
      <c r="J243" s="7" t="s">
        <v>1394</v>
      </c>
      <c r="K243" s="8" t="s">
        <v>1395</v>
      </c>
    </row>
    <row r="244" spans="1:11" x14ac:dyDescent="0.35">
      <c r="A244" s="7">
        <v>490650</v>
      </c>
      <c r="B244" s="7" t="str">
        <f>"3209100404820014"</f>
        <v>3209100404820014</v>
      </c>
      <c r="C244" s="7" t="str">
        <f t="shared" si="6"/>
        <v>'3209100404820014</v>
      </c>
      <c r="D244" s="7" t="str">
        <f t="shared" si="7"/>
        <v>ganda</v>
      </c>
      <c r="E244" s="7" t="s">
        <v>2319</v>
      </c>
      <c r="F244" s="7" t="s">
        <v>10</v>
      </c>
      <c r="G244" s="7" t="s">
        <v>11</v>
      </c>
      <c r="H244" s="7" t="s">
        <v>91</v>
      </c>
      <c r="I244" s="7" t="s">
        <v>985</v>
      </c>
      <c r="J244" s="7" t="s">
        <v>2320</v>
      </c>
      <c r="K244" s="8" t="s">
        <v>2321</v>
      </c>
    </row>
    <row r="245" spans="1:11" x14ac:dyDescent="0.35">
      <c r="A245" s="7">
        <v>2540654</v>
      </c>
      <c r="B245" s="7" t="str">
        <f>"3209100404820014"</f>
        <v>3209100404820014</v>
      </c>
      <c r="C245" s="7" t="str">
        <f t="shared" si="6"/>
        <v>'3209100404820014</v>
      </c>
      <c r="D245" s="7" t="str">
        <f t="shared" si="7"/>
        <v>ganda</v>
      </c>
      <c r="E245" s="7" t="s">
        <v>2322</v>
      </c>
      <c r="F245" s="7" t="s">
        <v>10</v>
      </c>
      <c r="G245" s="7" t="s">
        <v>57</v>
      </c>
      <c r="H245" s="7" t="s">
        <v>18</v>
      </c>
      <c r="I245" s="7" t="s">
        <v>19</v>
      </c>
      <c r="J245" s="7" t="s">
        <v>1394</v>
      </c>
      <c r="K245" s="8" t="s">
        <v>1395</v>
      </c>
    </row>
    <row r="246" spans="1:11" x14ac:dyDescent="0.35">
      <c r="A246" s="7">
        <v>489376</v>
      </c>
      <c r="B246" s="7" t="str">
        <f>"3209101012840006"</f>
        <v>3209101012840006</v>
      </c>
      <c r="C246" s="7" t="str">
        <f t="shared" si="6"/>
        <v>'3209101012840006</v>
      </c>
      <c r="D246" s="7" t="str">
        <f t="shared" si="7"/>
        <v>ganda</v>
      </c>
      <c r="E246" s="7" t="s">
        <v>2323</v>
      </c>
      <c r="F246" s="7" t="s">
        <v>10</v>
      </c>
      <c r="G246" s="7" t="s">
        <v>11</v>
      </c>
      <c r="H246" s="7" t="s">
        <v>91</v>
      </c>
      <c r="I246" s="7" t="s">
        <v>985</v>
      </c>
      <c r="J246" s="7" t="s">
        <v>2320</v>
      </c>
      <c r="K246" s="8" t="s">
        <v>2321</v>
      </c>
    </row>
    <row r="247" spans="1:11" x14ac:dyDescent="0.35">
      <c r="A247" s="7">
        <v>2540756</v>
      </c>
      <c r="B247" s="7" t="str">
        <f>"3209101012840006"</f>
        <v>3209101012840006</v>
      </c>
      <c r="C247" s="7" t="str">
        <f t="shared" si="6"/>
        <v>'3209101012840006</v>
      </c>
      <c r="D247" s="7" t="str">
        <f t="shared" si="7"/>
        <v>ganda</v>
      </c>
      <c r="E247" s="7" t="s">
        <v>2324</v>
      </c>
      <c r="F247" s="7" t="s">
        <v>10</v>
      </c>
      <c r="G247" s="7" t="s">
        <v>57</v>
      </c>
      <c r="H247" s="7" t="s">
        <v>18</v>
      </c>
      <c r="I247" s="7" t="s">
        <v>19</v>
      </c>
      <c r="J247" s="7" t="s">
        <v>1394</v>
      </c>
      <c r="K247" s="8" t="s">
        <v>1395</v>
      </c>
    </row>
    <row r="248" spans="1:11" x14ac:dyDescent="0.35">
      <c r="A248" s="7">
        <v>488117</v>
      </c>
      <c r="B248" s="7" t="str">
        <f>"3209102103810007"</f>
        <v>3209102103810007</v>
      </c>
      <c r="C248" s="7" t="str">
        <f t="shared" si="6"/>
        <v>'3209102103810007</v>
      </c>
      <c r="D248" s="7" t="str">
        <f t="shared" si="7"/>
        <v>ganda</v>
      </c>
      <c r="E248" s="7" t="s">
        <v>2325</v>
      </c>
      <c r="F248" s="7" t="s">
        <v>10</v>
      </c>
      <c r="G248" s="7" t="s">
        <v>11</v>
      </c>
      <c r="H248" s="7" t="s">
        <v>91</v>
      </c>
      <c r="I248" s="7" t="s">
        <v>985</v>
      </c>
      <c r="J248" s="7" t="s">
        <v>2320</v>
      </c>
      <c r="K248" s="8" t="s">
        <v>2321</v>
      </c>
    </row>
    <row r="249" spans="1:11" x14ac:dyDescent="0.35">
      <c r="A249" s="7">
        <v>2540796</v>
      </c>
      <c r="B249" s="7" t="str">
        <f>"3209102103810007"</f>
        <v>3209102103810007</v>
      </c>
      <c r="C249" s="7" t="str">
        <f t="shared" si="6"/>
        <v>'3209102103810007</v>
      </c>
      <c r="D249" s="7" t="str">
        <f t="shared" si="7"/>
        <v>ganda</v>
      </c>
      <c r="E249" s="7" t="s">
        <v>2326</v>
      </c>
      <c r="F249" s="7" t="s">
        <v>10</v>
      </c>
      <c r="G249" s="7" t="s">
        <v>57</v>
      </c>
      <c r="H249" s="7" t="s">
        <v>18</v>
      </c>
      <c r="I249" s="7" t="s">
        <v>19</v>
      </c>
      <c r="J249" s="7" t="s">
        <v>1394</v>
      </c>
      <c r="K249" s="8" t="s">
        <v>1395</v>
      </c>
    </row>
    <row r="250" spans="1:11" x14ac:dyDescent="0.35">
      <c r="A250" s="7">
        <v>487825</v>
      </c>
      <c r="B250" s="7" t="str">
        <f>"3209102707850013"</f>
        <v>3209102707850013</v>
      </c>
      <c r="C250" s="7" t="str">
        <f t="shared" si="6"/>
        <v>'3209102707850013</v>
      </c>
      <c r="D250" s="7" t="str">
        <f t="shared" si="7"/>
        <v>ganda</v>
      </c>
      <c r="E250" s="7" t="s">
        <v>2327</v>
      </c>
      <c r="F250" s="7" t="s">
        <v>10</v>
      </c>
      <c r="G250" s="7" t="s">
        <v>11</v>
      </c>
      <c r="H250" s="7" t="s">
        <v>91</v>
      </c>
      <c r="I250" s="7" t="s">
        <v>985</v>
      </c>
      <c r="J250" s="7" t="s">
        <v>2320</v>
      </c>
      <c r="K250" s="8" t="s">
        <v>2321</v>
      </c>
    </row>
    <row r="251" spans="1:11" x14ac:dyDescent="0.35">
      <c r="A251" s="7">
        <v>2540859</v>
      </c>
      <c r="B251" s="7" t="str">
        <f>"3209102707850013"</f>
        <v>3209102707850013</v>
      </c>
      <c r="C251" s="7" t="str">
        <f t="shared" si="6"/>
        <v>'3209102707850013</v>
      </c>
      <c r="D251" s="7" t="str">
        <f t="shared" si="7"/>
        <v>ganda</v>
      </c>
      <c r="E251" s="7" t="s">
        <v>2328</v>
      </c>
      <c r="F251" s="7" t="s">
        <v>10</v>
      </c>
      <c r="G251" s="7" t="s">
        <v>57</v>
      </c>
      <c r="H251" s="7" t="s">
        <v>18</v>
      </c>
      <c r="I251" s="7" t="s">
        <v>19</v>
      </c>
      <c r="J251" s="7" t="s">
        <v>1394</v>
      </c>
      <c r="K251" s="8" t="s">
        <v>1395</v>
      </c>
    </row>
    <row r="252" spans="1:11" x14ac:dyDescent="0.35">
      <c r="A252" s="7">
        <v>1205268</v>
      </c>
      <c r="B252" s="7" t="str">
        <f>"3209301309820002"</f>
        <v>3209301309820002</v>
      </c>
      <c r="C252" s="7" t="str">
        <f t="shared" si="6"/>
        <v>'3209301309820002</v>
      </c>
      <c r="D252" s="7" t="str">
        <f t="shared" si="7"/>
        <v>ganda</v>
      </c>
      <c r="E252" s="7" t="s">
        <v>2329</v>
      </c>
      <c r="F252" s="7" t="s">
        <v>10</v>
      </c>
      <c r="G252" s="7" t="s">
        <v>11</v>
      </c>
      <c r="H252" s="7" t="s">
        <v>91</v>
      </c>
      <c r="I252" s="7" t="s">
        <v>985</v>
      </c>
      <c r="J252" s="7" t="s">
        <v>2330</v>
      </c>
      <c r="K252" s="8" t="s">
        <v>2331</v>
      </c>
    </row>
    <row r="253" spans="1:11" x14ac:dyDescent="0.35">
      <c r="A253" s="7">
        <v>2540833</v>
      </c>
      <c r="B253" s="7" t="str">
        <f>"3209301309820002"</f>
        <v>3209301309820002</v>
      </c>
      <c r="C253" s="7" t="str">
        <f t="shared" si="6"/>
        <v>'3209301309820002</v>
      </c>
      <c r="D253" s="7" t="str">
        <f t="shared" si="7"/>
        <v>ganda</v>
      </c>
      <c r="E253" s="7" t="s">
        <v>2332</v>
      </c>
      <c r="F253" s="7" t="s">
        <v>10</v>
      </c>
      <c r="G253" s="7" t="s">
        <v>57</v>
      </c>
      <c r="H253" s="7" t="s">
        <v>18</v>
      </c>
      <c r="I253" s="7" t="s">
        <v>19</v>
      </c>
      <c r="J253" s="7" t="s">
        <v>1394</v>
      </c>
      <c r="K253" s="8" t="s">
        <v>1395</v>
      </c>
    </row>
    <row r="254" spans="1:11" x14ac:dyDescent="0.35">
      <c r="A254" s="7">
        <v>1233329</v>
      </c>
      <c r="B254" s="7" t="str">
        <f>"3209302305970005"</f>
        <v>3209302305970005</v>
      </c>
      <c r="C254" s="7" t="str">
        <f t="shared" si="6"/>
        <v>'3209302305970005</v>
      </c>
      <c r="D254" s="7" t="str">
        <f t="shared" si="7"/>
        <v>ganda</v>
      </c>
      <c r="E254" s="7" t="s">
        <v>2333</v>
      </c>
      <c r="F254" s="7" t="s">
        <v>10</v>
      </c>
      <c r="G254" s="7" t="s">
        <v>11</v>
      </c>
      <c r="H254" s="7" t="s">
        <v>91</v>
      </c>
      <c r="I254" s="7" t="s">
        <v>985</v>
      </c>
      <c r="J254" s="7" t="s">
        <v>2330</v>
      </c>
      <c r="K254" s="8" t="s">
        <v>2334</v>
      </c>
    </row>
    <row r="255" spans="1:11" x14ac:dyDescent="0.35">
      <c r="A255" s="7">
        <v>2540897</v>
      </c>
      <c r="B255" s="7" t="str">
        <f>"3209302305970005"</f>
        <v>3209302305970005</v>
      </c>
      <c r="C255" s="7" t="str">
        <f t="shared" si="6"/>
        <v>'3209302305970005</v>
      </c>
      <c r="D255" s="7" t="str">
        <f t="shared" si="7"/>
        <v>ganda</v>
      </c>
      <c r="E255" s="7" t="s">
        <v>2335</v>
      </c>
      <c r="F255" s="7" t="s">
        <v>10</v>
      </c>
      <c r="G255" s="7" t="s">
        <v>57</v>
      </c>
      <c r="H255" s="7" t="s">
        <v>18</v>
      </c>
      <c r="I255" s="7" t="s">
        <v>19</v>
      </c>
      <c r="J255" s="7" t="s">
        <v>1394</v>
      </c>
      <c r="K255" s="8" t="s">
        <v>1395</v>
      </c>
    </row>
    <row r="256" spans="1:11" x14ac:dyDescent="0.35">
      <c r="A256" s="7">
        <v>980194</v>
      </c>
      <c r="B256" s="7" t="str">
        <f>"3212091110010001"</f>
        <v>3212091110010001</v>
      </c>
      <c r="C256" s="7" t="str">
        <f t="shared" si="6"/>
        <v>'3212091110010001</v>
      </c>
      <c r="D256" s="7" t="str">
        <f t="shared" si="7"/>
        <v>ganda</v>
      </c>
      <c r="E256" s="7" t="s">
        <v>2336</v>
      </c>
      <c r="F256" s="7" t="s">
        <v>10</v>
      </c>
      <c r="G256" s="7" t="s">
        <v>11</v>
      </c>
      <c r="H256" s="7" t="s">
        <v>91</v>
      </c>
      <c r="I256" s="7" t="s">
        <v>114</v>
      </c>
      <c r="J256" s="7" t="s">
        <v>2337</v>
      </c>
      <c r="K256" s="8" t="s">
        <v>789</v>
      </c>
    </row>
    <row r="257" spans="1:11" x14ac:dyDescent="0.35">
      <c r="A257" s="7">
        <v>2540656</v>
      </c>
      <c r="B257" s="7" t="str">
        <f>"3212091110010001"</f>
        <v>3212091110010001</v>
      </c>
      <c r="C257" s="7" t="str">
        <f t="shared" si="6"/>
        <v>'3212091110010001</v>
      </c>
      <c r="D257" s="7" t="str">
        <f t="shared" si="7"/>
        <v>ganda</v>
      </c>
      <c r="E257" s="7" t="s">
        <v>2338</v>
      </c>
      <c r="F257" s="7" t="s">
        <v>10</v>
      </c>
      <c r="G257" s="7" t="s">
        <v>57</v>
      </c>
      <c r="H257" s="7" t="s">
        <v>18</v>
      </c>
      <c r="I257" s="7" t="s">
        <v>19</v>
      </c>
      <c r="J257" s="7" t="s">
        <v>1394</v>
      </c>
      <c r="K257" s="8" t="s">
        <v>1395</v>
      </c>
    </row>
    <row r="258" spans="1:11" x14ac:dyDescent="0.35">
      <c r="A258" s="7">
        <v>963797</v>
      </c>
      <c r="B258" s="7" t="str">
        <f>"3212091303980004"</f>
        <v>3212091303980004</v>
      </c>
      <c r="C258" s="7" t="str">
        <f t="shared" ref="C258:C321" si="8">"'"&amp;B258</f>
        <v>'3212091303980004</v>
      </c>
      <c r="D258" s="7" t="str">
        <f t="shared" ref="D258:D321" si="9">IF(COUNTIF($C:$C,C258)&gt;1,"ganda","tidak ganda")</f>
        <v>ganda</v>
      </c>
      <c r="E258" s="7" t="s">
        <v>2339</v>
      </c>
      <c r="F258" s="7" t="s">
        <v>10</v>
      </c>
      <c r="G258" s="7" t="s">
        <v>11</v>
      </c>
      <c r="H258" s="7" t="s">
        <v>91</v>
      </c>
      <c r="I258" s="7" t="s">
        <v>114</v>
      </c>
      <c r="J258" s="7" t="s">
        <v>2337</v>
      </c>
      <c r="K258" s="8" t="s">
        <v>2340</v>
      </c>
    </row>
    <row r="259" spans="1:11" x14ac:dyDescent="0.35">
      <c r="A259" s="7">
        <v>2540682</v>
      </c>
      <c r="B259" s="7" t="str">
        <f>"3212091303980004"</f>
        <v>3212091303980004</v>
      </c>
      <c r="C259" s="7" t="str">
        <f t="shared" si="8"/>
        <v>'3212091303980004</v>
      </c>
      <c r="D259" s="7" t="str">
        <f t="shared" si="9"/>
        <v>ganda</v>
      </c>
      <c r="E259" s="7" t="s">
        <v>2341</v>
      </c>
      <c r="F259" s="7" t="s">
        <v>10</v>
      </c>
      <c r="G259" s="7" t="s">
        <v>57</v>
      </c>
      <c r="H259" s="7" t="s">
        <v>18</v>
      </c>
      <c r="I259" s="7" t="s">
        <v>19</v>
      </c>
      <c r="J259" s="7" t="s">
        <v>1394</v>
      </c>
      <c r="K259" s="8" t="s">
        <v>1395</v>
      </c>
    </row>
    <row r="260" spans="1:11" x14ac:dyDescent="0.35">
      <c r="A260" s="7">
        <v>222286</v>
      </c>
      <c r="B260" s="7" t="str">
        <f>"3215212912810001"</f>
        <v>3215212912810001</v>
      </c>
      <c r="C260" s="7" t="str">
        <f t="shared" si="8"/>
        <v>'3215212912810001</v>
      </c>
      <c r="D260" s="7" t="str">
        <f t="shared" si="9"/>
        <v>ganda</v>
      </c>
      <c r="E260" s="7" t="s">
        <v>2345</v>
      </c>
      <c r="F260" s="7" t="s">
        <v>10</v>
      </c>
      <c r="G260" s="7" t="s">
        <v>11</v>
      </c>
      <c r="H260" s="7" t="s">
        <v>18</v>
      </c>
      <c r="I260" s="7" t="s">
        <v>268</v>
      </c>
      <c r="J260" s="7" t="s">
        <v>371</v>
      </c>
      <c r="K260" s="8" t="s">
        <v>2346</v>
      </c>
    </row>
    <row r="261" spans="1:11" x14ac:dyDescent="0.35">
      <c r="A261" s="7">
        <v>2540730</v>
      </c>
      <c r="B261" s="7" t="str">
        <f>"3215212912810001"</f>
        <v>3215212912810001</v>
      </c>
      <c r="C261" s="7" t="str">
        <f t="shared" si="8"/>
        <v>'3215212912810001</v>
      </c>
      <c r="D261" s="7" t="str">
        <f t="shared" si="9"/>
        <v>ganda</v>
      </c>
      <c r="E261" s="7" t="s">
        <v>2347</v>
      </c>
      <c r="F261" s="7" t="s">
        <v>10</v>
      </c>
      <c r="G261" s="7" t="s">
        <v>57</v>
      </c>
      <c r="H261" s="7" t="s">
        <v>18</v>
      </c>
      <c r="I261" s="7" t="s">
        <v>19</v>
      </c>
      <c r="J261" s="7" t="s">
        <v>1394</v>
      </c>
      <c r="K261" s="8" t="s">
        <v>1395</v>
      </c>
    </row>
    <row r="262" spans="1:11" x14ac:dyDescent="0.35">
      <c r="A262" s="7">
        <v>143003</v>
      </c>
      <c r="B262" s="7" t="str">
        <f>"3275011905760028"</f>
        <v>3275011905760028</v>
      </c>
      <c r="C262" s="7" t="str">
        <f t="shared" si="8"/>
        <v>'3275011905760028</v>
      </c>
      <c r="D262" s="7" t="str">
        <f t="shared" si="9"/>
        <v>ganda</v>
      </c>
      <c r="E262" s="7" t="s">
        <v>2355</v>
      </c>
      <c r="F262" s="7" t="s">
        <v>10</v>
      </c>
      <c r="G262" s="7" t="s">
        <v>11</v>
      </c>
      <c r="H262" s="7" t="s">
        <v>91</v>
      </c>
      <c r="I262" s="7" t="s">
        <v>159</v>
      </c>
      <c r="J262" s="7" t="s">
        <v>685</v>
      </c>
      <c r="K262" s="8" t="s">
        <v>686</v>
      </c>
    </row>
    <row r="263" spans="1:11" x14ac:dyDescent="0.35">
      <c r="A263" s="7">
        <v>2540748</v>
      </c>
      <c r="B263" s="7" t="str">
        <f>"3275011905760028"</f>
        <v>3275011905760028</v>
      </c>
      <c r="C263" s="7" t="str">
        <f t="shared" si="8"/>
        <v>'3275011905760028</v>
      </c>
      <c r="D263" s="7" t="str">
        <f t="shared" si="9"/>
        <v>ganda</v>
      </c>
      <c r="E263" s="7" t="s">
        <v>2356</v>
      </c>
      <c r="F263" s="7" t="s">
        <v>10</v>
      </c>
      <c r="G263" s="7" t="s">
        <v>57</v>
      </c>
      <c r="H263" s="7" t="s">
        <v>18</v>
      </c>
      <c r="I263" s="7" t="s">
        <v>19</v>
      </c>
      <c r="J263" s="7" t="s">
        <v>1394</v>
      </c>
      <c r="K263" s="8" t="s">
        <v>1395</v>
      </c>
    </row>
    <row r="264" spans="1:11" x14ac:dyDescent="0.35">
      <c r="A264" s="7">
        <v>611654</v>
      </c>
      <c r="B264" s="7" t="str">
        <f>"3275090309760014"</f>
        <v>3275090309760014</v>
      </c>
      <c r="C264" s="7" t="str">
        <f t="shared" si="8"/>
        <v>'3275090309760014</v>
      </c>
      <c r="D264" s="7" t="str">
        <f t="shared" si="9"/>
        <v>ganda</v>
      </c>
      <c r="E264" s="7" t="s">
        <v>2360</v>
      </c>
      <c r="F264" s="7" t="s">
        <v>10</v>
      </c>
      <c r="G264" s="7" t="s">
        <v>11</v>
      </c>
      <c r="H264" s="7" t="s">
        <v>91</v>
      </c>
      <c r="I264" s="7" t="s">
        <v>159</v>
      </c>
      <c r="J264" s="7" t="s">
        <v>1170</v>
      </c>
      <c r="K264" s="8" t="s">
        <v>2361</v>
      </c>
    </row>
    <row r="265" spans="1:11" x14ac:dyDescent="0.35">
      <c r="A265" s="7">
        <v>2540830</v>
      </c>
      <c r="B265" s="7" t="str">
        <f>"3275090309760014"</f>
        <v>3275090309760014</v>
      </c>
      <c r="C265" s="7" t="str">
        <f t="shared" si="8"/>
        <v>'3275090309760014</v>
      </c>
      <c r="D265" s="7" t="str">
        <f t="shared" si="9"/>
        <v>ganda</v>
      </c>
      <c r="E265" s="7" t="s">
        <v>2362</v>
      </c>
      <c r="F265" s="7" t="s">
        <v>10</v>
      </c>
      <c r="G265" s="7" t="s">
        <v>57</v>
      </c>
      <c r="H265" s="7" t="s">
        <v>18</v>
      </c>
      <c r="I265" s="7" t="s">
        <v>19</v>
      </c>
      <c r="J265" s="7" t="s">
        <v>1394</v>
      </c>
      <c r="K265" s="8" t="s">
        <v>1395</v>
      </c>
    </row>
    <row r="266" spans="1:11" x14ac:dyDescent="0.35">
      <c r="A266" s="7">
        <v>336404</v>
      </c>
      <c r="B266" s="7" t="str">
        <f>"3276020702780012"</f>
        <v>3276020702780012</v>
      </c>
      <c r="C266" s="7" t="str">
        <f t="shared" si="8"/>
        <v>'3276020702780012</v>
      </c>
      <c r="D266" s="7" t="str">
        <f t="shared" si="9"/>
        <v>ganda</v>
      </c>
      <c r="E266" s="7" t="s">
        <v>2363</v>
      </c>
      <c r="F266" s="7" t="s">
        <v>10</v>
      </c>
      <c r="G266" s="7" t="s">
        <v>11</v>
      </c>
      <c r="H266" s="7" t="s">
        <v>91</v>
      </c>
      <c r="I266" s="7" t="s">
        <v>2364</v>
      </c>
      <c r="J266" s="7" t="s">
        <v>2365</v>
      </c>
      <c r="K266" s="8" t="s">
        <v>177</v>
      </c>
    </row>
    <row r="267" spans="1:11" x14ac:dyDescent="0.35">
      <c r="A267" s="7">
        <v>2540832</v>
      </c>
      <c r="B267" s="7" t="str">
        <f>"3276020702780012"</f>
        <v>3276020702780012</v>
      </c>
      <c r="C267" s="7" t="str">
        <f t="shared" si="8"/>
        <v>'3276020702780012</v>
      </c>
      <c r="D267" s="7" t="str">
        <f t="shared" si="9"/>
        <v>ganda</v>
      </c>
      <c r="E267" s="7" t="s">
        <v>2366</v>
      </c>
      <c r="F267" s="7" t="s">
        <v>10</v>
      </c>
      <c r="G267" s="7" t="s">
        <v>57</v>
      </c>
      <c r="H267" s="7" t="s">
        <v>18</v>
      </c>
      <c r="I267" s="7" t="s">
        <v>19</v>
      </c>
      <c r="J267" s="7" t="s">
        <v>1394</v>
      </c>
      <c r="K267" s="8" t="s">
        <v>1395</v>
      </c>
    </row>
    <row r="268" spans="1:11" x14ac:dyDescent="0.35">
      <c r="A268" s="7">
        <v>562357</v>
      </c>
      <c r="B268" s="7" t="str">
        <f>"3276041911830002"</f>
        <v>3276041911830002</v>
      </c>
      <c r="C268" s="7" t="str">
        <f t="shared" si="8"/>
        <v>'3276041911830002</v>
      </c>
      <c r="D268" s="7" t="str">
        <f t="shared" si="9"/>
        <v>ganda</v>
      </c>
      <c r="E268" s="7" t="s">
        <v>2367</v>
      </c>
      <c r="F268" s="7" t="s">
        <v>10</v>
      </c>
      <c r="G268" s="7" t="s">
        <v>11</v>
      </c>
      <c r="H268" s="7" t="s">
        <v>91</v>
      </c>
      <c r="I268" s="7" t="s">
        <v>903</v>
      </c>
      <c r="J268" s="7" t="s">
        <v>2368</v>
      </c>
      <c r="K268" s="8" t="s">
        <v>2210</v>
      </c>
    </row>
    <row r="269" spans="1:11" x14ac:dyDescent="0.35">
      <c r="A269" s="7">
        <v>2540754</v>
      </c>
      <c r="B269" s="7" t="str">
        <f>"3276041911830002"</f>
        <v>3276041911830002</v>
      </c>
      <c r="C269" s="7" t="str">
        <f t="shared" si="8"/>
        <v>'3276041911830002</v>
      </c>
      <c r="D269" s="7" t="str">
        <f t="shared" si="9"/>
        <v>ganda</v>
      </c>
      <c r="E269" s="7" t="s">
        <v>2369</v>
      </c>
      <c r="F269" s="7" t="s">
        <v>10</v>
      </c>
      <c r="G269" s="7" t="s">
        <v>57</v>
      </c>
      <c r="H269" s="7" t="s">
        <v>18</v>
      </c>
      <c r="I269" s="7" t="s">
        <v>19</v>
      </c>
      <c r="J269" s="7" t="s">
        <v>1394</v>
      </c>
      <c r="K269" s="8" t="s">
        <v>1395</v>
      </c>
    </row>
    <row r="270" spans="1:11" x14ac:dyDescent="0.35">
      <c r="A270" s="7">
        <v>337466</v>
      </c>
      <c r="B270" s="7" t="str">
        <f>"3276092505920002"</f>
        <v>3276092505920002</v>
      </c>
      <c r="C270" s="7" t="str">
        <f t="shared" si="8"/>
        <v>'3276092505920002</v>
      </c>
      <c r="D270" s="7" t="str">
        <f t="shared" si="9"/>
        <v>ganda</v>
      </c>
      <c r="E270" s="7" t="s">
        <v>2373</v>
      </c>
      <c r="F270" s="7" t="s">
        <v>10</v>
      </c>
      <c r="G270" s="7" t="s">
        <v>11</v>
      </c>
      <c r="H270" s="7" t="s">
        <v>91</v>
      </c>
      <c r="I270" s="7" t="s">
        <v>903</v>
      </c>
      <c r="J270" s="7" t="s">
        <v>2374</v>
      </c>
      <c r="K270" s="8" t="s">
        <v>2375</v>
      </c>
    </row>
    <row r="271" spans="1:11" x14ac:dyDescent="0.35">
      <c r="A271" s="7">
        <v>2540792</v>
      </c>
      <c r="B271" s="7" t="str">
        <f>"3276092505920002"</f>
        <v>3276092505920002</v>
      </c>
      <c r="C271" s="7" t="str">
        <f t="shared" si="8"/>
        <v>'3276092505920002</v>
      </c>
      <c r="D271" s="7" t="str">
        <f t="shared" si="9"/>
        <v>ganda</v>
      </c>
      <c r="E271" s="7" t="s">
        <v>2373</v>
      </c>
      <c r="F271" s="7" t="s">
        <v>10</v>
      </c>
      <c r="G271" s="7" t="s">
        <v>57</v>
      </c>
      <c r="H271" s="7" t="s">
        <v>18</v>
      </c>
      <c r="I271" s="7" t="s">
        <v>19</v>
      </c>
      <c r="J271" s="7" t="s">
        <v>1394</v>
      </c>
      <c r="K271" s="8" t="s">
        <v>1395</v>
      </c>
    </row>
    <row r="272" spans="1:11" x14ac:dyDescent="0.35">
      <c r="A272" s="7">
        <v>521972</v>
      </c>
      <c r="B272" s="7" t="str">
        <f>"3278080506920001"</f>
        <v>3278080506920001</v>
      </c>
      <c r="C272" s="7" t="str">
        <f t="shared" si="8"/>
        <v>'3278080506920001</v>
      </c>
      <c r="D272" s="7" t="str">
        <f t="shared" si="9"/>
        <v>ganda</v>
      </c>
      <c r="E272" s="7" t="s">
        <v>2377</v>
      </c>
      <c r="F272" s="7" t="s">
        <v>10</v>
      </c>
      <c r="G272" s="7" t="s">
        <v>11</v>
      </c>
      <c r="H272" s="7" t="s">
        <v>91</v>
      </c>
      <c r="I272" s="7" t="s">
        <v>221</v>
      </c>
      <c r="J272" s="7" t="s">
        <v>2378</v>
      </c>
      <c r="K272" s="8" t="s">
        <v>2379</v>
      </c>
    </row>
    <row r="273" spans="1:11" x14ac:dyDescent="0.35">
      <c r="A273" s="7">
        <v>2540705</v>
      </c>
      <c r="B273" s="7" t="str">
        <f>"3278080506920001"</f>
        <v>3278080506920001</v>
      </c>
      <c r="C273" s="7" t="str">
        <f t="shared" si="8"/>
        <v>'3278080506920001</v>
      </c>
      <c r="D273" s="7" t="str">
        <f t="shared" si="9"/>
        <v>ganda</v>
      </c>
      <c r="E273" s="7" t="s">
        <v>2380</v>
      </c>
      <c r="F273" s="7" t="s">
        <v>10</v>
      </c>
      <c r="G273" s="7" t="s">
        <v>57</v>
      </c>
      <c r="H273" s="7" t="s">
        <v>18</v>
      </c>
      <c r="I273" s="7" t="s">
        <v>19</v>
      </c>
      <c r="J273" s="7" t="s">
        <v>1394</v>
      </c>
      <c r="K273" s="8" t="s">
        <v>1395</v>
      </c>
    </row>
    <row r="274" spans="1:11" x14ac:dyDescent="0.35">
      <c r="A274" s="7">
        <v>1255703</v>
      </c>
      <c r="B274" s="7" t="str">
        <f>"3301010901810001"</f>
        <v>3301010901810001</v>
      </c>
      <c r="C274" s="7" t="str">
        <f t="shared" si="8"/>
        <v>'3301010901810001</v>
      </c>
      <c r="D274" s="7" t="str">
        <f t="shared" si="9"/>
        <v>ganda</v>
      </c>
      <c r="E274" s="7" t="s">
        <v>2381</v>
      </c>
      <c r="F274" s="7" t="s">
        <v>10</v>
      </c>
      <c r="G274" s="7" t="s">
        <v>11</v>
      </c>
      <c r="H274" s="7" t="s">
        <v>18</v>
      </c>
      <c r="I274" s="7" t="s">
        <v>264</v>
      </c>
      <c r="J274" s="7" t="s">
        <v>265</v>
      </c>
      <c r="K274" s="8" t="s">
        <v>266</v>
      </c>
    </row>
    <row r="275" spans="1:11" x14ac:dyDescent="0.35">
      <c r="A275" s="7">
        <v>2540847</v>
      </c>
      <c r="B275" s="7" t="str">
        <f>"3301010901810001"</f>
        <v>3301010901810001</v>
      </c>
      <c r="C275" s="7" t="str">
        <f t="shared" si="8"/>
        <v>'3301010901810001</v>
      </c>
      <c r="D275" s="7" t="str">
        <f t="shared" si="9"/>
        <v>ganda</v>
      </c>
      <c r="E275" s="7" t="s">
        <v>2382</v>
      </c>
      <c r="F275" s="7" t="s">
        <v>10</v>
      </c>
      <c r="G275" s="7" t="s">
        <v>57</v>
      </c>
      <c r="H275" s="7" t="s">
        <v>18</v>
      </c>
      <c r="I275" s="7" t="s">
        <v>19</v>
      </c>
      <c r="J275" s="7" t="s">
        <v>1394</v>
      </c>
      <c r="K275" s="8" t="s">
        <v>1395</v>
      </c>
    </row>
    <row r="276" spans="1:11" x14ac:dyDescent="0.35">
      <c r="A276" s="7">
        <v>2244531</v>
      </c>
      <c r="B276" s="7" t="str">
        <f>"3301141806970005"</f>
        <v>3301141806970005</v>
      </c>
      <c r="C276" s="7" t="str">
        <f t="shared" si="8"/>
        <v>'3301141806970005</v>
      </c>
      <c r="D276" s="7" t="str">
        <f t="shared" si="9"/>
        <v>ganda</v>
      </c>
      <c r="E276" s="7" t="s">
        <v>2386</v>
      </c>
      <c r="F276" s="7" t="s">
        <v>10</v>
      </c>
      <c r="G276" s="7" t="s">
        <v>11</v>
      </c>
      <c r="H276" s="7" t="s">
        <v>18</v>
      </c>
      <c r="I276" s="7" t="s">
        <v>163</v>
      </c>
      <c r="J276" s="7" t="s">
        <v>176</v>
      </c>
      <c r="K276" s="8" t="s">
        <v>2315</v>
      </c>
    </row>
    <row r="277" spans="1:11" x14ac:dyDescent="0.35">
      <c r="A277" s="7">
        <v>2540838</v>
      </c>
      <c r="B277" s="7" t="str">
        <f>"3301141806970005"</f>
        <v>3301141806970005</v>
      </c>
      <c r="C277" s="7" t="str">
        <f t="shared" si="8"/>
        <v>'3301141806970005</v>
      </c>
      <c r="D277" s="7" t="str">
        <f t="shared" si="9"/>
        <v>ganda</v>
      </c>
      <c r="E277" s="7" t="s">
        <v>2387</v>
      </c>
      <c r="F277" s="7" t="s">
        <v>10</v>
      </c>
      <c r="G277" s="7" t="s">
        <v>57</v>
      </c>
      <c r="H277" s="7" t="s">
        <v>18</v>
      </c>
      <c r="I277" s="7" t="s">
        <v>19</v>
      </c>
      <c r="J277" s="7" t="s">
        <v>1394</v>
      </c>
      <c r="K277" s="8" t="s">
        <v>1395</v>
      </c>
    </row>
    <row r="278" spans="1:11" x14ac:dyDescent="0.35">
      <c r="A278" s="7">
        <v>270132</v>
      </c>
      <c r="B278" s="7" t="str">
        <f>"3301252402900001"</f>
        <v>3301252402900001</v>
      </c>
      <c r="C278" s="7" t="str">
        <f t="shared" si="8"/>
        <v>'3301252402900001</v>
      </c>
      <c r="D278" s="7" t="str">
        <f t="shared" si="9"/>
        <v>ganda</v>
      </c>
      <c r="E278" s="7" t="s">
        <v>2388</v>
      </c>
      <c r="F278" s="7" t="s">
        <v>10</v>
      </c>
      <c r="G278" s="7" t="s">
        <v>11</v>
      </c>
      <c r="H278" s="7" t="s">
        <v>18</v>
      </c>
      <c r="I278" s="7" t="s">
        <v>2389</v>
      </c>
      <c r="J278" s="7" t="s">
        <v>2390</v>
      </c>
      <c r="K278" s="8" t="s">
        <v>2391</v>
      </c>
    </row>
    <row r="279" spans="1:11" x14ac:dyDescent="0.35">
      <c r="A279" s="7">
        <v>2540734</v>
      </c>
      <c r="B279" s="7" t="str">
        <f>"3301252402900001"</f>
        <v>3301252402900001</v>
      </c>
      <c r="C279" s="7" t="str">
        <f t="shared" si="8"/>
        <v>'3301252402900001</v>
      </c>
      <c r="D279" s="7" t="str">
        <f t="shared" si="9"/>
        <v>ganda</v>
      </c>
      <c r="E279" s="7" t="s">
        <v>2392</v>
      </c>
      <c r="F279" s="7" t="s">
        <v>10</v>
      </c>
      <c r="G279" s="7" t="s">
        <v>57</v>
      </c>
      <c r="H279" s="7" t="s">
        <v>18</v>
      </c>
      <c r="I279" s="7" t="s">
        <v>19</v>
      </c>
      <c r="J279" s="7" t="s">
        <v>1394</v>
      </c>
      <c r="K279" s="8" t="s">
        <v>1395</v>
      </c>
    </row>
    <row r="280" spans="1:11" x14ac:dyDescent="0.35">
      <c r="A280" s="7">
        <v>24421</v>
      </c>
      <c r="B280" s="7" t="str">
        <f>"3302142803800002"</f>
        <v>3302142803800002</v>
      </c>
      <c r="C280" s="7" t="str">
        <f t="shared" si="8"/>
        <v>'3302142803800002</v>
      </c>
      <c r="D280" s="7" t="str">
        <f t="shared" si="9"/>
        <v>ganda</v>
      </c>
      <c r="E280" s="7" t="s">
        <v>2393</v>
      </c>
      <c r="F280" s="7" t="s">
        <v>10</v>
      </c>
      <c r="G280" s="7" t="s">
        <v>11</v>
      </c>
      <c r="H280" s="7" t="s">
        <v>18</v>
      </c>
      <c r="I280" s="7" t="s">
        <v>167</v>
      </c>
      <c r="J280" s="7" t="s">
        <v>2394</v>
      </c>
      <c r="K280" s="8" t="s">
        <v>2395</v>
      </c>
    </row>
    <row r="281" spans="1:11" x14ac:dyDescent="0.35">
      <c r="A281" s="7">
        <v>2540728</v>
      </c>
      <c r="B281" s="7" t="str">
        <f>"3302142803800002"</f>
        <v>3302142803800002</v>
      </c>
      <c r="C281" s="7" t="str">
        <f t="shared" si="8"/>
        <v>'3302142803800002</v>
      </c>
      <c r="D281" s="7" t="str">
        <f t="shared" si="9"/>
        <v>ganda</v>
      </c>
      <c r="E281" s="7" t="s">
        <v>2396</v>
      </c>
      <c r="F281" s="7" t="s">
        <v>10</v>
      </c>
      <c r="G281" s="7" t="s">
        <v>57</v>
      </c>
      <c r="H281" s="7" t="s">
        <v>18</v>
      </c>
      <c r="I281" s="7" t="s">
        <v>19</v>
      </c>
      <c r="J281" s="7" t="s">
        <v>1394</v>
      </c>
      <c r="K281" s="8" t="s">
        <v>1395</v>
      </c>
    </row>
    <row r="282" spans="1:11" x14ac:dyDescent="0.35">
      <c r="A282" s="7">
        <v>1106434</v>
      </c>
      <c r="B282" s="7" t="str">
        <f>"3302200303920005"</f>
        <v>3302200303920005</v>
      </c>
      <c r="C282" s="7" t="str">
        <f t="shared" si="8"/>
        <v>'3302200303920005</v>
      </c>
      <c r="D282" s="7" t="str">
        <f t="shared" si="9"/>
        <v>ganda</v>
      </c>
      <c r="E282" s="7" t="s">
        <v>2397</v>
      </c>
      <c r="F282" s="7" t="s">
        <v>10</v>
      </c>
      <c r="G282" s="7" t="s">
        <v>11</v>
      </c>
      <c r="H282" s="7" t="s">
        <v>18</v>
      </c>
      <c r="I282" s="7" t="s">
        <v>167</v>
      </c>
      <c r="J282" s="7" t="s">
        <v>2398</v>
      </c>
      <c r="K282" s="8" t="s">
        <v>2399</v>
      </c>
    </row>
    <row r="283" spans="1:11" x14ac:dyDescent="0.35">
      <c r="A283" s="7">
        <v>2540661</v>
      </c>
      <c r="B283" s="7" t="str">
        <f>"3302200303920005"</f>
        <v>3302200303920005</v>
      </c>
      <c r="C283" s="7" t="str">
        <f t="shared" si="8"/>
        <v>'3302200303920005</v>
      </c>
      <c r="D283" s="7" t="str">
        <f t="shared" si="9"/>
        <v>ganda</v>
      </c>
      <c r="E283" s="7" t="s">
        <v>2400</v>
      </c>
      <c r="F283" s="7" t="s">
        <v>10</v>
      </c>
      <c r="G283" s="7" t="s">
        <v>57</v>
      </c>
      <c r="H283" s="7" t="s">
        <v>18</v>
      </c>
      <c r="I283" s="7" t="s">
        <v>19</v>
      </c>
      <c r="J283" s="7" t="s">
        <v>1394</v>
      </c>
      <c r="K283" s="8" t="s">
        <v>1395</v>
      </c>
    </row>
    <row r="284" spans="1:11" x14ac:dyDescent="0.35">
      <c r="A284" s="7">
        <v>1367965</v>
      </c>
      <c r="B284" s="7" t="str">
        <f>"3303050112790001"</f>
        <v>3303050112790001</v>
      </c>
      <c r="C284" s="7" t="str">
        <f t="shared" si="8"/>
        <v>'3303050112790001</v>
      </c>
      <c r="D284" s="7" t="str">
        <f t="shared" si="9"/>
        <v>ganda</v>
      </c>
      <c r="E284" s="7" t="s">
        <v>2401</v>
      </c>
      <c r="F284" s="7" t="s">
        <v>10</v>
      </c>
      <c r="G284" s="7" t="s">
        <v>11</v>
      </c>
      <c r="H284" s="7" t="s">
        <v>18</v>
      </c>
      <c r="I284" s="7" t="s">
        <v>167</v>
      </c>
      <c r="J284" s="7" t="s">
        <v>2402</v>
      </c>
      <c r="K284" s="8" t="s">
        <v>2403</v>
      </c>
    </row>
    <row r="285" spans="1:11" x14ac:dyDescent="0.35">
      <c r="A285" s="7">
        <v>2540785</v>
      </c>
      <c r="B285" s="7" t="str">
        <f>"3303050112790001"</f>
        <v>3303050112790001</v>
      </c>
      <c r="C285" s="7" t="str">
        <f t="shared" si="8"/>
        <v>'3303050112790001</v>
      </c>
      <c r="D285" s="7" t="str">
        <f t="shared" si="9"/>
        <v>ganda</v>
      </c>
      <c r="E285" s="7" t="s">
        <v>2401</v>
      </c>
      <c r="F285" s="7" t="s">
        <v>10</v>
      </c>
      <c r="G285" s="7" t="s">
        <v>57</v>
      </c>
      <c r="H285" s="7" t="s">
        <v>18</v>
      </c>
      <c r="I285" s="7" t="s">
        <v>19</v>
      </c>
      <c r="J285" s="7" t="s">
        <v>1394</v>
      </c>
      <c r="K285" s="8" t="s">
        <v>1395</v>
      </c>
    </row>
    <row r="286" spans="1:11" x14ac:dyDescent="0.35">
      <c r="A286" s="7">
        <v>920714</v>
      </c>
      <c r="B286" s="7" t="str">
        <f>"3306042912900001"</f>
        <v>3306042912900001</v>
      </c>
      <c r="C286" s="7" t="str">
        <f t="shared" si="8"/>
        <v>'3306042912900001</v>
      </c>
      <c r="D286" s="7" t="str">
        <f t="shared" si="9"/>
        <v>ganda</v>
      </c>
      <c r="E286" s="7" t="s">
        <v>2406</v>
      </c>
      <c r="F286" s="7" t="s">
        <v>10</v>
      </c>
      <c r="G286" s="7" t="s">
        <v>11</v>
      </c>
      <c r="H286" s="7" t="s">
        <v>18</v>
      </c>
      <c r="I286" s="7" t="s">
        <v>1920</v>
      </c>
      <c r="J286" s="7" t="s">
        <v>2407</v>
      </c>
      <c r="K286" s="8" t="s">
        <v>2408</v>
      </c>
    </row>
    <row r="287" spans="1:11" x14ac:dyDescent="0.35">
      <c r="A287" s="7">
        <v>2540919</v>
      </c>
      <c r="B287" s="7" t="str">
        <f>"3306042912900001"</f>
        <v>3306042912900001</v>
      </c>
      <c r="C287" s="7" t="str">
        <f t="shared" si="8"/>
        <v>'3306042912900001</v>
      </c>
      <c r="D287" s="7" t="str">
        <f t="shared" si="9"/>
        <v>ganda</v>
      </c>
      <c r="E287" s="7" t="s">
        <v>2406</v>
      </c>
      <c r="F287" s="7" t="s">
        <v>10</v>
      </c>
      <c r="G287" s="7" t="s">
        <v>57</v>
      </c>
      <c r="H287" s="7" t="s">
        <v>18</v>
      </c>
      <c r="I287" s="7" t="s">
        <v>19</v>
      </c>
      <c r="J287" s="7" t="s">
        <v>1394</v>
      </c>
      <c r="K287" s="8" t="s">
        <v>1395</v>
      </c>
    </row>
    <row r="288" spans="1:11" x14ac:dyDescent="0.35">
      <c r="A288" s="7">
        <v>902555</v>
      </c>
      <c r="B288" s="7" t="str">
        <f>"3306102804850001"</f>
        <v>3306102804850001</v>
      </c>
      <c r="C288" s="7" t="str">
        <f t="shared" si="8"/>
        <v>'3306102804850001</v>
      </c>
      <c r="D288" s="7" t="str">
        <f t="shared" si="9"/>
        <v>ganda</v>
      </c>
      <c r="E288" s="7" t="s">
        <v>1367</v>
      </c>
      <c r="F288" s="7" t="s">
        <v>10</v>
      </c>
      <c r="G288" s="7" t="s">
        <v>11</v>
      </c>
      <c r="H288" s="7" t="s">
        <v>18</v>
      </c>
      <c r="I288" s="7" t="s">
        <v>1920</v>
      </c>
      <c r="J288" s="7" t="s">
        <v>1388</v>
      </c>
      <c r="K288" s="8" t="s">
        <v>1388</v>
      </c>
    </row>
    <row r="289" spans="1:11" x14ac:dyDescent="0.35">
      <c r="A289" s="7">
        <v>2540749</v>
      </c>
      <c r="B289" s="7" t="str">
        <f>"3306102804850001"</f>
        <v>3306102804850001</v>
      </c>
      <c r="C289" s="7" t="str">
        <f t="shared" si="8"/>
        <v>'3306102804850001</v>
      </c>
      <c r="D289" s="7" t="str">
        <f t="shared" si="9"/>
        <v>ganda</v>
      </c>
      <c r="E289" s="7" t="s">
        <v>2409</v>
      </c>
      <c r="F289" s="7" t="s">
        <v>10</v>
      </c>
      <c r="G289" s="7" t="s">
        <v>57</v>
      </c>
      <c r="H289" s="7" t="s">
        <v>18</v>
      </c>
      <c r="I289" s="7" t="s">
        <v>19</v>
      </c>
      <c r="J289" s="7" t="s">
        <v>1394</v>
      </c>
      <c r="K289" s="8" t="s">
        <v>1395</v>
      </c>
    </row>
    <row r="290" spans="1:11" x14ac:dyDescent="0.35">
      <c r="A290" s="7">
        <v>1203808</v>
      </c>
      <c r="B290" s="7" t="str">
        <f>"3306111207990001"</f>
        <v>3306111207990001</v>
      </c>
      <c r="C290" s="7" t="str">
        <f t="shared" si="8"/>
        <v>'3306111207990001</v>
      </c>
      <c r="D290" s="7" t="str">
        <f t="shared" si="9"/>
        <v>ganda</v>
      </c>
      <c r="E290" s="7" t="s">
        <v>2410</v>
      </c>
      <c r="F290" s="7" t="s">
        <v>10</v>
      </c>
      <c r="G290" s="7" t="s">
        <v>11</v>
      </c>
      <c r="H290" s="7" t="s">
        <v>18</v>
      </c>
      <c r="I290" s="7" t="s">
        <v>1920</v>
      </c>
      <c r="J290" s="7" t="s">
        <v>1921</v>
      </c>
      <c r="K290" s="8" t="s">
        <v>1921</v>
      </c>
    </row>
    <row r="291" spans="1:11" x14ac:dyDescent="0.35">
      <c r="A291" s="7">
        <v>2540922</v>
      </c>
      <c r="B291" s="7" t="str">
        <f>"3306111207990001"</f>
        <v>3306111207990001</v>
      </c>
      <c r="C291" s="7" t="str">
        <f t="shared" si="8"/>
        <v>'3306111207990001</v>
      </c>
      <c r="D291" s="7" t="str">
        <f t="shared" si="9"/>
        <v>ganda</v>
      </c>
      <c r="E291" s="7" t="s">
        <v>2410</v>
      </c>
      <c r="F291" s="7" t="s">
        <v>10</v>
      </c>
      <c r="G291" s="7" t="s">
        <v>57</v>
      </c>
      <c r="H291" s="7" t="s">
        <v>18</v>
      </c>
      <c r="I291" s="7" t="s">
        <v>19</v>
      </c>
      <c r="J291" s="7" t="s">
        <v>1394</v>
      </c>
      <c r="K291" s="8" t="s">
        <v>1395</v>
      </c>
    </row>
    <row r="292" spans="1:11" x14ac:dyDescent="0.35">
      <c r="A292" s="7">
        <v>2540783</v>
      </c>
      <c r="B292" s="7" t="str">
        <f>"3309071608969002"</f>
        <v>3309071608969002</v>
      </c>
      <c r="C292" s="7" t="str">
        <f t="shared" si="8"/>
        <v>'3309071608969002</v>
      </c>
      <c r="D292" s="7" t="str">
        <f t="shared" si="9"/>
        <v>ganda</v>
      </c>
      <c r="E292" s="7" t="s">
        <v>2411</v>
      </c>
      <c r="F292" s="7" t="s">
        <v>10</v>
      </c>
      <c r="G292" s="7" t="s">
        <v>57</v>
      </c>
      <c r="H292" s="7" t="s">
        <v>18</v>
      </c>
      <c r="I292" s="7" t="s">
        <v>19</v>
      </c>
      <c r="J292" s="7" t="s">
        <v>1394</v>
      </c>
      <c r="K292" s="8" t="s">
        <v>1395</v>
      </c>
    </row>
    <row r="293" spans="1:11" x14ac:dyDescent="0.35">
      <c r="A293" s="7">
        <v>687378</v>
      </c>
      <c r="B293" s="7" t="str">
        <f>"3309071608969002"</f>
        <v>3309071608969002</v>
      </c>
      <c r="C293" s="7" t="str">
        <f t="shared" si="8"/>
        <v>'3309071608969002</v>
      </c>
      <c r="D293" s="7" t="str">
        <f t="shared" si="9"/>
        <v>ganda</v>
      </c>
      <c r="E293" s="7" t="s">
        <v>2412</v>
      </c>
      <c r="F293" s="7" t="s">
        <v>10</v>
      </c>
      <c r="G293" s="7" t="s">
        <v>57</v>
      </c>
      <c r="H293" s="7" t="s">
        <v>18</v>
      </c>
      <c r="I293" s="7" t="s">
        <v>190</v>
      </c>
      <c r="J293" s="7" t="s">
        <v>190</v>
      </c>
      <c r="K293" s="8" t="s">
        <v>2413</v>
      </c>
    </row>
    <row r="294" spans="1:11" x14ac:dyDescent="0.35">
      <c r="A294" s="7">
        <v>2540914</v>
      </c>
      <c r="B294" s="7" t="str">
        <f>"3311102210800004"</f>
        <v>3311102210800004</v>
      </c>
      <c r="C294" s="7" t="str">
        <f t="shared" si="8"/>
        <v>'3311102210800004</v>
      </c>
      <c r="D294" s="7" t="str">
        <f t="shared" si="9"/>
        <v>ganda</v>
      </c>
      <c r="E294" s="7" t="s">
        <v>2414</v>
      </c>
      <c r="F294" s="7" t="s">
        <v>10</v>
      </c>
      <c r="G294" s="7" t="s">
        <v>57</v>
      </c>
      <c r="H294" s="7" t="s">
        <v>18</v>
      </c>
      <c r="I294" s="7" t="s">
        <v>19</v>
      </c>
      <c r="J294" s="7" t="s">
        <v>1394</v>
      </c>
      <c r="K294" s="8" t="s">
        <v>1395</v>
      </c>
    </row>
    <row r="295" spans="1:11" x14ac:dyDescent="0.35">
      <c r="A295" s="7">
        <v>687450</v>
      </c>
      <c r="B295" s="7" t="str">
        <f>"3311102210800004"</f>
        <v>3311102210800004</v>
      </c>
      <c r="C295" s="7" t="str">
        <f t="shared" si="8"/>
        <v>'3311102210800004</v>
      </c>
      <c r="D295" s="7" t="str">
        <f t="shared" si="9"/>
        <v>ganda</v>
      </c>
      <c r="E295" s="7" t="s">
        <v>2414</v>
      </c>
      <c r="F295" s="7" t="s">
        <v>10</v>
      </c>
      <c r="G295" s="7" t="s">
        <v>57</v>
      </c>
      <c r="H295" s="7" t="s">
        <v>18</v>
      </c>
      <c r="I295" s="7" t="s">
        <v>190</v>
      </c>
      <c r="J295" s="7" t="s">
        <v>190</v>
      </c>
      <c r="K295" s="8" t="s">
        <v>2413</v>
      </c>
    </row>
    <row r="296" spans="1:11" x14ac:dyDescent="0.35">
      <c r="A296" s="7">
        <v>702023</v>
      </c>
      <c r="B296" s="7" t="str">
        <f>"3316162306710001"</f>
        <v>3316162306710001</v>
      </c>
      <c r="C296" s="7" t="str">
        <f t="shared" si="8"/>
        <v>'3316162306710001</v>
      </c>
      <c r="D296" s="7" t="str">
        <f t="shared" si="9"/>
        <v>ganda</v>
      </c>
      <c r="E296" s="7" t="s">
        <v>245</v>
      </c>
      <c r="F296" s="7" t="s">
        <v>10</v>
      </c>
      <c r="G296" s="7" t="s">
        <v>11</v>
      </c>
      <c r="H296" s="7" t="s">
        <v>18</v>
      </c>
      <c r="I296" s="7" t="s">
        <v>2416</v>
      </c>
      <c r="J296" s="7" t="s">
        <v>2419</v>
      </c>
      <c r="K296" s="8" t="s">
        <v>2420</v>
      </c>
    </row>
    <row r="297" spans="1:11" x14ac:dyDescent="0.35">
      <c r="A297" s="7">
        <v>2540809</v>
      </c>
      <c r="B297" s="7" t="str">
        <f>"3316162306710001"</f>
        <v>3316162306710001</v>
      </c>
      <c r="C297" s="7" t="str">
        <f t="shared" si="8"/>
        <v>'3316162306710001</v>
      </c>
      <c r="D297" s="7" t="str">
        <f t="shared" si="9"/>
        <v>ganda</v>
      </c>
      <c r="E297" s="7" t="s">
        <v>2421</v>
      </c>
      <c r="F297" s="7" t="s">
        <v>10</v>
      </c>
      <c r="G297" s="7" t="s">
        <v>57</v>
      </c>
      <c r="H297" s="7" t="s">
        <v>18</v>
      </c>
      <c r="I297" s="7" t="s">
        <v>19</v>
      </c>
      <c r="J297" s="7" t="s">
        <v>1394</v>
      </c>
      <c r="K297" s="8" t="s">
        <v>1395</v>
      </c>
    </row>
    <row r="298" spans="1:11" x14ac:dyDescent="0.35">
      <c r="A298" s="7">
        <v>375001</v>
      </c>
      <c r="B298" s="7" t="str">
        <f>"3318211107780001"</f>
        <v>3318211107780001</v>
      </c>
      <c r="C298" s="7" t="str">
        <f t="shared" si="8"/>
        <v>'3318211107780001</v>
      </c>
      <c r="D298" s="7" t="str">
        <f t="shared" si="9"/>
        <v>ganda</v>
      </c>
      <c r="E298" s="7" t="s">
        <v>2430</v>
      </c>
      <c r="F298" s="7" t="s">
        <v>10</v>
      </c>
      <c r="G298" s="7" t="s">
        <v>11</v>
      </c>
      <c r="H298" s="7" t="s">
        <v>18</v>
      </c>
      <c r="I298" s="7" t="s">
        <v>1787</v>
      </c>
      <c r="J298" s="7" t="s">
        <v>2431</v>
      </c>
      <c r="K298" s="8" t="s">
        <v>2431</v>
      </c>
    </row>
    <row r="299" spans="1:11" x14ac:dyDescent="0.35">
      <c r="A299" s="7">
        <v>2540674</v>
      </c>
      <c r="B299" s="7" t="str">
        <f>"3318211107780001"</f>
        <v>3318211107780001</v>
      </c>
      <c r="C299" s="7" t="str">
        <f t="shared" si="8"/>
        <v>'3318211107780001</v>
      </c>
      <c r="D299" s="7" t="str">
        <f t="shared" si="9"/>
        <v>ganda</v>
      </c>
      <c r="E299" s="7" t="s">
        <v>2432</v>
      </c>
      <c r="F299" s="7" t="s">
        <v>10</v>
      </c>
      <c r="G299" s="7" t="s">
        <v>57</v>
      </c>
      <c r="H299" s="7" t="s">
        <v>18</v>
      </c>
      <c r="I299" s="7" t="s">
        <v>19</v>
      </c>
      <c r="J299" s="7" t="s">
        <v>1394</v>
      </c>
      <c r="K299" s="8" t="s">
        <v>1395</v>
      </c>
    </row>
    <row r="300" spans="1:11" x14ac:dyDescent="0.35">
      <c r="A300" s="7">
        <v>1285129</v>
      </c>
      <c r="B300" s="7" t="str">
        <f>"3319021912910004"</f>
        <v>3319021912910004</v>
      </c>
      <c r="C300" s="7" t="str">
        <f t="shared" si="8"/>
        <v>'3319021912910004</v>
      </c>
      <c r="D300" s="7" t="str">
        <f t="shared" si="9"/>
        <v>ganda</v>
      </c>
      <c r="E300" s="7" t="s">
        <v>2433</v>
      </c>
      <c r="F300" s="7" t="s">
        <v>10</v>
      </c>
      <c r="G300" s="7" t="s">
        <v>11</v>
      </c>
      <c r="H300" s="7" t="s">
        <v>18</v>
      </c>
      <c r="I300" s="7" t="s">
        <v>2434</v>
      </c>
      <c r="J300" s="7" t="s">
        <v>2435</v>
      </c>
      <c r="K300" s="8" t="s">
        <v>2436</v>
      </c>
    </row>
    <row r="301" spans="1:11" x14ac:dyDescent="0.35">
      <c r="A301" s="7">
        <v>2540746</v>
      </c>
      <c r="B301" s="7" t="str">
        <f>"3319021912910004"</f>
        <v>3319021912910004</v>
      </c>
      <c r="C301" s="7" t="str">
        <f t="shared" si="8"/>
        <v>'3319021912910004</v>
      </c>
      <c r="D301" s="7" t="str">
        <f t="shared" si="9"/>
        <v>ganda</v>
      </c>
      <c r="E301" s="7" t="s">
        <v>2437</v>
      </c>
      <c r="F301" s="7" t="s">
        <v>10</v>
      </c>
      <c r="G301" s="7" t="s">
        <v>57</v>
      </c>
      <c r="H301" s="7" t="s">
        <v>18</v>
      </c>
      <c r="I301" s="7" t="s">
        <v>19</v>
      </c>
      <c r="J301" s="7" t="s">
        <v>1394</v>
      </c>
      <c r="K301" s="8" t="s">
        <v>1395</v>
      </c>
    </row>
    <row r="302" spans="1:11" x14ac:dyDescent="0.35">
      <c r="A302" s="7">
        <v>782516</v>
      </c>
      <c r="B302" s="7" t="str">
        <f>"3319070810670001"</f>
        <v>3319070810670001</v>
      </c>
      <c r="C302" s="7" t="str">
        <f t="shared" si="8"/>
        <v>'3319070810670001</v>
      </c>
      <c r="D302" s="7" t="str">
        <f t="shared" si="9"/>
        <v>ganda</v>
      </c>
      <c r="E302" s="7" t="s">
        <v>2438</v>
      </c>
      <c r="F302" s="7" t="s">
        <v>10</v>
      </c>
      <c r="G302" s="7" t="s">
        <v>11</v>
      </c>
      <c r="H302" s="7" t="s">
        <v>18</v>
      </c>
      <c r="I302" s="7" t="s">
        <v>2434</v>
      </c>
      <c r="J302" s="7" t="s">
        <v>2439</v>
      </c>
      <c r="K302" s="8" t="s">
        <v>2440</v>
      </c>
    </row>
    <row r="303" spans="1:11" x14ac:dyDescent="0.35">
      <c r="A303" s="7">
        <v>2540694</v>
      </c>
      <c r="B303" s="7" t="str">
        <f>"3319070810670001"</f>
        <v>3319070810670001</v>
      </c>
      <c r="C303" s="7" t="str">
        <f t="shared" si="8"/>
        <v>'3319070810670001</v>
      </c>
      <c r="D303" s="7" t="str">
        <f t="shared" si="9"/>
        <v>ganda</v>
      </c>
      <c r="E303" s="7" t="s">
        <v>2441</v>
      </c>
      <c r="F303" s="7" t="s">
        <v>10</v>
      </c>
      <c r="G303" s="7" t="s">
        <v>57</v>
      </c>
      <c r="H303" s="7" t="s">
        <v>18</v>
      </c>
      <c r="I303" s="7" t="s">
        <v>19</v>
      </c>
      <c r="J303" s="7" t="s">
        <v>1394</v>
      </c>
      <c r="K303" s="8" t="s">
        <v>1395</v>
      </c>
    </row>
    <row r="304" spans="1:11" x14ac:dyDescent="0.35">
      <c r="A304" s="7">
        <v>1017091</v>
      </c>
      <c r="B304" s="7" t="str">
        <f>"3321042502850002"</f>
        <v>3321042502850002</v>
      </c>
      <c r="C304" s="7" t="str">
        <f t="shared" si="8"/>
        <v>'3321042502850002</v>
      </c>
      <c r="D304" s="7" t="str">
        <f t="shared" si="9"/>
        <v>ganda</v>
      </c>
      <c r="E304" s="7" t="s">
        <v>2442</v>
      </c>
      <c r="F304" s="7" t="s">
        <v>10</v>
      </c>
      <c r="G304" s="7" t="s">
        <v>11</v>
      </c>
      <c r="H304" s="7" t="s">
        <v>18</v>
      </c>
      <c r="I304" s="7" t="s">
        <v>184</v>
      </c>
      <c r="J304" s="7" t="s">
        <v>185</v>
      </c>
      <c r="K304" s="8" t="s">
        <v>2443</v>
      </c>
    </row>
    <row r="305" spans="1:11" x14ac:dyDescent="0.35">
      <c r="A305" s="7">
        <v>2540812</v>
      </c>
      <c r="B305" s="7" t="str">
        <f>"3321042502850002"</f>
        <v>3321042502850002</v>
      </c>
      <c r="C305" s="7" t="str">
        <f t="shared" si="8"/>
        <v>'3321042502850002</v>
      </c>
      <c r="D305" s="7" t="str">
        <f t="shared" si="9"/>
        <v>ganda</v>
      </c>
      <c r="E305" s="7" t="s">
        <v>2444</v>
      </c>
      <c r="F305" s="7" t="s">
        <v>10</v>
      </c>
      <c r="G305" s="7" t="s">
        <v>57</v>
      </c>
      <c r="H305" s="7" t="s">
        <v>18</v>
      </c>
      <c r="I305" s="7" t="s">
        <v>19</v>
      </c>
      <c r="J305" s="7" t="s">
        <v>1394</v>
      </c>
      <c r="K305" s="8" t="s">
        <v>1395</v>
      </c>
    </row>
    <row r="306" spans="1:11" x14ac:dyDescent="0.35">
      <c r="A306" s="7">
        <v>1174983</v>
      </c>
      <c r="B306" s="7" t="str">
        <f>"3326012404900001"</f>
        <v>3326012404900001</v>
      </c>
      <c r="C306" s="7" t="str">
        <f t="shared" si="8"/>
        <v>'3326012404900001</v>
      </c>
      <c r="D306" s="7" t="str">
        <f t="shared" si="9"/>
        <v>ganda</v>
      </c>
      <c r="E306" s="7" t="s">
        <v>2461</v>
      </c>
      <c r="F306" s="7" t="s">
        <v>10</v>
      </c>
      <c r="G306" s="7" t="s">
        <v>11</v>
      </c>
      <c r="H306" s="7" t="s">
        <v>18</v>
      </c>
      <c r="I306" s="7" t="s">
        <v>195</v>
      </c>
      <c r="J306" s="7" t="s">
        <v>2462</v>
      </c>
      <c r="K306" s="8" t="s">
        <v>2463</v>
      </c>
    </row>
    <row r="307" spans="1:11" x14ac:dyDescent="0.35">
      <c r="A307" s="7">
        <v>2540735</v>
      </c>
      <c r="B307" s="7" t="str">
        <f>"3326012404900001"</f>
        <v>3326012404900001</v>
      </c>
      <c r="C307" s="7" t="str">
        <f t="shared" si="8"/>
        <v>'3326012404900001</v>
      </c>
      <c r="D307" s="7" t="str">
        <f t="shared" si="9"/>
        <v>ganda</v>
      </c>
      <c r="E307" s="7" t="s">
        <v>2464</v>
      </c>
      <c r="F307" s="7" t="s">
        <v>10</v>
      </c>
      <c r="G307" s="7" t="s">
        <v>57</v>
      </c>
      <c r="H307" s="7" t="s">
        <v>18</v>
      </c>
      <c r="I307" s="7" t="s">
        <v>19</v>
      </c>
      <c r="J307" s="7" t="s">
        <v>1394</v>
      </c>
      <c r="K307" s="8" t="s">
        <v>1395</v>
      </c>
    </row>
    <row r="308" spans="1:11" x14ac:dyDescent="0.35">
      <c r="A308" s="7">
        <v>1110846</v>
      </c>
      <c r="B308" s="7" t="str">
        <f>"3326110110600001"</f>
        <v>3326110110600001</v>
      </c>
      <c r="C308" s="7" t="str">
        <f t="shared" si="8"/>
        <v>'3326110110600001</v>
      </c>
      <c r="D308" s="7" t="str">
        <f t="shared" si="9"/>
        <v>ganda</v>
      </c>
      <c r="E308" s="7" t="s">
        <v>2467</v>
      </c>
      <c r="F308" s="7" t="s">
        <v>10</v>
      </c>
      <c r="G308" s="7" t="s">
        <v>11</v>
      </c>
      <c r="H308" s="7" t="s">
        <v>18</v>
      </c>
      <c r="I308" s="7" t="s">
        <v>195</v>
      </c>
      <c r="J308" s="7" t="s">
        <v>906</v>
      </c>
      <c r="K308" s="8" t="s">
        <v>2468</v>
      </c>
    </row>
    <row r="309" spans="1:11" x14ac:dyDescent="0.35">
      <c r="A309" s="7">
        <v>2540764</v>
      </c>
      <c r="B309" s="7" t="str">
        <f>"3326110110600001"</f>
        <v>3326110110600001</v>
      </c>
      <c r="C309" s="7" t="str">
        <f t="shared" si="8"/>
        <v>'3326110110600001</v>
      </c>
      <c r="D309" s="7" t="str">
        <f t="shared" si="9"/>
        <v>ganda</v>
      </c>
      <c r="E309" s="7" t="s">
        <v>2469</v>
      </c>
      <c r="F309" s="7" t="s">
        <v>10</v>
      </c>
      <c r="G309" s="7" t="s">
        <v>57</v>
      </c>
      <c r="H309" s="7" t="s">
        <v>18</v>
      </c>
      <c r="I309" s="7" t="s">
        <v>19</v>
      </c>
      <c r="J309" s="7" t="s">
        <v>1394</v>
      </c>
      <c r="K309" s="8" t="s">
        <v>1395</v>
      </c>
    </row>
    <row r="310" spans="1:11" x14ac:dyDescent="0.35">
      <c r="A310" s="7">
        <v>1184884</v>
      </c>
      <c r="B310" s="7" t="str">
        <f>"3326112112700001"</f>
        <v>3326112112700001</v>
      </c>
      <c r="C310" s="7" t="str">
        <f t="shared" si="8"/>
        <v>'3326112112700001</v>
      </c>
      <c r="D310" s="7" t="str">
        <f t="shared" si="9"/>
        <v>ganda</v>
      </c>
      <c r="E310" s="7" t="s">
        <v>2470</v>
      </c>
      <c r="F310" s="7" t="s">
        <v>10</v>
      </c>
      <c r="G310" s="7" t="s">
        <v>11</v>
      </c>
      <c r="H310" s="7" t="s">
        <v>18</v>
      </c>
      <c r="I310" s="7" t="s">
        <v>195</v>
      </c>
      <c r="J310" s="7" t="s">
        <v>906</v>
      </c>
      <c r="K310" s="8" t="s">
        <v>2471</v>
      </c>
    </row>
    <row r="311" spans="1:11" x14ac:dyDescent="0.35">
      <c r="A311" s="7">
        <v>2540811</v>
      </c>
      <c r="B311" s="7" t="str">
        <f>"3326112112700001"</f>
        <v>3326112112700001</v>
      </c>
      <c r="C311" s="7" t="str">
        <f t="shared" si="8"/>
        <v>'3326112112700001</v>
      </c>
      <c r="D311" s="7" t="str">
        <f t="shared" si="9"/>
        <v>ganda</v>
      </c>
      <c r="E311" s="7" t="s">
        <v>2472</v>
      </c>
      <c r="F311" s="7" t="s">
        <v>10</v>
      </c>
      <c r="G311" s="7" t="s">
        <v>57</v>
      </c>
      <c r="H311" s="7" t="s">
        <v>18</v>
      </c>
      <c r="I311" s="7" t="s">
        <v>19</v>
      </c>
      <c r="J311" s="7" t="s">
        <v>1394</v>
      </c>
      <c r="K311" s="8" t="s">
        <v>1395</v>
      </c>
    </row>
    <row r="312" spans="1:11" x14ac:dyDescent="0.35">
      <c r="A312" s="7">
        <v>975205</v>
      </c>
      <c r="B312" s="7" t="str">
        <f>"3326131509660021"</f>
        <v>3326131509660021</v>
      </c>
      <c r="C312" s="7" t="str">
        <f t="shared" si="8"/>
        <v>'3326131509660021</v>
      </c>
      <c r="D312" s="7" t="str">
        <f t="shared" si="9"/>
        <v>ganda</v>
      </c>
      <c r="E312" s="7" t="s">
        <v>2473</v>
      </c>
      <c r="F312" s="7" t="s">
        <v>10</v>
      </c>
      <c r="G312" s="7" t="s">
        <v>11</v>
      </c>
      <c r="H312" s="7" t="s">
        <v>18</v>
      </c>
      <c r="I312" s="7" t="s">
        <v>195</v>
      </c>
      <c r="J312" s="7" t="s">
        <v>1434</v>
      </c>
      <c r="K312" s="8" t="s">
        <v>2474</v>
      </c>
    </row>
    <row r="313" spans="1:11" x14ac:dyDescent="0.35">
      <c r="A313" s="7">
        <v>2540696</v>
      </c>
      <c r="B313" s="7" t="str">
        <f>"3326131509660021"</f>
        <v>3326131509660021</v>
      </c>
      <c r="C313" s="7" t="str">
        <f t="shared" si="8"/>
        <v>'3326131509660021</v>
      </c>
      <c r="D313" s="7" t="str">
        <f t="shared" si="9"/>
        <v>ganda</v>
      </c>
      <c r="E313" s="7" t="s">
        <v>2475</v>
      </c>
      <c r="F313" s="7" t="s">
        <v>10</v>
      </c>
      <c r="G313" s="7" t="s">
        <v>57</v>
      </c>
      <c r="H313" s="7" t="s">
        <v>18</v>
      </c>
      <c r="I313" s="7" t="s">
        <v>19</v>
      </c>
      <c r="J313" s="7" t="s">
        <v>1394</v>
      </c>
      <c r="K313" s="8" t="s">
        <v>1395</v>
      </c>
    </row>
    <row r="314" spans="1:11" x14ac:dyDescent="0.35">
      <c r="A314" s="7">
        <v>985782</v>
      </c>
      <c r="B314" s="7" t="str">
        <f>"3326131903860063"</f>
        <v>3326131903860063</v>
      </c>
      <c r="C314" s="7" t="str">
        <f t="shared" si="8"/>
        <v>'3326131903860063</v>
      </c>
      <c r="D314" s="7" t="str">
        <f t="shared" si="9"/>
        <v>ganda</v>
      </c>
      <c r="E314" s="7" t="s">
        <v>2476</v>
      </c>
      <c r="F314" s="7" t="s">
        <v>10</v>
      </c>
      <c r="G314" s="7" t="s">
        <v>11</v>
      </c>
      <c r="H314" s="7" t="s">
        <v>18</v>
      </c>
      <c r="I314" s="7" t="s">
        <v>195</v>
      </c>
      <c r="J314" s="7" t="s">
        <v>1434</v>
      </c>
      <c r="K314" s="8" t="s">
        <v>2477</v>
      </c>
    </row>
    <row r="315" spans="1:11" x14ac:dyDescent="0.35">
      <c r="A315" s="7">
        <v>2540881</v>
      </c>
      <c r="B315" s="7" t="str">
        <f>"3326131903860063"</f>
        <v>3326131903860063</v>
      </c>
      <c r="C315" s="7" t="str">
        <f t="shared" si="8"/>
        <v>'3326131903860063</v>
      </c>
      <c r="D315" s="7" t="str">
        <f t="shared" si="9"/>
        <v>ganda</v>
      </c>
      <c r="E315" s="7" t="s">
        <v>2478</v>
      </c>
      <c r="F315" s="7" t="s">
        <v>10</v>
      </c>
      <c r="G315" s="7" t="s">
        <v>57</v>
      </c>
      <c r="H315" s="7" t="s">
        <v>18</v>
      </c>
      <c r="I315" s="7" t="s">
        <v>19</v>
      </c>
      <c r="J315" s="7" t="s">
        <v>1394</v>
      </c>
      <c r="K315" s="8" t="s">
        <v>1395</v>
      </c>
    </row>
    <row r="316" spans="1:11" x14ac:dyDescent="0.35">
      <c r="A316" s="7">
        <v>1003513</v>
      </c>
      <c r="B316" s="7" t="str">
        <f>"3326141212930001"</f>
        <v>3326141212930001</v>
      </c>
      <c r="C316" s="7" t="str">
        <f t="shared" si="8"/>
        <v>'3326141212930001</v>
      </c>
      <c r="D316" s="7" t="str">
        <f t="shared" si="9"/>
        <v>ganda</v>
      </c>
      <c r="E316" s="7" t="s">
        <v>2481</v>
      </c>
      <c r="F316" s="7" t="s">
        <v>10</v>
      </c>
      <c r="G316" s="7" t="s">
        <v>11</v>
      </c>
      <c r="H316" s="7" t="s">
        <v>18</v>
      </c>
      <c r="I316" s="7" t="s">
        <v>195</v>
      </c>
      <c r="J316" s="7" t="s">
        <v>470</v>
      </c>
      <c r="K316" s="8" t="s">
        <v>2482</v>
      </c>
    </row>
    <row r="317" spans="1:11" x14ac:dyDescent="0.35">
      <c r="A317" s="7">
        <v>2540799</v>
      </c>
      <c r="B317" s="7" t="str">
        <f>"3326141212930001"</f>
        <v>3326141212930001</v>
      </c>
      <c r="C317" s="7" t="str">
        <f t="shared" si="8"/>
        <v>'3326141212930001</v>
      </c>
      <c r="D317" s="7" t="str">
        <f t="shared" si="9"/>
        <v>ganda</v>
      </c>
      <c r="E317" s="7" t="s">
        <v>2483</v>
      </c>
      <c r="F317" s="7" t="s">
        <v>10</v>
      </c>
      <c r="G317" s="7" t="s">
        <v>57</v>
      </c>
      <c r="H317" s="7" t="s">
        <v>18</v>
      </c>
      <c r="I317" s="7" t="s">
        <v>19</v>
      </c>
      <c r="J317" s="7" t="s">
        <v>1394</v>
      </c>
      <c r="K317" s="8" t="s">
        <v>1395</v>
      </c>
    </row>
    <row r="318" spans="1:11" x14ac:dyDescent="0.35">
      <c r="A318" s="7">
        <v>1040491</v>
      </c>
      <c r="B318" s="7" t="str">
        <f>"3326141605980002"</f>
        <v>3326141605980002</v>
      </c>
      <c r="C318" s="7" t="str">
        <f t="shared" si="8"/>
        <v>'3326141605980002</v>
      </c>
      <c r="D318" s="7" t="str">
        <f t="shared" si="9"/>
        <v>ganda</v>
      </c>
      <c r="E318" s="7" t="s">
        <v>2484</v>
      </c>
      <c r="F318" s="7" t="s">
        <v>10</v>
      </c>
      <c r="G318" s="7" t="s">
        <v>11</v>
      </c>
      <c r="H318" s="7" t="s">
        <v>18</v>
      </c>
      <c r="I318" s="7" t="s">
        <v>195</v>
      </c>
      <c r="J318" s="7" t="s">
        <v>470</v>
      </c>
      <c r="K318" s="8" t="s">
        <v>2485</v>
      </c>
    </row>
    <row r="319" spans="1:11" x14ac:dyDescent="0.35">
      <c r="A319" s="7">
        <v>2540668</v>
      </c>
      <c r="B319" s="7" t="str">
        <f>"3326141605980002"</f>
        <v>3326141605980002</v>
      </c>
      <c r="C319" s="7" t="str">
        <f t="shared" si="8"/>
        <v>'3326141605980002</v>
      </c>
      <c r="D319" s="7" t="str">
        <f t="shared" si="9"/>
        <v>ganda</v>
      </c>
      <c r="E319" s="7" t="s">
        <v>2486</v>
      </c>
      <c r="F319" s="7" t="s">
        <v>10</v>
      </c>
      <c r="G319" s="7" t="s">
        <v>57</v>
      </c>
      <c r="H319" s="7" t="s">
        <v>18</v>
      </c>
      <c r="I319" s="7" t="s">
        <v>19</v>
      </c>
      <c r="J319" s="7" t="s">
        <v>1394</v>
      </c>
      <c r="K319" s="8" t="s">
        <v>1395</v>
      </c>
    </row>
    <row r="320" spans="1:11" x14ac:dyDescent="0.35">
      <c r="A320" s="7">
        <v>1001814</v>
      </c>
      <c r="B320" s="7" t="str">
        <f>"3326142111820001"</f>
        <v>3326142111820001</v>
      </c>
      <c r="C320" s="7" t="str">
        <f t="shared" si="8"/>
        <v>'3326142111820001</v>
      </c>
      <c r="D320" s="7" t="str">
        <f t="shared" si="9"/>
        <v>ganda</v>
      </c>
      <c r="E320" s="7" t="s">
        <v>2487</v>
      </c>
      <c r="F320" s="7" t="s">
        <v>10</v>
      </c>
      <c r="G320" s="7" t="s">
        <v>11</v>
      </c>
      <c r="H320" s="7" t="s">
        <v>18</v>
      </c>
      <c r="I320" s="7" t="s">
        <v>195</v>
      </c>
      <c r="J320" s="7" t="s">
        <v>470</v>
      </c>
      <c r="K320" s="8" t="s">
        <v>2482</v>
      </c>
    </row>
    <row r="321" spans="1:11" x14ac:dyDescent="0.35">
      <c r="A321" s="7">
        <v>2540657</v>
      </c>
      <c r="B321" s="7" t="str">
        <f>"3326142111820001"</f>
        <v>3326142111820001</v>
      </c>
      <c r="C321" s="7" t="str">
        <f t="shared" si="8"/>
        <v>'3326142111820001</v>
      </c>
      <c r="D321" s="7" t="str">
        <f t="shared" si="9"/>
        <v>ganda</v>
      </c>
      <c r="E321" s="7" t="s">
        <v>2488</v>
      </c>
      <c r="F321" s="7" t="s">
        <v>10</v>
      </c>
      <c r="G321" s="7" t="s">
        <v>57</v>
      </c>
      <c r="H321" s="7" t="s">
        <v>18</v>
      </c>
      <c r="I321" s="7" t="s">
        <v>19</v>
      </c>
      <c r="J321" s="7" t="s">
        <v>1394</v>
      </c>
      <c r="K321" s="8" t="s">
        <v>1395</v>
      </c>
    </row>
    <row r="322" spans="1:11" x14ac:dyDescent="0.35">
      <c r="A322" s="7">
        <v>1028807</v>
      </c>
      <c r="B322" s="7" t="str">
        <f>"3326160810970021"</f>
        <v>3326160810970021</v>
      </c>
      <c r="C322" s="7" t="str">
        <f t="shared" ref="C322:C385" si="10">"'"&amp;B322</f>
        <v>'3326160810970021</v>
      </c>
      <c r="D322" s="7" t="str">
        <f t="shared" ref="D322:D385" si="11">IF(COUNTIF($C:$C,C322)&gt;1,"ganda","tidak ganda")</f>
        <v>ganda</v>
      </c>
      <c r="E322" s="7" t="s">
        <v>2489</v>
      </c>
      <c r="F322" s="7" t="s">
        <v>10</v>
      </c>
      <c r="G322" s="7" t="s">
        <v>11</v>
      </c>
      <c r="H322" s="7" t="s">
        <v>18</v>
      </c>
      <c r="I322" s="7" t="s">
        <v>962</v>
      </c>
      <c r="J322" s="7" t="s">
        <v>2490</v>
      </c>
      <c r="K322" s="8" t="s">
        <v>2491</v>
      </c>
    </row>
    <row r="323" spans="1:11" x14ac:dyDescent="0.35">
      <c r="A323" s="7">
        <v>2540731</v>
      </c>
      <c r="B323" s="7" t="str">
        <f>"3326160810970021"</f>
        <v>3326160810970021</v>
      </c>
      <c r="C323" s="7" t="str">
        <f t="shared" si="10"/>
        <v>'3326160810970021</v>
      </c>
      <c r="D323" s="7" t="str">
        <f t="shared" si="11"/>
        <v>ganda</v>
      </c>
      <c r="E323" s="7" t="s">
        <v>2492</v>
      </c>
      <c r="F323" s="7" t="s">
        <v>10</v>
      </c>
      <c r="G323" s="7" t="s">
        <v>57</v>
      </c>
      <c r="H323" s="7" t="s">
        <v>18</v>
      </c>
      <c r="I323" s="7" t="s">
        <v>19</v>
      </c>
      <c r="J323" s="7" t="s">
        <v>1394</v>
      </c>
      <c r="K323" s="8" t="s">
        <v>1395</v>
      </c>
    </row>
    <row r="324" spans="1:11" x14ac:dyDescent="0.35">
      <c r="A324" s="7">
        <v>1370218</v>
      </c>
      <c r="B324" s="7" t="str">
        <f>"3326170202020001"</f>
        <v>3326170202020001</v>
      </c>
      <c r="C324" s="7" t="str">
        <f t="shared" si="10"/>
        <v>'3326170202020001</v>
      </c>
      <c r="D324" s="7" t="str">
        <f t="shared" si="11"/>
        <v>ganda</v>
      </c>
      <c r="E324" s="7" t="s">
        <v>2493</v>
      </c>
      <c r="F324" s="7" t="s">
        <v>10</v>
      </c>
      <c r="G324" s="7" t="s">
        <v>11</v>
      </c>
      <c r="H324" s="7" t="s">
        <v>18</v>
      </c>
      <c r="I324" s="7" t="s">
        <v>195</v>
      </c>
      <c r="J324" s="7" t="s">
        <v>2494</v>
      </c>
      <c r="K324" s="8" t="s">
        <v>2495</v>
      </c>
    </row>
    <row r="325" spans="1:11" x14ac:dyDescent="0.35">
      <c r="A325" s="7">
        <v>2540806</v>
      </c>
      <c r="B325" s="7" t="str">
        <f>"3326170202020001"</f>
        <v>3326170202020001</v>
      </c>
      <c r="C325" s="7" t="str">
        <f t="shared" si="10"/>
        <v>'3326170202020001</v>
      </c>
      <c r="D325" s="7" t="str">
        <f t="shared" si="11"/>
        <v>ganda</v>
      </c>
      <c r="E325" s="7" t="s">
        <v>2496</v>
      </c>
      <c r="F325" s="7" t="s">
        <v>10</v>
      </c>
      <c r="G325" s="7" t="s">
        <v>57</v>
      </c>
      <c r="H325" s="7" t="s">
        <v>18</v>
      </c>
      <c r="I325" s="7" t="s">
        <v>19</v>
      </c>
      <c r="J325" s="7" t="s">
        <v>1394</v>
      </c>
      <c r="K325" s="8" t="s">
        <v>1395</v>
      </c>
    </row>
    <row r="326" spans="1:11" x14ac:dyDescent="0.35">
      <c r="A326" s="7">
        <v>1496614</v>
      </c>
      <c r="B326" s="7" t="str">
        <f>"3327060106680003"</f>
        <v>3327060106680003</v>
      </c>
      <c r="C326" s="7" t="str">
        <f t="shared" si="10"/>
        <v>'3327060106680003</v>
      </c>
      <c r="D326" s="7" t="str">
        <f t="shared" si="11"/>
        <v>ganda</v>
      </c>
      <c r="E326" s="7" t="s">
        <v>2499</v>
      </c>
      <c r="F326" s="7" t="s">
        <v>10</v>
      </c>
      <c r="G326" s="7" t="s">
        <v>11</v>
      </c>
      <c r="H326" s="7" t="s">
        <v>18</v>
      </c>
      <c r="I326" s="7" t="s">
        <v>199</v>
      </c>
      <c r="J326" s="7" t="s">
        <v>974</v>
      </c>
      <c r="K326" s="8" t="s">
        <v>2500</v>
      </c>
    </row>
    <row r="327" spans="1:11" x14ac:dyDescent="0.35">
      <c r="A327" s="7">
        <v>2540871</v>
      </c>
      <c r="B327" s="7" t="str">
        <f>"3327060106680003"</f>
        <v>3327060106680003</v>
      </c>
      <c r="C327" s="7" t="str">
        <f t="shared" si="10"/>
        <v>'3327060106680003</v>
      </c>
      <c r="D327" s="7" t="str">
        <f t="shared" si="11"/>
        <v>ganda</v>
      </c>
      <c r="E327" s="7" t="s">
        <v>2501</v>
      </c>
      <c r="F327" s="7" t="s">
        <v>10</v>
      </c>
      <c r="G327" s="7" t="s">
        <v>57</v>
      </c>
      <c r="H327" s="7" t="s">
        <v>18</v>
      </c>
      <c r="I327" s="7" t="s">
        <v>19</v>
      </c>
      <c r="J327" s="7" t="s">
        <v>1394</v>
      </c>
      <c r="K327" s="8" t="s">
        <v>1395</v>
      </c>
    </row>
    <row r="328" spans="1:11" x14ac:dyDescent="0.35">
      <c r="A328" s="7">
        <v>1278645</v>
      </c>
      <c r="B328" s="7" t="str">
        <f>"3328011802950008"</f>
        <v>3328011802950008</v>
      </c>
      <c r="C328" s="7" t="str">
        <f t="shared" si="10"/>
        <v>'3328011802950008</v>
      </c>
      <c r="D328" s="7" t="str">
        <f t="shared" si="11"/>
        <v>ganda</v>
      </c>
      <c r="E328" s="7" t="s">
        <v>2504</v>
      </c>
      <c r="F328" s="7" t="s">
        <v>10</v>
      </c>
      <c r="G328" s="7" t="s">
        <v>11</v>
      </c>
      <c r="H328" s="7" t="s">
        <v>50</v>
      </c>
      <c r="I328" s="7" t="s">
        <v>86</v>
      </c>
      <c r="J328" s="7" t="s">
        <v>1268</v>
      </c>
      <c r="K328" s="8" t="s">
        <v>2503</v>
      </c>
    </row>
    <row r="329" spans="1:11" x14ac:dyDescent="0.35">
      <c r="A329" s="7">
        <v>2540868</v>
      </c>
      <c r="B329" s="7" t="str">
        <f>"3328011802950008"</f>
        <v>3328011802950008</v>
      </c>
      <c r="C329" s="7" t="str">
        <f t="shared" si="10"/>
        <v>'3328011802950008</v>
      </c>
      <c r="D329" s="7" t="str">
        <f t="shared" si="11"/>
        <v>ganda</v>
      </c>
      <c r="E329" s="7" t="s">
        <v>2505</v>
      </c>
      <c r="F329" s="7" t="s">
        <v>10</v>
      </c>
      <c r="G329" s="7" t="s">
        <v>57</v>
      </c>
      <c r="H329" s="7" t="s">
        <v>18</v>
      </c>
      <c r="I329" s="7" t="s">
        <v>19</v>
      </c>
      <c r="J329" s="7" t="s">
        <v>1394</v>
      </c>
      <c r="K329" s="8" t="s">
        <v>1395</v>
      </c>
    </row>
    <row r="330" spans="1:11" x14ac:dyDescent="0.35">
      <c r="A330" s="7">
        <v>572268</v>
      </c>
      <c r="B330" s="7" t="str">
        <f>"3328042901990003"</f>
        <v>3328042901990003</v>
      </c>
      <c r="C330" s="7" t="str">
        <f t="shared" si="10"/>
        <v>'3328042901990003</v>
      </c>
      <c r="D330" s="7" t="str">
        <f t="shared" si="11"/>
        <v>ganda</v>
      </c>
      <c r="E330" s="7" t="s">
        <v>2506</v>
      </c>
      <c r="F330" s="7" t="s">
        <v>10</v>
      </c>
      <c r="G330" s="7" t="s">
        <v>11</v>
      </c>
      <c r="H330" s="7" t="s">
        <v>50</v>
      </c>
      <c r="I330" s="7" t="s">
        <v>280</v>
      </c>
      <c r="J330" s="7" t="s">
        <v>2507</v>
      </c>
      <c r="K330" s="8" t="s">
        <v>2507</v>
      </c>
    </row>
    <row r="331" spans="1:11" x14ac:dyDescent="0.35">
      <c r="A331" s="7">
        <v>2540804</v>
      </c>
      <c r="B331" s="7" t="str">
        <f>"3328042901990003"</f>
        <v>3328042901990003</v>
      </c>
      <c r="C331" s="7" t="str">
        <f t="shared" si="10"/>
        <v>'3328042901990003</v>
      </c>
      <c r="D331" s="7" t="str">
        <f t="shared" si="11"/>
        <v>ganda</v>
      </c>
      <c r="E331" s="7" t="s">
        <v>2508</v>
      </c>
      <c r="F331" s="7" t="s">
        <v>10</v>
      </c>
      <c r="G331" s="7" t="s">
        <v>57</v>
      </c>
      <c r="H331" s="7" t="s">
        <v>18</v>
      </c>
      <c r="I331" s="7" t="s">
        <v>19</v>
      </c>
      <c r="J331" s="7" t="s">
        <v>1394</v>
      </c>
      <c r="K331" s="8" t="s">
        <v>1395</v>
      </c>
    </row>
    <row r="332" spans="1:11" x14ac:dyDescent="0.35">
      <c r="A332" s="7">
        <v>1768471</v>
      </c>
      <c r="B332" s="7" t="str">
        <f>"3328064108740003"</f>
        <v>3328064108740003</v>
      </c>
      <c r="C332" s="7" t="str">
        <f t="shared" si="10"/>
        <v>'3328064108740003</v>
      </c>
      <c r="D332" s="7" t="str">
        <f t="shared" si="11"/>
        <v>ganda</v>
      </c>
      <c r="E332" s="7" t="s">
        <v>2611</v>
      </c>
      <c r="F332" s="7" t="s">
        <v>10</v>
      </c>
      <c r="G332" s="7" t="s">
        <v>11</v>
      </c>
      <c r="H332" s="7" t="s">
        <v>18</v>
      </c>
      <c r="I332" s="7" t="s">
        <v>19</v>
      </c>
      <c r="J332" s="7" t="s">
        <v>1394</v>
      </c>
      <c r="K332" s="8" t="s">
        <v>2189</v>
      </c>
    </row>
    <row r="333" spans="1:11" x14ac:dyDescent="0.35">
      <c r="A333" s="7">
        <v>1349038</v>
      </c>
      <c r="B333" s="7" t="str">
        <f>"3328064108740003"</f>
        <v>3328064108740003</v>
      </c>
      <c r="C333" s="7" t="str">
        <f t="shared" si="10"/>
        <v>'3328064108740003</v>
      </c>
      <c r="D333" s="7" t="str">
        <f t="shared" si="11"/>
        <v>ganda</v>
      </c>
      <c r="E333" s="7" t="s">
        <v>2612</v>
      </c>
      <c r="F333" s="7" t="s">
        <v>10</v>
      </c>
      <c r="G333" s="7" t="s">
        <v>57</v>
      </c>
      <c r="H333" s="7" t="s">
        <v>303</v>
      </c>
      <c r="I333" s="7" t="s">
        <v>608</v>
      </c>
      <c r="J333" s="7" t="s">
        <v>609</v>
      </c>
      <c r="K333" s="8" t="s">
        <v>610</v>
      </c>
    </row>
    <row r="334" spans="1:11" x14ac:dyDescent="0.35">
      <c r="A334" s="7">
        <v>1851794</v>
      </c>
      <c r="B334" s="7" t="str">
        <f>"3328065207980008"</f>
        <v>3328065207980008</v>
      </c>
      <c r="C334" s="7" t="str">
        <f t="shared" si="10"/>
        <v>'3328065207980008</v>
      </c>
      <c r="D334" s="7" t="str">
        <f t="shared" si="11"/>
        <v>ganda</v>
      </c>
      <c r="E334" s="7" t="s">
        <v>2630</v>
      </c>
      <c r="F334" s="7" t="s">
        <v>10</v>
      </c>
      <c r="G334" s="7" t="s">
        <v>11</v>
      </c>
      <c r="H334" s="7" t="s">
        <v>18</v>
      </c>
      <c r="I334" s="7" t="s">
        <v>19</v>
      </c>
      <c r="J334" s="7" t="s">
        <v>1394</v>
      </c>
      <c r="K334" s="8" t="s">
        <v>2235</v>
      </c>
    </row>
    <row r="335" spans="1:11" x14ac:dyDescent="0.35">
      <c r="A335" s="7">
        <v>1862381</v>
      </c>
      <c r="B335" s="7" t="str">
        <f>"3328065207980008"</f>
        <v>3328065207980008</v>
      </c>
      <c r="C335" s="7" t="str">
        <f t="shared" si="10"/>
        <v>'3328065207980008</v>
      </c>
      <c r="D335" s="7" t="str">
        <f t="shared" si="11"/>
        <v>ganda</v>
      </c>
      <c r="E335" s="7" t="s">
        <v>2631</v>
      </c>
      <c r="F335" s="7" t="s">
        <v>10</v>
      </c>
      <c r="G335" s="7" t="s">
        <v>57</v>
      </c>
      <c r="H335" s="7" t="s">
        <v>18</v>
      </c>
      <c r="I335" s="7" t="s">
        <v>733</v>
      </c>
      <c r="J335" s="7" t="s">
        <v>733</v>
      </c>
      <c r="K335" s="8" t="s">
        <v>734</v>
      </c>
    </row>
    <row r="336" spans="1:11" x14ac:dyDescent="0.35">
      <c r="A336" s="7">
        <v>2540673</v>
      </c>
      <c r="B336" s="7" t="str">
        <f>"3328100308760004"</f>
        <v>3328100308760004</v>
      </c>
      <c r="C336" s="7" t="str">
        <f t="shared" si="10"/>
        <v>'3328100308760004</v>
      </c>
      <c r="D336" s="7" t="str">
        <f t="shared" si="11"/>
        <v>ganda</v>
      </c>
      <c r="E336" s="7" t="s">
        <v>2659</v>
      </c>
      <c r="F336" s="7" t="s">
        <v>10</v>
      </c>
      <c r="G336" s="7" t="s">
        <v>11</v>
      </c>
      <c r="H336" s="7" t="s">
        <v>18</v>
      </c>
      <c r="I336" s="7" t="s">
        <v>19</v>
      </c>
      <c r="J336" s="7" t="s">
        <v>1394</v>
      </c>
      <c r="K336" s="8" t="s">
        <v>1395</v>
      </c>
    </row>
    <row r="337" spans="1:11" x14ac:dyDescent="0.35">
      <c r="A337" s="7">
        <v>2567011</v>
      </c>
      <c r="B337" s="7" t="str">
        <f>"3328100308760004"</f>
        <v>3328100308760004</v>
      </c>
      <c r="C337" s="7" t="str">
        <f t="shared" si="10"/>
        <v>'3328100308760004</v>
      </c>
      <c r="D337" s="7" t="str">
        <f t="shared" si="11"/>
        <v>ganda</v>
      </c>
      <c r="E337" s="7" t="s">
        <v>2660</v>
      </c>
      <c r="F337" s="7" t="s">
        <v>10</v>
      </c>
      <c r="G337" s="7" t="s">
        <v>57</v>
      </c>
      <c r="H337" s="7" t="s">
        <v>18</v>
      </c>
      <c r="I337" s="7" t="s">
        <v>19</v>
      </c>
      <c r="J337" s="7" t="s">
        <v>1394</v>
      </c>
      <c r="K337" s="8" t="s">
        <v>1395</v>
      </c>
    </row>
    <row r="338" spans="1:11" x14ac:dyDescent="0.35">
      <c r="A338" s="7">
        <v>348782</v>
      </c>
      <c r="B338" s="7" t="str">
        <f>"3328131802950002"</f>
        <v>3328131802950002</v>
      </c>
      <c r="C338" s="7" t="str">
        <f t="shared" si="10"/>
        <v>'3328131802950002</v>
      </c>
      <c r="D338" s="7" t="str">
        <f t="shared" si="11"/>
        <v>ganda</v>
      </c>
      <c r="E338" s="7" t="s">
        <v>2662</v>
      </c>
      <c r="F338" s="7" t="s">
        <v>10</v>
      </c>
      <c r="G338" s="7" t="s">
        <v>11</v>
      </c>
      <c r="H338" s="7" t="s">
        <v>18</v>
      </c>
      <c r="I338" s="7" t="s">
        <v>268</v>
      </c>
      <c r="J338" s="7" t="s">
        <v>269</v>
      </c>
      <c r="K338" s="8" t="s">
        <v>270</v>
      </c>
    </row>
    <row r="339" spans="1:11" x14ac:dyDescent="0.35">
      <c r="A339" s="7">
        <v>2540689</v>
      </c>
      <c r="B339" s="7" t="str">
        <f>"3328131802950002"</f>
        <v>3328131802950002</v>
      </c>
      <c r="C339" s="7" t="str">
        <f t="shared" si="10"/>
        <v>'3328131802950002</v>
      </c>
      <c r="D339" s="7" t="str">
        <f t="shared" si="11"/>
        <v>ganda</v>
      </c>
      <c r="E339" s="7" t="s">
        <v>2663</v>
      </c>
      <c r="F339" s="7" t="s">
        <v>10</v>
      </c>
      <c r="G339" s="7" t="s">
        <v>57</v>
      </c>
      <c r="H339" s="7" t="s">
        <v>18</v>
      </c>
      <c r="I339" s="7" t="s">
        <v>19</v>
      </c>
      <c r="J339" s="7" t="s">
        <v>1394</v>
      </c>
      <c r="K339" s="8" t="s">
        <v>1395</v>
      </c>
    </row>
    <row r="340" spans="1:11" x14ac:dyDescent="0.35">
      <c r="A340" s="7">
        <v>289200</v>
      </c>
      <c r="B340" s="7" t="str">
        <f>"3328160204790004"</f>
        <v>3328160204790004</v>
      </c>
      <c r="C340" s="7" t="str">
        <f t="shared" si="10"/>
        <v>'3328160204790004</v>
      </c>
      <c r="D340" s="7" t="str">
        <f t="shared" si="11"/>
        <v>ganda</v>
      </c>
      <c r="E340" s="7" t="s">
        <v>2664</v>
      </c>
      <c r="F340" s="7" t="s">
        <v>10</v>
      </c>
      <c r="G340" s="7" t="s">
        <v>11</v>
      </c>
      <c r="H340" s="7" t="s">
        <v>18</v>
      </c>
      <c r="I340" s="7" t="s">
        <v>268</v>
      </c>
      <c r="J340" s="7" t="s">
        <v>277</v>
      </c>
      <c r="K340" s="8" t="s">
        <v>2665</v>
      </c>
    </row>
    <row r="341" spans="1:11" x14ac:dyDescent="0.35">
      <c r="A341" s="7">
        <v>2540774</v>
      </c>
      <c r="B341" s="7" t="str">
        <f>"3328160204790004"</f>
        <v>3328160204790004</v>
      </c>
      <c r="C341" s="7" t="str">
        <f t="shared" si="10"/>
        <v>'3328160204790004</v>
      </c>
      <c r="D341" s="7" t="str">
        <f t="shared" si="11"/>
        <v>ganda</v>
      </c>
      <c r="E341" s="7" t="s">
        <v>2666</v>
      </c>
      <c r="F341" s="7" t="s">
        <v>10</v>
      </c>
      <c r="G341" s="7" t="s">
        <v>57</v>
      </c>
      <c r="H341" s="7" t="s">
        <v>18</v>
      </c>
      <c r="I341" s="7" t="s">
        <v>19</v>
      </c>
      <c r="J341" s="7" t="s">
        <v>1394</v>
      </c>
      <c r="K341" s="8" t="s">
        <v>1395</v>
      </c>
    </row>
    <row r="342" spans="1:11" x14ac:dyDescent="0.35">
      <c r="A342" s="7">
        <v>1454675</v>
      </c>
      <c r="B342" s="7" t="str">
        <f>"3329051904980001"</f>
        <v>3329051904980001</v>
      </c>
      <c r="C342" s="7" t="str">
        <f t="shared" si="10"/>
        <v>'3329051904980001</v>
      </c>
      <c r="D342" s="7" t="str">
        <f t="shared" si="11"/>
        <v>ganda</v>
      </c>
      <c r="E342" s="7" t="s">
        <v>2667</v>
      </c>
      <c r="F342" s="7" t="s">
        <v>10</v>
      </c>
      <c r="G342" s="7" t="s">
        <v>11</v>
      </c>
      <c r="H342" s="7" t="s">
        <v>18</v>
      </c>
      <c r="I342" s="7" t="s">
        <v>264</v>
      </c>
      <c r="J342" s="7" t="s">
        <v>289</v>
      </c>
      <c r="K342" s="8" t="s">
        <v>2668</v>
      </c>
    </row>
    <row r="343" spans="1:11" x14ac:dyDescent="0.35">
      <c r="A343" s="7">
        <v>2540911</v>
      </c>
      <c r="B343" s="7" t="str">
        <f>"3329051904980001"</f>
        <v>3329051904980001</v>
      </c>
      <c r="C343" s="7" t="str">
        <f t="shared" si="10"/>
        <v>'3329051904980001</v>
      </c>
      <c r="D343" s="7" t="str">
        <f t="shared" si="11"/>
        <v>ganda</v>
      </c>
      <c r="E343" s="7" t="s">
        <v>2669</v>
      </c>
      <c r="F343" s="7" t="s">
        <v>10</v>
      </c>
      <c r="G343" s="7" t="s">
        <v>11</v>
      </c>
      <c r="H343" s="7" t="s">
        <v>18</v>
      </c>
      <c r="I343" s="7" t="s">
        <v>19</v>
      </c>
      <c r="J343" s="7" t="s">
        <v>1394</v>
      </c>
      <c r="K343" s="8" t="s">
        <v>1395</v>
      </c>
    </row>
    <row r="344" spans="1:11" x14ac:dyDescent="0.35">
      <c r="A344" s="7">
        <v>241026</v>
      </c>
      <c r="B344" s="7" t="str">
        <f>"3329061002900002"</f>
        <v>3329061002900002</v>
      </c>
      <c r="C344" s="7" t="str">
        <f t="shared" si="10"/>
        <v>'3329061002900002</v>
      </c>
      <c r="D344" s="7" t="str">
        <f t="shared" si="11"/>
        <v>ganda</v>
      </c>
      <c r="E344" s="7" t="s">
        <v>2670</v>
      </c>
      <c r="F344" s="7" t="s">
        <v>10</v>
      </c>
      <c r="G344" s="7" t="s">
        <v>11</v>
      </c>
      <c r="H344" s="7" t="s">
        <v>18</v>
      </c>
      <c r="I344" s="7" t="s">
        <v>264</v>
      </c>
      <c r="J344" s="7" t="s">
        <v>468</v>
      </c>
      <c r="K344" s="8" t="s">
        <v>2671</v>
      </c>
    </row>
    <row r="345" spans="1:11" x14ac:dyDescent="0.35">
      <c r="A345" s="7">
        <v>2540846</v>
      </c>
      <c r="B345" s="7" t="str">
        <f>"3329061002900002"</f>
        <v>3329061002900002</v>
      </c>
      <c r="C345" s="7" t="str">
        <f t="shared" si="10"/>
        <v>'3329061002900002</v>
      </c>
      <c r="D345" s="7" t="str">
        <f t="shared" si="11"/>
        <v>ganda</v>
      </c>
      <c r="E345" s="7" t="s">
        <v>2672</v>
      </c>
      <c r="F345" s="7" t="s">
        <v>10</v>
      </c>
      <c r="G345" s="7" t="s">
        <v>57</v>
      </c>
      <c r="H345" s="7" t="s">
        <v>18</v>
      </c>
      <c r="I345" s="7" t="s">
        <v>19</v>
      </c>
      <c r="J345" s="7" t="s">
        <v>1394</v>
      </c>
      <c r="K345" s="8" t="s">
        <v>1395</v>
      </c>
    </row>
    <row r="346" spans="1:11" x14ac:dyDescent="0.35">
      <c r="A346" s="7">
        <v>274937</v>
      </c>
      <c r="B346" s="7" t="str">
        <f>"3329062210780003"</f>
        <v>3329062210780003</v>
      </c>
      <c r="C346" s="7" t="str">
        <f t="shared" si="10"/>
        <v>'3329062210780003</v>
      </c>
      <c r="D346" s="7" t="str">
        <f t="shared" si="11"/>
        <v>ganda</v>
      </c>
      <c r="E346" s="7" t="s">
        <v>2674</v>
      </c>
      <c r="F346" s="7" t="s">
        <v>10</v>
      </c>
      <c r="G346" s="7" t="s">
        <v>11</v>
      </c>
      <c r="H346" s="7" t="s">
        <v>18</v>
      </c>
      <c r="I346" s="7" t="s">
        <v>264</v>
      </c>
      <c r="J346" s="7" t="s">
        <v>468</v>
      </c>
      <c r="K346" s="8" t="s">
        <v>2675</v>
      </c>
    </row>
    <row r="347" spans="1:11" x14ac:dyDescent="0.35">
      <c r="A347" s="7">
        <v>2540831</v>
      </c>
      <c r="B347" s="7" t="str">
        <f>"3329062210780003"</f>
        <v>3329062210780003</v>
      </c>
      <c r="C347" s="7" t="str">
        <f t="shared" si="10"/>
        <v>'3329062210780003</v>
      </c>
      <c r="D347" s="7" t="str">
        <f t="shared" si="11"/>
        <v>ganda</v>
      </c>
      <c r="E347" s="7" t="s">
        <v>2676</v>
      </c>
      <c r="F347" s="7" t="s">
        <v>10</v>
      </c>
      <c r="G347" s="7" t="s">
        <v>57</v>
      </c>
      <c r="H347" s="7" t="s">
        <v>18</v>
      </c>
      <c r="I347" s="7" t="s">
        <v>19</v>
      </c>
      <c r="J347" s="7" t="s">
        <v>1394</v>
      </c>
      <c r="K347" s="8" t="s">
        <v>1395</v>
      </c>
    </row>
    <row r="348" spans="1:11" x14ac:dyDescent="0.35">
      <c r="A348" s="7">
        <v>1254804</v>
      </c>
      <c r="B348" s="7" t="str">
        <f>"3329070107020029"</f>
        <v>3329070107020029</v>
      </c>
      <c r="C348" s="7" t="str">
        <f t="shared" si="10"/>
        <v>'3329070107020029</v>
      </c>
      <c r="D348" s="7" t="str">
        <f t="shared" si="11"/>
        <v>ganda</v>
      </c>
      <c r="E348" s="7" t="s">
        <v>2678</v>
      </c>
      <c r="F348" s="7" t="s">
        <v>10</v>
      </c>
      <c r="G348" s="7" t="s">
        <v>11</v>
      </c>
      <c r="H348" s="7" t="s">
        <v>18</v>
      </c>
      <c r="I348" s="7" t="s">
        <v>264</v>
      </c>
      <c r="J348" s="7" t="s">
        <v>265</v>
      </c>
      <c r="K348" s="8" t="s">
        <v>266</v>
      </c>
    </row>
    <row r="349" spans="1:11" x14ac:dyDescent="0.35">
      <c r="A349" s="7">
        <v>2540737</v>
      </c>
      <c r="B349" s="7" t="str">
        <f>"3329070107020029"</f>
        <v>3329070107020029</v>
      </c>
      <c r="C349" s="7" t="str">
        <f t="shared" si="10"/>
        <v>'3329070107020029</v>
      </c>
      <c r="D349" s="7" t="str">
        <f t="shared" si="11"/>
        <v>ganda</v>
      </c>
      <c r="E349" s="7" t="s">
        <v>2679</v>
      </c>
      <c r="F349" s="7" t="s">
        <v>10</v>
      </c>
      <c r="G349" s="7" t="s">
        <v>57</v>
      </c>
      <c r="H349" s="7" t="s">
        <v>18</v>
      </c>
      <c r="I349" s="7" t="s">
        <v>19</v>
      </c>
      <c r="J349" s="7" t="s">
        <v>1394</v>
      </c>
      <c r="K349" s="8" t="s">
        <v>1395</v>
      </c>
    </row>
    <row r="350" spans="1:11" x14ac:dyDescent="0.35">
      <c r="A350" s="7">
        <v>1254781</v>
      </c>
      <c r="B350" s="7" t="str">
        <f>"3329072302000002"</f>
        <v>3329072302000002</v>
      </c>
      <c r="C350" s="7" t="str">
        <f t="shared" si="10"/>
        <v>'3329072302000002</v>
      </c>
      <c r="D350" s="7" t="str">
        <f t="shared" si="11"/>
        <v>ganda</v>
      </c>
      <c r="E350" s="7" t="s">
        <v>2681</v>
      </c>
      <c r="F350" s="7" t="s">
        <v>10</v>
      </c>
      <c r="G350" s="7" t="s">
        <v>11</v>
      </c>
      <c r="H350" s="7" t="s">
        <v>18</v>
      </c>
      <c r="I350" s="7" t="s">
        <v>264</v>
      </c>
      <c r="J350" s="7" t="s">
        <v>265</v>
      </c>
      <c r="K350" s="8" t="s">
        <v>266</v>
      </c>
    </row>
    <row r="351" spans="1:11" x14ac:dyDescent="0.35">
      <c r="A351" s="7">
        <v>2540675</v>
      </c>
      <c r="B351" s="7" t="str">
        <f>"3329072302000002"</f>
        <v>3329072302000002</v>
      </c>
      <c r="C351" s="7" t="str">
        <f t="shared" si="10"/>
        <v>'3329072302000002</v>
      </c>
      <c r="D351" s="7" t="str">
        <f t="shared" si="11"/>
        <v>ganda</v>
      </c>
      <c r="E351" s="7" t="s">
        <v>2682</v>
      </c>
      <c r="F351" s="7" t="s">
        <v>10</v>
      </c>
      <c r="G351" s="7" t="s">
        <v>57</v>
      </c>
      <c r="H351" s="7" t="s">
        <v>18</v>
      </c>
      <c r="I351" s="7" t="s">
        <v>19</v>
      </c>
      <c r="J351" s="7" t="s">
        <v>1394</v>
      </c>
      <c r="K351" s="8" t="s">
        <v>1395</v>
      </c>
    </row>
    <row r="352" spans="1:11" x14ac:dyDescent="0.35">
      <c r="A352" s="7">
        <v>779272</v>
      </c>
      <c r="B352" s="7" t="str">
        <f>"3329080506810011"</f>
        <v>3329080506810011</v>
      </c>
      <c r="C352" s="7" t="str">
        <f t="shared" si="10"/>
        <v>'3329080506810011</v>
      </c>
      <c r="D352" s="7" t="str">
        <f t="shared" si="11"/>
        <v>ganda</v>
      </c>
      <c r="E352" s="7" t="s">
        <v>2684</v>
      </c>
      <c r="F352" s="7" t="s">
        <v>10</v>
      </c>
      <c r="G352" s="7" t="s">
        <v>11</v>
      </c>
      <c r="H352" s="7" t="s">
        <v>18</v>
      </c>
      <c r="I352" s="7" t="s">
        <v>264</v>
      </c>
      <c r="J352" s="7" t="s">
        <v>248</v>
      </c>
      <c r="K352" s="8" t="s">
        <v>2513</v>
      </c>
    </row>
    <row r="353" spans="1:11" x14ac:dyDescent="0.35">
      <c r="A353" s="7">
        <v>2540836</v>
      </c>
      <c r="B353" s="7" t="str">
        <f>"3329080506810011"</f>
        <v>3329080506810011</v>
      </c>
      <c r="C353" s="7" t="str">
        <f t="shared" si="10"/>
        <v>'3329080506810011</v>
      </c>
      <c r="D353" s="7" t="str">
        <f t="shared" si="11"/>
        <v>ganda</v>
      </c>
      <c r="E353" s="7" t="s">
        <v>2685</v>
      </c>
      <c r="F353" s="7" t="s">
        <v>10</v>
      </c>
      <c r="G353" s="7" t="s">
        <v>57</v>
      </c>
      <c r="H353" s="7" t="s">
        <v>18</v>
      </c>
      <c r="I353" s="7" t="s">
        <v>19</v>
      </c>
      <c r="J353" s="7" t="s">
        <v>1394</v>
      </c>
      <c r="K353" s="8" t="s">
        <v>1395</v>
      </c>
    </row>
    <row r="354" spans="1:11" x14ac:dyDescent="0.35">
      <c r="A354" s="7">
        <v>52260</v>
      </c>
      <c r="B354" s="7" t="str">
        <f>"3329081706000008"</f>
        <v>3329081706000008</v>
      </c>
      <c r="C354" s="7" t="str">
        <f t="shared" si="10"/>
        <v>'3329081706000008</v>
      </c>
      <c r="D354" s="7" t="str">
        <f t="shared" si="11"/>
        <v>ganda</v>
      </c>
      <c r="E354" s="7" t="s">
        <v>2686</v>
      </c>
      <c r="F354" s="7" t="s">
        <v>10</v>
      </c>
      <c r="G354" s="7" t="s">
        <v>11</v>
      </c>
      <c r="H354" s="7" t="s">
        <v>18</v>
      </c>
      <c r="I354" s="7" t="s">
        <v>264</v>
      </c>
      <c r="J354" s="7" t="s">
        <v>248</v>
      </c>
      <c r="K354" s="8" t="s">
        <v>1142</v>
      </c>
    </row>
    <row r="355" spans="1:11" x14ac:dyDescent="0.35">
      <c r="A355" s="7">
        <v>2540725</v>
      </c>
      <c r="B355" s="7" t="str">
        <f>"3329081706000008"</f>
        <v>3329081706000008</v>
      </c>
      <c r="C355" s="7" t="str">
        <f t="shared" si="10"/>
        <v>'3329081706000008</v>
      </c>
      <c r="D355" s="7" t="str">
        <f t="shared" si="11"/>
        <v>ganda</v>
      </c>
      <c r="E355" s="7" t="s">
        <v>2687</v>
      </c>
      <c r="F355" s="7" t="s">
        <v>10</v>
      </c>
      <c r="G355" s="7" t="s">
        <v>57</v>
      </c>
      <c r="H355" s="7" t="s">
        <v>18</v>
      </c>
      <c r="I355" s="7" t="s">
        <v>19</v>
      </c>
      <c r="J355" s="7" t="s">
        <v>1394</v>
      </c>
      <c r="K355" s="8" t="s">
        <v>1395</v>
      </c>
    </row>
    <row r="356" spans="1:11" x14ac:dyDescent="0.35">
      <c r="A356" s="7">
        <v>1002266</v>
      </c>
      <c r="B356" s="7" t="str">
        <f>"3329082205940006"</f>
        <v>3329082205940006</v>
      </c>
      <c r="C356" s="7" t="str">
        <f t="shared" si="10"/>
        <v>'3329082205940006</v>
      </c>
      <c r="D356" s="7" t="str">
        <f t="shared" si="11"/>
        <v>ganda</v>
      </c>
      <c r="E356" s="7" t="s">
        <v>2688</v>
      </c>
      <c r="F356" s="7" t="s">
        <v>10</v>
      </c>
      <c r="G356" s="7" t="s">
        <v>11</v>
      </c>
      <c r="H356" s="7" t="s">
        <v>18</v>
      </c>
      <c r="I356" s="7" t="s">
        <v>264</v>
      </c>
      <c r="J356" s="7" t="s">
        <v>248</v>
      </c>
      <c r="K356" s="8" t="s">
        <v>2689</v>
      </c>
    </row>
    <row r="357" spans="1:11" x14ac:dyDescent="0.35">
      <c r="A357" s="7">
        <v>2540713</v>
      </c>
      <c r="B357" s="7" t="str">
        <f>"3329082205940006"</f>
        <v>3329082205940006</v>
      </c>
      <c r="C357" s="7" t="str">
        <f t="shared" si="10"/>
        <v>'3329082205940006</v>
      </c>
      <c r="D357" s="7" t="str">
        <f t="shared" si="11"/>
        <v>ganda</v>
      </c>
      <c r="E357" s="7" t="s">
        <v>2690</v>
      </c>
      <c r="F357" s="7" t="s">
        <v>10</v>
      </c>
      <c r="G357" s="7" t="s">
        <v>57</v>
      </c>
      <c r="H357" s="7" t="s">
        <v>18</v>
      </c>
      <c r="I357" s="7" t="s">
        <v>19</v>
      </c>
      <c r="J357" s="7" t="s">
        <v>1394</v>
      </c>
      <c r="K357" s="8" t="s">
        <v>1395</v>
      </c>
    </row>
    <row r="358" spans="1:11" x14ac:dyDescent="0.35">
      <c r="A358" s="7">
        <v>1144890</v>
      </c>
      <c r="B358" s="7" t="str">
        <f>"3329091010740023"</f>
        <v>3329091010740023</v>
      </c>
      <c r="C358" s="7" t="str">
        <f t="shared" si="10"/>
        <v>'3329091010740023</v>
      </c>
      <c r="D358" s="7" t="str">
        <f t="shared" si="11"/>
        <v>ganda</v>
      </c>
      <c r="E358" s="7" t="s">
        <v>2694</v>
      </c>
      <c r="F358" s="7" t="s">
        <v>10</v>
      </c>
      <c r="G358" s="7" t="s">
        <v>11</v>
      </c>
      <c r="H358" s="7" t="s">
        <v>18</v>
      </c>
      <c r="I358" s="7" t="s">
        <v>264</v>
      </c>
      <c r="J358" s="7" t="s">
        <v>264</v>
      </c>
      <c r="K358" s="8" t="s">
        <v>2695</v>
      </c>
    </row>
    <row r="359" spans="1:11" x14ac:dyDescent="0.35">
      <c r="A359" s="7">
        <v>2540816</v>
      </c>
      <c r="B359" s="7" t="str">
        <f>"3329091010740023"</f>
        <v>3329091010740023</v>
      </c>
      <c r="C359" s="7" t="str">
        <f t="shared" si="10"/>
        <v>'3329091010740023</v>
      </c>
      <c r="D359" s="7" t="str">
        <f t="shared" si="11"/>
        <v>ganda</v>
      </c>
      <c r="E359" s="7" t="s">
        <v>2696</v>
      </c>
      <c r="F359" s="7" t="s">
        <v>10</v>
      </c>
      <c r="G359" s="7" t="s">
        <v>57</v>
      </c>
      <c r="H359" s="7" t="s">
        <v>18</v>
      </c>
      <c r="I359" s="7" t="s">
        <v>19</v>
      </c>
      <c r="J359" s="7" t="s">
        <v>1394</v>
      </c>
      <c r="K359" s="8" t="s">
        <v>1395</v>
      </c>
    </row>
    <row r="360" spans="1:11" x14ac:dyDescent="0.35">
      <c r="A360" s="7">
        <v>579409</v>
      </c>
      <c r="B360" s="7" t="str">
        <f>"3329091602860010"</f>
        <v>3329091602860010</v>
      </c>
      <c r="C360" s="7" t="str">
        <f t="shared" si="10"/>
        <v>'3329091602860010</v>
      </c>
      <c r="D360" s="7" t="str">
        <f t="shared" si="11"/>
        <v>ganda</v>
      </c>
      <c r="E360" s="7" t="s">
        <v>2697</v>
      </c>
      <c r="F360" s="7" t="s">
        <v>10</v>
      </c>
      <c r="G360" s="7" t="s">
        <v>11</v>
      </c>
      <c r="H360" s="7" t="s">
        <v>18</v>
      </c>
      <c r="I360" s="7" t="s">
        <v>264</v>
      </c>
      <c r="J360" s="7" t="s">
        <v>264</v>
      </c>
      <c r="K360" s="8" t="s">
        <v>2698</v>
      </c>
    </row>
    <row r="361" spans="1:11" x14ac:dyDescent="0.35">
      <c r="A361" s="7">
        <v>2540762</v>
      </c>
      <c r="B361" s="7" t="str">
        <f>"3329091602860010"</f>
        <v>3329091602860010</v>
      </c>
      <c r="C361" s="7" t="str">
        <f t="shared" si="10"/>
        <v>'3329091602860010</v>
      </c>
      <c r="D361" s="7" t="str">
        <f t="shared" si="11"/>
        <v>ganda</v>
      </c>
      <c r="E361" s="7" t="s">
        <v>2699</v>
      </c>
      <c r="F361" s="7" t="s">
        <v>10</v>
      </c>
      <c r="G361" s="7" t="s">
        <v>57</v>
      </c>
      <c r="H361" s="7" t="s">
        <v>18</v>
      </c>
      <c r="I361" s="7" t="s">
        <v>19</v>
      </c>
      <c r="J361" s="7" t="s">
        <v>1394</v>
      </c>
      <c r="K361" s="8" t="s">
        <v>1395</v>
      </c>
    </row>
    <row r="362" spans="1:11" x14ac:dyDescent="0.35">
      <c r="A362" s="7">
        <v>570591</v>
      </c>
      <c r="B362" s="7" t="str">
        <f>"3329092008950007"</f>
        <v>3329092008950007</v>
      </c>
      <c r="C362" s="7" t="str">
        <f t="shared" si="10"/>
        <v>'3329092008950007</v>
      </c>
      <c r="D362" s="7" t="str">
        <f t="shared" si="11"/>
        <v>ganda</v>
      </c>
      <c r="E362" s="7" t="s">
        <v>2700</v>
      </c>
      <c r="F362" s="7" t="s">
        <v>10</v>
      </c>
      <c r="G362" s="7" t="s">
        <v>11</v>
      </c>
      <c r="H362" s="7" t="s">
        <v>18</v>
      </c>
      <c r="I362" s="7" t="s">
        <v>264</v>
      </c>
      <c r="J362" s="7" t="s">
        <v>264</v>
      </c>
      <c r="K362" s="8" t="s">
        <v>1406</v>
      </c>
    </row>
    <row r="363" spans="1:11" x14ac:dyDescent="0.35">
      <c r="A363" s="7">
        <v>2540729</v>
      </c>
      <c r="B363" s="7" t="str">
        <f>"3329092008950007"</f>
        <v>3329092008950007</v>
      </c>
      <c r="C363" s="7" t="str">
        <f t="shared" si="10"/>
        <v>'3329092008950007</v>
      </c>
      <c r="D363" s="7" t="str">
        <f t="shared" si="11"/>
        <v>ganda</v>
      </c>
      <c r="E363" s="7" t="s">
        <v>2701</v>
      </c>
      <c r="F363" s="7" t="s">
        <v>10</v>
      </c>
      <c r="G363" s="7" t="s">
        <v>57</v>
      </c>
      <c r="H363" s="7" t="s">
        <v>18</v>
      </c>
      <c r="I363" s="7" t="s">
        <v>19</v>
      </c>
      <c r="J363" s="7" t="s">
        <v>1394</v>
      </c>
      <c r="K363" s="8" t="s">
        <v>1395</v>
      </c>
    </row>
    <row r="364" spans="1:11" x14ac:dyDescent="0.35">
      <c r="A364" s="7">
        <v>1146702</v>
      </c>
      <c r="B364" s="7" t="str">
        <f>"3329092508000005"</f>
        <v>3329092508000005</v>
      </c>
      <c r="C364" s="7" t="str">
        <f t="shared" si="10"/>
        <v>'3329092508000005</v>
      </c>
      <c r="D364" s="7" t="str">
        <f t="shared" si="11"/>
        <v>ganda</v>
      </c>
      <c r="E364" s="7" t="s">
        <v>2702</v>
      </c>
      <c r="F364" s="7" t="s">
        <v>10</v>
      </c>
      <c r="G364" s="7" t="s">
        <v>11</v>
      </c>
      <c r="H364" s="7" t="s">
        <v>18</v>
      </c>
      <c r="I364" s="7" t="s">
        <v>264</v>
      </c>
      <c r="J364" s="7" t="s">
        <v>264</v>
      </c>
      <c r="K364" s="8" t="s">
        <v>2695</v>
      </c>
    </row>
    <row r="365" spans="1:11" x14ac:dyDescent="0.35">
      <c r="A365" s="7">
        <v>2540829</v>
      </c>
      <c r="B365" s="7" t="str">
        <f>"3329092508000005"</f>
        <v>3329092508000005</v>
      </c>
      <c r="C365" s="7" t="str">
        <f t="shared" si="10"/>
        <v>'3329092508000005</v>
      </c>
      <c r="D365" s="7" t="str">
        <f t="shared" si="11"/>
        <v>ganda</v>
      </c>
      <c r="E365" s="7" t="s">
        <v>2703</v>
      </c>
      <c r="F365" s="7" t="s">
        <v>10</v>
      </c>
      <c r="G365" s="7" t="s">
        <v>57</v>
      </c>
      <c r="H365" s="7" t="s">
        <v>18</v>
      </c>
      <c r="I365" s="7" t="s">
        <v>19</v>
      </c>
      <c r="J365" s="7" t="s">
        <v>1394</v>
      </c>
      <c r="K365" s="8" t="s">
        <v>1395</v>
      </c>
    </row>
    <row r="366" spans="1:11" x14ac:dyDescent="0.35">
      <c r="A366" s="7">
        <v>1467775</v>
      </c>
      <c r="B366" s="7" t="str">
        <f>"3329101710880009"</f>
        <v>3329101710880009</v>
      </c>
      <c r="C366" s="7" t="str">
        <f t="shared" si="10"/>
        <v>'3329101710880009</v>
      </c>
      <c r="D366" s="7" t="str">
        <f t="shared" si="11"/>
        <v>ganda</v>
      </c>
      <c r="E366" s="7" t="s">
        <v>2706</v>
      </c>
      <c r="F366" s="7" t="s">
        <v>10</v>
      </c>
      <c r="G366" s="7" t="s">
        <v>11</v>
      </c>
      <c r="H366" s="7" t="s">
        <v>18</v>
      </c>
      <c r="I366" s="7" t="s">
        <v>264</v>
      </c>
      <c r="J366" s="7" t="s">
        <v>273</v>
      </c>
      <c r="K366" s="8" t="s">
        <v>2080</v>
      </c>
    </row>
    <row r="367" spans="1:11" x14ac:dyDescent="0.35">
      <c r="A367" s="7">
        <v>2540772</v>
      </c>
      <c r="B367" s="7" t="str">
        <f>"3329101710880009"</f>
        <v>3329101710880009</v>
      </c>
      <c r="C367" s="7" t="str">
        <f t="shared" si="10"/>
        <v>'3329101710880009</v>
      </c>
      <c r="D367" s="7" t="str">
        <f t="shared" si="11"/>
        <v>ganda</v>
      </c>
      <c r="E367" s="7" t="s">
        <v>2707</v>
      </c>
      <c r="F367" s="7" t="s">
        <v>10</v>
      </c>
      <c r="G367" s="7" t="s">
        <v>57</v>
      </c>
      <c r="H367" s="7" t="s">
        <v>18</v>
      </c>
      <c r="I367" s="7" t="s">
        <v>19</v>
      </c>
      <c r="J367" s="7" t="s">
        <v>1394</v>
      </c>
      <c r="K367" s="8" t="s">
        <v>1395</v>
      </c>
    </row>
    <row r="368" spans="1:11" x14ac:dyDescent="0.35">
      <c r="A368" s="7">
        <v>1519797</v>
      </c>
      <c r="B368" s="7" t="str">
        <f>"3329102812900003"</f>
        <v>3329102812900003</v>
      </c>
      <c r="C368" s="7" t="str">
        <f t="shared" si="10"/>
        <v>'3329102812900003</v>
      </c>
      <c r="D368" s="7" t="str">
        <f t="shared" si="11"/>
        <v>ganda</v>
      </c>
      <c r="E368" s="7" t="s">
        <v>2708</v>
      </c>
      <c r="F368" s="7" t="s">
        <v>10</v>
      </c>
      <c r="G368" s="7" t="s">
        <v>11</v>
      </c>
      <c r="H368" s="7" t="s">
        <v>18</v>
      </c>
      <c r="I368" s="7" t="s">
        <v>264</v>
      </c>
      <c r="J368" s="7" t="s">
        <v>273</v>
      </c>
      <c r="K368" s="8" t="s">
        <v>2709</v>
      </c>
    </row>
    <row r="369" spans="1:11" x14ac:dyDescent="0.35">
      <c r="A369" s="7">
        <v>2540842</v>
      </c>
      <c r="B369" s="7" t="str">
        <f>"3329102812900003"</f>
        <v>3329102812900003</v>
      </c>
      <c r="C369" s="7" t="str">
        <f t="shared" si="10"/>
        <v>'3329102812900003</v>
      </c>
      <c r="D369" s="7" t="str">
        <f t="shared" si="11"/>
        <v>ganda</v>
      </c>
      <c r="E369" s="7" t="s">
        <v>2710</v>
      </c>
      <c r="F369" s="7" t="s">
        <v>10</v>
      </c>
      <c r="G369" s="7" t="s">
        <v>57</v>
      </c>
      <c r="H369" s="7" t="s">
        <v>18</v>
      </c>
      <c r="I369" s="7" t="s">
        <v>19</v>
      </c>
      <c r="J369" s="7" t="s">
        <v>1394</v>
      </c>
      <c r="K369" s="8" t="s">
        <v>1395</v>
      </c>
    </row>
    <row r="370" spans="1:11" x14ac:dyDescent="0.35">
      <c r="A370" s="7">
        <v>718970</v>
      </c>
      <c r="B370" s="7" t="str">
        <f>"3329151007940021"</f>
        <v>3329151007940021</v>
      </c>
      <c r="C370" s="7" t="str">
        <f t="shared" si="10"/>
        <v>'3329151007940021</v>
      </c>
      <c r="D370" s="7" t="str">
        <f t="shared" si="11"/>
        <v>ganda</v>
      </c>
      <c r="E370" s="7" t="s">
        <v>2715</v>
      </c>
      <c r="F370" s="7" t="s">
        <v>10</v>
      </c>
      <c r="G370" s="7" t="s">
        <v>11</v>
      </c>
      <c r="H370" s="7" t="s">
        <v>18</v>
      </c>
      <c r="I370" s="7" t="s">
        <v>264</v>
      </c>
      <c r="J370" s="7" t="s">
        <v>330</v>
      </c>
      <c r="K370" s="8" t="s">
        <v>2093</v>
      </c>
    </row>
    <row r="371" spans="1:11" x14ac:dyDescent="0.35">
      <c r="A371" s="7">
        <v>2540891</v>
      </c>
      <c r="B371" s="7" t="str">
        <f>"3329151007940021"</f>
        <v>3329151007940021</v>
      </c>
      <c r="C371" s="7" t="str">
        <f t="shared" si="10"/>
        <v>'3329151007940021</v>
      </c>
      <c r="D371" s="7" t="str">
        <f t="shared" si="11"/>
        <v>ganda</v>
      </c>
      <c r="E371" s="7" t="s">
        <v>2716</v>
      </c>
      <c r="F371" s="7" t="s">
        <v>10</v>
      </c>
      <c r="G371" s="7" t="s">
        <v>57</v>
      </c>
      <c r="H371" s="7" t="s">
        <v>18</v>
      </c>
      <c r="I371" s="7" t="s">
        <v>19</v>
      </c>
      <c r="J371" s="7" t="s">
        <v>1394</v>
      </c>
      <c r="K371" s="8" t="s">
        <v>1395</v>
      </c>
    </row>
    <row r="372" spans="1:11" x14ac:dyDescent="0.35">
      <c r="A372" s="7">
        <v>719011</v>
      </c>
      <c r="B372" s="7" t="str">
        <f>"3329151210920003"</f>
        <v>3329151210920003</v>
      </c>
      <c r="C372" s="7" t="str">
        <f t="shared" si="10"/>
        <v>'3329151210920003</v>
      </c>
      <c r="D372" s="7" t="str">
        <f t="shared" si="11"/>
        <v>ganda</v>
      </c>
      <c r="E372" s="7" t="s">
        <v>2717</v>
      </c>
      <c r="F372" s="7" t="s">
        <v>10</v>
      </c>
      <c r="G372" s="7" t="s">
        <v>11</v>
      </c>
      <c r="H372" s="7" t="s">
        <v>18</v>
      </c>
      <c r="I372" s="7" t="s">
        <v>264</v>
      </c>
      <c r="J372" s="7" t="s">
        <v>330</v>
      </c>
      <c r="K372" s="8" t="s">
        <v>2093</v>
      </c>
    </row>
    <row r="373" spans="1:11" x14ac:dyDescent="0.35">
      <c r="A373" s="7">
        <v>2540906</v>
      </c>
      <c r="B373" s="7" t="str">
        <f>"3329151210920003"</f>
        <v>3329151210920003</v>
      </c>
      <c r="C373" s="7" t="str">
        <f t="shared" si="10"/>
        <v>'3329151210920003</v>
      </c>
      <c r="D373" s="7" t="str">
        <f t="shared" si="11"/>
        <v>ganda</v>
      </c>
      <c r="E373" s="7" t="s">
        <v>2718</v>
      </c>
      <c r="F373" s="7" t="s">
        <v>10</v>
      </c>
      <c r="G373" s="7" t="s">
        <v>57</v>
      </c>
      <c r="H373" s="7" t="s">
        <v>18</v>
      </c>
      <c r="I373" s="7" t="s">
        <v>19</v>
      </c>
      <c r="J373" s="7" t="s">
        <v>1394</v>
      </c>
      <c r="K373" s="8" t="s">
        <v>1395</v>
      </c>
    </row>
    <row r="374" spans="1:11" x14ac:dyDescent="0.35">
      <c r="A374" s="7">
        <v>907250</v>
      </c>
      <c r="B374" s="7" t="str">
        <f>"3329151507930005"</f>
        <v>3329151507930005</v>
      </c>
      <c r="C374" s="7" t="str">
        <f t="shared" si="10"/>
        <v>'3329151507930005</v>
      </c>
      <c r="D374" s="7" t="str">
        <f t="shared" si="11"/>
        <v>ganda</v>
      </c>
      <c r="E374" s="7" t="s">
        <v>2719</v>
      </c>
      <c r="F374" s="7" t="s">
        <v>10</v>
      </c>
      <c r="G374" s="7" t="s">
        <v>11</v>
      </c>
      <c r="H374" s="7" t="s">
        <v>18</v>
      </c>
      <c r="I374" s="7" t="s">
        <v>264</v>
      </c>
      <c r="J374" s="7" t="s">
        <v>330</v>
      </c>
      <c r="K374" s="8" t="s">
        <v>2720</v>
      </c>
    </row>
    <row r="375" spans="1:11" x14ac:dyDescent="0.35">
      <c r="A375" s="7">
        <v>2540678</v>
      </c>
      <c r="B375" s="7" t="str">
        <f>"3329151507930005"</f>
        <v>3329151507930005</v>
      </c>
      <c r="C375" s="7" t="str">
        <f t="shared" si="10"/>
        <v>'3329151507930005</v>
      </c>
      <c r="D375" s="7" t="str">
        <f t="shared" si="11"/>
        <v>ganda</v>
      </c>
      <c r="E375" s="7" t="s">
        <v>2721</v>
      </c>
      <c r="F375" s="7" t="s">
        <v>10</v>
      </c>
      <c r="G375" s="7" t="s">
        <v>57</v>
      </c>
      <c r="H375" s="7" t="s">
        <v>18</v>
      </c>
      <c r="I375" s="7" t="s">
        <v>19</v>
      </c>
      <c r="J375" s="7" t="s">
        <v>1394</v>
      </c>
      <c r="K375" s="8" t="s">
        <v>1395</v>
      </c>
    </row>
    <row r="376" spans="1:11" x14ac:dyDescent="0.35">
      <c r="A376" s="7">
        <v>805703</v>
      </c>
      <c r="B376" s="7" t="str">
        <f>"3329162707810004"</f>
        <v>3329162707810004</v>
      </c>
      <c r="C376" s="7" t="str">
        <f t="shared" si="10"/>
        <v>'3329162707810004</v>
      </c>
      <c r="D376" s="7" t="str">
        <f t="shared" si="11"/>
        <v>ganda</v>
      </c>
      <c r="E376" s="7" t="s">
        <v>71</v>
      </c>
      <c r="F376" s="7" t="s">
        <v>10</v>
      </c>
      <c r="G376" s="7" t="s">
        <v>11</v>
      </c>
      <c r="H376" s="7" t="s">
        <v>18</v>
      </c>
      <c r="I376" s="7" t="s">
        <v>264</v>
      </c>
      <c r="J376" s="7" t="s">
        <v>344</v>
      </c>
      <c r="K376" s="8" t="s">
        <v>344</v>
      </c>
    </row>
    <row r="377" spans="1:11" x14ac:dyDescent="0.35">
      <c r="A377" s="7">
        <v>2540913</v>
      </c>
      <c r="B377" s="7" t="str">
        <f>"3329162707810004"</f>
        <v>3329162707810004</v>
      </c>
      <c r="C377" s="7" t="str">
        <f t="shared" si="10"/>
        <v>'3329162707810004</v>
      </c>
      <c r="D377" s="7" t="str">
        <f t="shared" si="11"/>
        <v>ganda</v>
      </c>
      <c r="E377" s="7" t="s">
        <v>2722</v>
      </c>
      <c r="F377" s="7" t="s">
        <v>10</v>
      </c>
      <c r="G377" s="7" t="s">
        <v>57</v>
      </c>
      <c r="H377" s="7" t="s">
        <v>18</v>
      </c>
      <c r="I377" s="7" t="s">
        <v>19</v>
      </c>
      <c r="J377" s="7" t="s">
        <v>1394</v>
      </c>
      <c r="K377" s="8" t="s">
        <v>1395</v>
      </c>
    </row>
    <row r="378" spans="1:11" x14ac:dyDescent="0.35">
      <c r="A378" s="7">
        <v>352401</v>
      </c>
      <c r="B378" s="7" t="str">
        <f>"3372042201970004"</f>
        <v>3372042201970004</v>
      </c>
      <c r="C378" s="7" t="str">
        <f t="shared" si="10"/>
        <v>'3372042201970004</v>
      </c>
      <c r="D378" s="7" t="str">
        <f t="shared" si="11"/>
        <v>ganda</v>
      </c>
      <c r="E378" s="7" t="s">
        <v>2727</v>
      </c>
      <c r="F378" s="7" t="s">
        <v>10</v>
      </c>
      <c r="G378" s="7" t="s">
        <v>11</v>
      </c>
      <c r="H378" s="7" t="s">
        <v>18</v>
      </c>
      <c r="I378" s="7" t="s">
        <v>2389</v>
      </c>
      <c r="J378" s="7" t="s">
        <v>2728</v>
      </c>
      <c r="K378" s="8" t="s">
        <v>2729</v>
      </c>
    </row>
    <row r="379" spans="1:11" x14ac:dyDescent="0.35">
      <c r="A379" s="7">
        <v>2540775</v>
      </c>
      <c r="B379" s="7" t="str">
        <f>"3372042201970004"</f>
        <v>3372042201970004</v>
      </c>
      <c r="C379" s="7" t="str">
        <f t="shared" si="10"/>
        <v>'3372042201970004</v>
      </c>
      <c r="D379" s="7" t="str">
        <f t="shared" si="11"/>
        <v>ganda</v>
      </c>
      <c r="E379" s="7" t="s">
        <v>2730</v>
      </c>
      <c r="F379" s="7" t="s">
        <v>10</v>
      </c>
      <c r="G379" s="7" t="s">
        <v>57</v>
      </c>
      <c r="H379" s="7" t="s">
        <v>18</v>
      </c>
      <c r="I379" s="7" t="s">
        <v>19</v>
      </c>
      <c r="J379" s="7" t="s">
        <v>1394</v>
      </c>
      <c r="K379" s="8" t="s">
        <v>1395</v>
      </c>
    </row>
    <row r="380" spans="1:11" x14ac:dyDescent="0.35">
      <c r="A380" s="7">
        <v>1860271</v>
      </c>
      <c r="B380" s="7" t="str">
        <f>"3374050204850005"</f>
        <v>3374050204850005</v>
      </c>
      <c r="C380" s="7" t="str">
        <f t="shared" si="10"/>
        <v>'3374050204850005</v>
      </c>
      <c r="D380" s="7" t="str">
        <f t="shared" si="11"/>
        <v>ganda</v>
      </c>
      <c r="E380" s="7" t="s">
        <v>2731</v>
      </c>
      <c r="F380" s="7" t="s">
        <v>10</v>
      </c>
      <c r="G380" s="7" t="s">
        <v>11</v>
      </c>
      <c r="H380" s="7" t="s">
        <v>18</v>
      </c>
      <c r="I380" s="7" t="s">
        <v>1438</v>
      </c>
      <c r="J380" s="7" t="s">
        <v>2732</v>
      </c>
      <c r="K380" s="8" t="s">
        <v>2733</v>
      </c>
    </row>
    <row r="381" spans="1:11" x14ac:dyDescent="0.35">
      <c r="A381" s="7">
        <v>2540672</v>
      </c>
      <c r="B381" s="7" t="str">
        <f>"3374050204850005"</f>
        <v>3374050204850005</v>
      </c>
      <c r="C381" s="7" t="str">
        <f t="shared" si="10"/>
        <v>'3374050204850005</v>
      </c>
      <c r="D381" s="7" t="str">
        <f t="shared" si="11"/>
        <v>ganda</v>
      </c>
      <c r="E381" s="7" t="s">
        <v>2734</v>
      </c>
      <c r="F381" s="7" t="s">
        <v>10</v>
      </c>
      <c r="G381" s="7" t="s">
        <v>57</v>
      </c>
      <c r="H381" s="7" t="s">
        <v>18</v>
      </c>
      <c r="I381" s="7" t="s">
        <v>19</v>
      </c>
      <c r="J381" s="7" t="s">
        <v>1394</v>
      </c>
      <c r="K381" s="8" t="s">
        <v>1395</v>
      </c>
    </row>
    <row r="382" spans="1:11" x14ac:dyDescent="0.35">
      <c r="A382" s="7">
        <v>1904015</v>
      </c>
      <c r="B382" s="7" t="str">
        <f>"3374061003630007"</f>
        <v>3374061003630007</v>
      </c>
      <c r="C382" s="7" t="str">
        <f t="shared" si="10"/>
        <v>'3374061003630007</v>
      </c>
      <c r="D382" s="7" t="str">
        <f t="shared" si="11"/>
        <v>ganda</v>
      </c>
      <c r="E382" s="7" t="s">
        <v>2737</v>
      </c>
      <c r="F382" s="7" t="s">
        <v>10</v>
      </c>
      <c r="G382" s="7" t="s">
        <v>11</v>
      </c>
      <c r="H382" s="7" t="s">
        <v>18</v>
      </c>
      <c r="I382" s="7" t="s">
        <v>1438</v>
      </c>
      <c r="J382" s="7" t="s">
        <v>2738</v>
      </c>
      <c r="K382" s="8" t="s">
        <v>2739</v>
      </c>
    </row>
    <row r="383" spans="1:11" x14ac:dyDescent="0.35">
      <c r="A383" s="7">
        <v>2540722</v>
      </c>
      <c r="B383" s="7" t="str">
        <f>"3374061003630007"</f>
        <v>3374061003630007</v>
      </c>
      <c r="C383" s="7" t="str">
        <f t="shared" si="10"/>
        <v>'3374061003630007</v>
      </c>
      <c r="D383" s="7" t="str">
        <f t="shared" si="11"/>
        <v>ganda</v>
      </c>
      <c r="E383" s="7" t="s">
        <v>2740</v>
      </c>
      <c r="F383" s="7" t="s">
        <v>10</v>
      </c>
      <c r="G383" s="7" t="s">
        <v>57</v>
      </c>
      <c r="H383" s="7" t="s">
        <v>18</v>
      </c>
      <c r="I383" s="7" t="s">
        <v>19</v>
      </c>
      <c r="J383" s="7" t="s">
        <v>1394</v>
      </c>
      <c r="K383" s="8" t="s">
        <v>1395</v>
      </c>
    </row>
    <row r="384" spans="1:11" x14ac:dyDescent="0.35">
      <c r="A384" s="7">
        <v>2280530</v>
      </c>
      <c r="B384" s="7" t="str">
        <f>"3374061904700004"</f>
        <v>3374061904700004</v>
      </c>
      <c r="C384" s="7" t="str">
        <f t="shared" si="10"/>
        <v>'3374061904700004</v>
      </c>
      <c r="D384" s="7" t="str">
        <f t="shared" si="11"/>
        <v>ganda</v>
      </c>
      <c r="E384" s="7" t="s">
        <v>2741</v>
      </c>
      <c r="F384" s="7" t="s">
        <v>10</v>
      </c>
      <c r="G384" s="7" t="s">
        <v>11</v>
      </c>
      <c r="H384" s="7" t="s">
        <v>18</v>
      </c>
      <c r="I384" s="7" t="s">
        <v>1438</v>
      </c>
      <c r="J384" s="7" t="s">
        <v>2732</v>
      </c>
      <c r="K384" s="8" t="s">
        <v>2742</v>
      </c>
    </row>
    <row r="385" spans="1:11" x14ac:dyDescent="0.35">
      <c r="A385" s="7">
        <v>2540814</v>
      </c>
      <c r="B385" s="7" t="str">
        <f>"3374061904700004"</f>
        <v>3374061904700004</v>
      </c>
      <c r="C385" s="7" t="str">
        <f t="shared" si="10"/>
        <v>'3374061904700004</v>
      </c>
      <c r="D385" s="7" t="str">
        <f t="shared" si="11"/>
        <v>ganda</v>
      </c>
      <c r="E385" s="7" t="s">
        <v>2743</v>
      </c>
      <c r="F385" s="7" t="s">
        <v>10</v>
      </c>
      <c r="G385" s="7" t="s">
        <v>57</v>
      </c>
      <c r="H385" s="7" t="s">
        <v>18</v>
      </c>
      <c r="I385" s="7" t="s">
        <v>19</v>
      </c>
      <c r="J385" s="7" t="s">
        <v>1394</v>
      </c>
      <c r="K385" s="8" t="s">
        <v>1395</v>
      </c>
    </row>
    <row r="386" spans="1:11" x14ac:dyDescent="0.35">
      <c r="A386" s="7">
        <v>2511913</v>
      </c>
      <c r="B386" s="7" t="str">
        <f>"3374063101910001"</f>
        <v>3374063101910001</v>
      </c>
      <c r="C386" s="7" t="str">
        <f t="shared" ref="C386:C449" si="12">"'"&amp;B386</f>
        <v>'3374063101910001</v>
      </c>
      <c r="D386" s="7" t="str">
        <f t="shared" ref="D386:D449" si="13">IF(COUNTIF($C:$C,C386)&gt;1,"ganda","tidak ganda")</f>
        <v>ganda</v>
      </c>
      <c r="E386" s="7" t="s">
        <v>2744</v>
      </c>
      <c r="F386" s="7" t="s">
        <v>10</v>
      </c>
      <c r="G386" s="7" t="s">
        <v>11</v>
      </c>
      <c r="H386" s="7" t="s">
        <v>18</v>
      </c>
      <c r="I386" s="7" t="s">
        <v>1438</v>
      </c>
      <c r="J386" s="7" t="s">
        <v>2738</v>
      </c>
      <c r="K386" s="8" t="s">
        <v>2745</v>
      </c>
    </row>
    <row r="387" spans="1:11" x14ac:dyDescent="0.35">
      <c r="A387" s="7">
        <v>2540876</v>
      </c>
      <c r="B387" s="7" t="str">
        <f>"3374063101910001"</f>
        <v>3374063101910001</v>
      </c>
      <c r="C387" s="7" t="str">
        <f t="shared" si="12"/>
        <v>'3374063101910001</v>
      </c>
      <c r="D387" s="7" t="str">
        <f t="shared" si="13"/>
        <v>ganda</v>
      </c>
      <c r="E387" s="7" t="s">
        <v>2746</v>
      </c>
      <c r="F387" s="7" t="s">
        <v>10</v>
      </c>
      <c r="G387" s="7" t="s">
        <v>57</v>
      </c>
      <c r="H387" s="7" t="s">
        <v>18</v>
      </c>
      <c r="I387" s="7" t="s">
        <v>19</v>
      </c>
      <c r="J387" s="7" t="s">
        <v>1394</v>
      </c>
      <c r="K387" s="8" t="s">
        <v>1395</v>
      </c>
    </row>
    <row r="388" spans="1:11" x14ac:dyDescent="0.35">
      <c r="A388" s="7">
        <v>1636325</v>
      </c>
      <c r="B388" s="7" t="str">
        <f>"3374071704720002"</f>
        <v>3374071704720002</v>
      </c>
      <c r="C388" s="7" t="str">
        <f t="shared" si="12"/>
        <v>'3374071704720002</v>
      </c>
      <c r="D388" s="7" t="str">
        <f t="shared" si="13"/>
        <v>ganda</v>
      </c>
      <c r="E388" s="7" t="s">
        <v>2747</v>
      </c>
      <c r="F388" s="7" t="s">
        <v>10</v>
      </c>
      <c r="G388" s="7" t="s">
        <v>11</v>
      </c>
      <c r="H388" s="7" t="s">
        <v>18</v>
      </c>
      <c r="I388" s="7" t="s">
        <v>1438</v>
      </c>
      <c r="J388" s="7" t="s">
        <v>2748</v>
      </c>
      <c r="K388" s="8" t="s">
        <v>2748</v>
      </c>
    </row>
    <row r="389" spans="1:11" x14ac:dyDescent="0.35">
      <c r="A389" s="7">
        <v>2540818</v>
      </c>
      <c r="B389" s="7" t="str">
        <f>"3374071704720002"</f>
        <v>3374071704720002</v>
      </c>
      <c r="C389" s="7" t="str">
        <f t="shared" si="12"/>
        <v>'3374071704720002</v>
      </c>
      <c r="D389" s="7" t="str">
        <f t="shared" si="13"/>
        <v>ganda</v>
      </c>
      <c r="E389" s="7" t="s">
        <v>2749</v>
      </c>
      <c r="F389" s="7" t="s">
        <v>10</v>
      </c>
      <c r="G389" s="7" t="s">
        <v>57</v>
      </c>
      <c r="H389" s="7" t="s">
        <v>18</v>
      </c>
      <c r="I389" s="7" t="s">
        <v>19</v>
      </c>
      <c r="J389" s="7" t="s">
        <v>1394</v>
      </c>
      <c r="K389" s="8" t="s">
        <v>1395</v>
      </c>
    </row>
    <row r="390" spans="1:11" x14ac:dyDescent="0.35">
      <c r="A390" s="7">
        <v>1641230</v>
      </c>
      <c r="B390" s="7" t="str">
        <f>"3374092005870001"</f>
        <v>3374092005870001</v>
      </c>
      <c r="C390" s="7" t="str">
        <f t="shared" si="12"/>
        <v>'3374092005870001</v>
      </c>
      <c r="D390" s="7" t="str">
        <f t="shared" si="13"/>
        <v>ganda</v>
      </c>
      <c r="E390" s="7" t="s">
        <v>2750</v>
      </c>
      <c r="F390" s="7" t="s">
        <v>10</v>
      </c>
      <c r="G390" s="7" t="s">
        <v>11</v>
      </c>
      <c r="H390" s="7" t="s">
        <v>18</v>
      </c>
      <c r="I390" s="7" t="s">
        <v>1438</v>
      </c>
      <c r="J390" s="7" t="s">
        <v>2748</v>
      </c>
      <c r="K390" s="8" t="s">
        <v>2748</v>
      </c>
    </row>
    <row r="391" spans="1:11" x14ac:dyDescent="0.35">
      <c r="A391" s="7">
        <v>2540670</v>
      </c>
      <c r="B391" s="7" t="str">
        <f>"3374092005870001"</f>
        <v>3374092005870001</v>
      </c>
      <c r="C391" s="7" t="str">
        <f t="shared" si="12"/>
        <v>'3374092005870001</v>
      </c>
      <c r="D391" s="7" t="str">
        <f t="shared" si="13"/>
        <v>ganda</v>
      </c>
      <c r="E391" s="7" t="s">
        <v>2751</v>
      </c>
      <c r="F391" s="7" t="s">
        <v>10</v>
      </c>
      <c r="G391" s="7" t="s">
        <v>57</v>
      </c>
      <c r="H391" s="7" t="s">
        <v>18</v>
      </c>
      <c r="I391" s="7" t="s">
        <v>19</v>
      </c>
      <c r="J391" s="7" t="s">
        <v>1394</v>
      </c>
      <c r="K391" s="8" t="s">
        <v>1395</v>
      </c>
    </row>
    <row r="392" spans="1:11" x14ac:dyDescent="0.35">
      <c r="A392" s="7">
        <v>338328</v>
      </c>
      <c r="B392" s="7" t="str">
        <f>"3376010206820008"</f>
        <v>3376010206820008</v>
      </c>
      <c r="C392" s="7" t="str">
        <f t="shared" si="12"/>
        <v>'3376010206820008</v>
      </c>
      <c r="D392" s="7" t="str">
        <f t="shared" si="13"/>
        <v>ganda</v>
      </c>
      <c r="E392" s="7" t="s">
        <v>2757</v>
      </c>
      <c r="F392" s="7" t="s">
        <v>10</v>
      </c>
      <c r="G392" s="7" t="s">
        <v>11</v>
      </c>
      <c r="H392" s="7" t="s">
        <v>18</v>
      </c>
      <c r="I392" s="7" t="s">
        <v>268</v>
      </c>
      <c r="J392" s="7" t="s">
        <v>277</v>
      </c>
      <c r="K392" s="8" t="s">
        <v>278</v>
      </c>
    </row>
    <row r="393" spans="1:11" x14ac:dyDescent="0.35">
      <c r="A393" s="7">
        <v>2540853</v>
      </c>
      <c r="B393" s="7" t="str">
        <f>"3376010206820008"</f>
        <v>3376010206820008</v>
      </c>
      <c r="C393" s="7" t="str">
        <f t="shared" si="12"/>
        <v>'3376010206820008</v>
      </c>
      <c r="D393" s="7" t="str">
        <f t="shared" si="13"/>
        <v>ganda</v>
      </c>
      <c r="E393" s="7" t="s">
        <v>2758</v>
      </c>
      <c r="F393" s="7" t="s">
        <v>10</v>
      </c>
      <c r="G393" s="7" t="s">
        <v>57</v>
      </c>
      <c r="H393" s="7" t="s">
        <v>18</v>
      </c>
      <c r="I393" s="7" t="s">
        <v>19</v>
      </c>
      <c r="J393" s="7" t="s">
        <v>1394</v>
      </c>
      <c r="K393" s="8" t="s">
        <v>1395</v>
      </c>
    </row>
    <row r="394" spans="1:11" x14ac:dyDescent="0.35">
      <c r="A394" s="7">
        <v>284829</v>
      </c>
      <c r="B394" s="7" t="str">
        <f>"3376011105810001"</f>
        <v>3376011105810001</v>
      </c>
      <c r="C394" s="7" t="str">
        <f t="shared" si="12"/>
        <v>'3376011105810001</v>
      </c>
      <c r="D394" s="7" t="str">
        <f t="shared" si="13"/>
        <v>ganda</v>
      </c>
      <c r="E394" s="7" t="s">
        <v>2759</v>
      </c>
      <c r="F394" s="7" t="s">
        <v>10</v>
      </c>
      <c r="G394" s="7" t="s">
        <v>11</v>
      </c>
      <c r="H394" s="7" t="s">
        <v>18</v>
      </c>
      <c r="I394" s="7" t="s">
        <v>268</v>
      </c>
      <c r="J394" s="7" t="s">
        <v>277</v>
      </c>
      <c r="K394" s="8" t="s">
        <v>884</v>
      </c>
    </row>
    <row r="395" spans="1:11" x14ac:dyDescent="0.35">
      <c r="A395" s="7">
        <v>2540776</v>
      </c>
      <c r="B395" s="7" t="str">
        <f>"3376011105810001"</f>
        <v>3376011105810001</v>
      </c>
      <c r="C395" s="7" t="str">
        <f t="shared" si="12"/>
        <v>'3376011105810001</v>
      </c>
      <c r="D395" s="7" t="str">
        <f t="shared" si="13"/>
        <v>ganda</v>
      </c>
      <c r="E395" s="7" t="s">
        <v>2760</v>
      </c>
      <c r="F395" s="7" t="s">
        <v>10</v>
      </c>
      <c r="G395" s="7" t="s">
        <v>57</v>
      </c>
      <c r="H395" s="7" t="s">
        <v>18</v>
      </c>
      <c r="I395" s="7" t="s">
        <v>19</v>
      </c>
      <c r="J395" s="7" t="s">
        <v>1394</v>
      </c>
      <c r="K395" s="8" t="s">
        <v>1395</v>
      </c>
    </row>
    <row r="396" spans="1:11" x14ac:dyDescent="0.35">
      <c r="A396" s="7">
        <v>294054</v>
      </c>
      <c r="B396" s="7" t="str">
        <f>"3376012803780002"</f>
        <v>3376012803780002</v>
      </c>
      <c r="C396" s="7" t="str">
        <f t="shared" si="12"/>
        <v>'3376012803780002</v>
      </c>
      <c r="D396" s="7" t="str">
        <f t="shared" si="13"/>
        <v>ganda</v>
      </c>
      <c r="E396" s="7" t="s">
        <v>2761</v>
      </c>
      <c r="F396" s="7" t="s">
        <v>10</v>
      </c>
      <c r="G396" s="7" t="s">
        <v>11</v>
      </c>
      <c r="H396" s="7" t="s">
        <v>18</v>
      </c>
      <c r="I396" s="7" t="s">
        <v>268</v>
      </c>
      <c r="J396" s="7" t="s">
        <v>277</v>
      </c>
      <c r="K396" s="8" t="s">
        <v>2762</v>
      </c>
    </row>
    <row r="397" spans="1:11" x14ac:dyDescent="0.35">
      <c r="A397" s="7">
        <v>2540724</v>
      </c>
      <c r="B397" s="7" t="str">
        <f>"3376012803780002"</f>
        <v>3376012803780002</v>
      </c>
      <c r="C397" s="7" t="str">
        <f t="shared" si="12"/>
        <v>'3376012803780002</v>
      </c>
      <c r="D397" s="7" t="str">
        <f t="shared" si="13"/>
        <v>ganda</v>
      </c>
      <c r="E397" s="7" t="s">
        <v>2763</v>
      </c>
      <c r="F397" s="7" t="s">
        <v>10</v>
      </c>
      <c r="G397" s="7" t="s">
        <v>57</v>
      </c>
      <c r="H397" s="7" t="s">
        <v>18</v>
      </c>
      <c r="I397" s="7" t="s">
        <v>19</v>
      </c>
      <c r="J397" s="7" t="s">
        <v>1394</v>
      </c>
      <c r="K397" s="8" t="s">
        <v>1395</v>
      </c>
    </row>
    <row r="398" spans="1:11" x14ac:dyDescent="0.35">
      <c r="A398" s="7">
        <v>238980</v>
      </c>
      <c r="B398" s="7" t="str">
        <f>"3376020102940007"</f>
        <v>3376020102940007</v>
      </c>
      <c r="C398" s="7" t="str">
        <f t="shared" si="12"/>
        <v>'3376020102940007</v>
      </c>
      <c r="D398" s="7" t="str">
        <f t="shared" si="13"/>
        <v>ganda</v>
      </c>
      <c r="E398" s="7" t="s">
        <v>2764</v>
      </c>
      <c r="F398" s="7" t="s">
        <v>10</v>
      </c>
      <c r="G398" s="7" t="s">
        <v>11</v>
      </c>
      <c r="H398" s="7" t="s">
        <v>18</v>
      </c>
      <c r="I398" s="7" t="s">
        <v>268</v>
      </c>
      <c r="J398" s="7" t="s">
        <v>371</v>
      </c>
      <c r="K398" s="8" t="s">
        <v>372</v>
      </c>
    </row>
    <row r="399" spans="1:11" x14ac:dyDescent="0.35">
      <c r="A399" s="7">
        <v>2540797</v>
      </c>
      <c r="B399" s="7" t="str">
        <f>"3376020102940007"</f>
        <v>3376020102940007</v>
      </c>
      <c r="C399" s="7" t="str">
        <f t="shared" si="12"/>
        <v>'3376020102940007</v>
      </c>
      <c r="D399" s="7" t="str">
        <f t="shared" si="13"/>
        <v>ganda</v>
      </c>
      <c r="E399" s="7" t="s">
        <v>2765</v>
      </c>
      <c r="F399" s="7" t="s">
        <v>10</v>
      </c>
      <c r="G399" s="7" t="s">
        <v>57</v>
      </c>
      <c r="H399" s="7" t="s">
        <v>18</v>
      </c>
      <c r="I399" s="7" t="s">
        <v>19</v>
      </c>
      <c r="J399" s="7" t="s">
        <v>1394</v>
      </c>
      <c r="K399" s="8" t="s">
        <v>1395</v>
      </c>
    </row>
    <row r="400" spans="1:11" x14ac:dyDescent="0.35">
      <c r="A400" s="7">
        <v>237929</v>
      </c>
      <c r="B400" s="7" t="str">
        <f>"3376020103960003"</f>
        <v>3376020103960003</v>
      </c>
      <c r="C400" s="7" t="str">
        <f t="shared" si="12"/>
        <v>'3376020103960003</v>
      </c>
      <c r="D400" s="7" t="str">
        <f t="shared" si="13"/>
        <v>ganda</v>
      </c>
      <c r="E400" s="7" t="s">
        <v>2766</v>
      </c>
      <c r="F400" s="7" t="s">
        <v>10</v>
      </c>
      <c r="G400" s="7" t="s">
        <v>11</v>
      </c>
      <c r="H400" s="7" t="s">
        <v>18</v>
      </c>
      <c r="I400" s="7" t="s">
        <v>268</v>
      </c>
      <c r="J400" s="7" t="s">
        <v>371</v>
      </c>
      <c r="K400" s="8" t="s">
        <v>372</v>
      </c>
    </row>
    <row r="401" spans="1:11" x14ac:dyDescent="0.35">
      <c r="A401" s="7">
        <v>2540863</v>
      </c>
      <c r="B401" s="7" t="str">
        <f>"3376020103960003"</f>
        <v>3376020103960003</v>
      </c>
      <c r="C401" s="7" t="str">
        <f t="shared" si="12"/>
        <v>'3376020103960003</v>
      </c>
      <c r="D401" s="7" t="str">
        <f t="shared" si="13"/>
        <v>ganda</v>
      </c>
      <c r="E401" s="7" t="s">
        <v>2767</v>
      </c>
      <c r="F401" s="7" t="s">
        <v>10</v>
      </c>
      <c r="G401" s="7" t="s">
        <v>57</v>
      </c>
      <c r="H401" s="7" t="s">
        <v>18</v>
      </c>
      <c r="I401" s="7" t="s">
        <v>19</v>
      </c>
      <c r="J401" s="7" t="s">
        <v>1394</v>
      </c>
      <c r="K401" s="8" t="s">
        <v>1395</v>
      </c>
    </row>
    <row r="402" spans="1:11" x14ac:dyDescent="0.35">
      <c r="A402" s="7">
        <v>207395</v>
      </c>
      <c r="B402" s="7" t="str">
        <f>"3376020504780004"</f>
        <v>3376020504780004</v>
      </c>
      <c r="C402" s="7" t="str">
        <f t="shared" si="12"/>
        <v>'3376020504780004</v>
      </c>
      <c r="D402" s="7" t="str">
        <f t="shared" si="13"/>
        <v>ganda</v>
      </c>
      <c r="E402" s="7" t="s">
        <v>2768</v>
      </c>
      <c r="F402" s="7" t="s">
        <v>10</v>
      </c>
      <c r="G402" s="7" t="s">
        <v>11</v>
      </c>
      <c r="H402" s="7" t="s">
        <v>18</v>
      </c>
      <c r="I402" s="7" t="s">
        <v>268</v>
      </c>
      <c r="J402" s="7" t="s">
        <v>371</v>
      </c>
      <c r="K402" s="8" t="s">
        <v>2769</v>
      </c>
    </row>
    <row r="403" spans="1:11" x14ac:dyDescent="0.35">
      <c r="A403" s="7">
        <v>2540800</v>
      </c>
      <c r="B403" s="7" t="str">
        <f>"3376020504780004"</f>
        <v>3376020504780004</v>
      </c>
      <c r="C403" s="7" t="str">
        <f t="shared" si="12"/>
        <v>'3376020504780004</v>
      </c>
      <c r="D403" s="7" t="str">
        <f t="shared" si="13"/>
        <v>ganda</v>
      </c>
      <c r="E403" s="7" t="s">
        <v>2770</v>
      </c>
      <c r="F403" s="7" t="s">
        <v>10</v>
      </c>
      <c r="G403" s="7" t="s">
        <v>57</v>
      </c>
      <c r="H403" s="7" t="s">
        <v>18</v>
      </c>
      <c r="I403" s="7" t="s">
        <v>19</v>
      </c>
      <c r="J403" s="7" t="s">
        <v>1394</v>
      </c>
      <c r="K403" s="8" t="s">
        <v>1395</v>
      </c>
    </row>
    <row r="404" spans="1:11" x14ac:dyDescent="0.35">
      <c r="A404" s="7">
        <v>233533</v>
      </c>
      <c r="B404" s="7" t="str">
        <f>"3376022604990001"</f>
        <v>3376022604990001</v>
      </c>
      <c r="C404" s="7" t="str">
        <f t="shared" si="12"/>
        <v>'3376022604990001</v>
      </c>
      <c r="D404" s="7" t="str">
        <f t="shared" si="13"/>
        <v>ganda</v>
      </c>
      <c r="E404" s="7" t="s">
        <v>2773</v>
      </c>
      <c r="F404" s="7" t="s">
        <v>10</v>
      </c>
      <c r="G404" s="7" t="s">
        <v>11</v>
      </c>
      <c r="H404" s="7" t="s">
        <v>18</v>
      </c>
      <c r="I404" s="7" t="s">
        <v>268</v>
      </c>
      <c r="J404" s="7" t="s">
        <v>371</v>
      </c>
      <c r="K404" s="8" t="s">
        <v>372</v>
      </c>
    </row>
    <row r="405" spans="1:11" x14ac:dyDescent="0.35">
      <c r="A405" s="7">
        <v>2540894</v>
      </c>
      <c r="B405" s="7" t="str">
        <f>"3376022604990001"</f>
        <v>3376022604990001</v>
      </c>
      <c r="C405" s="7" t="str">
        <f t="shared" si="12"/>
        <v>'3376022604990001</v>
      </c>
      <c r="D405" s="7" t="str">
        <f t="shared" si="13"/>
        <v>ganda</v>
      </c>
      <c r="E405" s="7" t="s">
        <v>2774</v>
      </c>
      <c r="F405" s="7" t="s">
        <v>10</v>
      </c>
      <c r="G405" s="7" t="s">
        <v>57</v>
      </c>
      <c r="H405" s="7" t="s">
        <v>18</v>
      </c>
      <c r="I405" s="7" t="s">
        <v>19</v>
      </c>
      <c r="J405" s="7" t="s">
        <v>1394</v>
      </c>
      <c r="K405" s="8" t="s">
        <v>1395</v>
      </c>
    </row>
    <row r="406" spans="1:11" x14ac:dyDescent="0.35">
      <c r="A406" s="7">
        <v>384484</v>
      </c>
      <c r="B406" s="7" t="str">
        <f>"3376041012970001"</f>
        <v>3376041012970001</v>
      </c>
      <c r="C406" s="7" t="str">
        <f t="shared" si="12"/>
        <v>'3376041012970001</v>
      </c>
      <c r="D406" s="7" t="str">
        <f t="shared" si="13"/>
        <v>ganda</v>
      </c>
      <c r="E406" s="7" t="s">
        <v>2776</v>
      </c>
      <c r="F406" s="7" t="s">
        <v>10</v>
      </c>
      <c r="G406" s="7" t="s">
        <v>11</v>
      </c>
      <c r="H406" s="7" t="s">
        <v>18</v>
      </c>
      <c r="I406" s="7" t="s">
        <v>268</v>
      </c>
      <c r="J406" s="7" t="s">
        <v>448</v>
      </c>
      <c r="K406" s="8" t="s">
        <v>2777</v>
      </c>
    </row>
    <row r="407" spans="1:11" x14ac:dyDescent="0.35">
      <c r="A407" s="7">
        <v>2540907</v>
      </c>
      <c r="B407" s="7" t="str">
        <f>"3376041012970001"</f>
        <v>3376041012970001</v>
      </c>
      <c r="C407" s="7" t="str">
        <f t="shared" si="12"/>
        <v>'3376041012970001</v>
      </c>
      <c r="D407" s="7" t="str">
        <f t="shared" si="13"/>
        <v>ganda</v>
      </c>
      <c r="E407" s="7" t="s">
        <v>2778</v>
      </c>
      <c r="F407" s="7" t="s">
        <v>10</v>
      </c>
      <c r="G407" s="7" t="s">
        <v>57</v>
      </c>
      <c r="H407" s="7" t="s">
        <v>18</v>
      </c>
      <c r="I407" s="7" t="s">
        <v>19</v>
      </c>
      <c r="J407" s="7" t="s">
        <v>1394</v>
      </c>
      <c r="K407" s="8" t="s">
        <v>1395</v>
      </c>
    </row>
    <row r="408" spans="1:11" x14ac:dyDescent="0.35">
      <c r="A408" s="7">
        <v>402673</v>
      </c>
      <c r="B408" s="7" t="str">
        <f>"3376041906930001"</f>
        <v>3376041906930001</v>
      </c>
      <c r="C408" s="7" t="str">
        <f t="shared" si="12"/>
        <v>'3376041906930001</v>
      </c>
      <c r="D408" s="7" t="str">
        <f t="shared" si="13"/>
        <v>ganda</v>
      </c>
      <c r="E408" s="7" t="s">
        <v>2779</v>
      </c>
      <c r="F408" s="7" t="s">
        <v>10</v>
      </c>
      <c r="G408" s="7" t="s">
        <v>11</v>
      </c>
      <c r="H408" s="7" t="s">
        <v>18</v>
      </c>
      <c r="I408" s="7" t="s">
        <v>268</v>
      </c>
      <c r="J408" s="7" t="s">
        <v>448</v>
      </c>
      <c r="K408" s="8" t="s">
        <v>448</v>
      </c>
    </row>
    <row r="409" spans="1:11" x14ac:dyDescent="0.35">
      <c r="A409" s="7">
        <v>2540908</v>
      </c>
      <c r="B409" s="7" t="str">
        <f>"3376041906930001"</f>
        <v>3376041906930001</v>
      </c>
      <c r="C409" s="7" t="str">
        <f t="shared" si="12"/>
        <v>'3376041906930001</v>
      </c>
      <c r="D409" s="7" t="str">
        <f t="shared" si="13"/>
        <v>ganda</v>
      </c>
      <c r="E409" s="7" t="s">
        <v>2780</v>
      </c>
      <c r="F409" s="7" t="s">
        <v>10</v>
      </c>
      <c r="G409" s="7" t="s">
        <v>57</v>
      </c>
      <c r="H409" s="7" t="s">
        <v>18</v>
      </c>
      <c r="I409" s="7" t="s">
        <v>19</v>
      </c>
      <c r="J409" s="7" t="s">
        <v>1394</v>
      </c>
      <c r="K409" s="8" t="s">
        <v>1395</v>
      </c>
    </row>
    <row r="410" spans="1:11" x14ac:dyDescent="0.35">
      <c r="A410" s="7">
        <v>2540683</v>
      </c>
      <c r="B410" s="7" t="str">
        <f>"3516011110790001"</f>
        <v>3516011110790001</v>
      </c>
      <c r="C410" s="7" t="str">
        <f t="shared" si="12"/>
        <v>'3516011110790001</v>
      </c>
      <c r="D410" s="7" t="str">
        <f t="shared" si="13"/>
        <v>ganda</v>
      </c>
      <c r="E410" s="7" t="s">
        <v>2782</v>
      </c>
      <c r="F410" s="7" t="s">
        <v>10</v>
      </c>
      <c r="G410" s="7" t="s">
        <v>57</v>
      </c>
      <c r="H410" s="7" t="s">
        <v>18</v>
      </c>
      <c r="I410" s="7" t="s">
        <v>19</v>
      </c>
      <c r="J410" s="7" t="s">
        <v>1394</v>
      </c>
      <c r="K410" s="8" t="s">
        <v>1395</v>
      </c>
    </row>
    <row r="411" spans="1:11" x14ac:dyDescent="0.35">
      <c r="A411" s="7">
        <v>617166</v>
      </c>
      <c r="B411" s="7" t="str">
        <f>"3516011110790001"</f>
        <v>3516011110790001</v>
      </c>
      <c r="C411" s="7" t="str">
        <f t="shared" si="12"/>
        <v>'3516011110790001</v>
      </c>
      <c r="D411" s="7" t="str">
        <f t="shared" si="13"/>
        <v>ganda</v>
      </c>
      <c r="E411" s="7" t="s">
        <v>2783</v>
      </c>
      <c r="F411" s="7" t="s">
        <v>10</v>
      </c>
      <c r="G411" s="7" t="s">
        <v>11</v>
      </c>
      <c r="H411" s="7" t="s">
        <v>303</v>
      </c>
      <c r="I411" s="7" t="s">
        <v>2784</v>
      </c>
      <c r="J411" s="7" t="s">
        <v>2785</v>
      </c>
      <c r="K411" s="8" t="s">
        <v>2786</v>
      </c>
    </row>
    <row r="412" spans="1:11" x14ac:dyDescent="0.35">
      <c r="A412" s="7">
        <v>2165860</v>
      </c>
      <c r="B412" s="7" t="str">
        <f>"3524091604760005"</f>
        <v>3524091604760005</v>
      </c>
      <c r="C412" s="7" t="str">
        <f t="shared" si="12"/>
        <v>'3524091604760005</v>
      </c>
      <c r="D412" s="7" t="str">
        <f t="shared" si="13"/>
        <v>ganda</v>
      </c>
      <c r="E412" s="7" t="s">
        <v>2787</v>
      </c>
      <c r="F412" s="7" t="s">
        <v>10</v>
      </c>
      <c r="G412" s="7" t="s">
        <v>11</v>
      </c>
      <c r="H412" s="7" t="s">
        <v>303</v>
      </c>
      <c r="I412" s="7" t="s">
        <v>1987</v>
      </c>
      <c r="J412" s="7" t="s">
        <v>2108</v>
      </c>
      <c r="K412" s="8" t="s">
        <v>2788</v>
      </c>
    </row>
    <row r="413" spans="1:11" x14ac:dyDescent="0.35">
      <c r="A413" s="7">
        <v>2540752</v>
      </c>
      <c r="B413" s="7" t="str">
        <f>"3524091604760005"</f>
        <v>3524091604760005</v>
      </c>
      <c r="C413" s="7" t="str">
        <f t="shared" si="12"/>
        <v>'3524091604760005</v>
      </c>
      <c r="D413" s="7" t="str">
        <f t="shared" si="13"/>
        <v>ganda</v>
      </c>
      <c r="E413" s="7" t="s">
        <v>2789</v>
      </c>
      <c r="F413" s="7" t="s">
        <v>10</v>
      </c>
      <c r="G413" s="7" t="s">
        <v>57</v>
      </c>
      <c r="H413" s="7" t="s">
        <v>18</v>
      </c>
      <c r="I413" s="7" t="s">
        <v>19</v>
      </c>
      <c r="J413" s="7" t="s">
        <v>1394</v>
      </c>
      <c r="K413" s="8" t="s">
        <v>1395</v>
      </c>
    </row>
    <row r="414" spans="1:11" x14ac:dyDescent="0.35">
      <c r="A414" s="7">
        <v>477626</v>
      </c>
      <c r="B414" s="7" t="str">
        <f>"3528020102730004"</f>
        <v>3528020102730004</v>
      </c>
      <c r="C414" s="7" t="str">
        <f t="shared" si="12"/>
        <v>'3528020102730004</v>
      </c>
      <c r="D414" s="7" t="str">
        <f t="shared" si="13"/>
        <v>ganda</v>
      </c>
      <c r="E414" s="7" t="s">
        <v>2790</v>
      </c>
      <c r="F414" s="7" t="s">
        <v>10</v>
      </c>
      <c r="G414" s="7" t="s">
        <v>11</v>
      </c>
      <c r="H414" s="7" t="s">
        <v>303</v>
      </c>
      <c r="I414" s="7" t="s">
        <v>2791</v>
      </c>
      <c r="J414" s="7" t="s">
        <v>2792</v>
      </c>
      <c r="K414" s="8" t="s">
        <v>2793</v>
      </c>
    </row>
    <row r="415" spans="1:11" x14ac:dyDescent="0.35">
      <c r="A415" s="7">
        <v>2540904</v>
      </c>
      <c r="B415" s="7" t="str">
        <f>"3528020102730004"</f>
        <v>3528020102730004</v>
      </c>
      <c r="C415" s="7" t="str">
        <f t="shared" si="12"/>
        <v>'3528020102730004</v>
      </c>
      <c r="D415" s="7" t="str">
        <f t="shared" si="13"/>
        <v>ganda</v>
      </c>
      <c r="E415" s="7" t="s">
        <v>2794</v>
      </c>
      <c r="F415" s="7" t="s">
        <v>10</v>
      </c>
      <c r="G415" s="7" t="s">
        <v>57</v>
      </c>
      <c r="H415" s="7" t="s">
        <v>18</v>
      </c>
      <c r="I415" s="7" t="s">
        <v>19</v>
      </c>
      <c r="J415" s="7" t="s">
        <v>1394</v>
      </c>
      <c r="K415" s="8" t="s">
        <v>1395</v>
      </c>
    </row>
    <row r="416" spans="1:11" x14ac:dyDescent="0.35">
      <c r="A416" s="7">
        <v>788755</v>
      </c>
      <c r="B416" s="7" t="str">
        <f>"3578062008780006"</f>
        <v>3578062008780006</v>
      </c>
      <c r="C416" s="7" t="str">
        <f t="shared" si="12"/>
        <v>'3578062008780006</v>
      </c>
      <c r="D416" s="7" t="str">
        <f t="shared" si="13"/>
        <v>ganda</v>
      </c>
      <c r="E416" s="7" t="s">
        <v>2795</v>
      </c>
      <c r="F416" s="7" t="s">
        <v>10</v>
      </c>
      <c r="G416" s="7" t="s">
        <v>11</v>
      </c>
      <c r="H416" s="7" t="s">
        <v>303</v>
      </c>
      <c r="I416" s="7" t="s">
        <v>2796</v>
      </c>
      <c r="J416" s="7" t="s">
        <v>2797</v>
      </c>
      <c r="K416" s="8" t="s">
        <v>2798</v>
      </c>
    </row>
    <row r="417" spans="1:11" x14ac:dyDescent="0.35">
      <c r="A417" s="7">
        <v>2540695</v>
      </c>
      <c r="B417" s="7" t="str">
        <f>"3578062008780006"</f>
        <v>3578062008780006</v>
      </c>
      <c r="C417" s="7" t="str">
        <f t="shared" si="12"/>
        <v>'3578062008780006</v>
      </c>
      <c r="D417" s="7" t="str">
        <f t="shared" si="13"/>
        <v>ganda</v>
      </c>
      <c r="E417" s="7" t="s">
        <v>2799</v>
      </c>
      <c r="F417" s="7" t="s">
        <v>10</v>
      </c>
      <c r="G417" s="7" t="s">
        <v>57</v>
      </c>
      <c r="H417" s="7" t="s">
        <v>18</v>
      </c>
      <c r="I417" s="7" t="s">
        <v>19</v>
      </c>
      <c r="J417" s="7" t="s">
        <v>1394</v>
      </c>
      <c r="K417" s="8" t="s">
        <v>1395</v>
      </c>
    </row>
    <row r="418" spans="1:11" x14ac:dyDescent="0.35">
      <c r="A418" s="7">
        <v>2508303</v>
      </c>
      <c r="B418" s="7" t="str">
        <f>"3671051207730001"</f>
        <v>3671051207730001</v>
      </c>
      <c r="C418" s="7" t="str">
        <f t="shared" si="12"/>
        <v>'3671051207730001</v>
      </c>
      <c r="D418" s="7" t="str">
        <f t="shared" si="13"/>
        <v>ganda</v>
      </c>
      <c r="E418" s="7" t="s">
        <v>2807</v>
      </c>
      <c r="F418" s="7" t="s">
        <v>10</v>
      </c>
      <c r="G418" s="7" t="s">
        <v>11</v>
      </c>
      <c r="H418" s="7" t="s">
        <v>67</v>
      </c>
      <c r="I418" s="7" t="s">
        <v>512</v>
      </c>
      <c r="J418" s="7" t="s">
        <v>2808</v>
      </c>
      <c r="K418" s="8" t="s">
        <v>2809</v>
      </c>
    </row>
    <row r="419" spans="1:11" x14ac:dyDescent="0.35">
      <c r="A419" s="7">
        <v>2540777</v>
      </c>
      <c r="B419" s="7" t="str">
        <f>"3671051207730001"</f>
        <v>3671051207730001</v>
      </c>
      <c r="C419" s="7" t="str">
        <f t="shared" si="12"/>
        <v>'3671051207730001</v>
      </c>
      <c r="D419" s="7" t="str">
        <f t="shared" si="13"/>
        <v>ganda</v>
      </c>
      <c r="E419" s="7" t="s">
        <v>2810</v>
      </c>
      <c r="F419" s="7" t="s">
        <v>10</v>
      </c>
      <c r="G419" s="7" t="s">
        <v>57</v>
      </c>
      <c r="H419" s="7" t="s">
        <v>18</v>
      </c>
      <c r="I419" s="7" t="s">
        <v>19</v>
      </c>
      <c r="J419" s="7" t="s">
        <v>1394</v>
      </c>
      <c r="K419" s="8" t="s">
        <v>1395</v>
      </c>
    </row>
    <row r="420" spans="1:11" x14ac:dyDescent="0.35">
      <c r="A420" s="7">
        <v>1205861</v>
      </c>
      <c r="B420" s="7" t="str">
        <f>"3671090607750006"</f>
        <v>3671090607750006</v>
      </c>
      <c r="C420" s="7" t="str">
        <f t="shared" si="12"/>
        <v>'3671090607750006</v>
      </c>
      <c r="D420" s="7" t="str">
        <f t="shared" si="13"/>
        <v>ganda</v>
      </c>
      <c r="E420" s="7" t="s">
        <v>2811</v>
      </c>
      <c r="F420" s="7" t="s">
        <v>10</v>
      </c>
      <c r="G420" s="7" t="s">
        <v>11</v>
      </c>
      <c r="H420" s="7" t="s">
        <v>91</v>
      </c>
      <c r="I420" s="7" t="s">
        <v>650</v>
      </c>
      <c r="J420" s="7" t="s">
        <v>688</v>
      </c>
      <c r="K420" s="8" t="s">
        <v>689</v>
      </c>
    </row>
    <row r="421" spans="1:11" x14ac:dyDescent="0.35">
      <c r="A421" s="7">
        <v>2540757</v>
      </c>
      <c r="B421" s="7" t="str">
        <f>"3671090607750006"</f>
        <v>3671090607750006</v>
      </c>
      <c r="C421" s="7" t="str">
        <f t="shared" si="12"/>
        <v>'3671090607750006</v>
      </c>
      <c r="D421" s="7" t="str">
        <f t="shared" si="13"/>
        <v>ganda</v>
      </c>
      <c r="E421" s="7" t="s">
        <v>2812</v>
      </c>
      <c r="F421" s="7" t="s">
        <v>10</v>
      </c>
      <c r="G421" s="7" t="s">
        <v>57</v>
      </c>
      <c r="H421" s="7" t="s">
        <v>18</v>
      </c>
      <c r="I421" s="7" t="s">
        <v>19</v>
      </c>
      <c r="J421" s="7" t="s">
        <v>1394</v>
      </c>
      <c r="K421" s="8" t="s">
        <v>1395</v>
      </c>
    </row>
    <row r="422" spans="1:11" x14ac:dyDescent="0.35">
      <c r="A422" s="7">
        <v>1453469</v>
      </c>
      <c r="B422" s="7" t="str">
        <f>"3671091104770005"</f>
        <v>3671091104770005</v>
      </c>
      <c r="C422" s="7" t="str">
        <f t="shared" si="12"/>
        <v>'3671091104770005</v>
      </c>
      <c r="D422" s="7" t="str">
        <f t="shared" si="13"/>
        <v>ganda</v>
      </c>
      <c r="E422" s="7" t="s">
        <v>2757</v>
      </c>
      <c r="F422" s="7" t="s">
        <v>10</v>
      </c>
      <c r="G422" s="7" t="s">
        <v>11</v>
      </c>
      <c r="H422" s="7" t="s">
        <v>67</v>
      </c>
      <c r="I422" s="7" t="s">
        <v>512</v>
      </c>
      <c r="J422" s="7" t="s">
        <v>219</v>
      </c>
      <c r="K422" s="8" t="s">
        <v>2813</v>
      </c>
    </row>
    <row r="423" spans="1:11" x14ac:dyDescent="0.35">
      <c r="A423" s="7">
        <v>2540698</v>
      </c>
      <c r="B423" s="7" t="str">
        <f>"3671091104770005"</f>
        <v>3671091104770005</v>
      </c>
      <c r="C423" s="7" t="str">
        <f t="shared" si="12"/>
        <v>'3671091104770005</v>
      </c>
      <c r="D423" s="7" t="str">
        <f t="shared" si="13"/>
        <v>ganda</v>
      </c>
      <c r="E423" s="7" t="s">
        <v>2814</v>
      </c>
      <c r="F423" s="7" t="s">
        <v>10</v>
      </c>
      <c r="G423" s="7" t="s">
        <v>57</v>
      </c>
      <c r="H423" s="7" t="s">
        <v>18</v>
      </c>
      <c r="I423" s="7" t="s">
        <v>19</v>
      </c>
      <c r="J423" s="7" t="s">
        <v>1394</v>
      </c>
      <c r="K423" s="8" t="s">
        <v>1395</v>
      </c>
    </row>
    <row r="424" spans="1:11" x14ac:dyDescent="0.35">
      <c r="A424" s="7">
        <v>90701</v>
      </c>
      <c r="B424" s="7" t="str">
        <f>"5201013112730026"</f>
        <v>5201013112730026</v>
      </c>
      <c r="C424" s="7" t="str">
        <f t="shared" si="12"/>
        <v>'5201013112730026</v>
      </c>
      <c r="D424" s="7" t="str">
        <f t="shared" si="13"/>
        <v>ganda</v>
      </c>
      <c r="E424" s="7" t="s">
        <v>2819</v>
      </c>
      <c r="F424" s="7" t="s">
        <v>10</v>
      </c>
      <c r="G424" s="7" t="s">
        <v>11</v>
      </c>
      <c r="H424" s="7" t="s">
        <v>2820</v>
      </c>
      <c r="I424" s="7" t="s">
        <v>2821</v>
      </c>
      <c r="J424" s="7" t="s">
        <v>2822</v>
      </c>
      <c r="K424" s="8" t="s">
        <v>2823</v>
      </c>
    </row>
    <row r="425" spans="1:11" x14ac:dyDescent="0.35">
      <c r="A425" s="7">
        <v>2540760</v>
      </c>
      <c r="B425" s="7" t="str">
        <f>"5201013112730026"</f>
        <v>5201013112730026</v>
      </c>
      <c r="C425" s="7" t="str">
        <f t="shared" si="12"/>
        <v>'5201013112730026</v>
      </c>
      <c r="D425" s="7" t="str">
        <f t="shared" si="13"/>
        <v>ganda</v>
      </c>
      <c r="E425" s="7" t="s">
        <v>2824</v>
      </c>
      <c r="F425" s="7" t="s">
        <v>10</v>
      </c>
      <c r="G425" s="7" t="s">
        <v>57</v>
      </c>
      <c r="H425" s="7" t="s">
        <v>18</v>
      </c>
      <c r="I425" s="7" t="s">
        <v>19</v>
      </c>
      <c r="J425" s="7" t="s">
        <v>1394</v>
      </c>
      <c r="K425" s="8" t="s">
        <v>1395</v>
      </c>
    </row>
    <row r="426" spans="1:11" x14ac:dyDescent="0.35">
      <c r="A426" s="7">
        <v>1721733</v>
      </c>
      <c r="B426" s="7" t="str">
        <f>"3174033011880008"</f>
        <v>3174033011880008</v>
      </c>
      <c r="C426" s="7" t="str">
        <f t="shared" si="12"/>
        <v>'3174033011880008</v>
      </c>
      <c r="D426" s="7" t="str">
        <f t="shared" si="13"/>
        <v>ganda</v>
      </c>
      <c r="E426" s="7" t="s">
        <v>2838</v>
      </c>
      <c r="F426" s="7" t="s">
        <v>10</v>
      </c>
      <c r="G426" s="7" t="s">
        <v>11</v>
      </c>
      <c r="H426" s="7" t="s">
        <v>50</v>
      </c>
      <c r="I426" s="7" t="s">
        <v>72</v>
      </c>
      <c r="J426" s="7" t="s">
        <v>1172</v>
      </c>
      <c r="K426" s="8" t="s">
        <v>226</v>
      </c>
    </row>
    <row r="427" spans="1:11" x14ac:dyDescent="0.35">
      <c r="A427" s="7">
        <v>2540915</v>
      </c>
      <c r="B427" s="7" t="str">
        <f>"3174033011880008"</f>
        <v>3174033011880008</v>
      </c>
      <c r="C427" s="7" t="str">
        <f t="shared" si="12"/>
        <v>'3174033011880008</v>
      </c>
      <c r="D427" s="7" t="str">
        <f t="shared" si="13"/>
        <v>ganda</v>
      </c>
      <c r="E427" s="7" t="s">
        <v>2839</v>
      </c>
      <c r="F427" s="7" t="s">
        <v>10</v>
      </c>
      <c r="G427" s="7" t="s">
        <v>57</v>
      </c>
      <c r="H427" s="7" t="s">
        <v>18</v>
      </c>
      <c r="I427" s="7" t="s">
        <v>19</v>
      </c>
      <c r="J427" s="7" t="s">
        <v>1394</v>
      </c>
      <c r="K427" s="8" t="s">
        <v>1395</v>
      </c>
    </row>
    <row r="428" spans="1:11" x14ac:dyDescent="0.35">
      <c r="A428" s="7">
        <v>687363</v>
      </c>
      <c r="B428" s="7" t="str">
        <f>"3174033011880008"</f>
        <v>3174033011880008</v>
      </c>
      <c r="C428" s="7" t="str">
        <f t="shared" si="12"/>
        <v>'3174033011880008</v>
      </c>
      <c r="D428" s="7" t="str">
        <f t="shared" si="13"/>
        <v>ganda</v>
      </c>
      <c r="E428" s="7" t="s">
        <v>2839</v>
      </c>
      <c r="F428" s="7" t="s">
        <v>10</v>
      </c>
      <c r="G428" s="7" t="s">
        <v>57</v>
      </c>
      <c r="H428" s="7" t="s">
        <v>18</v>
      </c>
      <c r="I428" s="7" t="s">
        <v>190</v>
      </c>
      <c r="J428" s="7" t="s">
        <v>190</v>
      </c>
      <c r="K428" s="8" t="s">
        <v>2413</v>
      </c>
    </row>
    <row r="429" spans="1:11" x14ac:dyDescent="0.35">
      <c r="A429" s="7">
        <v>969841</v>
      </c>
      <c r="B429" s="7" t="str">
        <f>"3375040101780003"</f>
        <v>3375040101780003</v>
      </c>
      <c r="C429" s="7" t="str">
        <f t="shared" si="12"/>
        <v>'3375040101780003</v>
      </c>
      <c r="D429" s="7" t="str">
        <f t="shared" si="13"/>
        <v>ganda</v>
      </c>
      <c r="E429" s="7" t="s">
        <v>2840</v>
      </c>
      <c r="F429" s="7" t="s">
        <v>10</v>
      </c>
      <c r="G429" s="7" t="s">
        <v>11</v>
      </c>
      <c r="H429" s="7" t="s">
        <v>18</v>
      </c>
      <c r="I429" s="7" t="s">
        <v>195</v>
      </c>
      <c r="J429" s="7" t="s">
        <v>1434</v>
      </c>
      <c r="K429" s="8" t="s">
        <v>2841</v>
      </c>
    </row>
    <row r="430" spans="1:11" x14ac:dyDescent="0.35">
      <c r="A430" s="7">
        <v>2540784</v>
      </c>
      <c r="B430" s="7" t="str">
        <f>"3375040101780003"</f>
        <v>3375040101780003</v>
      </c>
      <c r="C430" s="7" t="str">
        <f t="shared" si="12"/>
        <v>'3375040101780003</v>
      </c>
      <c r="D430" s="7" t="str">
        <f t="shared" si="13"/>
        <v>ganda</v>
      </c>
      <c r="E430" s="7" t="s">
        <v>2842</v>
      </c>
      <c r="F430" s="7" t="s">
        <v>10</v>
      </c>
      <c r="G430" s="7" t="s">
        <v>57</v>
      </c>
      <c r="H430" s="7" t="s">
        <v>18</v>
      </c>
      <c r="I430" s="7" t="s">
        <v>19</v>
      </c>
      <c r="J430" s="7" t="s">
        <v>1394</v>
      </c>
      <c r="K430" s="8" t="s">
        <v>1395</v>
      </c>
    </row>
    <row r="431" spans="1:11" x14ac:dyDescent="0.35">
      <c r="A431" s="7">
        <v>687375</v>
      </c>
      <c r="B431" s="7" t="str">
        <f>"3375040101780003"</f>
        <v>3375040101780003</v>
      </c>
      <c r="C431" s="7" t="str">
        <f t="shared" si="12"/>
        <v>'3375040101780003</v>
      </c>
      <c r="D431" s="7" t="str">
        <f t="shared" si="13"/>
        <v>ganda</v>
      </c>
      <c r="E431" s="7" t="s">
        <v>2843</v>
      </c>
      <c r="F431" s="7" t="s">
        <v>10</v>
      </c>
      <c r="G431" s="7" t="s">
        <v>57</v>
      </c>
      <c r="H431" s="7" t="s">
        <v>18</v>
      </c>
      <c r="I431" s="7" t="s">
        <v>190</v>
      </c>
      <c r="J431" s="7" t="s">
        <v>190</v>
      </c>
      <c r="K431" s="8" t="s">
        <v>2413</v>
      </c>
    </row>
    <row r="432" spans="1:11" x14ac:dyDescent="0.35">
      <c r="A432" s="7">
        <v>1669935</v>
      </c>
      <c r="B432" s="7" t="str">
        <f>"3328070311890001"</f>
        <v>3328070311890001</v>
      </c>
      <c r="C432" s="7" t="str">
        <f t="shared" si="12"/>
        <v>'3328070311890001</v>
      </c>
      <c r="D432" s="7" t="str">
        <f t="shared" si="13"/>
        <v>ganda</v>
      </c>
      <c r="E432" s="7" t="s">
        <v>2899</v>
      </c>
      <c r="F432" s="7" t="s">
        <v>10</v>
      </c>
      <c r="G432" s="7" t="s">
        <v>11</v>
      </c>
      <c r="H432" s="7" t="s">
        <v>18</v>
      </c>
      <c r="I432" s="7" t="s">
        <v>19</v>
      </c>
      <c r="J432" s="7" t="s">
        <v>59</v>
      </c>
      <c r="K432" s="8" t="s">
        <v>2856</v>
      </c>
    </row>
    <row r="433" spans="1:11" x14ac:dyDescent="0.35">
      <c r="A433" s="7">
        <v>251515</v>
      </c>
      <c r="B433" s="7" t="str">
        <f>"3328070311890001"</f>
        <v>3328070311890001</v>
      </c>
      <c r="C433" s="7" t="str">
        <f t="shared" si="12"/>
        <v>'3328070311890001</v>
      </c>
      <c r="D433" s="7" t="str">
        <f t="shared" si="13"/>
        <v>ganda</v>
      </c>
      <c r="E433" s="7" t="s">
        <v>2899</v>
      </c>
      <c r="F433" s="7" t="s">
        <v>10</v>
      </c>
      <c r="G433" s="7" t="s">
        <v>57</v>
      </c>
      <c r="H433" s="7" t="s">
        <v>521</v>
      </c>
      <c r="I433" s="7" t="s">
        <v>657</v>
      </c>
      <c r="J433" s="7" t="s">
        <v>658</v>
      </c>
      <c r="K433" s="8" t="s">
        <v>871</v>
      </c>
    </row>
    <row r="434" spans="1:11" x14ac:dyDescent="0.35">
      <c r="A434" s="7">
        <v>1672659</v>
      </c>
      <c r="B434" s="7" t="str">
        <f>"3328071608040003"</f>
        <v>3328071608040003</v>
      </c>
      <c r="C434" s="7" t="str">
        <f t="shared" si="12"/>
        <v>'3328071608040003</v>
      </c>
      <c r="D434" s="7" t="str">
        <f t="shared" si="13"/>
        <v>ganda</v>
      </c>
      <c r="E434" s="7" t="s">
        <v>2932</v>
      </c>
      <c r="F434" s="7" t="s">
        <v>10</v>
      </c>
      <c r="G434" s="7" t="s">
        <v>11</v>
      </c>
      <c r="H434" s="7" t="s">
        <v>18</v>
      </c>
      <c r="I434" s="7" t="s">
        <v>19</v>
      </c>
      <c r="J434" s="7" t="s">
        <v>59</v>
      </c>
      <c r="K434" s="8" t="s">
        <v>2862</v>
      </c>
    </row>
    <row r="435" spans="1:11" x14ac:dyDescent="0.35">
      <c r="A435" s="7">
        <v>762447</v>
      </c>
      <c r="B435" s="7" t="str">
        <f>"3328071608040003"</f>
        <v>3328071608040003</v>
      </c>
      <c r="C435" s="7" t="str">
        <f t="shared" si="12"/>
        <v>'3328071608040003</v>
      </c>
      <c r="D435" s="7" t="str">
        <f t="shared" si="13"/>
        <v>ganda</v>
      </c>
      <c r="E435" s="7" t="s">
        <v>2933</v>
      </c>
      <c r="F435" s="7" t="s">
        <v>10</v>
      </c>
      <c r="G435" s="7" t="s">
        <v>57</v>
      </c>
      <c r="H435" s="7" t="s">
        <v>379</v>
      </c>
      <c r="I435" s="7" t="s">
        <v>711</v>
      </c>
      <c r="J435" s="7" t="s">
        <v>718</v>
      </c>
      <c r="K435" s="8" t="s">
        <v>719</v>
      </c>
    </row>
    <row r="436" spans="1:11" x14ac:dyDescent="0.35">
      <c r="A436" s="7">
        <v>1731948</v>
      </c>
      <c r="B436" s="7" t="str">
        <f>"3328071707810011"</f>
        <v>3328071707810011</v>
      </c>
      <c r="C436" s="7" t="str">
        <f t="shared" si="12"/>
        <v>'3328071707810011</v>
      </c>
      <c r="D436" s="7" t="str">
        <f t="shared" si="13"/>
        <v>ganda</v>
      </c>
      <c r="E436" s="7" t="s">
        <v>2934</v>
      </c>
      <c r="F436" s="7" t="s">
        <v>10</v>
      </c>
      <c r="G436" s="7" t="s">
        <v>11</v>
      </c>
      <c r="H436" s="7" t="s">
        <v>18</v>
      </c>
      <c r="I436" s="7" t="s">
        <v>19</v>
      </c>
      <c r="J436" s="7" t="s">
        <v>59</v>
      </c>
      <c r="K436" s="8" t="s">
        <v>2849</v>
      </c>
    </row>
    <row r="437" spans="1:11" x14ac:dyDescent="0.35">
      <c r="A437" s="7">
        <v>2406044</v>
      </c>
      <c r="B437" s="7" t="str">
        <f>"3328071707810011"</f>
        <v>3328071707810011</v>
      </c>
      <c r="C437" s="7" t="str">
        <f t="shared" si="12"/>
        <v>'3328071707810011</v>
      </c>
      <c r="D437" s="7" t="str">
        <f t="shared" si="13"/>
        <v>ganda</v>
      </c>
      <c r="E437" s="7" t="s">
        <v>2934</v>
      </c>
      <c r="F437" s="7" t="s">
        <v>10</v>
      </c>
      <c r="G437" s="7" t="s">
        <v>57</v>
      </c>
      <c r="H437" s="7" t="s">
        <v>67</v>
      </c>
      <c r="I437" s="7" t="s">
        <v>791</v>
      </c>
      <c r="J437" s="7" t="s">
        <v>2935</v>
      </c>
      <c r="K437" s="8" t="s">
        <v>2936</v>
      </c>
    </row>
    <row r="438" spans="1:11" x14ac:dyDescent="0.35">
      <c r="A438" s="7">
        <v>1703027</v>
      </c>
      <c r="B438" s="7" t="str">
        <f>"3328076203030003"</f>
        <v>3328076203030003</v>
      </c>
      <c r="C438" s="7" t="str">
        <f t="shared" si="12"/>
        <v>'3328076203030003</v>
      </c>
      <c r="D438" s="7" t="str">
        <f t="shared" si="13"/>
        <v>ganda</v>
      </c>
      <c r="E438" s="7" t="s">
        <v>2972</v>
      </c>
      <c r="F438" s="7" t="s">
        <v>10</v>
      </c>
      <c r="G438" s="7" t="s">
        <v>11</v>
      </c>
      <c r="H438" s="7" t="s">
        <v>18</v>
      </c>
      <c r="I438" s="7" t="s">
        <v>19</v>
      </c>
      <c r="J438" s="7" t="s">
        <v>59</v>
      </c>
      <c r="K438" s="8" t="s">
        <v>2887</v>
      </c>
    </row>
    <row r="439" spans="1:11" x14ac:dyDescent="0.35">
      <c r="A439" s="7">
        <v>1863010</v>
      </c>
      <c r="B439" s="7" t="str">
        <f>"3328076203030003"</f>
        <v>3328076203030003</v>
      </c>
      <c r="C439" s="7" t="str">
        <f t="shared" si="12"/>
        <v>'3328076203030003</v>
      </c>
      <c r="D439" s="7" t="str">
        <f t="shared" si="13"/>
        <v>ganda</v>
      </c>
      <c r="E439" s="7" t="s">
        <v>2972</v>
      </c>
      <c r="F439" s="7" t="s">
        <v>10</v>
      </c>
      <c r="G439" s="7" t="s">
        <v>57</v>
      </c>
      <c r="H439" s="7" t="s">
        <v>18</v>
      </c>
      <c r="I439" s="7" t="s">
        <v>733</v>
      </c>
      <c r="J439" s="7" t="s">
        <v>1127</v>
      </c>
      <c r="K439" s="8" t="s">
        <v>1127</v>
      </c>
    </row>
    <row r="440" spans="1:11" x14ac:dyDescent="0.35">
      <c r="A440" s="7">
        <v>1724926</v>
      </c>
      <c r="B440" s="7" t="str">
        <f>"3328076212830002"</f>
        <v>3328076212830002</v>
      </c>
      <c r="C440" s="7" t="str">
        <f t="shared" si="12"/>
        <v>'3328076212830002</v>
      </c>
      <c r="D440" s="7" t="str">
        <f t="shared" si="13"/>
        <v>ganda</v>
      </c>
      <c r="E440" s="7" t="s">
        <v>2974</v>
      </c>
      <c r="F440" s="7" t="s">
        <v>10</v>
      </c>
      <c r="G440" s="7" t="s">
        <v>11</v>
      </c>
      <c r="H440" s="7" t="s">
        <v>18</v>
      </c>
      <c r="I440" s="7" t="s">
        <v>19</v>
      </c>
      <c r="J440" s="7" t="s">
        <v>59</v>
      </c>
      <c r="K440" s="8" t="s">
        <v>110</v>
      </c>
    </row>
    <row r="441" spans="1:11" x14ac:dyDescent="0.35">
      <c r="A441" s="7">
        <v>2618366</v>
      </c>
      <c r="B441" s="7" t="str">
        <f>"3328076212830002"</f>
        <v>3328076212830002</v>
      </c>
      <c r="C441" s="7" t="str">
        <f t="shared" si="12"/>
        <v>'3328076212830002</v>
      </c>
      <c r="D441" s="7" t="str">
        <f t="shared" si="13"/>
        <v>ganda</v>
      </c>
      <c r="E441" s="7" t="s">
        <v>2975</v>
      </c>
      <c r="F441" s="7" t="s">
        <v>10</v>
      </c>
      <c r="G441" s="7" t="s">
        <v>57</v>
      </c>
      <c r="H441" s="7" t="s">
        <v>18</v>
      </c>
      <c r="I441" s="7" t="s">
        <v>1438</v>
      </c>
      <c r="J441" s="7" t="s">
        <v>2976</v>
      </c>
      <c r="K441" s="8" t="s">
        <v>2977</v>
      </c>
    </row>
    <row r="442" spans="1:11" x14ac:dyDescent="0.35">
      <c r="A442" s="7">
        <v>1756633</v>
      </c>
      <c r="B442" s="7" t="str">
        <f>"3328090602000004"</f>
        <v>3328090602000004</v>
      </c>
      <c r="C442" s="7" t="str">
        <f t="shared" si="12"/>
        <v>'3328090602000004</v>
      </c>
      <c r="D442" s="7" t="str">
        <f t="shared" si="13"/>
        <v>ganda</v>
      </c>
      <c r="E442" s="7" t="s">
        <v>3248</v>
      </c>
      <c r="F442" s="7" t="s">
        <v>10</v>
      </c>
      <c r="G442" s="7" t="s">
        <v>11</v>
      </c>
      <c r="H442" s="7" t="s">
        <v>18</v>
      </c>
      <c r="I442" s="7" t="s">
        <v>19</v>
      </c>
      <c r="J442" s="7" t="s">
        <v>2575</v>
      </c>
      <c r="K442" s="8" t="s">
        <v>3174</v>
      </c>
    </row>
    <row r="443" spans="1:11" x14ac:dyDescent="0.35">
      <c r="A443" s="7">
        <v>1862135</v>
      </c>
      <c r="B443" s="7" t="str">
        <f>"3328090602000004"</f>
        <v>3328090602000004</v>
      </c>
      <c r="C443" s="7" t="str">
        <f t="shared" si="12"/>
        <v>'3328090602000004</v>
      </c>
      <c r="D443" s="7" t="str">
        <f t="shared" si="13"/>
        <v>ganda</v>
      </c>
      <c r="E443" s="7" t="s">
        <v>3249</v>
      </c>
      <c r="F443" s="7" t="s">
        <v>10</v>
      </c>
      <c r="G443" s="7" t="s">
        <v>57</v>
      </c>
      <c r="H443" s="7" t="s">
        <v>18</v>
      </c>
      <c r="I443" s="7" t="s">
        <v>733</v>
      </c>
      <c r="J443" s="7" t="s">
        <v>733</v>
      </c>
      <c r="K443" s="8" t="s">
        <v>734</v>
      </c>
    </row>
    <row r="444" spans="1:11" x14ac:dyDescent="0.35">
      <c r="A444" s="7">
        <v>1399099</v>
      </c>
      <c r="B444" s="7" t="str">
        <f>"3328091310910002"</f>
        <v>3328091310910002</v>
      </c>
      <c r="C444" s="7" t="str">
        <f t="shared" si="12"/>
        <v>'3328091310910002</v>
      </c>
      <c r="D444" s="7" t="str">
        <f t="shared" si="13"/>
        <v>ganda</v>
      </c>
      <c r="E444" s="7" t="s">
        <v>3274</v>
      </c>
      <c r="F444" s="7" t="s">
        <v>10</v>
      </c>
      <c r="G444" s="7" t="s">
        <v>11</v>
      </c>
      <c r="H444" s="7" t="s">
        <v>18</v>
      </c>
      <c r="I444" s="7" t="s">
        <v>19</v>
      </c>
      <c r="J444" s="7" t="s">
        <v>2575</v>
      </c>
      <c r="K444" s="8" t="s">
        <v>1410</v>
      </c>
    </row>
    <row r="445" spans="1:11" x14ac:dyDescent="0.35">
      <c r="A445" s="7">
        <v>423776</v>
      </c>
      <c r="B445" s="7" t="str">
        <f>"3328091310910002"</f>
        <v>3328091310910002</v>
      </c>
      <c r="C445" s="7" t="str">
        <f t="shared" si="12"/>
        <v>'3328091310910002</v>
      </c>
      <c r="D445" s="7" t="str">
        <f t="shared" si="13"/>
        <v>ganda</v>
      </c>
      <c r="E445" s="7" t="s">
        <v>3275</v>
      </c>
      <c r="F445" s="7" t="s">
        <v>10</v>
      </c>
      <c r="G445" s="7" t="s">
        <v>57</v>
      </c>
      <c r="H445" s="7" t="s">
        <v>18</v>
      </c>
      <c r="I445" s="7" t="s">
        <v>268</v>
      </c>
      <c r="J445" s="7" t="s">
        <v>277</v>
      </c>
      <c r="K445" s="8" t="s">
        <v>278</v>
      </c>
    </row>
    <row r="446" spans="1:11" x14ac:dyDescent="0.35">
      <c r="A446" s="7">
        <v>1413415</v>
      </c>
      <c r="B446" s="7" t="str">
        <f>"3328092601980001"</f>
        <v>3328092601980001</v>
      </c>
      <c r="C446" s="7" t="str">
        <f t="shared" si="12"/>
        <v>'3328092601980001</v>
      </c>
      <c r="D446" s="7" t="str">
        <f t="shared" si="13"/>
        <v>ganda</v>
      </c>
      <c r="E446" s="7" t="s">
        <v>3295</v>
      </c>
      <c r="F446" s="7" t="s">
        <v>10</v>
      </c>
      <c r="G446" s="7" t="s">
        <v>11</v>
      </c>
      <c r="H446" s="7" t="s">
        <v>18</v>
      </c>
      <c r="I446" s="7" t="s">
        <v>19</v>
      </c>
      <c r="J446" s="7" t="s">
        <v>2575</v>
      </c>
      <c r="K446" s="8" t="s">
        <v>3211</v>
      </c>
    </row>
    <row r="447" spans="1:11" x14ac:dyDescent="0.35">
      <c r="A447" s="7">
        <v>445177</v>
      </c>
      <c r="B447" s="7" t="str">
        <f>"3328092601980001"</f>
        <v>3328092601980001</v>
      </c>
      <c r="C447" s="7" t="str">
        <f t="shared" si="12"/>
        <v>'3328092601980001</v>
      </c>
      <c r="D447" s="7" t="str">
        <f t="shared" si="13"/>
        <v>ganda</v>
      </c>
      <c r="E447" s="7" t="s">
        <v>3295</v>
      </c>
      <c r="F447" s="7" t="s">
        <v>10</v>
      </c>
      <c r="G447" s="7" t="s">
        <v>57</v>
      </c>
      <c r="H447" s="7" t="s">
        <v>521</v>
      </c>
      <c r="I447" s="7" t="s">
        <v>3296</v>
      </c>
      <c r="J447" s="7" t="s">
        <v>3297</v>
      </c>
      <c r="K447" s="8" t="s">
        <v>3298</v>
      </c>
    </row>
    <row r="448" spans="1:11" x14ac:dyDescent="0.35">
      <c r="A448" s="7">
        <v>1632107</v>
      </c>
      <c r="B448" s="7" t="str">
        <f>"3328094405850007"</f>
        <v>3328094405850007</v>
      </c>
      <c r="C448" s="7" t="str">
        <f t="shared" si="12"/>
        <v>'3328094405850007</v>
      </c>
      <c r="D448" s="7" t="str">
        <f t="shared" si="13"/>
        <v>ganda</v>
      </c>
      <c r="E448" s="7" t="s">
        <v>3307</v>
      </c>
      <c r="F448" s="7" t="s">
        <v>10</v>
      </c>
      <c r="G448" s="7" t="s">
        <v>11</v>
      </c>
      <c r="H448" s="7" t="s">
        <v>18</v>
      </c>
      <c r="I448" s="7" t="s">
        <v>19</v>
      </c>
      <c r="J448" s="7" t="s">
        <v>2575</v>
      </c>
      <c r="K448" s="8" t="s">
        <v>2575</v>
      </c>
    </row>
    <row r="449" spans="1:11" x14ac:dyDescent="0.35">
      <c r="A449" s="7">
        <v>423879</v>
      </c>
      <c r="B449" s="7" t="str">
        <f>"3328094405850007"</f>
        <v>3328094405850007</v>
      </c>
      <c r="C449" s="7" t="str">
        <f t="shared" si="12"/>
        <v>'3328094405850007</v>
      </c>
      <c r="D449" s="7" t="str">
        <f t="shared" si="13"/>
        <v>ganda</v>
      </c>
      <c r="E449" s="7" t="s">
        <v>3308</v>
      </c>
      <c r="F449" s="7" t="s">
        <v>10</v>
      </c>
      <c r="G449" s="7" t="s">
        <v>57</v>
      </c>
      <c r="H449" s="7" t="s">
        <v>18</v>
      </c>
      <c r="I449" s="7" t="s">
        <v>268</v>
      </c>
      <c r="J449" s="7" t="s">
        <v>277</v>
      </c>
      <c r="K449" s="8" t="s">
        <v>278</v>
      </c>
    </row>
    <row r="450" spans="1:11" x14ac:dyDescent="0.35">
      <c r="A450" s="7">
        <v>1634989</v>
      </c>
      <c r="B450" s="7" t="str">
        <f>"3328094505720008"</f>
        <v>3328094505720008</v>
      </c>
      <c r="C450" s="7" t="str">
        <f t="shared" ref="C450:C513" si="14">"'"&amp;B450</f>
        <v>'3328094505720008</v>
      </c>
      <c r="D450" s="7" t="str">
        <f t="shared" ref="D450:D513" si="15">IF(COUNTIF($C:$C,C450)&gt;1,"ganda","tidak ganda")</f>
        <v>ganda</v>
      </c>
      <c r="E450" s="7" t="s">
        <v>3310</v>
      </c>
      <c r="F450" s="7" t="s">
        <v>10</v>
      </c>
      <c r="G450" s="7" t="s">
        <v>11</v>
      </c>
      <c r="H450" s="7" t="s">
        <v>18</v>
      </c>
      <c r="I450" s="7" t="s">
        <v>19</v>
      </c>
      <c r="J450" s="7" t="s">
        <v>2575</v>
      </c>
      <c r="K450" s="8" t="s">
        <v>2575</v>
      </c>
    </row>
    <row r="451" spans="1:11" x14ac:dyDescent="0.35">
      <c r="A451" s="7">
        <v>423800</v>
      </c>
      <c r="B451" s="7" t="str">
        <f>"3328094505720008"</f>
        <v>3328094505720008</v>
      </c>
      <c r="C451" s="7" t="str">
        <f t="shared" si="14"/>
        <v>'3328094505720008</v>
      </c>
      <c r="D451" s="7" t="str">
        <f t="shared" si="15"/>
        <v>ganda</v>
      </c>
      <c r="E451" s="7" t="s">
        <v>3311</v>
      </c>
      <c r="F451" s="7" t="s">
        <v>10</v>
      </c>
      <c r="G451" s="7" t="s">
        <v>57</v>
      </c>
      <c r="H451" s="7" t="s">
        <v>18</v>
      </c>
      <c r="I451" s="7" t="s">
        <v>268</v>
      </c>
      <c r="J451" s="7" t="s">
        <v>277</v>
      </c>
      <c r="K451" s="8" t="s">
        <v>278</v>
      </c>
    </row>
    <row r="452" spans="1:11" x14ac:dyDescent="0.35">
      <c r="A452" s="7">
        <v>1406914</v>
      </c>
      <c r="B452" s="7" t="str">
        <f>"3328096008940005"</f>
        <v>3328096008940005</v>
      </c>
      <c r="C452" s="7" t="str">
        <f t="shared" si="14"/>
        <v>'3328096008940005</v>
      </c>
      <c r="D452" s="7" t="str">
        <f t="shared" si="15"/>
        <v>ganda</v>
      </c>
      <c r="E452" s="7" t="s">
        <v>3332</v>
      </c>
      <c r="F452" s="7" t="s">
        <v>10</v>
      </c>
      <c r="G452" s="7" t="s">
        <v>11</v>
      </c>
      <c r="H452" s="7" t="s">
        <v>18</v>
      </c>
      <c r="I452" s="7" t="s">
        <v>19</v>
      </c>
      <c r="J452" s="7" t="s">
        <v>2575</v>
      </c>
      <c r="K452" s="8" t="s">
        <v>3176</v>
      </c>
    </row>
    <row r="453" spans="1:11" x14ac:dyDescent="0.35">
      <c r="A453" s="7">
        <v>423779</v>
      </c>
      <c r="B453" s="7" t="str">
        <f>"3328096008940005"</f>
        <v>3328096008940005</v>
      </c>
      <c r="C453" s="7" t="str">
        <f t="shared" si="14"/>
        <v>'3328096008940005</v>
      </c>
      <c r="D453" s="7" t="str">
        <f t="shared" si="15"/>
        <v>ganda</v>
      </c>
      <c r="E453" s="7" t="s">
        <v>3333</v>
      </c>
      <c r="F453" s="7" t="s">
        <v>10</v>
      </c>
      <c r="G453" s="7" t="s">
        <v>57</v>
      </c>
      <c r="H453" s="7" t="s">
        <v>18</v>
      </c>
      <c r="I453" s="7" t="s">
        <v>268</v>
      </c>
      <c r="J453" s="7" t="s">
        <v>277</v>
      </c>
      <c r="K453" s="8" t="s">
        <v>278</v>
      </c>
    </row>
    <row r="454" spans="1:11" x14ac:dyDescent="0.35">
      <c r="A454" s="7">
        <v>1639578</v>
      </c>
      <c r="B454" s="7" t="str">
        <f>"3328140202900002"</f>
        <v>3328140202900002</v>
      </c>
      <c r="C454" s="7" t="str">
        <f t="shared" si="14"/>
        <v>'3328140202900002</v>
      </c>
      <c r="D454" s="7" t="str">
        <f t="shared" si="15"/>
        <v>ganda</v>
      </c>
      <c r="E454" s="7" t="s">
        <v>3356</v>
      </c>
      <c r="F454" s="7" t="s">
        <v>10</v>
      </c>
      <c r="G454" s="7" t="s">
        <v>11</v>
      </c>
      <c r="H454" s="7" t="s">
        <v>18</v>
      </c>
      <c r="I454" s="7" t="s">
        <v>19</v>
      </c>
      <c r="J454" s="7" t="s">
        <v>2575</v>
      </c>
      <c r="K454" s="8" t="s">
        <v>3188</v>
      </c>
    </row>
    <row r="455" spans="1:11" x14ac:dyDescent="0.35">
      <c r="A455" s="7">
        <v>252398</v>
      </c>
      <c r="B455" s="7" t="str">
        <f>"3328140202900002"</f>
        <v>3328140202900002</v>
      </c>
      <c r="C455" s="7" t="str">
        <f t="shared" si="14"/>
        <v>'3328140202900002</v>
      </c>
      <c r="D455" s="7" t="str">
        <f t="shared" si="15"/>
        <v>ganda</v>
      </c>
      <c r="E455" s="7" t="s">
        <v>3356</v>
      </c>
      <c r="F455" s="7" t="s">
        <v>10</v>
      </c>
      <c r="G455" s="7" t="s">
        <v>57</v>
      </c>
      <c r="H455" s="7" t="s">
        <v>521</v>
      </c>
      <c r="I455" s="7" t="s">
        <v>657</v>
      </c>
      <c r="J455" s="7" t="s">
        <v>658</v>
      </c>
      <c r="K455" s="8" t="s">
        <v>3357</v>
      </c>
    </row>
    <row r="456" spans="1:11" x14ac:dyDescent="0.35">
      <c r="A456" s="7">
        <v>1629920</v>
      </c>
      <c r="B456" s="7" t="str">
        <f>"7372025207830008"</f>
        <v>7372025207830008</v>
      </c>
      <c r="C456" s="7" t="str">
        <f t="shared" si="14"/>
        <v>'7372025207830008</v>
      </c>
      <c r="D456" s="7" t="str">
        <f t="shared" si="15"/>
        <v>ganda</v>
      </c>
      <c r="E456" s="7" t="s">
        <v>3395</v>
      </c>
      <c r="F456" s="7" t="s">
        <v>10</v>
      </c>
      <c r="G456" s="7" t="s">
        <v>11</v>
      </c>
      <c r="H456" s="7" t="s">
        <v>18</v>
      </c>
      <c r="I456" s="7" t="s">
        <v>19</v>
      </c>
      <c r="J456" s="7" t="s">
        <v>2575</v>
      </c>
      <c r="K456" s="8" t="s">
        <v>3379</v>
      </c>
    </row>
    <row r="457" spans="1:11" x14ac:dyDescent="0.35">
      <c r="A457" s="7">
        <v>1352175</v>
      </c>
      <c r="B457" s="7" t="str">
        <f>"7372025207830008"</f>
        <v>7372025207830008</v>
      </c>
      <c r="C457" s="7" t="str">
        <f t="shared" si="14"/>
        <v>'7372025207830008</v>
      </c>
      <c r="D457" s="7" t="str">
        <f t="shared" si="15"/>
        <v>ganda</v>
      </c>
      <c r="E457" s="7" t="s">
        <v>3396</v>
      </c>
      <c r="F457" s="7" t="s">
        <v>10</v>
      </c>
      <c r="G457" s="7" t="s">
        <v>57</v>
      </c>
      <c r="H457" s="7" t="s">
        <v>303</v>
      </c>
      <c r="I457" s="7" t="s">
        <v>608</v>
      </c>
      <c r="J457" s="7" t="s">
        <v>609</v>
      </c>
      <c r="K457" s="8" t="s">
        <v>610</v>
      </c>
    </row>
    <row r="458" spans="1:11" x14ac:dyDescent="0.35">
      <c r="A458" s="7">
        <v>2248196</v>
      </c>
      <c r="B458" s="7" t="str">
        <f>"3328100607010002"</f>
        <v>3328100607010002</v>
      </c>
      <c r="C458" s="7" t="str">
        <f t="shared" si="14"/>
        <v>'3328100607010002</v>
      </c>
      <c r="D458" s="7" t="str">
        <f t="shared" si="15"/>
        <v>ganda</v>
      </c>
      <c r="E458" s="7" t="s">
        <v>3492</v>
      </c>
      <c r="F458" s="7" t="s">
        <v>10</v>
      </c>
      <c r="G458" s="7" t="s">
        <v>11</v>
      </c>
      <c r="H458" s="7" t="s">
        <v>18</v>
      </c>
      <c r="I458" s="7" t="s">
        <v>19</v>
      </c>
      <c r="J458" s="7" t="s">
        <v>251</v>
      </c>
      <c r="K458" s="8" t="s">
        <v>3493</v>
      </c>
    </row>
    <row r="459" spans="1:11" x14ac:dyDescent="0.35">
      <c r="A459" s="7">
        <v>1350415</v>
      </c>
      <c r="B459" s="7" t="str">
        <f>"3328100607010002"</f>
        <v>3328100607010002</v>
      </c>
      <c r="C459" s="7" t="str">
        <f t="shared" si="14"/>
        <v>'3328100607010002</v>
      </c>
      <c r="D459" s="7" t="str">
        <f t="shared" si="15"/>
        <v>ganda</v>
      </c>
      <c r="E459" s="7" t="s">
        <v>3492</v>
      </c>
      <c r="F459" s="7" t="s">
        <v>10</v>
      </c>
      <c r="G459" s="7" t="s">
        <v>57</v>
      </c>
      <c r="H459" s="7" t="s">
        <v>303</v>
      </c>
      <c r="I459" s="7" t="s">
        <v>608</v>
      </c>
      <c r="J459" s="7" t="s">
        <v>609</v>
      </c>
      <c r="K459" s="8" t="s">
        <v>610</v>
      </c>
    </row>
    <row r="460" spans="1:11" x14ac:dyDescent="0.35">
      <c r="A460" s="7">
        <v>2326235</v>
      </c>
      <c r="B460" s="7" t="str">
        <f>"3328101204890007"</f>
        <v>3328101204890007</v>
      </c>
      <c r="C460" s="7" t="str">
        <f t="shared" si="14"/>
        <v>'3328101204890007</v>
      </c>
      <c r="D460" s="7" t="str">
        <f t="shared" si="15"/>
        <v>ganda</v>
      </c>
      <c r="E460" s="7" t="s">
        <v>3509</v>
      </c>
      <c r="F460" s="7" t="s">
        <v>10</v>
      </c>
      <c r="G460" s="7" t="s">
        <v>11</v>
      </c>
      <c r="H460" s="7" t="s">
        <v>18</v>
      </c>
      <c r="I460" s="7" t="s">
        <v>19</v>
      </c>
      <c r="J460" s="7" t="s">
        <v>251</v>
      </c>
      <c r="K460" s="8" t="s">
        <v>3418</v>
      </c>
    </row>
    <row r="461" spans="1:11" x14ac:dyDescent="0.35">
      <c r="A461" s="7">
        <v>2613996</v>
      </c>
      <c r="B461" s="7" t="str">
        <f>"3328101204890007"</f>
        <v>3328101204890007</v>
      </c>
      <c r="C461" s="7" t="str">
        <f t="shared" si="14"/>
        <v>'3328101204890007</v>
      </c>
      <c r="D461" s="7" t="str">
        <f t="shared" si="15"/>
        <v>ganda</v>
      </c>
      <c r="E461" s="7" t="s">
        <v>3510</v>
      </c>
      <c r="F461" s="7" t="s">
        <v>10</v>
      </c>
      <c r="G461" s="7" t="s">
        <v>57</v>
      </c>
      <c r="H461" s="7" t="s">
        <v>18</v>
      </c>
      <c r="I461" s="7" t="s">
        <v>1438</v>
      </c>
      <c r="J461" s="7" t="s">
        <v>3511</v>
      </c>
      <c r="K461" s="8" t="s">
        <v>3086</v>
      </c>
    </row>
    <row r="462" spans="1:11" x14ac:dyDescent="0.35">
      <c r="A462" s="7">
        <v>2247354</v>
      </c>
      <c r="B462" s="7" t="str">
        <f>"3328102311030002"</f>
        <v>3328102311030002</v>
      </c>
      <c r="C462" s="7" t="str">
        <f t="shared" si="14"/>
        <v>'3328102311030002</v>
      </c>
      <c r="D462" s="7" t="str">
        <f t="shared" si="15"/>
        <v>ganda</v>
      </c>
      <c r="E462" s="7" t="s">
        <v>3534</v>
      </c>
      <c r="F462" s="7" t="s">
        <v>10</v>
      </c>
      <c r="G462" s="7" t="s">
        <v>11</v>
      </c>
      <c r="H462" s="7" t="s">
        <v>18</v>
      </c>
      <c r="I462" s="7" t="s">
        <v>19</v>
      </c>
      <c r="J462" s="7" t="s">
        <v>251</v>
      </c>
      <c r="K462" s="8" t="s">
        <v>3493</v>
      </c>
    </row>
    <row r="463" spans="1:11" x14ac:dyDescent="0.35">
      <c r="A463" s="7">
        <v>1350416</v>
      </c>
      <c r="B463" s="7" t="str">
        <f>"3328102311030002"</f>
        <v>3328102311030002</v>
      </c>
      <c r="C463" s="7" t="str">
        <f t="shared" si="14"/>
        <v>'3328102311030002</v>
      </c>
      <c r="D463" s="7" t="str">
        <f t="shared" si="15"/>
        <v>ganda</v>
      </c>
      <c r="E463" s="7" t="s">
        <v>3534</v>
      </c>
      <c r="F463" s="7" t="s">
        <v>10</v>
      </c>
      <c r="G463" s="7" t="s">
        <v>57</v>
      </c>
      <c r="H463" s="7" t="s">
        <v>303</v>
      </c>
      <c r="I463" s="7" t="s">
        <v>608</v>
      </c>
      <c r="J463" s="7" t="s">
        <v>609</v>
      </c>
      <c r="K463" s="8" t="s">
        <v>610</v>
      </c>
    </row>
    <row r="464" spans="1:11" x14ac:dyDescent="0.35">
      <c r="A464" s="7">
        <v>2276536</v>
      </c>
      <c r="B464" s="7" t="str">
        <f>"3328102403790005"</f>
        <v>3328102403790005</v>
      </c>
      <c r="C464" s="7" t="str">
        <f t="shared" si="14"/>
        <v>'3328102403790005</v>
      </c>
      <c r="D464" s="7" t="str">
        <f t="shared" si="15"/>
        <v>ganda</v>
      </c>
      <c r="E464" s="7" t="s">
        <v>3535</v>
      </c>
      <c r="F464" s="7" t="s">
        <v>10</v>
      </c>
      <c r="G464" s="7" t="s">
        <v>11</v>
      </c>
      <c r="H464" s="7" t="s">
        <v>18</v>
      </c>
      <c r="I464" s="7" t="s">
        <v>19</v>
      </c>
      <c r="J464" s="7" t="s">
        <v>251</v>
      </c>
      <c r="K464" s="8" t="s">
        <v>252</v>
      </c>
    </row>
    <row r="465" spans="1:11" x14ac:dyDescent="0.35">
      <c r="A465" s="7">
        <v>423728</v>
      </c>
      <c r="B465" s="7" t="str">
        <f>"3328102403790005"</f>
        <v>3328102403790005</v>
      </c>
      <c r="C465" s="7" t="str">
        <f t="shared" si="14"/>
        <v>'3328102403790005</v>
      </c>
      <c r="D465" s="7" t="str">
        <f t="shared" si="15"/>
        <v>ganda</v>
      </c>
      <c r="E465" s="7" t="s">
        <v>3536</v>
      </c>
      <c r="F465" s="7" t="s">
        <v>10</v>
      </c>
      <c r="G465" s="7" t="s">
        <v>57</v>
      </c>
      <c r="H465" s="7" t="s">
        <v>18</v>
      </c>
      <c r="I465" s="7" t="s">
        <v>268</v>
      </c>
      <c r="J465" s="7" t="s">
        <v>277</v>
      </c>
      <c r="K465" s="8" t="s">
        <v>278</v>
      </c>
    </row>
    <row r="466" spans="1:11" x14ac:dyDescent="0.35">
      <c r="A466" s="7">
        <v>2240001</v>
      </c>
      <c r="B466" s="7" t="str">
        <f>"3328104503750006"</f>
        <v>3328104503750006</v>
      </c>
      <c r="C466" s="7" t="str">
        <f t="shared" si="14"/>
        <v>'3328104503750006</v>
      </c>
      <c r="D466" s="7" t="str">
        <f t="shared" si="15"/>
        <v>ganda</v>
      </c>
      <c r="E466" s="7" t="s">
        <v>383</v>
      </c>
      <c r="F466" s="7" t="s">
        <v>10</v>
      </c>
      <c r="G466" s="7" t="s">
        <v>11</v>
      </c>
      <c r="H466" s="7" t="s">
        <v>18</v>
      </c>
      <c r="I466" s="7" t="s">
        <v>19</v>
      </c>
      <c r="J466" s="7" t="s">
        <v>251</v>
      </c>
      <c r="K466" s="8" t="s">
        <v>3432</v>
      </c>
    </row>
    <row r="467" spans="1:11" x14ac:dyDescent="0.35">
      <c r="A467" s="7">
        <v>1349041</v>
      </c>
      <c r="B467" s="7" t="str">
        <f>"3328104503750006"</f>
        <v>3328104503750006</v>
      </c>
      <c r="C467" s="7" t="str">
        <f t="shared" si="14"/>
        <v>'3328104503750006</v>
      </c>
      <c r="D467" s="7" t="str">
        <f t="shared" si="15"/>
        <v>ganda</v>
      </c>
      <c r="E467" s="7" t="s">
        <v>3545</v>
      </c>
      <c r="F467" s="7" t="s">
        <v>10</v>
      </c>
      <c r="G467" s="7" t="s">
        <v>57</v>
      </c>
      <c r="H467" s="7" t="s">
        <v>303</v>
      </c>
      <c r="I467" s="7" t="s">
        <v>608</v>
      </c>
      <c r="J467" s="7" t="s">
        <v>609</v>
      </c>
      <c r="K467" s="8" t="s">
        <v>610</v>
      </c>
    </row>
    <row r="468" spans="1:11" x14ac:dyDescent="0.35">
      <c r="A468" s="7">
        <v>2305331</v>
      </c>
      <c r="B468" s="7" t="str">
        <f>"3328105512030008"</f>
        <v>3328105512030008</v>
      </c>
      <c r="C468" s="7" t="str">
        <f t="shared" si="14"/>
        <v>'3328105512030008</v>
      </c>
      <c r="D468" s="7" t="str">
        <f t="shared" si="15"/>
        <v>ganda</v>
      </c>
      <c r="E468" s="7" t="s">
        <v>3576</v>
      </c>
      <c r="F468" s="7" t="s">
        <v>10</v>
      </c>
      <c r="G468" s="7" t="s">
        <v>11</v>
      </c>
      <c r="H468" s="7" t="s">
        <v>18</v>
      </c>
      <c r="I468" s="7" t="s">
        <v>19</v>
      </c>
      <c r="J468" s="7" t="s">
        <v>251</v>
      </c>
      <c r="K468" s="8" t="s">
        <v>3410</v>
      </c>
    </row>
    <row r="469" spans="1:11" x14ac:dyDescent="0.35">
      <c r="A469" s="7">
        <v>761638</v>
      </c>
      <c r="B469" s="7" t="str">
        <f>"3328105512030008"</f>
        <v>3328105512030008</v>
      </c>
      <c r="C469" s="7" t="str">
        <f t="shared" si="14"/>
        <v>'3328105512030008</v>
      </c>
      <c r="D469" s="7" t="str">
        <f t="shared" si="15"/>
        <v>ganda</v>
      </c>
      <c r="E469" s="7" t="s">
        <v>3577</v>
      </c>
      <c r="F469" s="7" t="s">
        <v>10</v>
      </c>
      <c r="G469" s="7" t="s">
        <v>57</v>
      </c>
      <c r="H469" s="7" t="s">
        <v>379</v>
      </c>
      <c r="I469" s="7" t="s">
        <v>711</v>
      </c>
      <c r="J469" s="7" t="s">
        <v>1875</v>
      </c>
      <c r="K469" s="8" t="s">
        <v>1876</v>
      </c>
    </row>
    <row r="470" spans="1:11" x14ac:dyDescent="0.35">
      <c r="A470" s="7">
        <v>2279130</v>
      </c>
      <c r="B470" s="7" t="str">
        <f>"3328105909930002"</f>
        <v>3328105909930002</v>
      </c>
      <c r="C470" s="7" t="str">
        <f t="shared" si="14"/>
        <v>'3328105909930002</v>
      </c>
      <c r="D470" s="7" t="str">
        <f t="shared" si="15"/>
        <v>ganda</v>
      </c>
      <c r="E470" s="7" t="s">
        <v>3585</v>
      </c>
      <c r="F470" s="7" t="s">
        <v>10</v>
      </c>
      <c r="G470" s="7" t="s">
        <v>11</v>
      </c>
      <c r="H470" s="7" t="s">
        <v>18</v>
      </c>
      <c r="I470" s="7" t="s">
        <v>19</v>
      </c>
      <c r="J470" s="7" t="s">
        <v>251</v>
      </c>
      <c r="K470" s="8" t="s">
        <v>252</v>
      </c>
    </row>
    <row r="471" spans="1:11" x14ac:dyDescent="0.35">
      <c r="A471" s="7">
        <v>423841</v>
      </c>
      <c r="B471" s="7" t="str">
        <f>"3328105909930002"</f>
        <v>3328105909930002</v>
      </c>
      <c r="C471" s="7" t="str">
        <f t="shared" si="14"/>
        <v>'3328105909930002</v>
      </c>
      <c r="D471" s="7" t="str">
        <f t="shared" si="15"/>
        <v>ganda</v>
      </c>
      <c r="E471" s="7" t="s">
        <v>3586</v>
      </c>
      <c r="F471" s="7" t="s">
        <v>10</v>
      </c>
      <c r="G471" s="7" t="s">
        <v>57</v>
      </c>
      <c r="H471" s="7" t="s">
        <v>18</v>
      </c>
      <c r="I471" s="7" t="s">
        <v>268</v>
      </c>
      <c r="J471" s="7" t="s">
        <v>277</v>
      </c>
      <c r="K471" s="8" t="s">
        <v>278</v>
      </c>
    </row>
    <row r="472" spans="1:11" x14ac:dyDescent="0.35">
      <c r="A472" s="7">
        <v>2303803</v>
      </c>
      <c r="B472" s="7" t="str">
        <f>"3328106206920001"</f>
        <v>3328106206920001</v>
      </c>
      <c r="C472" s="7" t="str">
        <f t="shared" si="14"/>
        <v>'3328106206920001</v>
      </c>
      <c r="D472" s="7" t="str">
        <f t="shared" si="15"/>
        <v>ganda</v>
      </c>
      <c r="E472" s="7" t="s">
        <v>3589</v>
      </c>
      <c r="F472" s="7" t="s">
        <v>10</v>
      </c>
      <c r="G472" s="7" t="s">
        <v>11</v>
      </c>
      <c r="H472" s="7" t="s">
        <v>18</v>
      </c>
      <c r="I472" s="7" t="s">
        <v>19</v>
      </c>
      <c r="J472" s="7" t="s">
        <v>251</v>
      </c>
      <c r="K472" s="8" t="s">
        <v>3410</v>
      </c>
    </row>
    <row r="473" spans="1:11" x14ac:dyDescent="0.35">
      <c r="A473" s="7">
        <v>762807</v>
      </c>
      <c r="B473" s="7" t="str">
        <f>"3328106206920001"</f>
        <v>3328106206920001</v>
      </c>
      <c r="C473" s="7" t="str">
        <f t="shared" si="14"/>
        <v>'3328106206920001</v>
      </c>
      <c r="D473" s="7" t="str">
        <f t="shared" si="15"/>
        <v>ganda</v>
      </c>
      <c r="E473" s="7" t="s">
        <v>3590</v>
      </c>
      <c r="F473" s="7" t="s">
        <v>10</v>
      </c>
      <c r="G473" s="7" t="s">
        <v>57</v>
      </c>
      <c r="H473" s="7" t="s">
        <v>379</v>
      </c>
      <c r="I473" s="7" t="s">
        <v>711</v>
      </c>
      <c r="J473" s="7" t="s">
        <v>718</v>
      </c>
      <c r="K473" s="8" t="s">
        <v>719</v>
      </c>
    </row>
    <row r="474" spans="1:11" x14ac:dyDescent="0.35">
      <c r="A474" s="7">
        <v>2091986</v>
      </c>
      <c r="B474" s="7" t="str">
        <f>"1301032412970003"</f>
        <v>1301032412970003</v>
      </c>
      <c r="C474" s="7" t="str">
        <f t="shared" si="14"/>
        <v>'1301032412970003</v>
      </c>
      <c r="D474" s="7" t="str">
        <f t="shared" si="15"/>
        <v>ganda</v>
      </c>
      <c r="E474" s="7" t="s">
        <v>3659</v>
      </c>
      <c r="F474" s="7" t="s">
        <v>10</v>
      </c>
      <c r="G474" s="7" t="s">
        <v>11</v>
      </c>
      <c r="H474" s="7" t="s">
        <v>18</v>
      </c>
      <c r="I474" s="7" t="s">
        <v>19</v>
      </c>
      <c r="J474" s="7" t="s">
        <v>348</v>
      </c>
      <c r="K474" s="8" t="s">
        <v>3660</v>
      </c>
    </row>
    <row r="475" spans="1:11" x14ac:dyDescent="0.35">
      <c r="A475" s="7">
        <v>423792</v>
      </c>
      <c r="B475" s="7" t="str">
        <f>"1301032412970003"</f>
        <v>1301032412970003</v>
      </c>
      <c r="C475" s="7" t="str">
        <f t="shared" si="14"/>
        <v>'1301032412970003</v>
      </c>
      <c r="D475" s="7" t="str">
        <f t="shared" si="15"/>
        <v>ganda</v>
      </c>
      <c r="E475" s="7" t="s">
        <v>3661</v>
      </c>
      <c r="F475" s="7" t="s">
        <v>10</v>
      </c>
      <c r="G475" s="7" t="s">
        <v>57</v>
      </c>
      <c r="H475" s="7" t="s">
        <v>18</v>
      </c>
      <c r="I475" s="7" t="s">
        <v>268</v>
      </c>
      <c r="J475" s="7" t="s">
        <v>277</v>
      </c>
      <c r="K475" s="8" t="s">
        <v>278</v>
      </c>
    </row>
    <row r="476" spans="1:11" x14ac:dyDescent="0.35">
      <c r="A476" s="7">
        <v>2112682</v>
      </c>
      <c r="B476" s="7" t="str">
        <f>"3328110107040076"</f>
        <v>3328110107040076</v>
      </c>
      <c r="C476" s="7" t="str">
        <f t="shared" si="14"/>
        <v>'3328110107040076</v>
      </c>
      <c r="D476" s="7" t="str">
        <f t="shared" si="15"/>
        <v>ganda</v>
      </c>
      <c r="E476" s="7" t="s">
        <v>3728</v>
      </c>
      <c r="F476" s="7" t="s">
        <v>10</v>
      </c>
      <c r="G476" s="7" t="s">
        <v>11</v>
      </c>
      <c r="H476" s="7" t="s">
        <v>18</v>
      </c>
      <c r="I476" s="7" t="s">
        <v>19</v>
      </c>
      <c r="J476" s="7" t="s">
        <v>348</v>
      </c>
      <c r="K476" s="8" t="s">
        <v>1777</v>
      </c>
    </row>
    <row r="477" spans="1:11" x14ac:dyDescent="0.35">
      <c r="A477" s="7">
        <v>1351105</v>
      </c>
      <c r="B477" s="7" t="str">
        <f>"3328110107040076"</f>
        <v>3328110107040076</v>
      </c>
      <c r="C477" s="7" t="str">
        <f t="shared" si="14"/>
        <v>'3328110107040076</v>
      </c>
      <c r="D477" s="7" t="str">
        <f t="shared" si="15"/>
        <v>ganda</v>
      </c>
      <c r="E477" s="7" t="s">
        <v>3728</v>
      </c>
      <c r="F477" s="7" t="s">
        <v>10</v>
      </c>
      <c r="G477" s="7" t="s">
        <v>57</v>
      </c>
      <c r="H477" s="7" t="s">
        <v>303</v>
      </c>
      <c r="I477" s="7" t="s">
        <v>608</v>
      </c>
      <c r="J477" s="7" t="s">
        <v>609</v>
      </c>
      <c r="K477" s="8" t="s">
        <v>610</v>
      </c>
    </row>
    <row r="478" spans="1:11" x14ac:dyDescent="0.35">
      <c r="A478" s="7">
        <v>2146663</v>
      </c>
      <c r="B478" s="7" t="str">
        <f>"3328110109040008"</f>
        <v>3328110109040008</v>
      </c>
      <c r="C478" s="7" t="str">
        <f t="shared" si="14"/>
        <v>'3328110109040008</v>
      </c>
      <c r="D478" s="7" t="str">
        <f t="shared" si="15"/>
        <v>ganda</v>
      </c>
      <c r="E478" s="7" t="s">
        <v>3729</v>
      </c>
      <c r="F478" s="7" t="s">
        <v>10</v>
      </c>
      <c r="G478" s="7" t="s">
        <v>11</v>
      </c>
      <c r="H478" s="7" t="s">
        <v>18</v>
      </c>
      <c r="I478" s="7" t="s">
        <v>19</v>
      </c>
      <c r="J478" s="7" t="s">
        <v>348</v>
      </c>
      <c r="K478" s="8" t="s">
        <v>3730</v>
      </c>
    </row>
    <row r="479" spans="1:11" x14ac:dyDescent="0.35">
      <c r="A479" s="7">
        <v>1351100</v>
      </c>
      <c r="B479" s="7" t="str">
        <f>"3328110109040008"</f>
        <v>3328110109040008</v>
      </c>
      <c r="C479" s="7" t="str">
        <f t="shared" si="14"/>
        <v>'3328110109040008</v>
      </c>
      <c r="D479" s="7" t="str">
        <f t="shared" si="15"/>
        <v>ganda</v>
      </c>
      <c r="E479" s="7" t="s">
        <v>3729</v>
      </c>
      <c r="F479" s="7" t="s">
        <v>10</v>
      </c>
      <c r="G479" s="7" t="s">
        <v>57</v>
      </c>
      <c r="H479" s="7" t="s">
        <v>303</v>
      </c>
      <c r="I479" s="7" t="s">
        <v>608</v>
      </c>
      <c r="J479" s="7" t="s">
        <v>609</v>
      </c>
      <c r="K479" s="8" t="s">
        <v>610</v>
      </c>
    </row>
    <row r="480" spans="1:11" x14ac:dyDescent="0.35">
      <c r="A480" s="7">
        <v>2380965</v>
      </c>
      <c r="B480" s="7" t="str">
        <f>"3328110501870013"</f>
        <v>3328110501870013</v>
      </c>
      <c r="C480" s="7" t="str">
        <f t="shared" si="14"/>
        <v>'3328110501870013</v>
      </c>
      <c r="D480" s="7" t="str">
        <f t="shared" si="15"/>
        <v>ganda</v>
      </c>
      <c r="E480" s="7" t="s">
        <v>3732</v>
      </c>
      <c r="F480" s="7" t="s">
        <v>10</v>
      </c>
      <c r="G480" s="7" t="s">
        <v>11</v>
      </c>
      <c r="H480" s="7" t="s">
        <v>18</v>
      </c>
      <c r="I480" s="7" t="s">
        <v>19</v>
      </c>
      <c r="J480" s="7" t="s">
        <v>348</v>
      </c>
      <c r="K480" s="8" t="s">
        <v>348</v>
      </c>
    </row>
    <row r="481" spans="1:11" x14ac:dyDescent="0.35">
      <c r="A481" s="7">
        <v>2613999</v>
      </c>
      <c r="B481" s="7" t="str">
        <f>"3328110501870013"</f>
        <v>3328110501870013</v>
      </c>
      <c r="C481" s="7" t="str">
        <f t="shared" si="14"/>
        <v>'3328110501870013</v>
      </c>
      <c r="D481" s="7" t="str">
        <f t="shared" si="15"/>
        <v>ganda</v>
      </c>
      <c r="E481" s="7" t="s">
        <v>3733</v>
      </c>
      <c r="F481" s="7" t="s">
        <v>10</v>
      </c>
      <c r="G481" s="7" t="s">
        <v>57</v>
      </c>
      <c r="H481" s="7" t="s">
        <v>18</v>
      </c>
      <c r="I481" s="7" t="s">
        <v>1438</v>
      </c>
      <c r="J481" s="7" t="s">
        <v>3511</v>
      </c>
      <c r="K481" s="8" t="s">
        <v>3086</v>
      </c>
    </row>
    <row r="482" spans="1:11" x14ac:dyDescent="0.35">
      <c r="A482" s="7">
        <v>2021806</v>
      </c>
      <c r="B482" s="7" t="str">
        <f>"3328111110910015"</f>
        <v>3328111110910015</v>
      </c>
      <c r="C482" s="7" t="str">
        <f t="shared" si="14"/>
        <v>'3328111110910015</v>
      </c>
      <c r="D482" s="7" t="str">
        <f t="shared" si="15"/>
        <v>ganda</v>
      </c>
      <c r="E482" s="7" t="s">
        <v>3766</v>
      </c>
      <c r="F482" s="7" t="s">
        <v>10</v>
      </c>
      <c r="G482" s="7" t="s">
        <v>11</v>
      </c>
      <c r="H482" s="7" t="s">
        <v>18</v>
      </c>
      <c r="I482" s="7" t="s">
        <v>19</v>
      </c>
      <c r="J482" s="7" t="s">
        <v>348</v>
      </c>
      <c r="K482" s="8" t="s">
        <v>349</v>
      </c>
    </row>
    <row r="483" spans="1:11" x14ac:dyDescent="0.35">
      <c r="A483" s="7">
        <v>2613991</v>
      </c>
      <c r="B483" s="7" t="str">
        <f>"3328111110910015"</f>
        <v>3328111110910015</v>
      </c>
      <c r="C483" s="7" t="str">
        <f t="shared" si="14"/>
        <v>'3328111110910015</v>
      </c>
      <c r="D483" s="7" t="str">
        <f t="shared" si="15"/>
        <v>ganda</v>
      </c>
      <c r="E483" s="7" t="s">
        <v>3767</v>
      </c>
      <c r="F483" s="7" t="s">
        <v>10</v>
      </c>
      <c r="G483" s="7" t="s">
        <v>57</v>
      </c>
      <c r="H483" s="7" t="s">
        <v>18</v>
      </c>
      <c r="I483" s="7" t="s">
        <v>1438</v>
      </c>
      <c r="J483" s="7" t="s">
        <v>3511</v>
      </c>
      <c r="K483" s="8" t="s">
        <v>3086</v>
      </c>
    </row>
    <row r="484" spans="1:11" x14ac:dyDescent="0.35">
      <c r="A484" s="7">
        <v>2095130</v>
      </c>
      <c r="B484" s="7" t="str">
        <f>"3328111205030006"</f>
        <v>3328111205030006</v>
      </c>
      <c r="C484" s="7" t="str">
        <f t="shared" si="14"/>
        <v>'3328111205030006</v>
      </c>
      <c r="D484" s="7" t="str">
        <f t="shared" si="15"/>
        <v>ganda</v>
      </c>
      <c r="E484" s="7" t="s">
        <v>3768</v>
      </c>
      <c r="F484" s="7" t="s">
        <v>10</v>
      </c>
      <c r="G484" s="7" t="s">
        <v>11</v>
      </c>
      <c r="H484" s="7" t="s">
        <v>18</v>
      </c>
      <c r="I484" s="7" t="s">
        <v>19</v>
      </c>
      <c r="J484" s="7" t="s">
        <v>348</v>
      </c>
      <c r="K484" s="8" t="s">
        <v>3660</v>
      </c>
    </row>
    <row r="485" spans="1:11" x14ac:dyDescent="0.35">
      <c r="A485" s="7">
        <v>1351116</v>
      </c>
      <c r="B485" s="7" t="str">
        <f>"3328111205030006"</f>
        <v>3328111205030006</v>
      </c>
      <c r="C485" s="7" t="str">
        <f t="shared" si="14"/>
        <v>'3328111205030006</v>
      </c>
      <c r="D485" s="7" t="str">
        <f t="shared" si="15"/>
        <v>ganda</v>
      </c>
      <c r="E485" s="7" t="s">
        <v>3768</v>
      </c>
      <c r="F485" s="7" t="s">
        <v>10</v>
      </c>
      <c r="G485" s="7" t="s">
        <v>57</v>
      </c>
      <c r="H485" s="7" t="s">
        <v>303</v>
      </c>
      <c r="I485" s="7" t="s">
        <v>608</v>
      </c>
      <c r="J485" s="7" t="s">
        <v>609</v>
      </c>
      <c r="K485" s="8" t="s">
        <v>610</v>
      </c>
    </row>
    <row r="486" spans="1:11" x14ac:dyDescent="0.35">
      <c r="A486" s="7">
        <v>2114824</v>
      </c>
      <c r="B486" s="7" t="str">
        <f>"3328111311040003"</f>
        <v>3328111311040003</v>
      </c>
      <c r="C486" s="7" t="str">
        <f t="shared" si="14"/>
        <v>'3328111311040003</v>
      </c>
      <c r="D486" s="7" t="str">
        <f t="shared" si="15"/>
        <v>ganda</v>
      </c>
      <c r="E486" s="7" t="s">
        <v>3774</v>
      </c>
      <c r="F486" s="7" t="s">
        <v>10</v>
      </c>
      <c r="G486" s="7" t="s">
        <v>11</v>
      </c>
      <c r="H486" s="7" t="s">
        <v>18</v>
      </c>
      <c r="I486" s="7" t="s">
        <v>19</v>
      </c>
      <c r="J486" s="7" t="s">
        <v>348</v>
      </c>
      <c r="K486" s="8" t="s">
        <v>1777</v>
      </c>
    </row>
    <row r="487" spans="1:11" x14ac:dyDescent="0.35">
      <c r="A487" s="7">
        <v>763972</v>
      </c>
      <c r="B487" s="7" t="str">
        <f>"3328111311040003"</f>
        <v>3328111311040003</v>
      </c>
      <c r="C487" s="7" t="str">
        <f t="shared" si="14"/>
        <v>'3328111311040003</v>
      </c>
      <c r="D487" s="7" t="str">
        <f t="shared" si="15"/>
        <v>ganda</v>
      </c>
      <c r="E487" s="7" t="s">
        <v>3775</v>
      </c>
      <c r="F487" s="7" t="s">
        <v>10</v>
      </c>
      <c r="G487" s="7" t="s">
        <v>57</v>
      </c>
      <c r="H487" s="7" t="s">
        <v>379</v>
      </c>
      <c r="I487" s="7" t="s">
        <v>711</v>
      </c>
      <c r="J487" s="7" t="s">
        <v>718</v>
      </c>
      <c r="K487" s="8" t="s">
        <v>3776</v>
      </c>
    </row>
    <row r="488" spans="1:11" x14ac:dyDescent="0.35">
      <c r="A488" s="7">
        <v>2110848</v>
      </c>
      <c r="B488" s="7" t="str">
        <f>"3328111401010007"</f>
        <v>3328111401010007</v>
      </c>
      <c r="C488" s="7" t="str">
        <f t="shared" si="14"/>
        <v>'3328111401010007</v>
      </c>
      <c r="D488" s="7" t="str">
        <f t="shared" si="15"/>
        <v>ganda</v>
      </c>
      <c r="E488" s="7" t="s">
        <v>3777</v>
      </c>
      <c r="F488" s="7" t="s">
        <v>10</v>
      </c>
      <c r="G488" s="7" t="s">
        <v>11</v>
      </c>
      <c r="H488" s="7" t="s">
        <v>18</v>
      </c>
      <c r="I488" s="7" t="s">
        <v>19</v>
      </c>
      <c r="J488" s="7" t="s">
        <v>348</v>
      </c>
      <c r="K488" s="8" t="s">
        <v>1777</v>
      </c>
    </row>
    <row r="489" spans="1:11" x14ac:dyDescent="0.35">
      <c r="A489" s="7">
        <v>1351103</v>
      </c>
      <c r="B489" s="7" t="str">
        <f>"3328111401010007"</f>
        <v>3328111401010007</v>
      </c>
      <c r="C489" s="7" t="str">
        <f t="shared" si="14"/>
        <v>'3328111401010007</v>
      </c>
      <c r="D489" s="7" t="str">
        <f t="shared" si="15"/>
        <v>ganda</v>
      </c>
      <c r="E489" s="7" t="s">
        <v>3777</v>
      </c>
      <c r="F489" s="7" t="s">
        <v>10</v>
      </c>
      <c r="G489" s="7" t="s">
        <v>57</v>
      </c>
      <c r="H489" s="7" t="s">
        <v>303</v>
      </c>
      <c r="I489" s="7" t="s">
        <v>608</v>
      </c>
      <c r="J489" s="7" t="s">
        <v>609</v>
      </c>
      <c r="K489" s="8" t="s">
        <v>610</v>
      </c>
    </row>
    <row r="490" spans="1:11" x14ac:dyDescent="0.35">
      <c r="A490" s="7">
        <v>2111365</v>
      </c>
      <c r="B490" s="7" t="str">
        <f>"3328111405040005"</f>
        <v>3328111405040005</v>
      </c>
      <c r="C490" s="7" t="str">
        <f t="shared" si="14"/>
        <v>'3328111405040005</v>
      </c>
      <c r="D490" s="7" t="str">
        <f t="shared" si="15"/>
        <v>ganda</v>
      </c>
      <c r="E490" s="7" t="s">
        <v>3778</v>
      </c>
      <c r="F490" s="7" t="s">
        <v>10</v>
      </c>
      <c r="G490" s="7" t="s">
        <v>11</v>
      </c>
      <c r="H490" s="7" t="s">
        <v>18</v>
      </c>
      <c r="I490" s="7" t="s">
        <v>19</v>
      </c>
      <c r="J490" s="7" t="s">
        <v>348</v>
      </c>
      <c r="K490" s="8" t="s">
        <v>1777</v>
      </c>
    </row>
    <row r="491" spans="1:11" x14ac:dyDescent="0.35">
      <c r="A491" s="7">
        <v>1351104</v>
      </c>
      <c r="B491" s="7" t="str">
        <f>"3328111405040005"</f>
        <v>3328111405040005</v>
      </c>
      <c r="C491" s="7" t="str">
        <f t="shared" si="14"/>
        <v>'3328111405040005</v>
      </c>
      <c r="D491" s="7" t="str">
        <f t="shared" si="15"/>
        <v>ganda</v>
      </c>
      <c r="E491" s="7" t="s">
        <v>3778</v>
      </c>
      <c r="F491" s="7" t="s">
        <v>10</v>
      </c>
      <c r="G491" s="7" t="s">
        <v>57</v>
      </c>
      <c r="H491" s="7" t="s">
        <v>303</v>
      </c>
      <c r="I491" s="7" t="s">
        <v>608</v>
      </c>
      <c r="J491" s="7" t="s">
        <v>609</v>
      </c>
      <c r="K491" s="8" t="s">
        <v>610</v>
      </c>
    </row>
    <row r="492" spans="1:11" x14ac:dyDescent="0.35">
      <c r="A492" s="7">
        <v>2379169</v>
      </c>
      <c r="B492" s="7" t="str">
        <f>"3328111501980007"</f>
        <v>3328111501980007</v>
      </c>
      <c r="C492" s="7" t="str">
        <f t="shared" si="14"/>
        <v>'3328111501980007</v>
      </c>
      <c r="D492" s="7" t="str">
        <f t="shared" si="15"/>
        <v>ganda</v>
      </c>
      <c r="E492" s="7" t="s">
        <v>3788</v>
      </c>
      <c r="F492" s="7" t="s">
        <v>10</v>
      </c>
      <c r="G492" s="7" t="s">
        <v>11</v>
      </c>
      <c r="H492" s="7" t="s">
        <v>18</v>
      </c>
      <c r="I492" s="7" t="s">
        <v>19</v>
      </c>
      <c r="J492" s="7" t="s">
        <v>348</v>
      </c>
      <c r="K492" s="8" t="s">
        <v>348</v>
      </c>
    </row>
    <row r="493" spans="1:11" x14ac:dyDescent="0.35">
      <c r="A493" s="7">
        <v>423840</v>
      </c>
      <c r="B493" s="7" t="str">
        <f>"3328111501980007"</f>
        <v>3328111501980007</v>
      </c>
      <c r="C493" s="7" t="str">
        <f t="shared" si="14"/>
        <v>'3328111501980007</v>
      </c>
      <c r="D493" s="7" t="str">
        <f t="shared" si="15"/>
        <v>ganda</v>
      </c>
      <c r="E493" s="7" t="s">
        <v>3789</v>
      </c>
      <c r="F493" s="7" t="s">
        <v>10</v>
      </c>
      <c r="G493" s="7" t="s">
        <v>57</v>
      </c>
      <c r="H493" s="7" t="s">
        <v>18</v>
      </c>
      <c r="I493" s="7" t="s">
        <v>268</v>
      </c>
      <c r="J493" s="7" t="s">
        <v>277</v>
      </c>
      <c r="K493" s="8" t="s">
        <v>278</v>
      </c>
    </row>
    <row r="494" spans="1:11" x14ac:dyDescent="0.35">
      <c r="A494" s="7">
        <v>2119123</v>
      </c>
      <c r="B494" s="7" t="str">
        <f>"3328111507870018"</f>
        <v>3328111507870018</v>
      </c>
      <c r="C494" s="7" t="str">
        <f t="shared" si="14"/>
        <v>'3328111507870018</v>
      </c>
      <c r="D494" s="7" t="str">
        <f t="shared" si="15"/>
        <v>ganda</v>
      </c>
      <c r="E494" s="7" t="s">
        <v>3791</v>
      </c>
      <c r="F494" s="7" t="s">
        <v>10</v>
      </c>
      <c r="G494" s="7" t="s">
        <v>11</v>
      </c>
      <c r="H494" s="7" t="s">
        <v>18</v>
      </c>
      <c r="I494" s="7" t="s">
        <v>19</v>
      </c>
      <c r="J494" s="7" t="s">
        <v>348</v>
      </c>
      <c r="K494" s="8" t="s">
        <v>1777</v>
      </c>
    </row>
    <row r="495" spans="1:11" x14ac:dyDescent="0.35">
      <c r="A495" s="7">
        <v>423863</v>
      </c>
      <c r="B495" s="7" t="str">
        <f>"3328111507870018"</f>
        <v>3328111507870018</v>
      </c>
      <c r="C495" s="7" t="str">
        <f t="shared" si="14"/>
        <v>'3328111507870018</v>
      </c>
      <c r="D495" s="7" t="str">
        <f t="shared" si="15"/>
        <v>ganda</v>
      </c>
      <c r="E495" s="7" t="s">
        <v>3792</v>
      </c>
      <c r="F495" s="7" t="s">
        <v>10</v>
      </c>
      <c r="G495" s="7" t="s">
        <v>57</v>
      </c>
      <c r="H495" s="7" t="s">
        <v>18</v>
      </c>
      <c r="I495" s="7" t="s">
        <v>268</v>
      </c>
      <c r="J495" s="7" t="s">
        <v>277</v>
      </c>
      <c r="K495" s="8" t="s">
        <v>278</v>
      </c>
    </row>
    <row r="496" spans="1:11" x14ac:dyDescent="0.35">
      <c r="A496" s="7">
        <v>2125200</v>
      </c>
      <c r="B496" s="7" t="str">
        <f>"3328111612040007"</f>
        <v>3328111612040007</v>
      </c>
      <c r="C496" s="7" t="str">
        <f t="shared" si="14"/>
        <v>'3328111612040007</v>
      </c>
      <c r="D496" s="7" t="str">
        <f t="shared" si="15"/>
        <v>ganda</v>
      </c>
      <c r="E496" s="7" t="s">
        <v>3796</v>
      </c>
      <c r="F496" s="7" t="s">
        <v>10</v>
      </c>
      <c r="G496" s="7" t="s">
        <v>11</v>
      </c>
      <c r="H496" s="7" t="s">
        <v>18</v>
      </c>
      <c r="I496" s="7" t="s">
        <v>19</v>
      </c>
      <c r="J496" s="7" t="s">
        <v>348</v>
      </c>
      <c r="K496" s="8" t="s">
        <v>1644</v>
      </c>
    </row>
    <row r="497" spans="1:11" x14ac:dyDescent="0.35">
      <c r="A497" s="7">
        <v>1351095</v>
      </c>
      <c r="B497" s="7" t="str">
        <f>"3328111612040007"</f>
        <v>3328111612040007</v>
      </c>
      <c r="C497" s="7" t="str">
        <f t="shared" si="14"/>
        <v>'3328111612040007</v>
      </c>
      <c r="D497" s="7" t="str">
        <f t="shared" si="15"/>
        <v>ganda</v>
      </c>
      <c r="E497" s="7" t="s">
        <v>3796</v>
      </c>
      <c r="F497" s="7" t="s">
        <v>10</v>
      </c>
      <c r="G497" s="7" t="s">
        <v>57</v>
      </c>
      <c r="H497" s="7" t="s">
        <v>303</v>
      </c>
      <c r="I497" s="7" t="s">
        <v>608</v>
      </c>
      <c r="J497" s="7" t="s">
        <v>609</v>
      </c>
      <c r="K497" s="8" t="s">
        <v>610</v>
      </c>
    </row>
    <row r="498" spans="1:11" x14ac:dyDescent="0.35">
      <c r="A498" s="7">
        <v>2092276</v>
      </c>
      <c r="B498" s="7" t="str">
        <f>"3328112204030004"</f>
        <v>3328112204030004</v>
      </c>
      <c r="C498" s="7" t="str">
        <f t="shared" si="14"/>
        <v>'3328112204030004</v>
      </c>
      <c r="D498" s="7" t="str">
        <f t="shared" si="15"/>
        <v>ganda</v>
      </c>
      <c r="E498" s="7" t="s">
        <v>3809</v>
      </c>
      <c r="F498" s="7" t="s">
        <v>10</v>
      </c>
      <c r="G498" s="7" t="s">
        <v>11</v>
      </c>
      <c r="H498" s="7" t="s">
        <v>18</v>
      </c>
      <c r="I498" s="7" t="s">
        <v>19</v>
      </c>
      <c r="J498" s="7" t="s">
        <v>348</v>
      </c>
      <c r="K498" s="8" t="s">
        <v>3660</v>
      </c>
    </row>
    <row r="499" spans="1:11" x14ac:dyDescent="0.35">
      <c r="A499" s="7">
        <v>1351087</v>
      </c>
      <c r="B499" s="7" t="str">
        <f>"3328112204030004"</f>
        <v>3328112204030004</v>
      </c>
      <c r="C499" s="7" t="str">
        <f t="shared" si="14"/>
        <v>'3328112204030004</v>
      </c>
      <c r="D499" s="7" t="str">
        <f t="shared" si="15"/>
        <v>ganda</v>
      </c>
      <c r="E499" s="7" t="s">
        <v>3809</v>
      </c>
      <c r="F499" s="7" t="s">
        <v>10</v>
      </c>
      <c r="G499" s="7" t="s">
        <v>57</v>
      </c>
      <c r="H499" s="7" t="s">
        <v>303</v>
      </c>
      <c r="I499" s="7" t="s">
        <v>608</v>
      </c>
      <c r="J499" s="7" t="s">
        <v>609</v>
      </c>
      <c r="K499" s="8" t="s">
        <v>610</v>
      </c>
    </row>
    <row r="500" spans="1:11" x14ac:dyDescent="0.35">
      <c r="A500" s="7">
        <v>2168540</v>
      </c>
      <c r="B500" s="7" t="str">
        <f>"3328112405020005"</f>
        <v>3328112405020005</v>
      </c>
      <c r="C500" s="7" t="str">
        <f t="shared" si="14"/>
        <v>'3328112405020005</v>
      </c>
      <c r="D500" s="7" t="str">
        <f t="shared" si="15"/>
        <v>ganda</v>
      </c>
      <c r="E500" s="7" t="s">
        <v>3817</v>
      </c>
      <c r="F500" s="7" t="s">
        <v>10</v>
      </c>
      <c r="G500" s="7" t="s">
        <v>11</v>
      </c>
      <c r="H500" s="7" t="s">
        <v>18</v>
      </c>
      <c r="I500" s="7" t="s">
        <v>19</v>
      </c>
      <c r="J500" s="7" t="s">
        <v>348</v>
      </c>
      <c r="K500" s="8" t="s">
        <v>3723</v>
      </c>
    </row>
    <row r="501" spans="1:11" x14ac:dyDescent="0.35">
      <c r="A501" s="7">
        <v>1351107</v>
      </c>
      <c r="B501" s="7" t="str">
        <f>"3328112405020005"</f>
        <v>3328112405020005</v>
      </c>
      <c r="C501" s="7" t="str">
        <f t="shared" si="14"/>
        <v>'3328112405020005</v>
      </c>
      <c r="D501" s="7" t="str">
        <f t="shared" si="15"/>
        <v>ganda</v>
      </c>
      <c r="E501" s="7" t="s">
        <v>3818</v>
      </c>
      <c r="F501" s="7" t="s">
        <v>10</v>
      </c>
      <c r="G501" s="7" t="s">
        <v>57</v>
      </c>
      <c r="H501" s="7" t="s">
        <v>303</v>
      </c>
      <c r="I501" s="7" t="s">
        <v>608</v>
      </c>
      <c r="J501" s="7" t="s">
        <v>609</v>
      </c>
      <c r="K501" s="8" t="s">
        <v>610</v>
      </c>
    </row>
    <row r="502" spans="1:11" x14ac:dyDescent="0.35">
      <c r="A502" s="7">
        <v>2170113</v>
      </c>
      <c r="B502" s="7" t="str">
        <f>"3328112712030004"</f>
        <v>3328112712030004</v>
      </c>
      <c r="C502" s="7" t="str">
        <f t="shared" si="14"/>
        <v>'3328112712030004</v>
      </c>
      <c r="D502" s="7" t="str">
        <f t="shared" si="15"/>
        <v>ganda</v>
      </c>
      <c r="E502" s="7" t="s">
        <v>3829</v>
      </c>
      <c r="F502" s="7" t="s">
        <v>10</v>
      </c>
      <c r="G502" s="7" t="s">
        <v>11</v>
      </c>
      <c r="H502" s="7" t="s">
        <v>18</v>
      </c>
      <c r="I502" s="7" t="s">
        <v>19</v>
      </c>
      <c r="J502" s="7" t="s">
        <v>348</v>
      </c>
      <c r="K502" s="8" t="s">
        <v>3723</v>
      </c>
    </row>
    <row r="503" spans="1:11" x14ac:dyDescent="0.35">
      <c r="A503" s="7">
        <v>1351108</v>
      </c>
      <c r="B503" s="7" t="str">
        <f>"3328112712030004"</f>
        <v>3328112712030004</v>
      </c>
      <c r="C503" s="7" t="str">
        <f t="shared" si="14"/>
        <v>'3328112712030004</v>
      </c>
      <c r="D503" s="7" t="str">
        <f t="shared" si="15"/>
        <v>ganda</v>
      </c>
      <c r="E503" s="7" t="s">
        <v>3829</v>
      </c>
      <c r="F503" s="7" t="s">
        <v>10</v>
      </c>
      <c r="G503" s="7" t="s">
        <v>57</v>
      </c>
      <c r="H503" s="7" t="s">
        <v>303</v>
      </c>
      <c r="I503" s="7" t="s">
        <v>608</v>
      </c>
      <c r="J503" s="7" t="s">
        <v>609</v>
      </c>
      <c r="K503" s="8" t="s">
        <v>610</v>
      </c>
    </row>
    <row r="504" spans="1:11" x14ac:dyDescent="0.35">
      <c r="A504" s="7">
        <v>2086753</v>
      </c>
      <c r="B504" s="7" t="str">
        <f>"3328112905050010"</f>
        <v>3328112905050010</v>
      </c>
      <c r="C504" s="7" t="str">
        <f t="shared" si="14"/>
        <v>'3328112905050010</v>
      </c>
      <c r="D504" s="7" t="str">
        <f t="shared" si="15"/>
        <v>ganda</v>
      </c>
      <c r="E504" s="7" t="s">
        <v>3832</v>
      </c>
      <c r="F504" s="7" t="s">
        <v>10</v>
      </c>
      <c r="G504" s="7" t="s">
        <v>11</v>
      </c>
      <c r="H504" s="7" t="s">
        <v>18</v>
      </c>
      <c r="I504" s="7" t="s">
        <v>19</v>
      </c>
      <c r="J504" s="7" t="s">
        <v>348</v>
      </c>
      <c r="K504" s="8" t="s">
        <v>3679</v>
      </c>
    </row>
    <row r="505" spans="1:11" x14ac:dyDescent="0.35">
      <c r="A505" s="7">
        <v>1351102</v>
      </c>
      <c r="B505" s="7" t="str">
        <f>"3328112905050010"</f>
        <v>3328112905050010</v>
      </c>
      <c r="C505" s="7" t="str">
        <f t="shared" si="14"/>
        <v>'3328112905050010</v>
      </c>
      <c r="D505" s="7" t="str">
        <f t="shared" si="15"/>
        <v>ganda</v>
      </c>
      <c r="E505" s="7" t="s">
        <v>3832</v>
      </c>
      <c r="F505" s="7" t="s">
        <v>10</v>
      </c>
      <c r="G505" s="7" t="s">
        <v>57</v>
      </c>
      <c r="H505" s="7" t="s">
        <v>303</v>
      </c>
      <c r="I505" s="7" t="s">
        <v>608</v>
      </c>
      <c r="J505" s="7" t="s">
        <v>609</v>
      </c>
      <c r="K505" s="8" t="s">
        <v>610</v>
      </c>
    </row>
    <row r="506" spans="1:11" x14ac:dyDescent="0.35">
      <c r="A506" s="7">
        <v>2124857</v>
      </c>
      <c r="B506" s="7" t="str">
        <f>"3328112909040010"</f>
        <v>3328112909040010</v>
      </c>
      <c r="C506" s="7" t="str">
        <f t="shared" si="14"/>
        <v>'3328112909040010</v>
      </c>
      <c r="D506" s="7" t="str">
        <f t="shared" si="15"/>
        <v>ganda</v>
      </c>
      <c r="E506" s="7" t="s">
        <v>3833</v>
      </c>
      <c r="F506" s="7" t="s">
        <v>10</v>
      </c>
      <c r="G506" s="7" t="s">
        <v>11</v>
      </c>
      <c r="H506" s="7" t="s">
        <v>18</v>
      </c>
      <c r="I506" s="7" t="s">
        <v>19</v>
      </c>
      <c r="J506" s="7" t="s">
        <v>348</v>
      </c>
      <c r="K506" s="8" t="s">
        <v>1644</v>
      </c>
    </row>
    <row r="507" spans="1:11" x14ac:dyDescent="0.35">
      <c r="A507" s="7">
        <v>1351096</v>
      </c>
      <c r="B507" s="7" t="str">
        <f>"3328112909040010"</f>
        <v>3328112909040010</v>
      </c>
      <c r="C507" s="7" t="str">
        <f t="shared" si="14"/>
        <v>'3328112909040010</v>
      </c>
      <c r="D507" s="7" t="str">
        <f t="shared" si="15"/>
        <v>ganda</v>
      </c>
      <c r="E507" s="7" t="s">
        <v>3833</v>
      </c>
      <c r="F507" s="7" t="s">
        <v>10</v>
      </c>
      <c r="G507" s="7" t="s">
        <v>57</v>
      </c>
      <c r="H507" s="7" t="s">
        <v>303</v>
      </c>
      <c r="I507" s="7" t="s">
        <v>608</v>
      </c>
      <c r="J507" s="7" t="s">
        <v>609</v>
      </c>
      <c r="K507" s="8" t="s">
        <v>610</v>
      </c>
    </row>
    <row r="508" spans="1:11" x14ac:dyDescent="0.35">
      <c r="A508" s="7">
        <v>2169862</v>
      </c>
      <c r="B508" s="7" t="str">
        <f>"3328113108050010"</f>
        <v>3328113108050010</v>
      </c>
      <c r="C508" s="7" t="str">
        <f t="shared" si="14"/>
        <v>'3328113108050010</v>
      </c>
      <c r="D508" s="7" t="str">
        <f t="shared" si="15"/>
        <v>ganda</v>
      </c>
      <c r="E508" s="7" t="s">
        <v>3836</v>
      </c>
      <c r="F508" s="7" t="s">
        <v>10</v>
      </c>
      <c r="G508" s="7" t="s">
        <v>11</v>
      </c>
      <c r="H508" s="7" t="s">
        <v>18</v>
      </c>
      <c r="I508" s="7" t="s">
        <v>19</v>
      </c>
      <c r="J508" s="7" t="s">
        <v>348</v>
      </c>
      <c r="K508" s="8" t="s">
        <v>3723</v>
      </c>
    </row>
    <row r="509" spans="1:11" x14ac:dyDescent="0.35">
      <c r="A509" s="7">
        <v>1351110</v>
      </c>
      <c r="B509" s="7" t="str">
        <f>"3328113108050010"</f>
        <v>3328113108050010</v>
      </c>
      <c r="C509" s="7" t="str">
        <f t="shared" si="14"/>
        <v>'3328113108050010</v>
      </c>
      <c r="D509" s="7" t="str">
        <f t="shared" si="15"/>
        <v>ganda</v>
      </c>
      <c r="E509" s="7" t="s">
        <v>3836</v>
      </c>
      <c r="F509" s="7" t="s">
        <v>10</v>
      </c>
      <c r="G509" s="7" t="s">
        <v>57</v>
      </c>
      <c r="H509" s="7" t="s">
        <v>303</v>
      </c>
      <c r="I509" s="7" t="s">
        <v>608</v>
      </c>
      <c r="J509" s="7" t="s">
        <v>609</v>
      </c>
      <c r="K509" s="8" t="s">
        <v>610</v>
      </c>
    </row>
    <row r="510" spans="1:11" x14ac:dyDescent="0.35">
      <c r="A510" s="7">
        <v>2083054</v>
      </c>
      <c r="B510" s="7" t="str">
        <f>"3328114101020008"</f>
        <v>3328114101020008</v>
      </c>
      <c r="C510" s="7" t="str">
        <f t="shared" si="14"/>
        <v>'3328114101020008</v>
      </c>
      <c r="D510" s="7" t="str">
        <f t="shared" si="15"/>
        <v>ganda</v>
      </c>
      <c r="E510" s="7" t="s">
        <v>3838</v>
      </c>
      <c r="F510" s="7" t="s">
        <v>10</v>
      </c>
      <c r="G510" s="7" t="s">
        <v>11</v>
      </c>
      <c r="H510" s="7" t="s">
        <v>18</v>
      </c>
      <c r="I510" s="7" t="s">
        <v>19</v>
      </c>
      <c r="J510" s="7" t="s">
        <v>348</v>
      </c>
      <c r="K510" s="8" t="s">
        <v>3679</v>
      </c>
    </row>
    <row r="511" spans="1:11" x14ac:dyDescent="0.35">
      <c r="A511" s="7">
        <v>423845</v>
      </c>
      <c r="B511" s="7" t="str">
        <f>"3328114101020008"</f>
        <v>3328114101020008</v>
      </c>
      <c r="C511" s="7" t="str">
        <f t="shared" si="14"/>
        <v>'3328114101020008</v>
      </c>
      <c r="D511" s="7" t="str">
        <f t="shared" si="15"/>
        <v>ganda</v>
      </c>
      <c r="E511" s="7" t="s">
        <v>3839</v>
      </c>
      <c r="F511" s="7" t="s">
        <v>10</v>
      </c>
      <c r="G511" s="7" t="s">
        <v>57</v>
      </c>
      <c r="H511" s="7" t="s">
        <v>18</v>
      </c>
      <c r="I511" s="7" t="s">
        <v>268</v>
      </c>
      <c r="J511" s="7" t="s">
        <v>277</v>
      </c>
      <c r="K511" s="8" t="s">
        <v>278</v>
      </c>
    </row>
    <row r="512" spans="1:11" x14ac:dyDescent="0.35">
      <c r="A512" s="7">
        <v>2099575</v>
      </c>
      <c r="B512" s="7" t="str">
        <f>"3328115305040008"</f>
        <v>3328115305040008</v>
      </c>
      <c r="C512" s="7" t="str">
        <f t="shared" si="14"/>
        <v>'3328115305040008</v>
      </c>
      <c r="D512" s="7" t="str">
        <f t="shared" si="15"/>
        <v>ganda</v>
      </c>
      <c r="E512" s="7" t="s">
        <v>3874</v>
      </c>
      <c r="F512" s="7" t="s">
        <v>10</v>
      </c>
      <c r="G512" s="7" t="s">
        <v>11</v>
      </c>
      <c r="H512" s="7" t="s">
        <v>18</v>
      </c>
      <c r="I512" s="7" t="s">
        <v>19</v>
      </c>
      <c r="J512" s="7" t="s">
        <v>348</v>
      </c>
      <c r="K512" s="8" t="s">
        <v>3727</v>
      </c>
    </row>
    <row r="513" spans="1:11" x14ac:dyDescent="0.35">
      <c r="A513" s="7">
        <v>762542</v>
      </c>
      <c r="B513" s="7" t="str">
        <f>"3328115305040008"</f>
        <v>3328115305040008</v>
      </c>
      <c r="C513" s="7" t="str">
        <f t="shared" si="14"/>
        <v>'3328115305040008</v>
      </c>
      <c r="D513" s="7" t="str">
        <f t="shared" si="15"/>
        <v>ganda</v>
      </c>
      <c r="E513" s="7" t="s">
        <v>3875</v>
      </c>
      <c r="F513" s="7" t="s">
        <v>10</v>
      </c>
      <c r="G513" s="7" t="s">
        <v>57</v>
      </c>
      <c r="H513" s="7" t="s">
        <v>379</v>
      </c>
      <c r="I513" s="7" t="s">
        <v>711</v>
      </c>
      <c r="J513" s="7" t="s">
        <v>718</v>
      </c>
      <c r="K513" s="8" t="s">
        <v>719</v>
      </c>
    </row>
    <row r="514" spans="1:11" x14ac:dyDescent="0.35">
      <c r="A514" s="7">
        <v>2104732</v>
      </c>
      <c r="B514" s="7" t="str">
        <f>"3328115704010004"</f>
        <v>3328115704010004</v>
      </c>
      <c r="C514" s="7" t="str">
        <f t="shared" ref="C514:C577" si="16">"'"&amp;B514</f>
        <v>'3328115704010004</v>
      </c>
      <c r="D514" s="7" t="str">
        <f t="shared" ref="D514:D577" si="17">IF(COUNTIF($C:$C,C514)&gt;1,"ganda","tidak ganda")</f>
        <v>ganda</v>
      </c>
      <c r="E514" s="7" t="s">
        <v>3883</v>
      </c>
      <c r="F514" s="7" t="s">
        <v>10</v>
      </c>
      <c r="G514" s="7" t="s">
        <v>11</v>
      </c>
      <c r="H514" s="7" t="s">
        <v>18</v>
      </c>
      <c r="I514" s="7" t="s">
        <v>19</v>
      </c>
      <c r="J514" s="7" t="s">
        <v>348</v>
      </c>
      <c r="K514" s="8" t="s">
        <v>3668</v>
      </c>
    </row>
    <row r="515" spans="1:11" x14ac:dyDescent="0.35">
      <c r="A515" s="7">
        <v>762385</v>
      </c>
      <c r="B515" s="7" t="str">
        <f>"3328115704010004"</f>
        <v>3328115704010004</v>
      </c>
      <c r="C515" s="7" t="str">
        <f t="shared" si="16"/>
        <v>'3328115704010004</v>
      </c>
      <c r="D515" s="7" t="str">
        <f t="shared" si="17"/>
        <v>ganda</v>
      </c>
      <c r="E515" s="7" t="s">
        <v>3884</v>
      </c>
      <c r="F515" s="7" t="s">
        <v>10</v>
      </c>
      <c r="G515" s="7" t="s">
        <v>57</v>
      </c>
      <c r="H515" s="7" t="s">
        <v>379</v>
      </c>
      <c r="I515" s="7" t="s">
        <v>711</v>
      </c>
      <c r="J515" s="7" t="s">
        <v>718</v>
      </c>
      <c r="K515" s="8" t="s">
        <v>719</v>
      </c>
    </row>
    <row r="516" spans="1:11" x14ac:dyDescent="0.35">
      <c r="A516" s="7">
        <v>2112333</v>
      </c>
      <c r="B516" s="7" t="str">
        <f>"3328115905020006"</f>
        <v>3328115905020006</v>
      </c>
      <c r="C516" s="7" t="str">
        <f t="shared" si="16"/>
        <v>'3328115905020006</v>
      </c>
      <c r="D516" s="7" t="str">
        <f t="shared" si="17"/>
        <v>ganda</v>
      </c>
      <c r="E516" s="7" t="s">
        <v>3886</v>
      </c>
      <c r="F516" s="7" t="s">
        <v>10</v>
      </c>
      <c r="G516" s="7" t="s">
        <v>11</v>
      </c>
      <c r="H516" s="7" t="s">
        <v>18</v>
      </c>
      <c r="I516" s="7" t="s">
        <v>19</v>
      </c>
      <c r="J516" s="7" t="s">
        <v>348</v>
      </c>
      <c r="K516" s="8" t="s">
        <v>1777</v>
      </c>
    </row>
    <row r="517" spans="1:11" x14ac:dyDescent="0.35">
      <c r="A517" s="7">
        <v>1352872</v>
      </c>
      <c r="B517" s="7" t="str">
        <f>"3328115905020006"</f>
        <v>3328115905020006</v>
      </c>
      <c r="C517" s="7" t="str">
        <f t="shared" si="16"/>
        <v>'3328115905020006</v>
      </c>
      <c r="D517" s="7" t="str">
        <f t="shared" si="17"/>
        <v>ganda</v>
      </c>
      <c r="E517" s="7" t="s">
        <v>3886</v>
      </c>
      <c r="F517" s="7" t="s">
        <v>10</v>
      </c>
      <c r="G517" s="7" t="s">
        <v>57</v>
      </c>
      <c r="H517" s="7" t="s">
        <v>303</v>
      </c>
      <c r="I517" s="7" t="s">
        <v>608</v>
      </c>
      <c r="J517" s="7" t="s">
        <v>609</v>
      </c>
      <c r="K517" s="8" t="s">
        <v>610</v>
      </c>
    </row>
    <row r="518" spans="1:11" x14ac:dyDescent="0.35">
      <c r="A518" s="7">
        <v>2021308</v>
      </c>
      <c r="B518" s="7" t="str">
        <f>"3328116710020002"</f>
        <v>3328116710020002</v>
      </c>
      <c r="C518" s="7" t="str">
        <f t="shared" si="16"/>
        <v>'3328116710020002</v>
      </c>
      <c r="D518" s="7" t="str">
        <f t="shared" si="17"/>
        <v>ganda</v>
      </c>
      <c r="E518" s="7" t="s">
        <v>3903</v>
      </c>
      <c r="F518" s="7" t="s">
        <v>10</v>
      </c>
      <c r="G518" s="7" t="s">
        <v>11</v>
      </c>
      <c r="H518" s="7" t="s">
        <v>18</v>
      </c>
      <c r="I518" s="7" t="s">
        <v>19</v>
      </c>
      <c r="J518" s="7" t="s">
        <v>348</v>
      </c>
      <c r="K518" s="8" t="s">
        <v>349</v>
      </c>
    </row>
    <row r="519" spans="1:11" x14ac:dyDescent="0.35">
      <c r="A519" s="7">
        <v>1862483</v>
      </c>
      <c r="B519" s="7" t="str">
        <f>"3328116710020002"</f>
        <v>3328116710020002</v>
      </c>
      <c r="C519" s="7" t="str">
        <f t="shared" si="16"/>
        <v>'3328116710020002</v>
      </c>
      <c r="D519" s="7" t="str">
        <f t="shared" si="17"/>
        <v>ganda</v>
      </c>
      <c r="E519" s="7" t="s">
        <v>3903</v>
      </c>
      <c r="F519" s="7" t="s">
        <v>10</v>
      </c>
      <c r="G519" s="7" t="s">
        <v>57</v>
      </c>
      <c r="H519" s="7" t="s">
        <v>18</v>
      </c>
      <c r="I519" s="7" t="s">
        <v>733</v>
      </c>
      <c r="J519" s="7" t="s">
        <v>733</v>
      </c>
      <c r="K519" s="8" t="s">
        <v>734</v>
      </c>
    </row>
    <row r="520" spans="1:11" x14ac:dyDescent="0.35">
      <c r="A520" s="7">
        <v>2374620</v>
      </c>
      <c r="B520" s="7" t="str">
        <f>"3328117108880008"</f>
        <v>3328117108880008</v>
      </c>
      <c r="C520" s="7" t="str">
        <f t="shared" si="16"/>
        <v>'3328117108880008</v>
      </c>
      <c r="D520" s="7" t="str">
        <f t="shared" si="17"/>
        <v>ganda</v>
      </c>
      <c r="E520" s="7" t="s">
        <v>3912</v>
      </c>
      <c r="F520" s="7" t="s">
        <v>10</v>
      </c>
      <c r="G520" s="7" t="s">
        <v>11</v>
      </c>
      <c r="H520" s="7" t="s">
        <v>18</v>
      </c>
      <c r="I520" s="7" t="s">
        <v>19</v>
      </c>
      <c r="J520" s="7" t="s">
        <v>348</v>
      </c>
      <c r="K520" s="8" t="s">
        <v>348</v>
      </c>
    </row>
    <row r="521" spans="1:11" x14ac:dyDescent="0.35">
      <c r="A521" s="7">
        <v>423753</v>
      </c>
      <c r="B521" s="7" t="str">
        <f>"3328117108880008"</f>
        <v>3328117108880008</v>
      </c>
      <c r="C521" s="7" t="str">
        <f t="shared" si="16"/>
        <v>'3328117108880008</v>
      </c>
      <c r="D521" s="7" t="str">
        <f t="shared" si="17"/>
        <v>ganda</v>
      </c>
      <c r="E521" s="7" t="s">
        <v>3913</v>
      </c>
      <c r="F521" s="7" t="s">
        <v>10</v>
      </c>
      <c r="G521" s="7" t="s">
        <v>57</v>
      </c>
      <c r="H521" s="7" t="s">
        <v>18</v>
      </c>
      <c r="I521" s="7" t="s">
        <v>268</v>
      </c>
      <c r="J521" s="7" t="s">
        <v>277</v>
      </c>
      <c r="K521" s="8" t="s">
        <v>278</v>
      </c>
    </row>
    <row r="522" spans="1:11" x14ac:dyDescent="0.35">
      <c r="A522" s="7">
        <v>2117676</v>
      </c>
      <c r="B522" s="7" t="str">
        <f>"3328120102860005"</f>
        <v>3328120102860005</v>
      </c>
      <c r="C522" s="7" t="str">
        <f t="shared" si="16"/>
        <v>'3328120102860005</v>
      </c>
      <c r="D522" s="7" t="str">
        <f t="shared" si="17"/>
        <v>ganda</v>
      </c>
      <c r="E522" s="7" t="s">
        <v>3914</v>
      </c>
      <c r="F522" s="7" t="s">
        <v>10</v>
      </c>
      <c r="G522" s="7" t="s">
        <v>11</v>
      </c>
      <c r="H522" s="7" t="s">
        <v>18</v>
      </c>
      <c r="I522" s="7" t="s">
        <v>19</v>
      </c>
      <c r="J522" s="7" t="s">
        <v>348</v>
      </c>
      <c r="K522" s="8" t="s">
        <v>1777</v>
      </c>
    </row>
    <row r="523" spans="1:11" x14ac:dyDescent="0.35">
      <c r="A523" s="7">
        <v>423783</v>
      </c>
      <c r="B523" s="7" t="str">
        <f>"3328120102860005"</f>
        <v>3328120102860005</v>
      </c>
      <c r="C523" s="7" t="str">
        <f t="shared" si="16"/>
        <v>'3328120102860005</v>
      </c>
      <c r="D523" s="7" t="str">
        <f t="shared" si="17"/>
        <v>ganda</v>
      </c>
      <c r="E523" s="7" t="s">
        <v>3915</v>
      </c>
      <c r="F523" s="7" t="s">
        <v>10</v>
      </c>
      <c r="G523" s="7" t="s">
        <v>57</v>
      </c>
      <c r="H523" s="7" t="s">
        <v>18</v>
      </c>
      <c r="I523" s="7" t="s">
        <v>268</v>
      </c>
      <c r="J523" s="7" t="s">
        <v>277</v>
      </c>
      <c r="K523" s="8" t="s">
        <v>278</v>
      </c>
    </row>
    <row r="524" spans="1:11" x14ac:dyDescent="0.35">
      <c r="A524" s="7">
        <v>2117675</v>
      </c>
      <c r="B524" s="7" t="str">
        <f>"3328124505870014"</f>
        <v>3328124505870014</v>
      </c>
      <c r="C524" s="7" t="str">
        <f t="shared" si="16"/>
        <v>'3328124505870014</v>
      </c>
      <c r="D524" s="7" t="str">
        <f t="shared" si="17"/>
        <v>ganda</v>
      </c>
      <c r="E524" s="7" t="s">
        <v>3916</v>
      </c>
      <c r="F524" s="7" t="s">
        <v>10</v>
      </c>
      <c r="G524" s="7" t="s">
        <v>11</v>
      </c>
      <c r="H524" s="7" t="s">
        <v>18</v>
      </c>
      <c r="I524" s="7" t="s">
        <v>19</v>
      </c>
      <c r="J524" s="7" t="s">
        <v>348</v>
      </c>
      <c r="K524" s="8" t="s">
        <v>1777</v>
      </c>
    </row>
    <row r="525" spans="1:11" x14ac:dyDescent="0.35">
      <c r="A525" s="7">
        <v>423877</v>
      </c>
      <c r="B525" s="7" t="str">
        <f>"3328124505870014"</f>
        <v>3328124505870014</v>
      </c>
      <c r="C525" s="7" t="str">
        <f t="shared" si="16"/>
        <v>'3328124505870014</v>
      </c>
      <c r="D525" s="7" t="str">
        <f t="shared" si="17"/>
        <v>ganda</v>
      </c>
      <c r="E525" s="7" t="s">
        <v>3917</v>
      </c>
      <c r="F525" s="7" t="s">
        <v>10</v>
      </c>
      <c r="G525" s="7" t="s">
        <v>57</v>
      </c>
      <c r="H525" s="7" t="s">
        <v>18</v>
      </c>
      <c r="I525" s="7" t="s">
        <v>268</v>
      </c>
      <c r="J525" s="7" t="s">
        <v>277</v>
      </c>
      <c r="K525" s="8" t="s">
        <v>278</v>
      </c>
    </row>
    <row r="526" spans="1:11" x14ac:dyDescent="0.35">
      <c r="A526" s="7">
        <v>2459171</v>
      </c>
      <c r="B526" s="7" t="str">
        <f>"3171082108790001"</f>
        <v>3171082108790001</v>
      </c>
      <c r="C526" s="7" t="str">
        <f t="shared" si="16"/>
        <v>'3171082108790001</v>
      </c>
      <c r="D526" s="7" t="str">
        <f t="shared" si="17"/>
        <v>ganda</v>
      </c>
      <c r="E526" s="7" t="s">
        <v>4007</v>
      </c>
      <c r="F526" s="7" t="s">
        <v>10</v>
      </c>
      <c r="G526" s="7" t="s">
        <v>11</v>
      </c>
      <c r="H526" s="7" t="s">
        <v>18</v>
      </c>
      <c r="I526" s="7" t="s">
        <v>19</v>
      </c>
      <c r="J526" s="7" t="s">
        <v>3354</v>
      </c>
      <c r="K526" s="8" t="s">
        <v>4008</v>
      </c>
    </row>
    <row r="527" spans="1:11" x14ac:dyDescent="0.35">
      <c r="A527" s="7">
        <v>2416977</v>
      </c>
      <c r="B527" s="7" t="str">
        <f>"3171082108790001"</f>
        <v>3171082108790001</v>
      </c>
      <c r="C527" s="7" t="str">
        <f t="shared" si="16"/>
        <v>'3171082108790001</v>
      </c>
      <c r="D527" s="7" t="str">
        <f t="shared" si="17"/>
        <v>ganda</v>
      </c>
      <c r="E527" s="7" t="s">
        <v>4009</v>
      </c>
      <c r="F527" s="7" t="s">
        <v>10</v>
      </c>
      <c r="G527" s="7" t="s">
        <v>57</v>
      </c>
      <c r="H527" s="7" t="s">
        <v>50</v>
      </c>
      <c r="I527" s="7" t="s">
        <v>58</v>
      </c>
      <c r="J527" s="7" t="s">
        <v>59</v>
      </c>
      <c r="K527" s="8" t="s">
        <v>60</v>
      </c>
    </row>
    <row r="528" spans="1:11" x14ac:dyDescent="0.35">
      <c r="A528" s="7">
        <v>2200785</v>
      </c>
      <c r="B528" s="7" t="str">
        <f>"3328113011040005"</f>
        <v>3328113011040005</v>
      </c>
      <c r="C528" s="7" t="str">
        <f t="shared" si="16"/>
        <v>'3328113011040005</v>
      </c>
      <c r="D528" s="7" t="str">
        <f t="shared" si="17"/>
        <v>ganda</v>
      </c>
      <c r="E528" s="7" t="s">
        <v>4080</v>
      </c>
      <c r="F528" s="7" t="s">
        <v>10</v>
      </c>
      <c r="G528" s="7" t="s">
        <v>11</v>
      </c>
      <c r="H528" s="7" t="s">
        <v>18</v>
      </c>
      <c r="I528" s="7" t="s">
        <v>19</v>
      </c>
      <c r="J528" s="7" t="s">
        <v>3354</v>
      </c>
      <c r="K528" s="8" t="s">
        <v>1954</v>
      </c>
    </row>
    <row r="529" spans="1:11" x14ac:dyDescent="0.35">
      <c r="A529" s="7">
        <v>1350426</v>
      </c>
      <c r="B529" s="7" t="str">
        <f>"3328113011040005"</f>
        <v>3328113011040005</v>
      </c>
      <c r="C529" s="7" t="str">
        <f t="shared" si="16"/>
        <v>'3328113011040005</v>
      </c>
      <c r="D529" s="7" t="str">
        <f t="shared" si="17"/>
        <v>ganda</v>
      </c>
      <c r="E529" s="7" t="s">
        <v>4081</v>
      </c>
      <c r="F529" s="7" t="s">
        <v>10</v>
      </c>
      <c r="G529" s="7" t="s">
        <v>57</v>
      </c>
      <c r="H529" s="7" t="s">
        <v>303</v>
      </c>
      <c r="I529" s="7" t="s">
        <v>608</v>
      </c>
      <c r="J529" s="7" t="s">
        <v>609</v>
      </c>
      <c r="K529" s="8" t="s">
        <v>610</v>
      </c>
    </row>
    <row r="530" spans="1:11" x14ac:dyDescent="0.35">
      <c r="A530" s="7">
        <v>2237688</v>
      </c>
      <c r="B530" s="7" t="str">
        <f>"3328120202030012"</f>
        <v>3328120202030012</v>
      </c>
      <c r="C530" s="7" t="str">
        <f t="shared" si="16"/>
        <v>'3328120202030012</v>
      </c>
      <c r="D530" s="7" t="str">
        <f t="shared" si="17"/>
        <v>ganda</v>
      </c>
      <c r="E530" s="7" t="s">
        <v>4086</v>
      </c>
      <c r="F530" s="7" t="s">
        <v>10</v>
      </c>
      <c r="G530" s="7" t="s">
        <v>11</v>
      </c>
      <c r="H530" s="7" t="s">
        <v>18</v>
      </c>
      <c r="I530" s="7" t="s">
        <v>19</v>
      </c>
      <c r="J530" s="7" t="s">
        <v>3354</v>
      </c>
      <c r="K530" s="8" t="s">
        <v>613</v>
      </c>
    </row>
    <row r="531" spans="1:11" x14ac:dyDescent="0.35">
      <c r="A531" s="7">
        <v>1350419</v>
      </c>
      <c r="B531" s="7" t="str">
        <f>"3328120202030012"</f>
        <v>3328120202030012</v>
      </c>
      <c r="C531" s="7" t="str">
        <f t="shared" si="16"/>
        <v>'3328120202030012</v>
      </c>
      <c r="D531" s="7" t="str">
        <f t="shared" si="17"/>
        <v>ganda</v>
      </c>
      <c r="E531" s="7" t="s">
        <v>4086</v>
      </c>
      <c r="F531" s="7" t="s">
        <v>10</v>
      </c>
      <c r="G531" s="7" t="s">
        <v>57</v>
      </c>
      <c r="H531" s="7" t="s">
        <v>303</v>
      </c>
      <c r="I531" s="7" t="s">
        <v>608</v>
      </c>
      <c r="J531" s="7" t="s">
        <v>609</v>
      </c>
      <c r="K531" s="8" t="s">
        <v>610</v>
      </c>
    </row>
    <row r="532" spans="1:11" x14ac:dyDescent="0.35">
      <c r="A532" s="7">
        <v>2462755</v>
      </c>
      <c r="B532" s="7" t="str">
        <f>"3328120308910002"</f>
        <v>3328120308910002</v>
      </c>
      <c r="C532" s="7" t="str">
        <f t="shared" si="16"/>
        <v>'3328120308910002</v>
      </c>
      <c r="D532" s="7" t="str">
        <f t="shared" si="17"/>
        <v>ganda</v>
      </c>
      <c r="E532" s="7" t="s">
        <v>4091</v>
      </c>
      <c r="F532" s="7" t="s">
        <v>10</v>
      </c>
      <c r="G532" s="7" t="s">
        <v>11</v>
      </c>
      <c r="H532" s="7" t="s">
        <v>18</v>
      </c>
      <c r="I532" s="7" t="s">
        <v>19</v>
      </c>
      <c r="J532" s="7" t="s">
        <v>3354</v>
      </c>
      <c r="K532" s="8" t="s">
        <v>4008</v>
      </c>
    </row>
    <row r="533" spans="1:11" x14ac:dyDescent="0.35">
      <c r="A533" s="7">
        <v>2662273</v>
      </c>
      <c r="B533" s="7" t="str">
        <f>"3328120308910002"</f>
        <v>3328120308910002</v>
      </c>
      <c r="C533" s="7" t="str">
        <f t="shared" si="16"/>
        <v>'3328120308910002</v>
      </c>
      <c r="D533" s="7" t="str">
        <f t="shared" si="17"/>
        <v>ganda</v>
      </c>
      <c r="E533" s="7" t="s">
        <v>4092</v>
      </c>
      <c r="F533" s="7" t="s">
        <v>10</v>
      </c>
      <c r="G533" s="7" t="s">
        <v>57</v>
      </c>
      <c r="H533" s="7" t="s">
        <v>18</v>
      </c>
      <c r="I533" s="7" t="s">
        <v>199</v>
      </c>
      <c r="J533" s="7" t="s">
        <v>199</v>
      </c>
      <c r="K533" s="8" t="s">
        <v>839</v>
      </c>
    </row>
    <row r="534" spans="1:11" x14ac:dyDescent="0.35">
      <c r="A534" s="7">
        <v>2330234</v>
      </c>
      <c r="B534" s="7" t="str">
        <f>"3328120312020015"</f>
        <v>3328120312020015</v>
      </c>
      <c r="C534" s="7" t="str">
        <f t="shared" si="16"/>
        <v>'3328120312020015</v>
      </c>
      <c r="D534" s="7" t="str">
        <f t="shared" si="17"/>
        <v>ganda</v>
      </c>
      <c r="E534" s="7" t="s">
        <v>4093</v>
      </c>
      <c r="F534" s="7" t="s">
        <v>10</v>
      </c>
      <c r="G534" s="7" t="s">
        <v>11</v>
      </c>
      <c r="H534" s="7" t="s">
        <v>18</v>
      </c>
      <c r="I534" s="7" t="s">
        <v>19</v>
      </c>
      <c r="J534" s="7" t="s">
        <v>3354</v>
      </c>
      <c r="K534" s="8" t="s">
        <v>307</v>
      </c>
    </row>
    <row r="535" spans="1:11" x14ac:dyDescent="0.35">
      <c r="A535" s="7">
        <v>1350423</v>
      </c>
      <c r="B535" s="7" t="str">
        <f>"3328120312020015"</f>
        <v>3328120312020015</v>
      </c>
      <c r="C535" s="7" t="str">
        <f t="shared" si="16"/>
        <v>'3328120312020015</v>
      </c>
      <c r="D535" s="7" t="str">
        <f t="shared" si="17"/>
        <v>ganda</v>
      </c>
      <c r="E535" s="7" t="s">
        <v>4093</v>
      </c>
      <c r="F535" s="7" t="s">
        <v>10</v>
      </c>
      <c r="G535" s="7" t="s">
        <v>57</v>
      </c>
      <c r="H535" s="7" t="s">
        <v>303</v>
      </c>
      <c r="I535" s="7" t="s">
        <v>608</v>
      </c>
      <c r="J535" s="7" t="s">
        <v>609</v>
      </c>
      <c r="K535" s="8" t="s">
        <v>610</v>
      </c>
    </row>
    <row r="536" spans="1:11" x14ac:dyDescent="0.35">
      <c r="A536" s="7">
        <v>2330653</v>
      </c>
      <c r="B536" s="7" t="str">
        <f>"3328120705010011"</f>
        <v>3328120705010011</v>
      </c>
      <c r="C536" s="7" t="str">
        <f t="shared" si="16"/>
        <v>'3328120705010011</v>
      </c>
      <c r="D536" s="7" t="str">
        <f t="shared" si="17"/>
        <v>ganda</v>
      </c>
      <c r="E536" s="7" t="s">
        <v>4103</v>
      </c>
      <c r="F536" s="7" t="s">
        <v>10</v>
      </c>
      <c r="G536" s="7" t="s">
        <v>11</v>
      </c>
      <c r="H536" s="7" t="s">
        <v>18</v>
      </c>
      <c r="I536" s="7" t="s">
        <v>19</v>
      </c>
      <c r="J536" s="7" t="s">
        <v>3354</v>
      </c>
      <c r="K536" s="8" t="s">
        <v>307</v>
      </c>
    </row>
    <row r="537" spans="1:11" x14ac:dyDescent="0.35">
      <c r="A537" s="7">
        <v>1350422</v>
      </c>
      <c r="B537" s="7" t="str">
        <f>"3328120705010011"</f>
        <v>3328120705010011</v>
      </c>
      <c r="C537" s="7" t="str">
        <f t="shared" si="16"/>
        <v>'3328120705010011</v>
      </c>
      <c r="D537" s="7" t="str">
        <f t="shared" si="17"/>
        <v>ganda</v>
      </c>
      <c r="E537" s="7" t="s">
        <v>4104</v>
      </c>
      <c r="F537" s="7" t="s">
        <v>10</v>
      </c>
      <c r="G537" s="7" t="s">
        <v>57</v>
      </c>
      <c r="H537" s="7" t="s">
        <v>303</v>
      </c>
      <c r="I537" s="7" t="s">
        <v>608</v>
      </c>
      <c r="J537" s="7" t="s">
        <v>609</v>
      </c>
      <c r="K537" s="8" t="s">
        <v>610</v>
      </c>
    </row>
    <row r="538" spans="1:11" x14ac:dyDescent="0.35">
      <c r="A538" s="7">
        <v>2261020</v>
      </c>
      <c r="B538" s="7" t="str">
        <f>"3328121201030004"</f>
        <v>3328121201030004</v>
      </c>
      <c r="C538" s="7" t="str">
        <f t="shared" si="16"/>
        <v>'3328121201030004</v>
      </c>
      <c r="D538" s="7" t="str">
        <f t="shared" si="17"/>
        <v>ganda</v>
      </c>
      <c r="E538" s="7" t="s">
        <v>4123</v>
      </c>
      <c r="F538" s="7" t="s">
        <v>10</v>
      </c>
      <c r="G538" s="7" t="s">
        <v>11</v>
      </c>
      <c r="H538" s="7" t="s">
        <v>18</v>
      </c>
      <c r="I538" s="7" t="s">
        <v>19</v>
      </c>
      <c r="J538" s="7" t="s">
        <v>3354</v>
      </c>
      <c r="K538" s="8" t="s">
        <v>4022</v>
      </c>
    </row>
    <row r="539" spans="1:11" x14ac:dyDescent="0.35">
      <c r="A539" s="7">
        <v>1350431</v>
      </c>
      <c r="B539" s="7" t="str">
        <f>"3328121201030004"</f>
        <v>3328121201030004</v>
      </c>
      <c r="C539" s="7" t="str">
        <f t="shared" si="16"/>
        <v>'3328121201030004</v>
      </c>
      <c r="D539" s="7" t="str">
        <f t="shared" si="17"/>
        <v>ganda</v>
      </c>
      <c r="E539" s="7" t="s">
        <v>4123</v>
      </c>
      <c r="F539" s="7" t="s">
        <v>10</v>
      </c>
      <c r="G539" s="7" t="s">
        <v>57</v>
      </c>
      <c r="H539" s="7" t="s">
        <v>303</v>
      </c>
      <c r="I539" s="7" t="s">
        <v>608</v>
      </c>
      <c r="J539" s="7" t="s">
        <v>609</v>
      </c>
      <c r="K539" s="8" t="s">
        <v>610</v>
      </c>
    </row>
    <row r="540" spans="1:11" x14ac:dyDescent="0.35">
      <c r="A540" s="7">
        <v>2194720</v>
      </c>
      <c r="B540" s="7" t="str">
        <f>"3328121202000008"</f>
        <v>3328121202000008</v>
      </c>
      <c r="C540" s="7" t="str">
        <f t="shared" si="16"/>
        <v>'3328121202000008</v>
      </c>
      <c r="D540" s="7" t="str">
        <f t="shared" si="17"/>
        <v>ganda</v>
      </c>
      <c r="E540" s="7" t="s">
        <v>4124</v>
      </c>
      <c r="F540" s="7" t="s">
        <v>10</v>
      </c>
      <c r="G540" s="7" t="s">
        <v>11</v>
      </c>
      <c r="H540" s="7" t="s">
        <v>18</v>
      </c>
      <c r="I540" s="7" t="s">
        <v>19</v>
      </c>
      <c r="J540" s="7" t="s">
        <v>3354</v>
      </c>
      <c r="K540" s="8" t="s">
        <v>4098</v>
      </c>
    </row>
    <row r="541" spans="1:11" x14ac:dyDescent="0.35">
      <c r="A541" s="7">
        <v>423725</v>
      </c>
      <c r="B541" s="7" t="str">
        <f>"3328121202000008"</f>
        <v>3328121202000008</v>
      </c>
      <c r="C541" s="7" t="str">
        <f t="shared" si="16"/>
        <v>'3328121202000008</v>
      </c>
      <c r="D541" s="7" t="str">
        <f t="shared" si="17"/>
        <v>ganda</v>
      </c>
      <c r="E541" s="7" t="s">
        <v>4125</v>
      </c>
      <c r="F541" s="7" t="s">
        <v>10</v>
      </c>
      <c r="G541" s="7" t="s">
        <v>57</v>
      </c>
      <c r="H541" s="7" t="s">
        <v>18</v>
      </c>
      <c r="I541" s="7" t="s">
        <v>268</v>
      </c>
      <c r="J541" s="7" t="s">
        <v>277</v>
      </c>
      <c r="K541" s="8" t="s">
        <v>278</v>
      </c>
    </row>
    <row r="542" spans="1:11" x14ac:dyDescent="0.35">
      <c r="A542" s="7">
        <v>2186094</v>
      </c>
      <c r="B542" s="7" t="str">
        <f>"3328121409030005"</f>
        <v>3328121409030005</v>
      </c>
      <c r="C542" s="7" t="str">
        <f t="shared" si="16"/>
        <v>'3328121409030005</v>
      </c>
      <c r="D542" s="7" t="str">
        <f t="shared" si="17"/>
        <v>ganda</v>
      </c>
      <c r="E542" s="7" t="s">
        <v>4127</v>
      </c>
      <c r="F542" s="7" t="s">
        <v>10</v>
      </c>
      <c r="G542" s="7" t="s">
        <v>11</v>
      </c>
      <c r="H542" s="7" t="s">
        <v>18</v>
      </c>
      <c r="I542" s="7" t="s">
        <v>19</v>
      </c>
      <c r="J542" s="7" t="s">
        <v>3354</v>
      </c>
      <c r="K542" s="8" t="s">
        <v>4012</v>
      </c>
    </row>
    <row r="543" spans="1:11" x14ac:dyDescent="0.35">
      <c r="A543" s="7">
        <v>1350428</v>
      </c>
      <c r="B543" s="7" t="str">
        <f>"3328121409030005"</f>
        <v>3328121409030005</v>
      </c>
      <c r="C543" s="7" t="str">
        <f t="shared" si="16"/>
        <v>'3328121409030005</v>
      </c>
      <c r="D543" s="7" t="str">
        <f t="shared" si="17"/>
        <v>ganda</v>
      </c>
      <c r="E543" s="7" t="s">
        <v>4127</v>
      </c>
      <c r="F543" s="7" t="s">
        <v>10</v>
      </c>
      <c r="G543" s="7" t="s">
        <v>57</v>
      </c>
      <c r="H543" s="7" t="s">
        <v>303</v>
      </c>
      <c r="I543" s="7" t="s">
        <v>608</v>
      </c>
      <c r="J543" s="7" t="s">
        <v>609</v>
      </c>
      <c r="K543" s="8" t="s">
        <v>610</v>
      </c>
    </row>
    <row r="544" spans="1:11" x14ac:dyDescent="0.35">
      <c r="A544" s="7">
        <v>2281048</v>
      </c>
      <c r="B544" s="7" t="str">
        <f>"3328121506000006"</f>
        <v>3328121506000006</v>
      </c>
      <c r="C544" s="7" t="str">
        <f t="shared" si="16"/>
        <v>'3328121506000006</v>
      </c>
      <c r="D544" s="7" t="str">
        <f t="shared" si="17"/>
        <v>ganda</v>
      </c>
      <c r="E544" s="7" t="s">
        <v>4128</v>
      </c>
      <c r="F544" s="7" t="s">
        <v>10</v>
      </c>
      <c r="G544" s="7" t="s">
        <v>11</v>
      </c>
      <c r="H544" s="7" t="s">
        <v>18</v>
      </c>
      <c r="I544" s="7" t="s">
        <v>19</v>
      </c>
      <c r="J544" s="7" t="s">
        <v>3354</v>
      </c>
      <c r="K544" s="8" t="s">
        <v>4040</v>
      </c>
    </row>
    <row r="545" spans="1:11" x14ac:dyDescent="0.35">
      <c r="A545" s="7">
        <v>1350429</v>
      </c>
      <c r="B545" s="7" t="str">
        <f>"3328121506000006"</f>
        <v>3328121506000006</v>
      </c>
      <c r="C545" s="7" t="str">
        <f t="shared" si="16"/>
        <v>'3328121506000006</v>
      </c>
      <c r="D545" s="7" t="str">
        <f t="shared" si="17"/>
        <v>ganda</v>
      </c>
      <c r="E545" s="7" t="s">
        <v>4128</v>
      </c>
      <c r="F545" s="7" t="s">
        <v>10</v>
      </c>
      <c r="G545" s="7" t="s">
        <v>57</v>
      </c>
      <c r="H545" s="7" t="s">
        <v>303</v>
      </c>
      <c r="I545" s="7" t="s">
        <v>608</v>
      </c>
      <c r="J545" s="7" t="s">
        <v>609</v>
      </c>
      <c r="K545" s="8" t="s">
        <v>610</v>
      </c>
    </row>
    <row r="546" spans="1:11" x14ac:dyDescent="0.35">
      <c r="A546" s="7">
        <v>2202334</v>
      </c>
      <c r="B546" s="7" t="str">
        <f>"3328121911050003"</f>
        <v>3328121911050003</v>
      </c>
      <c r="C546" s="7" t="str">
        <f t="shared" si="16"/>
        <v>'3328121911050003</v>
      </c>
      <c r="D546" s="7" t="str">
        <f t="shared" si="17"/>
        <v>ganda</v>
      </c>
      <c r="E546" s="7" t="s">
        <v>4133</v>
      </c>
      <c r="F546" s="7" t="s">
        <v>10</v>
      </c>
      <c r="G546" s="7" t="s">
        <v>11</v>
      </c>
      <c r="H546" s="7" t="s">
        <v>18</v>
      </c>
      <c r="I546" s="7" t="s">
        <v>19</v>
      </c>
      <c r="J546" s="7" t="s">
        <v>3354</v>
      </c>
      <c r="K546" s="8" t="s">
        <v>1954</v>
      </c>
    </row>
    <row r="547" spans="1:11" x14ac:dyDescent="0.35">
      <c r="A547" s="7">
        <v>1684353</v>
      </c>
      <c r="B547" s="7" t="str">
        <f>"3328121911050003"</f>
        <v>3328121911050003</v>
      </c>
      <c r="C547" s="7" t="str">
        <f t="shared" si="16"/>
        <v>'3328121911050003</v>
      </c>
      <c r="D547" s="7" t="str">
        <f t="shared" si="17"/>
        <v>ganda</v>
      </c>
      <c r="E547" s="7" t="s">
        <v>4134</v>
      </c>
      <c r="F547" s="7" t="s">
        <v>10</v>
      </c>
      <c r="G547" s="7" t="s">
        <v>57</v>
      </c>
      <c r="H547" s="7" t="s">
        <v>18</v>
      </c>
      <c r="I547" s="7" t="s">
        <v>184</v>
      </c>
      <c r="J547" s="7" t="s">
        <v>1085</v>
      </c>
      <c r="K547" s="8" t="s">
        <v>1086</v>
      </c>
    </row>
    <row r="548" spans="1:11" x14ac:dyDescent="0.35">
      <c r="A548" s="7">
        <v>2261019</v>
      </c>
      <c r="B548" s="7" t="str">
        <f>"3328122005040006"</f>
        <v>3328122005040006</v>
      </c>
      <c r="C548" s="7" t="str">
        <f t="shared" si="16"/>
        <v>'3328122005040006</v>
      </c>
      <c r="D548" s="7" t="str">
        <f t="shared" si="17"/>
        <v>ganda</v>
      </c>
      <c r="E548" s="7" t="s">
        <v>4139</v>
      </c>
      <c r="F548" s="7" t="s">
        <v>10</v>
      </c>
      <c r="G548" s="7" t="s">
        <v>11</v>
      </c>
      <c r="H548" s="7" t="s">
        <v>18</v>
      </c>
      <c r="I548" s="7" t="s">
        <v>19</v>
      </c>
      <c r="J548" s="7" t="s">
        <v>3354</v>
      </c>
      <c r="K548" s="8" t="s">
        <v>4022</v>
      </c>
    </row>
    <row r="549" spans="1:11" x14ac:dyDescent="0.35">
      <c r="A549" s="7">
        <v>1350432</v>
      </c>
      <c r="B549" s="7" t="str">
        <f>"3328122005040006"</f>
        <v>3328122005040006</v>
      </c>
      <c r="C549" s="7" t="str">
        <f t="shared" si="16"/>
        <v>'3328122005040006</v>
      </c>
      <c r="D549" s="7" t="str">
        <f t="shared" si="17"/>
        <v>ganda</v>
      </c>
      <c r="E549" s="7" t="s">
        <v>4139</v>
      </c>
      <c r="F549" s="7" t="s">
        <v>10</v>
      </c>
      <c r="G549" s="7" t="s">
        <v>57</v>
      </c>
      <c r="H549" s="7" t="s">
        <v>303</v>
      </c>
      <c r="I549" s="7" t="s">
        <v>608</v>
      </c>
      <c r="J549" s="7" t="s">
        <v>609</v>
      </c>
      <c r="K549" s="8" t="s">
        <v>610</v>
      </c>
    </row>
    <row r="550" spans="1:11" x14ac:dyDescent="0.35">
      <c r="A550" s="7">
        <v>2261572</v>
      </c>
      <c r="B550" s="7" t="str">
        <f>"3328122106000002"</f>
        <v>3328122106000002</v>
      </c>
      <c r="C550" s="7" t="str">
        <f t="shared" si="16"/>
        <v>'3328122106000002</v>
      </c>
      <c r="D550" s="7" t="str">
        <f t="shared" si="17"/>
        <v>ganda</v>
      </c>
      <c r="E550" s="7" t="s">
        <v>4142</v>
      </c>
      <c r="F550" s="7" t="s">
        <v>10</v>
      </c>
      <c r="G550" s="7" t="s">
        <v>11</v>
      </c>
      <c r="H550" s="7" t="s">
        <v>18</v>
      </c>
      <c r="I550" s="7" t="s">
        <v>19</v>
      </c>
      <c r="J550" s="7" t="s">
        <v>3354</v>
      </c>
      <c r="K550" s="8" t="s">
        <v>4022</v>
      </c>
    </row>
    <row r="551" spans="1:11" x14ac:dyDescent="0.35">
      <c r="A551" s="7">
        <v>1862931</v>
      </c>
      <c r="B551" s="7" t="str">
        <f>"3328122106000002"</f>
        <v>3328122106000002</v>
      </c>
      <c r="C551" s="7" t="str">
        <f t="shared" si="16"/>
        <v>'3328122106000002</v>
      </c>
      <c r="D551" s="7" t="str">
        <f t="shared" si="17"/>
        <v>ganda</v>
      </c>
      <c r="E551" s="7" t="s">
        <v>4143</v>
      </c>
      <c r="F551" s="7" t="s">
        <v>10</v>
      </c>
      <c r="G551" s="7" t="s">
        <v>57</v>
      </c>
      <c r="H551" s="7" t="s">
        <v>18</v>
      </c>
      <c r="I551" s="7" t="s">
        <v>733</v>
      </c>
      <c r="J551" s="7" t="s">
        <v>1127</v>
      </c>
      <c r="K551" s="8" t="s">
        <v>1127</v>
      </c>
    </row>
    <row r="552" spans="1:11" x14ac:dyDescent="0.35">
      <c r="A552" s="7">
        <v>2193495</v>
      </c>
      <c r="B552" s="7" t="str">
        <f>"3328122204000001"</f>
        <v>3328122204000001</v>
      </c>
      <c r="C552" s="7" t="str">
        <f t="shared" si="16"/>
        <v>'3328122204000001</v>
      </c>
      <c r="D552" s="7" t="str">
        <f t="shared" si="17"/>
        <v>ganda</v>
      </c>
      <c r="E552" s="7" t="s">
        <v>4144</v>
      </c>
      <c r="F552" s="7" t="s">
        <v>10</v>
      </c>
      <c r="G552" s="7" t="s">
        <v>11</v>
      </c>
      <c r="H552" s="7" t="s">
        <v>18</v>
      </c>
      <c r="I552" s="7" t="s">
        <v>19</v>
      </c>
      <c r="J552" s="7" t="s">
        <v>3354</v>
      </c>
      <c r="K552" s="8" t="s">
        <v>4098</v>
      </c>
    </row>
    <row r="553" spans="1:11" x14ac:dyDescent="0.35">
      <c r="A553" s="7">
        <v>423861</v>
      </c>
      <c r="B553" s="7" t="str">
        <f>"3328122204000001"</f>
        <v>3328122204000001</v>
      </c>
      <c r="C553" s="7" t="str">
        <f t="shared" si="16"/>
        <v>'3328122204000001</v>
      </c>
      <c r="D553" s="7" t="str">
        <f t="shared" si="17"/>
        <v>ganda</v>
      </c>
      <c r="E553" s="7" t="s">
        <v>4145</v>
      </c>
      <c r="F553" s="7" t="s">
        <v>10</v>
      </c>
      <c r="G553" s="7" t="s">
        <v>57</v>
      </c>
      <c r="H553" s="7" t="s">
        <v>18</v>
      </c>
      <c r="I553" s="7" t="s">
        <v>268</v>
      </c>
      <c r="J553" s="7" t="s">
        <v>277</v>
      </c>
      <c r="K553" s="8" t="s">
        <v>278</v>
      </c>
    </row>
    <row r="554" spans="1:11" x14ac:dyDescent="0.35">
      <c r="A554" s="7">
        <v>2280999</v>
      </c>
      <c r="B554" s="7" t="str">
        <f>"3328122908970001"</f>
        <v>3328122908970001</v>
      </c>
      <c r="C554" s="7" t="str">
        <f t="shared" si="16"/>
        <v>'3328122908970001</v>
      </c>
      <c r="D554" s="7" t="str">
        <f t="shared" si="17"/>
        <v>ganda</v>
      </c>
      <c r="E554" s="7" t="s">
        <v>4157</v>
      </c>
      <c r="F554" s="7" t="s">
        <v>10</v>
      </c>
      <c r="G554" s="7" t="s">
        <v>11</v>
      </c>
      <c r="H554" s="7" t="s">
        <v>18</v>
      </c>
      <c r="I554" s="7" t="s">
        <v>19</v>
      </c>
      <c r="J554" s="7" t="s">
        <v>3354</v>
      </c>
      <c r="K554" s="8" t="s">
        <v>4040</v>
      </c>
    </row>
    <row r="555" spans="1:11" x14ac:dyDescent="0.35">
      <c r="A555" s="7">
        <v>1350430</v>
      </c>
      <c r="B555" s="7" t="str">
        <f>"3328122908970001"</f>
        <v>3328122908970001</v>
      </c>
      <c r="C555" s="7" t="str">
        <f t="shared" si="16"/>
        <v>'3328122908970001</v>
      </c>
      <c r="D555" s="7" t="str">
        <f t="shared" si="17"/>
        <v>ganda</v>
      </c>
      <c r="E555" s="7" t="s">
        <v>4157</v>
      </c>
      <c r="F555" s="7" t="s">
        <v>10</v>
      </c>
      <c r="G555" s="7" t="s">
        <v>57</v>
      </c>
      <c r="H555" s="7" t="s">
        <v>303</v>
      </c>
      <c r="I555" s="7" t="s">
        <v>608</v>
      </c>
      <c r="J555" s="7" t="s">
        <v>609</v>
      </c>
      <c r="K555" s="8" t="s">
        <v>610</v>
      </c>
    </row>
    <row r="556" spans="1:11" x14ac:dyDescent="0.35">
      <c r="A556" s="7">
        <v>2458903</v>
      </c>
      <c r="B556" s="7" t="str">
        <f>"3328124405780008"</f>
        <v>3328124405780008</v>
      </c>
      <c r="C556" s="7" t="str">
        <f t="shared" si="16"/>
        <v>'3328124405780008</v>
      </c>
      <c r="D556" s="7" t="str">
        <f t="shared" si="17"/>
        <v>ganda</v>
      </c>
      <c r="E556" s="7" t="s">
        <v>3620</v>
      </c>
      <c r="F556" s="7" t="s">
        <v>10</v>
      </c>
      <c r="G556" s="7" t="s">
        <v>11</v>
      </c>
      <c r="H556" s="7" t="s">
        <v>18</v>
      </c>
      <c r="I556" s="7" t="s">
        <v>19</v>
      </c>
      <c r="J556" s="7" t="s">
        <v>3354</v>
      </c>
      <c r="K556" s="8" t="s">
        <v>4008</v>
      </c>
    </row>
    <row r="557" spans="1:11" x14ac:dyDescent="0.35">
      <c r="A557" s="7">
        <v>1349044</v>
      </c>
      <c r="B557" s="7" t="str">
        <f>"3328124405780008"</f>
        <v>3328124405780008</v>
      </c>
      <c r="C557" s="7" t="str">
        <f t="shared" si="16"/>
        <v>'3328124405780008</v>
      </c>
      <c r="D557" s="7" t="str">
        <f t="shared" si="17"/>
        <v>ganda</v>
      </c>
      <c r="E557" s="7" t="s">
        <v>4164</v>
      </c>
      <c r="F557" s="7" t="s">
        <v>10</v>
      </c>
      <c r="G557" s="7" t="s">
        <v>57</v>
      </c>
      <c r="H557" s="7" t="s">
        <v>303</v>
      </c>
      <c r="I557" s="7" t="s">
        <v>608</v>
      </c>
      <c r="J557" s="7" t="s">
        <v>609</v>
      </c>
      <c r="K557" s="8" t="s">
        <v>610</v>
      </c>
    </row>
    <row r="558" spans="1:11" x14ac:dyDescent="0.35">
      <c r="A558" s="7">
        <v>2327511</v>
      </c>
      <c r="B558" s="7" t="str">
        <f>"3328124702670003"</f>
        <v>3328124702670003</v>
      </c>
      <c r="C558" s="7" t="str">
        <f t="shared" si="16"/>
        <v>'3328124702670003</v>
      </c>
      <c r="D558" s="7" t="str">
        <f t="shared" si="17"/>
        <v>ganda</v>
      </c>
      <c r="E558" s="7" t="s">
        <v>4167</v>
      </c>
      <c r="F558" s="7" t="s">
        <v>10</v>
      </c>
      <c r="G558" s="7" t="s">
        <v>11</v>
      </c>
      <c r="H558" s="7" t="s">
        <v>18</v>
      </c>
      <c r="I558" s="7" t="s">
        <v>19</v>
      </c>
      <c r="J558" s="7" t="s">
        <v>3354</v>
      </c>
      <c r="K558" s="8" t="s">
        <v>307</v>
      </c>
    </row>
    <row r="559" spans="1:11" x14ac:dyDescent="0.35">
      <c r="A559" s="7">
        <v>1349046</v>
      </c>
      <c r="B559" s="7" t="str">
        <f>"3328124702670003"</f>
        <v>3328124702670003</v>
      </c>
      <c r="C559" s="7" t="str">
        <f t="shared" si="16"/>
        <v>'3328124702670003</v>
      </c>
      <c r="D559" s="7" t="str">
        <f t="shared" si="17"/>
        <v>ganda</v>
      </c>
      <c r="E559" s="7" t="s">
        <v>4168</v>
      </c>
      <c r="F559" s="7" t="s">
        <v>10</v>
      </c>
      <c r="G559" s="7" t="s">
        <v>57</v>
      </c>
      <c r="H559" s="7" t="s">
        <v>303</v>
      </c>
      <c r="I559" s="7" t="s">
        <v>608</v>
      </c>
      <c r="J559" s="7" t="s">
        <v>609</v>
      </c>
      <c r="K559" s="8" t="s">
        <v>610</v>
      </c>
    </row>
    <row r="560" spans="1:11" x14ac:dyDescent="0.35">
      <c r="A560" s="7">
        <v>2341927</v>
      </c>
      <c r="B560" s="7" t="str">
        <f>"3328125108800007"</f>
        <v>3328125108800007</v>
      </c>
      <c r="C560" s="7" t="str">
        <f t="shared" si="16"/>
        <v>'3328125108800007</v>
      </c>
      <c r="D560" s="7" t="str">
        <f t="shared" si="17"/>
        <v>ganda</v>
      </c>
      <c r="E560" s="7" t="s">
        <v>4171</v>
      </c>
      <c r="F560" s="7" t="s">
        <v>10</v>
      </c>
      <c r="G560" s="7" t="s">
        <v>11</v>
      </c>
      <c r="H560" s="7" t="s">
        <v>18</v>
      </c>
      <c r="I560" s="7" t="s">
        <v>19</v>
      </c>
      <c r="J560" s="7" t="s">
        <v>3354</v>
      </c>
      <c r="K560" s="8" t="s">
        <v>4026</v>
      </c>
    </row>
    <row r="561" spans="1:11" x14ac:dyDescent="0.35">
      <c r="A561" s="7">
        <v>423743</v>
      </c>
      <c r="B561" s="7" t="str">
        <f>"3328125108800007"</f>
        <v>3328125108800007</v>
      </c>
      <c r="C561" s="7" t="str">
        <f t="shared" si="16"/>
        <v>'3328125108800007</v>
      </c>
      <c r="D561" s="7" t="str">
        <f t="shared" si="17"/>
        <v>ganda</v>
      </c>
      <c r="E561" s="7" t="s">
        <v>4172</v>
      </c>
      <c r="F561" s="7" t="s">
        <v>10</v>
      </c>
      <c r="G561" s="7" t="s">
        <v>57</v>
      </c>
      <c r="H561" s="7" t="s">
        <v>18</v>
      </c>
      <c r="I561" s="7" t="s">
        <v>268</v>
      </c>
      <c r="J561" s="7" t="s">
        <v>277</v>
      </c>
      <c r="K561" s="8" t="s">
        <v>278</v>
      </c>
    </row>
    <row r="562" spans="1:11" x14ac:dyDescent="0.35">
      <c r="A562" s="7">
        <v>2440580</v>
      </c>
      <c r="B562" s="7" t="str">
        <f>"3328125205030006"</f>
        <v>3328125205030006</v>
      </c>
      <c r="C562" s="7" t="str">
        <f t="shared" si="16"/>
        <v>'3328125205030006</v>
      </c>
      <c r="D562" s="7" t="str">
        <f t="shared" si="17"/>
        <v>ganda</v>
      </c>
      <c r="E562" s="7" t="s">
        <v>4173</v>
      </c>
      <c r="F562" s="7" t="s">
        <v>10</v>
      </c>
      <c r="G562" s="7" t="s">
        <v>11</v>
      </c>
      <c r="H562" s="7" t="s">
        <v>18</v>
      </c>
      <c r="I562" s="7" t="s">
        <v>19</v>
      </c>
      <c r="J562" s="7" t="s">
        <v>3354</v>
      </c>
      <c r="K562" s="8" t="s">
        <v>4076</v>
      </c>
    </row>
    <row r="563" spans="1:11" x14ac:dyDescent="0.35">
      <c r="A563" s="7">
        <v>1862497</v>
      </c>
      <c r="B563" s="7" t="str">
        <f>"3328125205030006"</f>
        <v>3328125205030006</v>
      </c>
      <c r="C563" s="7" t="str">
        <f t="shared" si="16"/>
        <v>'3328125205030006</v>
      </c>
      <c r="D563" s="7" t="str">
        <f t="shared" si="17"/>
        <v>ganda</v>
      </c>
      <c r="E563" s="7" t="s">
        <v>4173</v>
      </c>
      <c r="F563" s="7" t="s">
        <v>10</v>
      </c>
      <c r="G563" s="7" t="s">
        <v>57</v>
      </c>
      <c r="H563" s="7" t="s">
        <v>18</v>
      </c>
      <c r="I563" s="7" t="s">
        <v>733</v>
      </c>
      <c r="J563" s="7" t="s">
        <v>733</v>
      </c>
      <c r="K563" s="8" t="s">
        <v>734</v>
      </c>
    </row>
    <row r="564" spans="1:11" x14ac:dyDescent="0.35">
      <c r="A564" s="7">
        <v>2192449</v>
      </c>
      <c r="B564" s="7" t="str">
        <f>"3328125606850005"</f>
        <v>3328125606850005</v>
      </c>
      <c r="C564" s="7" t="str">
        <f t="shared" si="16"/>
        <v>'3328125606850005</v>
      </c>
      <c r="D564" s="7" t="str">
        <f t="shared" si="17"/>
        <v>ganda</v>
      </c>
      <c r="E564" s="7" t="s">
        <v>4183</v>
      </c>
      <c r="F564" s="7" t="s">
        <v>10</v>
      </c>
      <c r="G564" s="7" t="s">
        <v>11</v>
      </c>
      <c r="H564" s="7" t="s">
        <v>18</v>
      </c>
      <c r="I564" s="7" t="s">
        <v>19</v>
      </c>
      <c r="J564" s="7" t="s">
        <v>3354</v>
      </c>
      <c r="K564" s="8" t="s">
        <v>4014</v>
      </c>
    </row>
    <row r="565" spans="1:11" x14ac:dyDescent="0.35">
      <c r="A565" s="7">
        <v>1352176</v>
      </c>
      <c r="B565" s="7" t="str">
        <f>"3328125606850005"</f>
        <v>3328125606850005</v>
      </c>
      <c r="C565" s="7" t="str">
        <f t="shared" si="16"/>
        <v>'3328125606850005</v>
      </c>
      <c r="D565" s="7" t="str">
        <f t="shared" si="17"/>
        <v>ganda</v>
      </c>
      <c r="E565" s="7" t="s">
        <v>4184</v>
      </c>
      <c r="F565" s="7" t="s">
        <v>10</v>
      </c>
      <c r="G565" s="7" t="s">
        <v>57</v>
      </c>
      <c r="H565" s="7" t="s">
        <v>303</v>
      </c>
      <c r="I565" s="7" t="s">
        <v>608</v>
      </c>
      <c r="J565" s="7" t="s">
        <v>609</v>
      </c>
      <c r="K565" s="8" t="s">
        <v>610</v>
      </c>
    </row>
    <row r="566" spans="1:11" x14ac:dyDescent="0.35">
      <c r="A566" s="7">
        <v>2262589</v>
      </c>
      <c r="B566" s="7" t="str">
        <f>"3328126204020009"</f>
        <v>3328126204020009</v>
      </c>
      <c r="C566" s="7" t="str">
        <f t="shared" si="16"/>
        <v>'3328126204020009</v>
      </c>
      <c r="D566" s="7" t="str">
        <f t="shared" si="17"/>
        <v>ganda</v>
      </c>
      <c r="E566" s="7" t="s">
        <v>4198</v>
      </c>
      <c r="F566" s="7" t="s">
        <v>10</v>
      </c>
      <c r="G566" s="7" t="s">
        <v>11</v>
      </c>
      <c r="H566" s="7" t="s">
        <v>18</v>
      </c>
      <c r="I566" s="7" t="s">
        <v>19</v>
      </c>
      <c r="J566" s="7" t="s">
        <v>3354</v>
      </c>
      <c r="K566" s="8" t="s">
        <v>4022</v>
      </c>
    </row>
    <row r="567" spans="1:11" x14ac:dyDescent="0.35">
      <c r="A567" s="7">
        <v>1352916</v>
      </c>
      <c r="B567" s="7" t="str">
        <f>"3328126204020009"</f>
        <v>3328126204020009</v>
      </c>
      <c r="C567" s="7" t="str">
        <f t="shared" si="16"/>
        <v>'3328126204020009</v>
      </c>
      <c r="D567" s="7" t="str">
        <f t="shared" si="17"/>
        <v>ganda</v>
      </c>
      <c r="E567" s="7" t="s">
        <v>4198</v>
      </c>
      <c r="F567" s="7" t="s">
        <v>10</v>
      </c>
      <c r="G567" s="7" t="s">
        <v>57</v>
      </c>
      <c r="H567" s="7" t="s">
        <v>303</v>
      </c>
      <c r="I567" s="7" t="s">
        <v>608</v>
      </c>
      <c r="J567" s="7" t="s">
        <v>609</v>
      </c>
      <c r="K567" s="8" t="s">
        <v>610</v>
      </c>
    </row>
    <row r="568" spans="1:11" x14ac:dyDescent="0.35">
      <c r="A568" s="7">
        <v>2429694</v>
      </c>
      <c r="B568" s="7" t="str">
        <f>"3328126905020001"</f>
        <v>3328126905020001</v>
      </c>
      <c r="C568" s="7" t="str">
        <f t="shared" si="16"/>
        <v>'3328126905020001</v>
      </c>
      <c r="D568" s="7" t="str">
        <f t="shared" si="17"/>
        <v>ganda</v>
      </c>
      <c r="E568" s="7" t="s">
        <v>4212</v>
      </c>
      <c r="F568" s="7" t="s">
        <v>10</v>
      </c>
      <c r="G568" s="7" t="s">
        <v>11</v>
      </c>
      <c r="H568" s="7" t="s">
        <v>18</v>
      </c>
      <c r="I568" s="7" t="s">
        <v>19</v>
      </c>
      <c r="J568" s="7" t="s">
        <v>3354</v>
      </c>
      <c r="K568" s="8" t="s">
        <v>3354</v>
      </c>
    </row>
    <row r="569" spans="1:11" x14ac:dyDescent="0.35">
      <c r="A569" s="7">
        <v>1352177</v>
      </c>
      <c r="B569" s="7" t="str">
        <f>"3328126905020001"</f>
        <v>3328126905020001</v>
      </c>
      <c r="C569" s="7" t="str">
        <f t="shared" si="16"/>
        <v>'3328126905020001</v>
      </c>
      <c r="D569" s="7" t="str">
        <f t="shared" si="17"/>
        <v>ganda</v>
      </c>
      <c r="E569" s="7" t="s">
        <v>4212</v>
      </c>
      <c r="F569" s="7" t="s">
        <v>10</v>
      </c>
      <c r="G569" s="7" t="s">
        <v>57</v>
      </c>
      <c r="H569" s="7" t="s">
        <v>303</v>
      </c>
      <c r="I569" s="7" t="s">
        <v>608</v>
      </c>
      <c r="J569" s="7" t="s">
        <v>609</v>
      </c>
      <c r="K569" s="8" t="s">
        <v>610</v>
      </c>
    </row>
    <row r="570" spans="1:11" x14ac:dyDescent="0.35">
      <c r="A570" s="7">
        <v>2202677</v>
      </c>
      <c r="B570" s="7" t="str">
        <f>"3328131506040004"</f>
        <v>3328131506040004</v>
      </c>
      <c r="C570" s="7" t="str">
        <f t="shared" si="16"/>
        <v>'3328131506040004</v>
      </c>
      <c r="D570" s="7" t="str">
        <f t="shared" si="17"/>
        <v>ganda</v>
      </c>
      <c r="E570" s="7" t="s">
        <v>4217</v>
      </c>
      <c r="F570" s="7" t="s">
        <v>10</v>
      </c>
      <c r="G570" s="7" t="s">
        <v>11</v>
      </c>
      <c r="H570" s="7" t="s">
        <v>18</v>
      </c>
      <c r="I570" s="7" t="s">
        <v>19</v>
      </c>
      <c r="J570" s="7" t="s">
        <v>3354</v>
      </c>
      <c r="K570" s="8" t="s">
        <v>1954</v>
      </c>
    </row>
    <row r="571" spans="1:11" x14ac:dyDescent="0.35">
      <c r="A571" s="7">
        <v>1351195</v>
      </c>
      <c r="B571" s="7" t="str">
        <f>"3328131506040004"</f>
        <v>3328131506040004</v>
      </c>
      <c r="C571" s="7" t="str">
        <f t="shared" si="16"/>
        <v>'3328131506040004</v>
      </c>
      <c r="D571" s="7" t="str">
        <f t="shared" si="17"/>
        <v>ganda</v>
      </c>
      <c r="E571" s="7" t="s">
        <v>4218</v>
      </c>
      <c r="F571" s="7" t="s">
        <v>10</v>
      </c>
      <c r="G571" s="7" t="s">
        <v>57</v>
      </c>
      <c r="H571" s="7" t="s">
        <v>303</v>
      </c>
      <c r="I571" s="7" t="s">
        <v>608</v>
      </c>
      <c r="J571" s="7" t="s">
        <v>609</v>
      </c>
      <c r="K571" s="8" t="s">
        <v>610</v>
      </c>
    </row>
    <row r="572" spans="1:11" x14ac:dyDescent="0.35">
      <c r="A572" s="7">
        <v>2331362</v>
      </c>
      <c r="B572" s="7" t="str">
        <f>"3376032204980001"</f>
        <v>3376032204980001</v>
      </c>
      <c r="C572" s="7" t="str">
        <f t="shared" si="16"/>
        <v>'3376032204980001</v>
      </c>
      <c r="D572" s="7" t="str">
        <f t="shared" si="17"/>
        <v>ganda</v>
      </c>
      <c r="E572" s="7" t="s">
        <v>4259</v>
      </c>
      <c r="F572" s="7" t="s">
        <v>10</v>
      </c>
      <c r="G572" s="7" t="s">
        <v>11</v>
      </c>
      <c r="H572" s="7" t="s">
        <v>18</v>
      </c>
      <c r="I572" s="7" t="s">
        <v>19</v>
      </c>
      <c r="J572" s="7" t="s">
        <v>3354</v>
      </c>
      <c r="K572" s="8" t="s">
        <v>307</v>
      </c>
    </row>
    <row r="573" spans="1:11" x14ac:dyDescent="0.35">
      <c r="A573" s="7">
        <v>423672</v>
      </c>
      <c r="B573" s="7" t="str">
        <f>"3376032204980001"</f>
        <v>3376032204980001</v>
      </c>
      <c r="C573" s="7" t="str">
        <f t="shared" si="16"/>
        <v>'3376032204980001</v>
      </c>
      <c r="D573" s="7" t="str">
        <f t="shared" si="17"/>
        <v>ganda</v>
      </c>
      <c r="E573" s="7" t="s">
        <v>4260</v>
      </c>
      <c r="F573" s="7" t="s">
        <v>10</v>
      </c>
      <c r="G573" s="7" t="s">
        <v>57</v>
      </c>
      <c r="H573" s="7" t="s">
        <v>18</v>
      </c>
      <c r="I573" s="7" t="s">
        <v>268</v>
      </c>
      <c r="J573" s="7" t="s">
        <v>277</v>
      </c>
      <c r="K573" s="8" t="s">
        <v>278</v>
      </c>
    </row>
    <row r="574" spans="1:11" x14ac:dyDescent="0.35">
      <c r="A574" s="7">
        <v>2330353</v>
      </c>
      <c r="B574" s="7" t="str">
        <f>"3526090107780930"</f>
        <v>3526090107780930</v>
      </c>
      <c r="C574" s="7" t="str">
        <f t="shared" si="16"/>
        <v>'3526090107780930</v>
      </c>
      <c r="D574" s="7" t="str">
        <f t="shared" si="17"/>
        <v>ganda</v>
      </c>
      <c r="E574" s="7" t="s">
        <v>4271</v>
      </c>
      <c r="F574" s="7" t="s">
        <v>10</v>
      </c>
      <c r="G574" s="7" t="s">
        <v>11</v>
      </c>
      <c r="H574" s="7" t="s">
        <v>18</v>
      </c>
      <c r="I574" s="7" t="s">
        <v>19</v>
      </c>
      <c r="J574" s="7" t="s">
        <v>3354</v>
      </c>
      <c r="K574" s="8" t="s">
        <v>307</v>
      </c>
    </row>
    <row r="575" spans="1:11" x14ac:dyDescent="0.35">
      <c r="A575" s="7">
        <v>501832</v>
      </c>
      <c r="B575" s="7" t="str">
        <f>"3526090107780930"</f>
        <v>3526090107780930</v>
      </c>
      <c r="C575" s="7" t="str">
        <f t="shared" si="16"/>
        <v>'3526090107780930</v>
      </c>
      <c r="D575" s="7" t="str">
        <f t="shared" si="17"/>
        <v>ganda</v>
      </c>
      <c r="E575" s="7" t="s">
        <v>4272</v>
      </c>
      <c r="F575" s="7" t="s">
        <v>10</v>
      </c>
      <c r="G575" s="7" t="s">
        <v>11</v>
      </c>
      <c r="H575" s="7" t="s">
        <v>303</v>
      </c>
      <c r="I575" s="7" t="s">
        <v>1676</v>
      </c>
      <c r="J575" s="7" t="s">
        <v>4273</v>
      </c>
      <c r="K575" s="8" t="s">
        <v>4274</v>
      </c>
    </row>
    <row r="576" spans="1:11" x14ac:dyDescent="0.35">
      <c r="A576" s="7">
        <v>1876455</v>
      </c>
      <c r="B576" s="7" t="str">
        <f>"3171020211840006"</f>
        <v>3171020211840006</v>
      </c>
      <c r="C576" s="7" t="str">
        <f t="shared" si="16"/>
        <v>'3171020211840006</v>
      </c>
      <c r="D576" s="7" t="str">
        <f t="shared" si="17"/>
        <v>ganda</v>
      </c>
      <c r="E576" s="7" t="s">
        <v>4291</v>
      </c>
      <c r="F576" s="7" t="s">
        <v>10</v>
      </c>
      <c r="G576" s="7" t="s">
        <v>11</v>
      </c>
      <c r="H576" s="7" t="s">
        <v>18</v>
      </c>
      <c r="I576" s="7" t="s">
        <v>19</v>
      </c>
      <c r="J576" s="7" t="s">
        <v>4290</v>
      </c>
      <c r="K576" s="8" t="s">
        <v>344</v>
      </c>
    </row>
    <row r="577" spans="1:11" x14ac:dyDescent="0.35">
      <c r="A577" s="7">
        <v>2422734</v>
      </c>
      <c r="B577" s="7" t="str">
        <f>"3171020211840006"</f>
        <v>3171020211840006</v>
      </c>
      <c r="C577" s="7" t="str">
        <f t="shared" si="16"/>
        <v>'3171020211840006</v>
      </c>
      <c r="D577" s="7" t="str">
        <f t="shared" si="17"/>
        <v>ganda</v>
      </c>
      <c r="E577" s="7" t="s">
        <v>4292</v>
      </c>
      <c r="F577" s="7" t="s">
        <v>10</v>
      </c>
      <c r="G577" s="7" t="s">
        <v>57</v>
      </c>
      <c r="H577" s="7" t="s">
        <v>50</v>
      </c>
      <c r="I577" s="7" t="s">
        <v>58</v>
      </c>
      <c r="J577" s="7" t="s">
        <v>59</v>
      </c>
      <c r="K577" s="8" t="s">
        <v>60</v>
      </c>
    </row>
    <row r="578" spans="1:11" x14ac:dyDescent="0.35">
      <c r="A578" s="7">
        <v>2150723</v>
      </c>
      <c r="B578" s="7" t="str">
        <f>"3328130505950003"</f>
        <v>3328130505950003</v>
      </c>
      <c r="C578" s="7" t="str">
        <f t="shared" ref="C578:C641" si="18">"'"&amp;B578</f>
        <v>'3328130505950003</v>
      </c>
      <c r="D578" s="7" t="str">
        <f t="shared" ref="D578:D641" si="19">IF(COUNTIF($C:$C,C578)&gt;1,"ganda","tidak ganda")</f>
        <v>ganda</v>
      </c>
      <c r="E578" s="7" t="s">
        <v>4414</v>
      </c>
      <c r="F578" s="7" t="s">
        <v>10</v>
      </c>
      <c r="G578" s="7" t="s">
        <v>11</v>
      </c>
      <c r="H578" s="7" t="s">
        <v>18</v>
      </c>
      <c r="I578" s="7" t="s">
        <v>19</v>
      </c>
      <c r="J578" s="7" t="s">
        <v>4290</v>
      </c>
      <c r="K578" s="8" t="s">
        <v>4290</v>
      </c>
    </row>
    <row r="579" spans="1:11" x14ac:dyDescent="0.35">
      <c r="A579" s="7">
        <v>423813</v>
      </c>
      <c r="B579" s="7" t="str">
        <f>"3328130505950003"</f>
        <v>3328130505950003</v>
      </c>
      <c r="C579" s="7" t="str">
        <f t="shared" si="18"/>
        <v>'3328130505950003</v>
      </c>
      <c r="D579" s="7" t="str">
        <f t="shared" si="19"/>
        <v>ganda</v>
      </c>
      <c r="E579" s="7" t="s">
        <v>4415</v>
      </c>
      <c r="F579" s="7" t="s">
        <v>10</v>
      </c>
      <c r="G579" s="7" t="s">
        <v>57</v>
      </c>
      <c r="H579" s="7" t="s">
        <v>18</v>
      </c>
      <c r="I579" s="7" t="s">
        <v>268</v>
      </c>
      <c r="J579" s="7" t="s">
        <v>277</v>
      </c>
      <c r="K579" s="8" t="s">
        <v>278</v>
      </c>
    </row>
    <row r="580" spans="1:11" x14ac:dyDescent="0.35">
      <c r="A580" s="7">
        <v>2112162</v>
      </c>
      <c r="B580" s="7" t="str">
        <f>"3328131207030003"</f>
        <v>3328131207030003</v>
      </c>
      <c r="C580" s="7" t="str">
        <f t="shared" si="18"/>
        <v>'3328131207030003</v>
      </c>
      <c r="D580" s="7" t="str">
        <f t="shared" si="19"/>
        <v>ganda</v>
      </c>
      <c r="E580" s="7" t="s">
        <v>4450</v>
      </c>
      <c r="F580" s="7" t="s">
        <v>10</v>
      </c>
      <c r="G580" s="7" t="s">
        <v>11</v>
      </c>
      <c r="H580" s="7" t="s">
        <v>18</v>
      </c>
      <c r="I580" s="7" t="s">
        <v>19</v>
      </c>
      <c r="J580" s="7" t="s">
        <v>4290</v>
      </c>
      <c r="K580" s="8" t="s">
        <v>4347</v>
      </c>
    </row>
    <row r="581" spans="1:11" x14ac:dyDescent="0.35">
      <c r="A581" s="7">
        <v>1351192</v>
      </c>
      <c r="B581" s="7" t="str">
        <f>"3328131207030003"</f>
        <v>3328131207030003</v>
      </c>
      <c r="C581" s="7" t="str">
        <f t="shared" si="18"/>
        <v>'3328131207030003</v>
      </c>
      <c r="D581" s="7" t="str">
        <f t="shared" si="19"/>
        <v>ganda</v>
      </c>
      <c r="E581" s="7" t="s">
        <v>4450</v>
      </c>
      <c r="F581" s="7" t="s">
        <v>10</v>
      </c>
      <c r="G581" s="7" t="s">
        <v>57</v>
      </c>
      <c r="H581" s="7" t="s">
        <v>303</v>
      </c>
      <c r="I581" s="7" t="s">
        <v>608</v>
      </c>
      <c r="J581" s="7" t="s">
        <v>609</v>
      </c>
      <c r="K581" s="8" t="s">
        <v>610</v>
      </c>
    </row>
    <row r="582" spans="1:11" x14ac:dyDescent="0.35">
      <c r="A582" s="7">
        <v>2466000</v>
      </c>
      <c r="B582" s="7" t="str">
        <f>"3328131212020004"</f>
        <v>3328131212020004</v>
      </c>
      <c r="C582" s="7" t="str">
        <f t="shared" si="18"/>
        <v>'3328131212020004</v>
      </c>
      <c r="D582" s="7" t="str">
        <f t="shared" si="19"/>
        <v>ganda</v>
      </c>
      <c r="E582" s="7" t="s">
        <v>4453</v>
      </c>
      <c r="F582" s="7" t="s">
        <v>10</v>
      </c>
      <c r="G582" s="7" t="s">
        <v>11</v>
      </c>
      <c r="H582" s="7" t="s">
        <v>18</v>
      </c>
      <c r="I582" s="7" t="s">
        <v>19</v>
      </c>
      <c r="J582" s="7" t="s">
        <v>4290</v>
      </c>
      <c r="K582" s="8" t="s">
        <v>2513</v>
      </c>
    </row>
    <row r="583" spans="1:11" x14ac:dyDescent="0.35">
      <c r="A583" s="7">
        <v>1351196</v>
      </c>
      <c r="B583" s="7" t="str">
        <f>"3328131212020004"</f>
        <v>3328131212020004</v>
      </c>
      <c r="C583" s="7" t="str">
        <f t="shared" si="18"/>
        <v>'3328131212020004</v>
      </c>
      <c r="D583" s="7" t="str">
        <f t="shared" si="19"/>
        <v>ganda</v>
      </c>
      <c r="E583" s="7" t="s">
        <v>4453</v>
      </c>
      <c r="F583" s="7" t="s">
        <v>10</v>
      </c>
      <c r="G583" s="7" t="s">
        <v>57</v>
      </c>
      <c r="H583" s="7" t="s">
        <v>303</v>
      </c>
      <c r="I583" s="7" t="s">
        <v>608</v>
      </c>
      <c r="J583" s="7" t="s">
        <v>609</v>
      </c>
      <c r="K583" s="8" t="s">
        <v>610</v>
      </c>
    </row>
    <row r="584" spans="1:11" x14ac:dyDescent="0.35">
      <c r="A584" s="7">
        <v>2466438</v>
      </c>
      <c r="B584" s="7" t="str">
        <f>"3328131511030002"</f>
        <v>3328131511030002</v>
      </c>
      <c r="C584" s="7" t="str">
        <f t="shared" si="18"/>
        <v>'3328131511030002</v>
      </c>
      <c r="D584" s="7" t="str">
        <f t="shared" si="19"/>
        <v>ganda</v>
      </c>
      <c r="E584" s="7" t="s">
        <v>4468</v>
      </c>
      <c r="F584" s="7" t="s">
        <v>10</v>
      </c>
      <c r="G584" s="7" t="s">
        <v>11</v>
      </c>
      <c r="H584" s="7" t="s">
        <v>18</v>
      </c>
      <c r="I584" s="7" t="s">
        <v>19</v>
      </c>
      <c r="J584" s="7" t="s">
        <v>4290</v>
      </c>
      <c r="K584" s="8" t="s">
        <v>2513</v>
      </c>
    </row>
    <row r="585" spans="1:11" x14ac:dyDescent="0.35">
      <c r="A585" s="7">
        <v>1351194</v>
      </c>
      <c r="B585" s="7" t="str">
        <f>"3328131511030002"</f>
        <v>3328131511030002</v>
      </c>
      <c r="C585" s="7" t="str">
        <f t="shared" si="18"/>
        <v>'3328131511030002</v>
      </c>
      <c r="D585" s="7" t="str">
        <f t="shared" si="19"/>
        <v>ganda</v>
      </c>
      <c r="E585" s="7" t="s">
        <v>4468</v>
      </c>
      <c r="F585" s="7" t="s">
        <v>10</v>
      </c>
      <c r="G585" s="7" t="s">
        <v>57</v>
      </c>
      <c r="H585" s="7" t="s">
        <v>303</v>
      </c>
      <c r="I585" s="7" t="s">
        <v>608</v>
      </c>
      <c r="J585" s="7" t="s">
        <v>609</v>
      </c>
      <c r="K585" s="8" t="s">
        <v>610</v>
      </c>
    </row>
    <row r="586" spans="1:11" x14ac:dyDescent="0.35">
      <c r="A586" s="7">
        <v>1908124</v>
      </c>
      <c r="B586" s="7" t="str">
        <f>"3328131805040002"</f>
        <v>3328131805040002</v>
      </c>
      <c r="C586" s="7" t="str">
        <f t="shared" si="18"/>
        <v>'3328131805040002</v>
      </c>
      <c r="D586" s="7" t="str">
        <f t="shared" si="19"/>
        <v>ganda</v>
      </c>
      <c r="E586" s="7" t="s">
        <v>4479</v>
      </c>
      <c r="F586" s="7" t="s">
        <v>10</v>
      </c>
      <c r="G586" s="7" t="s">
        <v>11</v>
      </c>
      <c r="H586" s="7" t="s">
        <v>18</v>
      </c>
      <c r="I586" s="7" t="s">
        <v>19</v>
      </c>
      <c r="J586" s="7" t="s">
        <v>4290</v>
      </c>
      <c r="K586" s="8" t="s">
        <v>4298</v>
      </c>
    </row>
    <row r="587" spans="1:11" x14ac:dyDescent="0.35">
      <c r="A587" s="7">
        <v>1351197</v>
      </c>
      <c r="B587" s="7" t="str">
        <f>"3328131805040002"</f>
        <v>3328131805040002</v>
      </c>
      <c r="C587" s="7" t="str">
        <f t="shared" si="18"/>
        <v>'3328131805040002</v>
      </c>
      <c r="D587" s="7" t="str">
        <f t="shared" si="19"/>
        <v>ganda</v>
      </c>
      <c r="E587" s="7" t="s">
        <v>4479</v>
      </c>
      <c r="F587" s="7" t="s">
        <v>10</v>
      </c>
      <c r="G587" s="7" t="s">
        <v>57</v>
      </c>
      <c r="H587" s="7" t="s">
        <v>303</v>
      </c>
      <c r="I587" s="7" t="s">
        <v>608</v>
      </c>
      <c r="J587" s="7" t="s">
        <v>609</v>
      </c>
      <c r="K587" s="8" t="s">
        <v>610</v>
      </c>
    </row>
    <row r="588" spans="1:11" x14ac:dyDescent="0.35">
      <c r="A588" s="7">
        <v>2110758</v>
      </c>
      <c r="B588" s="7" t="str">
        <f>"3328132403010001"</f>
        <v>3328132403010001</v>
      </c>
      <c r="C588" s="7" t="str">
        <f t="shared" si="18"/>
        <v>'3328132403010001</v>
      </c>
      <c r="D588" s="7" t="str">
        <f t="shared" si="19"/>
        <v>ganda</v>
      </c>
      <c r="E588" s="7" t="s">
        <v>4499</v>
      </c>
      <c r="F588" s="7" t="s">
        <v>10</v>
      </c>
      <c r="G588" s="7" t="s">
        <v>11</v>
      </c>
      <c r="H588" s="7" t="s">
        <v>18</v>
      </c>
      <c r="I588" s="7" t="s">
        <v>19</v>
      </c>
      <c r="J588" s="7" t="s">
        <v>4290</v>
      </c>
      <c r="K588" s="8" t="s">
        <v>4347</v>
      </c>
    </row>
    <row r="589" spans="1:11" x14ac:dyDescent="0.35">
      <c r="A589" s="7">
        <v>1351193</v>
      </c>
      <c r="B589" s="7" t="str">
        <f>"3328132403010001"</f>
        <v>3328132403010001</v>
      </c>
      <c r="C589" s="7" t="str">
        <f t="shared" si="18"/>
        <v>'3328132403010001</v>
      </c>
      <c r="D589" s="7" t="str">
        <f t="shared" si="19"/>
        <v>ganda</v>
      </c>
      <c r="E589" s="7" t="s">
        <v>4499</v>
      </c>
      <c r="F589" s="7" t="s">
        <v>10</v>
      </c>
      <c r="G589" s="7" t="s">
        <v>57</v>
      </c>
      <c r="H589" s="7" t="s">
        <v>303</v>
      </c>
      <c r="I589" s="7" t="s">
        <v>608</v>
      </c>
      <c r="J589" s="7" t="s">
        <v>609</v>
      </c>
      <c r="K589" s="8" t="s">
        <v>610</v>
      </c>
    </row>
    <row r="590" spans="1:11" x14ac:dyDescent="0.35">
      <c r="A590" s="7">
        <v>1940699</v>
      </c>
      <c r="B590" s="7" t="str">
        <f>"3328132707020004"</f>
        <v>3328132707020004</v>
      </c>
      <c r="C590" s="7" t="str">
        <f t="shared" si="18"/>
        <v>'3328132707020004</v>
      </c>
      <c r="D590" s="7" t="str">
        <f t="shared" si="19"/>
        <v>ganda</v>
      </c>
      <c r="E590" s="7" t="s">
        <v>4514</v>
      </c>
      <c r="F590" s="7" t="s">
        <v>10</v>
      </c>
      <c r="G590" s="7" t="s">
        <v>11</v>
      </c>
      <c r="H590" s="7" t="s">
        <v>18</v>
      </c>
      <c r="I590" s="7" t="s">
        <v>19</v>
      </c>
      <c r="J590" s="7" t="s">
        <v>4290</v>
      </c>
      <c r="K590" s="8" t="s">
        <v>4329</v>
      </c>
    </row>
    <row r="591" spans="1:11" x14ac:dyDescent="0.35">
      <c r="A591" s="7">
        <v>1351199</v>
      </c>
      <c r="B591" s="7" t="str">
        <f>"3328132707020004"</f>
        <v>3328132707020004</v>
      </c>
      <c r="C591" s="7" t="str">
        <f t="shared" si="18"/>
        <v>'3328132707020004</v>
      </c>
      <c r="D591" s="7" t="str">
        <f t="shared" si="19"/>
        <v>ganda</v>
      </c>
      <c r="E591" s="7" t="s">
        <v>4515</v>
      </c>
      <c r="F591" s="7" t="s">
        <v>10</v>
      </c>
      <c r="G591" s="7" t="s">
        <v>57</v>
      </c>
      <c r="H591" s="7" t="s">
        <v>303</v>
      </c>
      <c r="I591" s="7" t="s">
        <v>608</v>
      </c>
      <c r="J591" s="7" t="s">
        <v>609</v>
      </c>
      <c r="K591" s="8" t="s">
        <v>610</v>
      </c>
    </row>
    <row r="592" spans="1:11" x14ac:dyDescent="0.35">
      <c r="A592" s="7">
        <v>1745495</v>
      </c>
      <c r="B592" s="7" t="str">
        <f>"3328132811030006"</f>
        <v>3328132811030006</v>
      </c>
      <c r="C592" s="7" t="str">
        <f t="shared" si="18"/>
        <v>'3328132811030006</v>
      </c>
      <c r="D592" s="7" t="str">
        <f t="shared" si="19"/>
        <v>ganda</v>
      </c>
      <c r="E592" s="7" t="s">
        <v>4525</v>
      </c>
      <c r="F592" s="7" t="s">
        <v>10</v>
      </c>
      <c r="G592" s="7" t="s">
        <v>11</v>
      </c>
      <c r="H592" s="7" t="s">
        <v>18</v>
      </c>
      <c r="I592" s="7" t="s">
        <v>19</v>
      </c>
      <c r="J592" s="7" t="s">
        <v>4290</v>
      </c>
      <c r="K592" s="8" t="s">
        <v>4426</v>
      </c>
    </row>
    <row r="593" spans="1:11" x14ac:dyDescent="0.35">
      <c r="A593" s="7">
        <v>1351198</v>
      </c>
      <c r="B593" s="7" t="str">
        <f>"3328132811030006"</f>
        <v>3328132811030006</v>
      </c>
      <c r="C593" s="7" t="str">
        <f t="shared" si="18"/>
        <v>'3328132811030006</v>
      </c>
      <c r="D593" s="7" t="str">
        <f t="shared" si="19"/>
        <v>ganda</v>
      </c>
      <c r="E593" s="7" t="s">
        <v>4525</v>
      </c>
      <c r="F593" s="7" t="s">
        <v>10</v>
      </c>
      <c r="G593" s="7" t="s">
        <v>57</v>
      </c>
      <c r="H593" s="7" t="s">
        <v>303</v>
      </c>
      <c r="I593" s="7" t="s">
        <v>608</v>
      </c>
      <c r="J593" s="7" t="s">
        <v>609</v>
      </c>
      <c r="K593" s="8" t="s">
        <v>610</v>
      </c>
    </row>
    <row r="594" spans="1:11" x14ac:dyDescent="0.35">
      <c r="A594" s="7">
        <v>1442217</v>
      </c>
      <c r="B594" s="7" t="str">
        <f>"3328134804020004"</f>
        <v>3328134804020004</v>
      </c>
      <c r="C594" s="7" t="str">
        <f t="shared" si="18"/>
        <v>'3328134804020004</v>
      </c>
      <c r="D594" s="7" t="str">
        <f t="shared" si="19"/>
        <v>ganda</v>
      </c>
      <c r="E594" s="7" t="s">
        <v>4557</v>
      </c>
      <c r="F594" s="7" t="s">
        <v>10</v>
      </c>
      <c r="G594" s="7" t="s">
        <v>11</v>
      </c>
      <c r="H594" s="7" t="s">
        <v>18</v>
      </c>
      <c r="I594" s="7" t="s">
        <v>19</v>
      </c>
      <c r="J594" s="7" t="s">
        <v>4290</v>
      </c>
      <c r="K594" s="8" t="s">
        <v>878</v>
      </c>
    </row>
    <row r="595" spans="1:11" x14ac:dyDescent="0.35">
      <c r="A595" s="7">
        <v>1352895</v>
      </c>
      <c r="B595" s="7" t="str">
        <f>"3328134804020004"</f>
        <v>3328134804020004</v>
      </c>
      <c r="C595" s="7" t="str">
        <f t="shared" si="18"/>
        <v>'3328134804020004</v>
      </c>
      <c r="D595" s="7" t="str">
        <f t="shared" si="19"/>
        <v>ganda</v>
      </c>
      <c r="E595" s="7" t="s">
        <v>4558</v>
      </c>
      <c r="F595" s="7" t="s">
        <v>10</v>
      </c>
      <c r="G595" s="7" t="s">
        <v>57</v>
      </c>
      <c r="H595" s="7" t="s">
        <v>303</v>
      </c>
      <c r="I595" s="7" t="s">
        <v>608</v>
      </c>
      <c r="J595" s="7" t="s">
        <v>609</v>
      </c>
      <c r="K595" s="8" t="s">
        <v>610</v>
      </c>
    </row>
    <row r="596" spans="1:11" x14ac:dyDescent="0.35">
      <c r="A596" s="7">
        <v>1907406</v>
      </c>
      <c r="B596" s="7" t="str">
        <f>"3328134807040003"</f>
        <v>3328134807040003</v>
      </c>
      <c r="C596" s="7" t="str">
        <f t="shared" si="18"/>
        <v>'3328134807040003</v>
      </c>
      <c r="D596" s="7" t="str">
        <f t="shared" si="19"/>
        <v>ganda</v>
      </c>
      <c r="E596" s="7" t="s">
        <v>4559</v>
      </c>
      <c r="F596" s="7" t="s">
        <v>10</v>
      </c>
      <c r="G596" s="7" t="s">
        <v>11</v>
      </c>
      <c r="H596" s="7" t="s">
        <v>18</v>
      </c>
      <c r="I596" s="7" t="s">
        <v>19</v>
      </c>
      <c r="J596" s="7" t="s">
        <v>4290</v>
      </c>
      <c r="K596" s="8" t="s">
        <v>4298</v>
      </c>
    </row>
    <row r="597" spans="1:11" x14ac:dyDescent="0.35">
      <c r="A597" s="7">
        <v>762645</v>
      </c>
      <c r="B597" s="7" t="str">
        <f>"3328134807040003"</f>
        <v>3328134807040003</v>
      </c>
      <c r="C597" s="7" t="str">
        <f t="shared" si="18"/>
        <v>'3328134807040003</v>
      </c>
      <c r="D597" s="7" t="str">
        <f t="shared" si="19"/>
        <v>ganda</v>
      </c>
      <c r="E597" s="7" t="s">
        <v>4560</v>
      </c>
      <c r="F597" s="7" t="s">
        <v>10</v>
      </c>
      <c r="G597" s="7" t="s">
        <v>57</v>
      </c>
      <c r="H597" s="7" t="s">
        <v>379</v>
      </c>
      <c r="I597" s="7" t="s">
        <v>711</v>
      </c>
      <c r="J597" s="7" t="s">
        <v>718</v>
      </c>
      <c r="K597" s="8" t="s">
        <v>719</v>
      </c>
    </row>
    <row r="598" spans="1:11" x14ac:dyDescent="0.35">
      <c r="A598" s="7">
        <v>1476241</v>
      </c>
      <c r="B598" s="7" t="str">
        <f>"3328135106770003"</f>
        <v>3328135106770003</v>
      </c>
      <c r="C598" s="7" t="str">
        <f t="shared" si="18"/>
        <v>'3328135106770003</v>
      </c>
      <c r="D598" s="7" t="str">
        <f t="shared" si="19"/>
        <v>ganda</v>
      </c>
      <c r="E598" s="7" t="s">
        <v>4569</v>
      </c>
      <c r="F598" s="7" t="s">
        <v>10</v>
      </c>
      <c r="G598" s="7" t="s">
        <v>11</v>
      </c>
      <c r="H598" s="7" t="s">
        <v>18</v>
      </c>
      <c r="I598" s="7" t="s">
        <v>19</v>
      </c>
      <c r="J598" s="7" t="s">
        <v>4290</v>
      </c>
      <c r="K598" s="8" t="s">
        <v>4436</v>
      </c>
    </row>
    <row r="599" spans="1:11" x14ac:dyDescent="0.35">
      <c r="A599" s="7">
        <v>1352173</v>
      </c>
      <c r="B599" s="7" t="str">
        <f>"3328135106770003"</f>
        <v>3328135106770003</v>
      </c>
      <c r="C599" s="7" t="str">
        <f t="shared" si="18"/>
        <v>'3328135106770003</v>
      </c>
      <c r="D599" s="7" t="str">
        <f t="shared" si="19"/>
        <v>ganda</v>
      </c>
      <c r="E599" s="7" t="s">
        <v>4570</v>
      </c>
      <c r="F599" s="7" t="s">
        <v>10</v>
      </c>
      <c r="G599" s="7" t="s">
        <v>57</v>
      </c>
      <c r="H599" s="7" t="s">
        <v>303</v>
      </c>
      <c r="I599" s="7" t="s">
        <v>608</v>
      </c>
      <c r="J599" s="7" t="s">
        <v>609</v>
      </c>
      <c r="K599" s="8" t="s">
        <v>610</v>
      </c>
    </row>
    <row r="600" spans="1:11" x14ac:dyDescent="0.35">
      <c r="A600" s="7">
        <v>1901343</v>
      </c>
      <c r="B600" s="7" t="str">
        <f>"3328135801030001"</f>
        <v>3328135801030001</v>
      </c>
      <c r="C600" s="7" t="str">
        <f t="shared" si="18"/>
        <v>'3328135801030001</v>
      </c>
      <c r="D600" s="7" t="str">
        <f t="shared" si="19"/>
        <v>ganda</v>
      </c>
      <c r="E600" s="7" t="s">
        <v>4599</v>
      </c>
      <c r="F600" s="7" t="s">
        <v>10</v>
      </c>
      <c r="G600" s="7" t="s">
        <v>11</v>
      </c>
      <c r="H600" s="7" t="s">
        <v>18</v>
      </c>
      <c r="I600" s="7" t="s">
        <v>19</v>
      </c>
      <c r="J600" s="7" t="s">
        <v>4290</v>
      </c>
      <c r="K600" s="8" t="s">
        <v>4358</v>
      </c>
    </row>
    <row r="601" spans="1:11" x14ac:dyDescent="0.35">
      <c r="A601" s="7">
        <v>1352898</v>
      </c>
      <c r="B601" s="7" t="str">
        <f>"3328135801030001"</f>
        <v>3328135801030001</v>
      </c>
      <c r="C601" s="7" t="str">
        <f t="shared" si="18"/>
        <v>'3328135801030001</v>
      </c>
      <c r="D601" s="7" t="str">
        <f t="shared" si="19"/>
        <v>ganda</v>
      </c>
      <c r="E601" s="7" t="s">
        <v>4600</v>
      </c>
      <c r="F601" s="7" t="s">
        <v>10</v>
      </c>
      <c r="G601" s="7" t="s">
        <v>57</v>
      </c>
      <c r="H601" s="7" t="s">
        <v>303</v>
      </c>
      <c r="I601" s="7" t="s">
        <v>608</v>
      </c>
      <c r="J601" s="7" t="s">
        <v>609</v>
      </c>
      <c r="K601" s="8" t="s">
        <v>610</v>
      </c>
    </row>
    <row r="602" spans="1:11" x14ac:dyDescent="0.35">
      <c r="A602" s="7">
        <v>1897421</v>
      </c>
      <c r="B602" s="7" t="str">
        <f>"3328136412030001"</f>
        <v>3328136412030001</v>
      </c>
      <c r="C602" s="7" t="str">
        <f t="shared" si="18"/>
        <v>'3328136412030001</v>
      </c>
      <c r="D602" s="7" t="str">
        <f t="shared" si="19"/>
        <v>ganda</v>
      </c>
      <c r="E602" s="7" t="s">
        <v>4623</v>
      </c>
      <c r="F602" s="7" t="s">
        <v>10</v>
      </c>
      <c r="G602" s="7" t="s">
        <v>11</v>
      </c>
      <c r="H602" s="7" t="s">
        <v>18</v>
      </c>
      <c r="I602" s="7" t="s">
        <v>19</v>
      </c>
      <c r="J602" s="7" t="s">
        <v>4290</v>
      </c>
      <c r="K602" s="8" t="s">
        <v>4606</v>
      </c>
    </row>
    <row r="603" spans="1:11" x14ac:dyDescent="0.35">
      <c r="A603" s="7">
        <v>1352896</v>
      </c>
      <c r="B603" s="7" t="str">
        <f>"3328136412030001"</f>
        <v>3328136412030001</v>
      </c>
      <c r="C603" s="7" t="str">
        <f t="shared" si="18"/>
        <v>'3328136412030001</v>
      </c>
      <c r="D603" s="7" t="str">
        <f t="shared" si="19"/>
        <v>ganda</v>
      </c>
      <c r="E603" s="7" t="s">
        <v>4623</v>
      </c>
      <c r="F603" s="7" t="s">
        <v>10</v>
      </c>
      <c r="G603" s="7" t="s">
        <v>57</v>
      </c>
      <c r="H603" s="7" t="s">
        <v>303</v>
      </c>
      <c r="I603" s="7" t="s">
        <v>608</v>
      </c>
      <c r="J603" s="7" t="s">
        <v>609</v>
      </c>
      <c r="K603" s="8" t="s">
        <v>610</v>
      </c>
    </row>
    <row r="604" spans="1:11" x14ac:dyDescent="0.35">
      <c r="A604" s="7">
        <v>2409657</v>
      </c>
      <c r="B604" s="7" t="str">
        <f>"3328136804030001"</f>
        <v>3328136804030001</v>
      </c>
      <c r="C604" s="7" t="str">
        <f t="shared" si="18"/>
        <v>'3328136804030001</v>
      </c>
      <c r="D604" s="7" t="str">
        <f t="shared" si="19"/>
        <v>ganda</v>
      </c>
      <c r="E604" s="7" t="s">
        <v>4627</v>
      </c>
      <c r="F604" s="7" t="s">
        <v>10</v>
      </c>
      <c r="G604" s="7" t="s">
        <v>11</v>
      </c>
      <c r="H604" s="7" t="s">
        <v>18</v>
      </c>
      <c r="I604" s="7" t="s">
        <v>19</v>
      </c>
      <c r="J604" s="7" t="s">
        <v>4290</v>
      </c>
      <c r="K604" s="8" t="s">
        <v>1381</v>
      </c>
    </row>
    <row r="605" spans="1:11" x14ac:dyDescent="0.35">
      <c r="A605" s="7">
        <v>1352897</v>
      </c>
      <c r="B605" s="7" t="str">
        <f>"3328136804030001"</f>
        <v>3328136804030001</v>
      </c>
      <c r="C605" s="7" t="str">
        <f t="shared" si="18"/>
        <v>'3328136804030001</v>
      </c>
      <c r="D605" s="7" t="str">
        <f t="shared" si="19"/>
        <v>ganda</v>
      </c>
      <c r="E605" s="7" t="s">
        <v>4627</v>
      </c>
      <c r="F605" s="7" t="s">
        <v>10</v>
      </c>
      <c r="G605" s="7" t="s">
        <v>57</v>
      </c>
      <c r="H605" s="7" t="s">
        <v>303</v>
      </c>
      <c r="I605" s="7" t="s">
        <v>608</v>
      </c>
      <c r="J605" s="7" t="s">
        <v>609</v>
      </c>
      <c r="K605" s="8" t="s">
        <v>610</v>
      </c>
    </row>
    <row r="606" spans="1:11" x14ac:dyDescent="0.35">
      <c r="A606" s="7">
        <v>2083802</v>
      </c>
      <c r="B606" s="7" t="str">
        <f>"3328137107030001"</f>
        <v>3328137107030001</v>
      </c>
      <c r="C606" s="7" t="str">
        <f t="shared" si="18"/>
        <v>'3328137107030001</v>
      </c>
      <c r="D606" s="7" t="str">
        <f t="shared" si="19"/>
        <v>ganda</v>
      </c>
      <c r="E606" s="7" t="s">
        <v>4632</v>
      </c>
      <c r="F606" s="7" t="s">
        <v>10</v>
      </c>
      <c r="G606" s="7" t="s">
        <v>11</v>
      </c>
      <c r="H606" s="7" t="s">
        <v>18</v>
      </c>
      <c r="I606" s="7" t="s">
        <v>19</v>
      </c>
      <c r="J606" s="7" t="s">
        <v>4290</v>
      </c>
      <c r="K606" s="8" t="s">
        <v>4309</v>
      </c>
    </row>
    <row r="607" spans="1:11" x14ac:dyDescent="0.35">
      <c r="A607" s="7">
        <v>1352899</v>
      </c>
      <c r="B607" s="7" t="str">
        <f>"3328137107030001"</f>
        <v>3328137107030001</v>
      </c>
      <c r="C607" s="7" t="str">
        <f t="shared" si="18"/>
        <v>'3328137107030001</v>
      </c>
      <c r="D607" s="7" t="str">
        <f t="shared" si="19"/>
        <v>ganda</v>
      </c>
      <c r="E607" s="7" t="s">
        <v>4632</v>
      </c>
      <c r="F607" s="7" t="s">
        <v>10</v>
      </c>
      <c r="G607" s="7" t="s">
        <v>57</v>
      </c>
      <c r="H607" s="7" t="s">
        <v>303</v>
      </c>
      <c r="I607" s="7" t="s">
        <v>608</v>
      </c>
      <c r="J607" s="7" t="s">
        <v>609</v>
      </c>
      <c r="K607" s="8" t="s">
        <v>610</v>
      </c>
    </row>
    <row r="608" spans="1:11" x14ac:dyDescent="0.35">
      <c r="A608" s="7">
        <v>2408492</v>
      </c>
      <c r="B608" s="7" t="str">
        <f>"3328152610010012"</f>
        <v>3328152610010012</v>
      </c>
      <c r="C608" s="7" t="str">
        <f t="shared" si="18"/>
        <v>'3328152610010012</v>
      </c>
      <c r="D608" s="7" t="str">
        <f t="shared" si="19"/>
        <v>ganda</v>
      </c>
      <c r="E608" s="7" t="s">
        <v>4633</v>
      </c>
      <c r="F608" s="7" t="s">
        <v>10</v>
      </c>
      <c r="G608" s="7" t="s">
        <v>11</v>
      </c>
      <c r="H608" s="7" t="s">
        <v>18</v>
      </c>
      <c r="I608" s="7" t="s">
        <v>19</v>
      </c>
      <c r="J608" s="7" t="s">
        <v>4290</v>
      </c>
      <c r="K608" s="8" t="s">
        <v>1381</v>
      </c>
    </row>
    <row r="609" spans="1:11" x14ac:dyDescent="0.35">
      <c r="A609" s="7">
        <v>423825</v>
      </c>
      <c r="B609" s="7" t="str">
        <f>"3328152610010012"</f>
        <v>3328152610010012</v>
      </c>
      <c r="C609" s="7" t="str">
        <f t="shared" si="18"/>
        <v>'3328152610010012</v>
      </c>
      <c r="D609" s="7" t="str">
        <f t="shared" si="19"/>
        <v>ganda</v>
      </c>
      <c r="E609" s="7" t="s">
        <v>4634</v>
      </c>
      <c r="F609" s="7" t="s">
        <v>10</v>
      </c>
      <c r="G609" s="7" t="s">
        <v>57</v>
      </c>
      <c r="H609" s="7" t="s">
        <v>18</v>
      </c>
      <c r="I609" s="7" t="s">
        <v>268</v>
      </c>
      <c r="J609" s="7" t="s">
        <v>277</v>
      </c>
      <c r="K609" s="8" t="s">
        <v>278</v>
      </c>
    </row>
    <row r="610" spans="1:11" x14ac:dyDescent="0.35">
      <c r="A610" s="7">
        <v>2110663</v>
      </c>
      <c r="B610" s="7" t="str">
        <f>"3376030112800001"</f>
        <v>3376030112800001</v>
      </c>
      <c r="C610" s="7" t="str">
        <f t="shared" si="18"/>
        <v>'3376030112800001</v>
      </c>
      <c r="D610" s="7" t="str">
        <f t="shared" si="19"/>
        <v>ganda</v>
      </c>
      <c r="E610" s="7" t="s">
        <v>350</v>
      </c>
      <c r="F610" s="7" t="s">
        <v>10</v>
      </c>
      <c r="G610" s="7" t="s">
        <v>11</v>
      </c>
      <c r="H610" s="7" t="s">
        <v>18</v>
      </c>
      <c r="I610" s="7" t="s">
        <v>19</v>
      </c>
      <c r="J610" s="7" t="s">
        <v>4290</v>
      </c>
      <c r="K610" s="8" t="s">
        <v>4347</v>
      </c>
    </row>
    <row r="611" spans="1:11" x14ac:dyDescent="0.35">
      <c r="A611" s="7">
        <v>423808</v>
      </c>
      <c r="B611" s="7" t="str">
        <f>"3376030112800001"</f>
        <v>3376030112800001</v>
      </c>
      <c r="C611" s="7" t="str">
        <f t="shared" si="18"/>
        <v>'3376030112800001</v>
      </c>
      <c r="D611" s="7" t="str">
        <f t="shared" si="19"/>
        <v>ganda</v>
      </c>
      <c r="E611" s="7" t="s">
        <v>4663</v>
      </c>
      <c r="F611" s="7" t="s">
        <v>10</v>
      </c>
      <c r="G611" s="7" t="s">
        <v>57</v>
      </c>
      <c r="H611" s="7" t="s">
        <v>18</v>
      </c>
      <c r="I611" s="7" t="s">
        <v>268</v>
      </c>
      <c r="J611" s="7" t="s">
        <v>277</v>
      </c>
      <c r="K611" s="8" t="s">
        <v>278</v>
      </c>
    </row>
    <row r="612" spans="1:11" x14ac:dyDescent="0.35">
      <c r="A612" s="7">
        <v>1920324</v>
      </c>
      <c r="B612" s="7" t="str">
        <f>"3328140402020003"</f>
        <v>3328140402020003</v>
      </c>
      <c r="C612" s="7" t="str">
        <f t="shared" si="18"/>
        <v>'3328140402020003</v>
      </c>
      <c r="D612" s="7" t="str">
        <f t="shared" si="19"/>
        <v>ganda</v>
      </c>
      <c r="E612" s="7" t="s">
        <v>4822</v>
      </c>
      <c r="F612" s="7" t="s">
        <v>10</v>
      </c>
      <c r="G612" s="7" t="s">
        <v>11</v>
      </c>
      <c r="H612" s="7" t="s">
        <v>18</v>
      </c>
      <c r="I612" s="7" t="s">
        <v>19</v>
      </c>
      <c r="J612" s="7" t="s">
        <v>3565</v>
      </c>
      <c r="K612" s="8" t="s">
        <v>4765</v>
      </c>
    </row>
    <row r="613" spans="1:11" x14ac:dyDescent="0.35">
      <c r="A613" s="7">
        <v>1350437</v>
      </c>
      <c r="B613" s="7" t="str">
        <f>"3328140402020003"</f>
        <v>3328140402020003</v>
      </c>
      <c r="C613" s="7" t="str">
        <f t="shared" si="18"/>
        <v>'3328140402020003</v>
      </c>
      <c r="D613" s="7" t="str">
        <f t="shared" si="19"/>
        <v>ganda</v>
      </c>
      <c r="E613" s="7" t="s">
        <v>4822</v>
      </c>
      <c r="F613" s="7" t="s">
        <v>10</v>
      </c>
      <c r="G613" s="7" t="s">
        <v>57</v>
      </c>
      <c r="H613" s="7" t="s">
        <v>303</v>
      </c>
      <c r="I613" s="7" t="s">
        <v>608</v>
      </c>
      <c r="J613" s="7" t="s">
        <v>609</v>
      </c>
      <c r="K613" s="8" t="s">
        <v>610</v>
      </c>
    </row>
    <row r="614" spans="1:11" x14ac:dyDescent="0.35">
      <c r="A614" s="7">
        <v>1926833</v>
      </c>
      <c r="B614" s="7" t="str">
        <f>"3328140601010001"</f>
        <v>3328140601010001</v>
      </c>
      <c r="C614" s="7" t="str">
        <f t="shared" si="18"/>
        <v>'3328140601010001</v>
      </c>
      <c r="D614" s="7" t="str">
        <f t="shared" si="19"/>
        <v>ganda</v>
      </c>
      <c r="E614" s="7" t="s">
        <v>4824</v>
      </c>
      <c r="F614" s="7" t="s">
        <v>10</v>
      </c>
      <c r="G614" s="7" t="s">
        <v>11</v>
      </c>
      <c r="H614" s="7" t="s">
        <v>18</v>
      </c>
      <c r="I614" s="7" t="s">
        <v>19</v>
      </c>
      <c r="J614" s="7" t="s">
        <v>3565</v>
      </c>
      <c r="K614" s="8" t="s">
        <v>678</v>
      </c>
    </row>
    <row r="615" spans="1:11" x14ac:dyDescent="0.35">
      <c r="A615" s="7">
        <v>1350439</v>
      </c>
      <c r="B615" s="7" t="str">
        <f>"3328140601010001"</f>
        <v>3328140601010001</v>
      </c>
      <c r="C615" s="7" t="str">
        <f t="shared" si="18"/>
        <v>'3328140601010001</v>
      </c>
      <c r="D615" s="7" t="str">
        <f t="shared" si="19"/>
        <v>ganda</v>
      </c>
      <c r="E615" s="7" t="s">
        <v>4825</v>
      </c>
      <c r="F615" s="7" t="s">
        <v>10</v>
      </c>
      <c r="G615" s="7" t="s">
        <v>57</v>
      </c>
      <c r="H615" s="7" t="s">
        <v>303</v>
      </c>
      <c r="I615" s="7" t="s">
        <v>608</v>
      </c>
      <c r="J615" s="7" t="s">
        <v>609</v>
      </c>
      <c r="K615" s="8" t="s">
        <v>610</v>
      </c>
    </row>
    <row r="616" spans="1:11" x14ac:dyDescent="0.35">
      <c r="A616" s="7">
        <v>1800999</v>
      </c>
      <c r="B616" s="7" t="str">
        <f>"3328141512990001"</f>
        <v>3328141512990001</v>
      </c>
      <c r="C616" s="7" t="str">
        <f t="shared" si="18"/>
        <v>'3328141512990001</v>
      </c>
      <c r="D616" s="7" t="str">
        <f t="shared" si="19"/>
        <v>ganda</v>
      </c>
      <c r="E616" s="7" t="s">
        <v>4852</v>
      </c>
      <c r="F616" s="7" t="s">
        <v>10</v>
      </c>
      <c r="G616" s="7" t="s">
        <v>11</v>
      </c>
      <c r="H616" s="7" t="s">
        <v>18</v>
      </c>
      <c r="I616" s="7" t="s">
        <v>19</v>
      </c>
      <c r="J616" s="7" t="s">
        <v>3565</v>
      </c>
      <c r="K616" s="8" t="s">
        <v>4703</v>
      </c>
    </row>
    <row r="617" spans="1:11" x14ac:dyDescent="0.35">
      <c r="A617" s="7">
        <v>252397</v>
      </c>
      <c r="B617" s="7" t="str">
        <f>"3328141512990001"</f>
        <v>3328141512990001</v>
      </c>
      <c r="C617" s="7" t="str">
        <f t="shared" si="18"/>
        <v>'3328141512990001</v>
      </c>
      <c r="D617" s="7" t="str">
        <f t="shared" si="19"/>
        <v>ganda</v>
      </c>
      <c r="E617" s="7" t="s">
        <v>4852</v>
      </c>
      <c r="F617" s="7" t="s">
        <v>10</v>
      </c>
      <c r="G617" s="7" t="s">
        <v>57</v>
      </c>
      <c r="H617" s="7" t="s">
        <v>521</v>
      </c>
      <c r="I617" s="7" t="s">
        <v>657</v>
      </c>
      <c r="J617" s="7" t="s">
        <v>658</v>
      </c>
      <c r="K617" s="8" t="s">
        <v>3357</v>
      </c>
    </row>
    <row r="618" spans="1:11" x14ac:dyDescent="0.35">
      <c r="A618" s="7">
        <v>1800218</v>
      </c>
      <c r="B618" s="7" t="str">
        <f>"3376022707970004"</f>
        <v>3376022707970004</v>
      </c>
      <c r="C618" s="7" t="str">
        <f t="shared" si="18"/>
        <v>'3376022707970004</v>
      </c>
      <c r="D618" s="7" t="str">
        <f t="shared" si="19"/>
        <v>ganda</v>
      </c>
      <c r="E618" s="7" t="s">
        <v>4947</v>
      </c>
      <c r="F618" s="7" t="s">
        <v>10</v>
      </c>
      <c r="G618" s="7" t="s">
        <v>11</v>
      </c>
      <c r="H618" s="7" t="s">
        <v>18</v>
      </c>
      <c r="I618" s="7" t="s">
        <v>19</v>
      </c>
      <c r="J618" s="7" t="s">
        <v>3565</v>
      </c>
      <c r="K618" s="8" t="s">
        <v>4703</v>
      </c>
    </row>
    <row r="619" spans="1:11" x14ac:dyDescent="0.35">
      <c r="A619" s="7">
        <v>423711</v>
      </c>
      <c r="B619" s="7" t="str">
        <f>"3376022707970004"</f>
        <v>3376022707970004</v>
      </c>
      <c r="C619" s="7" t="str">
        <f t="shared" si="18"/>
        <v>'3376022707970004</v>
      </c>
      <c r="D619" s="7" t="str">
        <f t="shared" si="19"/>
        <v>ganda</v>
      </c>
      <c r="E619" s="7" t="s">
        <v>4948</v>
      </c>
      <c r="F619" s="7" t="s">
        <v>10</v>
      </c>
      <c r="G619" s="7" t="s">
        <v>57</v>
      </c>
      <c r="H619" s="7" t="s">
        <v>18</v>
      </c>
      <c r="I619" s="7" t="s">
        <v>268</v>
      </c>
      <c r="J619" s="7" t="s">
        <v>277</v>
      </c>
      <c r="K619" s="8" t="s">
        <v>278</v>
      </c>
    </row>
    <row r="620" spans="1:11" x14ac:dyDescent="0.35">
      <c r="A620" s="7">
        <v>1648800</v>
      </c>
      <c r="B620" s="7" t="str">
        <f>"3328131205870003"</f>
        <v>3328131205870003</v>
      </c>
      <c r="C620" s="7" t="str">
        <f t="shared" si="18"/>
        <v>'3328131205870003</v>
      </c>
      <c r="D620" s="7" t="str">
        <f t="shared" si="19"/>
        <v>ganda</v>
      </c>
      <c r="E620" s="7" t="s">
        <v>5032</v>
      </c>
      <c r="F620" s="7" t="s">
        <v>10</v>
      </c>
      <c r="G620" s="7" t="s">
        <v>11</v>
      </c>
      <c r="H620" s="7" t="s">
        <v>18</v>
      </c>
      <c r="I620" s="7" t="s">
        <v>19</v>
      </c>
      <c r="J620" s="7" t="s">
        <v>266</v>
      </c>
      <c r="K620" s="8" t="s">
        <v>4976</v>
      </c>
    </row>
    <row r="621" spans="1:11" x14ac:dyDescent="0.35">
      <c r="A621" s="7">
        <v>269121</v>
      </c>
      <c r="B621" s="7" t="str">
        <f>"3328131205870003"</f>
        <v>3328131205870003</v>
      </c>
      <c r="C621" s="7" t="str">
        <f t="shared" si="18"/>
        <v>'3328131205870003</v>
      </c>
      <c r="D621" s="7" t="str">
        <f t="shared" si="19"/>
        <v>ganda</v>
      </c>
      <c r="E621" s="7" t="s">
        <v>5033</v>
      </c>
      <c r="F621" s="7" t="s">
        <v>10</v>
      </c>
      <c r="G621" s="7" t="s">
        <v>57</v>
      </c>
      <c r="H621" s="7" t="s">
        <v>91</v>
      </c>
      <c r="I621" s="7" t="s">
        <v>155</v>
      </c>
      <c r="J621" s="7" t="s">
        <v>5034</v>
      </c>
      <c r="K621" s="8" t="s">
        <v>5035</v>
      </c>
    </row>
    <row r="622" spans="1:11" x14ac:dyDescent="0.35">
      <c r="A622" s="7">
        <v>1279269</v>
      </c>
      <c r="B622" s="7" t="str">
        <f>"3328141901980004"</f>
        <v>3328141901980004</v>
      </c>
      <c r="C622" s="7" t="str">
        <f t="shared" si="18"/>
        <v>'3328141901980004</v>
      </c>
      <c r="D622" s="7" t="str">
        <f t="shared" si="19"/>
        <v>ganda</v>
      </c>
      <c r="E622" s="7" t="s">
        <v>5039</v>
      </c>
      <c r="F622" s="7" t="s">
        <v>10</v>
      </c>
      <c r="G622" s="7" t="s">
        <v>11</v>
      </c>
      <c r="H622" s="7" t="s">
        <v>18</v>
      </c>
      <c r="I622" s="7" t="s">
        <v>19</v>
      </c>
      <c r="J622" s="7" t="s">
        <v>266</v>
      </c>
      <c r="K622" s="8" t="s">
        <v>266</v>
      </c>
    </row>
    <row r="623" spans="1:11" x14ac:dyDescent="0.35">
      <c r="A623" s="7">
        <v>2662283</v>
      </c>
      <c r="B623" s="7" t="str">
        <f>"3328141901980004"</f>
        <v>3328141901980004</v>
      </c>
      <c r="C623" s="7" t="str">
        <f t="shared" si="18"/>
        <v>'3328141901980004</v>
      </c>
      <c r="D623" s="7" t="str">
        <f t="shared" si="19"/>
        <v>ganda</v>
      </c>
      <c r="E623" s="7" t="s">
        <v>5040</v>
      </c>
      <c r="F623" s="7" t="s">
        <v>10</v>
      </c>
      <c r="G623" s="7" t="s">
        <v>57</v>
      </c>
      <c r="H623" s="7" t="s">
        <v>18</v>
      </c>
      <c r="I623" s="7" t="s">
        <v>199</v>
      </c>
      <c r="J623" s="7" t="s">
        <v>199</v>
      </c>
      <c r="K623" s="8" t="s">
        <v>839</v>
      </c>
    </row>
    <row r="624" spans="1:11" x14ac:dyDescent="0.35">
      <c r="A624" s="7">
        <v>1335091</v>
      </c>
      <c r="B624" s="7" t="str">
        <f>"3328150205850006"</f>
        <v>3328150205850006</v>
      </c>
      <c r="C624" s="7" t="str">
        <f t="shared" si="18"/>
        <v>'3328150205850006</v>
      </c>
      <c r="D624" s="7" t="str">
        <f t="shared" si="19"/>
        <v>ganda</v>
      </c>
      <c r="E624" s="7" t="s">
        <v>5043</v>
      </c>
      <c r="F624" s="7" t="s">
        <v>10</v>
      </c>
      <c r="G624" s="7" t="s">
        <v>11</v>
      </c>
      <c r="H624" s="7" t="s">
        <v>18</v>
      </c>
      <c r="I624" s="7" t="s">
        <v>19</v>
      </c>
      <c r="J624" s="7" t="s">
        <v>266</v>
      </c>
      <c r="K624" s="8" t="s">
        <v>5044</v>
      </c>
    </row>
    <row r="625" spans="1:11" x14ac:dyDescent="0.35">
      <c r="A625" s="7">
        <v>423871</v>
      </c>
      <c r="B625" s="7" t="str">
        <f>"3328150205850006"</f>
        <v>3328150205850006</v>
      </c>
      <c r="C625" s="7" t="str">
        <f t="shared" si="18"/>
        <v>'3328150205850006</v>
      </c>
      <c r="D625" s="7" t="str">
        <f t="shared" si="19"/>
        <v>ganda</v>
      </c>
      <c r="E625" s="7" t="s">
        <v>5045</v>
      </c>
      <c r="F625" s="7" t="s">
        <v>10</v>
      </c>
      <c r="G625" s="7" t="s">
        <v>57</v>
      </c>
      <c r="H625" s="7" t="s">
        <v>18</v>
      </c>
      <c r="I625" s="7" t="s">
        <v>268</v>
      </c>
      <c r="J625" s="7" t="s">
        <v>277</v>
      </c>
      <c r="K625" s="8" t="s">
        <v>278</v>
      </c>
    </row>
    <row r="626" spans="1:11" x14ac:dyDescent="0.35">
      <c r="A626" s="7">
        <v>1286210</v>
      </c>
      <c r="B626" s="7" t="str">
        <f>"3328150305020004"</f>
        <v>3328150305020004</v>
      </c>
      <c r="C626" s="7" t="str">
        <f t="shared" si="18"/>
        <v>'3328150305020004</v>
      </c>
      <c r="D626" s="7" t="str">
        <f t="shared" si="19"/>
        <v>ganda</v>
      </c>
      <c r="E626" s="7" t="s">
        <v>5047</v>
      </c>
      <c r="F626" s="7" t="s">
        <v>10</v>
      </c>
      <c r="G626" s="7" t="s">
        <v>11</v>
      </c>
      <c r="H626" s="7" t="s">
        <v>18</v>
      </c>
      <c r="I626" s="7" t="s">
        <v>19</v>
      </c>
      <c r="J626" s="7" t="s">
        <v>266</v>
      </c>
      <c r="K626" s="8" t="s">
        <v>5048</v>
      </c>
    </row>
    <row r="627" spans="1:11" x14ac:dyDescent="0.35">
      <c r="A627" s="7">
        <v>1350381</v>
      </c>
      <c r="B627" s="7" t="str">
        <f>"3328150305020004"</f>
        <v>3328150305020004</v>
      </c>
      <c r="C627" s="7" t="str">
        <f t="shared" si="18"/>
        <v>'3328150305020004</v>
      </c>
      <c r="D627" s="7" t="str">
        <f t="shared" si="19"/>
        <v>ganda</v>
      </c>
      <c r="E627" s="7" t="s">
        <v>5047</v>
      </c>
      <c r="F627" s="7" t="s">
        <v>10</v>
      </c>
      <c r="G627" s="7" t="s">
        <v>57</v>
      </c>
      <c r="H627" s="7" t="s">
        <v>303</v>
      </c>
      <c r="I627" s="7" t="s">
        <v>608</v>
      </c>
      <c r="J627" s="7" t="s">
        <v>609</v>
      </c>
      <c r="K627" s="8" t="s">
        <v>610</v>
      </c>
    </row>
    <row r="628" spans="1:11" x14ac:dyDescent="0.35">
      <c r="A628" s="7">
        <v>1650776</v>
      </c>
      <c r="B628" s="7" t="str">
        <f>"3328150708920002"</f>
        <v>3328150708920002</v>
      </c>
      <c r="C628" s="7" t="str">
        <f t="shared" si="18"/>
        <v>'3328150708920002</v>
      </c>
      <c r="D628" s="7" t="str">
        <f t="shared" si="19"/>
        <v>ganda</v>
      </c>
      <c r="E628" s="7" t="s">
        <v>5057</v>
      </c>
      <c r="F628" s="7" t="s">
        <v>10</v>
      </c>
      <c r="G628" s="7" t="s">
        <v>11</v>
      </c>
      <c r="H628" s="7" t="s">
        <v>18</v>
      </c>
      <c r="I628" s="7" t="s">
        <v>19</v>
      </c>
      <c r="J628" s="7" t="s">
        <v>266</v>
      </c>
      <c r="K628" s="8" t="s">
        <v>4976</v>
      </c>
    </row>
    <row r="629" spans="1:11" x14ac:dyDescent="0.35">
      <c r="A629" s="7">
        <v>2662484</v>
      </c>
      <c r="B629" s="7" t="str">
        <f>"3328150708920002"</f>
        <v>3328150708920002</v>
      </c>
      <c r="C629" s="7" t="str">
        <f t="shared" si="18"/>
        <v>'3328150708920002</v>
      </c>
      <c r="D629" s="7" t="str">
        <f t="shared" si="19"/>
        <v>ganda</v>
      </c>
      <c r="E629" s="7" t="s">
        <v>5058</v>
      </c>
      <c r="F629" s="7" t="s">
        <v>10</v>
      </c>
      <c r="G629" s="7" t="s">
        <v>57</v>
      </c>
      <c r="H629" s="7" t="s">
        <v>18</v>
      </c>
      <c r="I629" s="7" t="s">
        <v>199</v>
      </c>
      <c r="J629" s="7" t="s">
        <v>208</v>
      </c>
      <c r="K629" s="8" t="s">
        <v>209</v>
      </c>
    </row>
    <row r="630" spans="1:11" x14ac:dyDescent="0.35">
      <c r="A630" s="7">
        <v>1335089</v>
      </c>
      <c r="B630" s="7" t="str">
        <f>"3328151909000009"</f>
        <v>3328151909000009</v>
      </c>
      <c r="C630" s="7" t="str">
        <f t="shared" si="18"/>
        <v>'3328151909000009</v>
      </c>
      <c r="D630" s="7" t="str">
        <f t="shared" si="19"/>
        <v>ganda</v>
      </c>
      <c r="E630" s="7" t="s">
        <v>5084</v>
      </c>
      <c r="F630" s="7" t="s">
        <v>10</v>
      </c>
      <c r="G630" s="7" t="s">
        <v>11</v>
      </c>
      <c r="H630" s="7" t="s">
        <v>18</v>
      </c>
      <c r="I630" s="7" t="s">
        <v>19</v>
      </c>
      <c r="J630" s="7" t="s">
        <v>266</v>
      </c>
      <c r="K630" s="8" t="s">
        <v>5044</v>
      </c>
    </row>
    <row r="631" spans="1:11" x14ac:dyDescent="0.35">
      <c r="A631" s="7">
        <v>423846</v>
      </c>
      <c r="B631" s="7" t="str">
        <f>"3328151909000009"</f>
        <v>3328151909000009</v>
      </c>
      <c r="C631" s="7" t="str">
        <f t="shared" si="18"/>
        <v>'3328151909000009</v>
      </c>
      <c r="D631" s="7" t="str">
        <f t="shared" si="19"/>
        <v>ganda</v>
      </c>
      <c r="E631" s="7" t="s">
        <v>5085</v>
      </c>
      <c r="F631" s="7" t="s">
        <v>10</v>
      </c>
      <c r="G631" s="7" t="s">
        <v>57</v>
      </c>
      <c r="H631" s="7" t="s">
        <v>18</v>
      </c>
      <c r="I631" s="7" t="s">
        <v>268</v>
      </c>
      <c r="J631" s="7" t="s">
        <v>277</v>
      </c>
      <c r="K631" s="8" t="s">
        <v>278</v>
      </c>
    </row>
    <row r="632" spans="1:11" x14ac:dyDescent="0.35">
      <c r="A632" s="7">
        <v>1335088</v>
      </c>
      <c r="B632" s="7" t="str">
        <f>"3328152110600003"</f>
        <v>3328152110600003</v>
      </c>
      <c r="C632" s="7" t="str">
        <f t="shared" si="18"/>
        <v>'3328152110600003</v>
      </c>
      <c r="D632" s="7" t="str">
        <f t="shared" si="19"/>
        <v>ganda</v>
      </c>
      <c r="E632" s="7" t="s">
        <v>5086</v>
      </c>
      <c r="F632" s="7" t="s">
        <v>10</v>
      </c>
      <c r="G632" s="7" t="s">
        <v>11</v>
      </c>
      <c r="H632" s="7" t="s">
        <v>18</v>
      </c>
      <c r="I632" s="7" t="s">
        <v>19</v>
      </c>
      <c r="J632" s="7" t="s">
        <v>266</v>
      </c>
      <c r="K632" s="8" t="s">
        <v>5044</v>
      </c>
    </row>
    <row r="633" spans="1:11" x14ac:dyDescent="0.35">
      <c r="A633" s="7">
        <v>423832</v>
      </c>
      <c r="B633" s="7" t="str">
        <f>"3328152110600003"</f>
        <v>3328152110600003</v>
      </c>
      <c r="C633" s="7" t="str">
        <f t="shared" si="18"/>
        <v>'3328152110600003</v>
      </c>
      <c r="D633" s="7" t="str">
        <f t="shared" si="19"/>
        <v>ganda</v>
      </c>
      <c r="E633" s="7" t="s">
        <v>5087</v>
      </c>
      <c r="F633" s="7" t="s">
        <v>10</v>
      </c>
      <c r="G633" s="7" t="s">
        <v>57</v>
      </c>
      <c r="H633" s="7" t="s">
        <v>18</v>
      </c>
      <c r="I633" s="7" t="s">
        <v>268</v>
      </c>
      <c r="J633" s="7" t="s">
        <v>277</v>
      </c>
      <c r="K633" s="8" t="s">
        <v>278</v>
      </c>
    </row>
    <row r="634" spans="1:11" x14ac:dyDescent="0.35">
      <c r="A634" s="7">
        <v>1415773</v>
      </c>
      <c r="B634" s="7" t="str">
        <f>"3328154705000002"</f>
        <v>3328154705000002</v>
      </c>
      <c r="C634" s="7" t="str">
        <f t="shared" si="18"/>
        <v>'3328154705000002</v>
      </c>
      <c r="D634" s="7" t="str">
        <f t="shared" si="19"/>
        <v>ganda</v>
      </c>
      <c r="E634" s="7" t="s">
        <v>5114</v>
      </c>
      <c r="F634" s="7" t="s">
        <v>10</v>
      </c>
      <c r="G634" s="7" t="s">
        <v>11</v>
      </c>
      <c r="H634" s="7" t="s">
        <v>18</v>
      </c>
      <c r="I634" s="7" t="s">
        <v>19</v>
      </c>
      <c r="J634" s="7" t="s">
        <v>266</v>
      </c>
      <c r="K634" s="8" t="s">
        <v>5072</v>
      </c>
    </row>
    <row r="635" spans="1:11" x14ac:dyDescent="0.35">
      <c r="A635" s="7">
        <v>1862383</v>
      </c>
      <c r="B635" s="7" t="str">
        <f>"3328154705000002"</f>
        <v>3328154705000002</v>
      </c>
      <c r="C635" s="7" t="str">
        <f t="shared" si="18"/>
        <v>'3328154705000002</v>
      </c>
      <c r="D635" s="7" t="str">
        <f t="shared" si="19"/>
        <v>ganda</v>
      </c>
      <c r="E635" s="7" t="s">
        <v>5114</v>
      </c>
      <c r="F635" s="7" t="s">
        <v>10</v>
      </c>
      <c r="G635" s="7" t="s">
        <v>57</v>
      </c>
      <c r="H635" s="7" t="s">
        <v>18</v>
      </c>
      <c r="I635" s="7" t="s">
        <v>733</v>
      </c>
      <c r="J635" s="7" t="s">
        <v>733</v>
      </c>
      <c r="K635" s="8" t="s">
        <v>734</v>
      </c>
    </row>
    <row r="636" spans="1:11" x14ac:dyDescent="0.35">
      <c r="A636" s="7">
        <v>1415775</v>
      </c>
      <c r="B636" s="7" t="str">
        <f>"3328154705000003"</f>
        <v>3328154705000003</v>
      </c>
      <c r="C636" s="7" t="str">
        <f t="shared" si="18"/>
        <v>'3328154705000003</v>
      </c>
      <c r="D636" s="7" t="str">
        <f t="shared" si="19"/>
        <v>ganda</v>
      </c>
      <c r="E636" s="7" t="s">
        <v>5115</v>
      </c>
      <c r="F636" s="7" t="s">
        <v>10</v>
      </c>
      <c r="G636" s="7" t="s">
        <v>11</v>
      </c>
      <c r="H636" s="7" t="s">
        <v>18</v>
      </c>
      <c r="I636" s="7" t="s">
        <v>19</v>
      </c>
      <c r="J636" s="7" t="s">
        <v>266</v>
      </c>
      <c r="K636" s="8" t="s">
        <v>5072</v>
      </c>
    </row>
    <row r="637" spans="1:11" x14ac:dyDescent="0.35">
      <c r="A637" s="7">
        <v>1862384</v>
      </c>
      <c r="B637" s="7" t="str">
        <f>"3328154705000003"</f>
        <v>3328154705000003</v>
      </c>
      <c r="C637" s="7" t="str">
        <f t="shared" si="18"/>
        <v>'3328154705000003</v>
      </c>
      <c r="D637" s="7" t="str">
        <f t="shared" si="19"/>
        <v>ganda</v>
      </c>
      <c r="E637" s="7" t="s">
        <v>5115</v>
      </c>
      <c r="F637" s="7" t="s">
        <v>10</v>
      </c>
      <c r="G637" s="7" t="s">
        <v>57</v>
      </c>
      <c r="H637" s="7" t="s">
        <v>18</v>
      </c>
      <c r="I637" s="7" t="s">
        <v>733</v>
      </c>
      <c r="J637" s="7" t="s">
        <v>733</v>
      </c>
      <c r="K637" s="8" t="s">
        <v>734</v>
      </c>
    </row>
    <row r="638" spans="1:11" x14ac:dyDescent="0.35">
      <c r="A638" s="7">
        <v>1646368</v>
      </c>
      <c r="B638" s="7" t="str">
        <f>"3376020105990001"</f>
        <v>3376020105990001</v>
      </c>
      <c r="C638" s="7" t="str">
        <f t="shared" si="18"/>
        <v>'3376020105990001</v>
      </c>
      <c r="D638" s="7" t="str">
        <f t="shared" si="19"/>
        <v>ganda</v>
      </c>
      <c r="E638" s="7" t="s">
        <v>5163</v>
      </c>
      <c r="F638" s="7" t="s">
        <v>10</v>
      </c>
      <c r="G638" s="7" t="s">
        <v>11</v>
      </c>
      <c r="H638" s="7" t="s">
        <v>18</v>
      </c>
      <c r="I638" s="7" t="s">
        <v>19</v>
      </c>
      <c r="J638" s="7" t="s">
        <v>266</v>
      </c>
      <c r="K638" s="8" t="s">
        <v>4976</v>
      </c>
    </row>
    <row r="639" spans="1:11" x14ac:dyDescent="0.35">
      <c r="A639" s="7">
        <v>423784</v>
      </c>
      <c r="B639" s="7" t="str">
        <f>"3376020105990001"</f>
        <v>3376020105990001</v>
      </c>
      <c r="C639" s="7" t="str">
        <f t="shared" si="18"/>
        <v>'3376020105990001</v>
      </c>
      <c r="D639" s="7" t="str">
        <f t="shared" si="19"/>
        <v>ganda</v>
      </c>
      <c r="E639" s="7" t="s">
        <v>5164</v>
      </c>
      <c r="F639" s="7" t="s">
        <v>10</v>
      </c>
      <c r="G639" s="7" t="s">
        <v>57</v>
      </c>
      <c r="H639" s="7" t="s">
        <v>18</v>
      </c>
      <c r="I639" s="7" t="s">
        <v>268</v>
      </c>
      <c r="J639" s="7" t="s">
        <v>277</v>
      </c>
      <c r="K639" s="8" t="s">
        <v>278</v>
      </c>
    </row>
    <row r="640" spans="1:11" x14ac:dyDescent="0.35">
      <c r="A640" s="7">
        <v>1403449</v>
      </c>
      <c r="B640" s="7" t="str">
        <f>"3328161204060007"</f>
        <v>3328161204060007</v>
      </c>
      <c r="C640" s="7" t="str">
        <f t="shared" si="18"/>
        <v>'3328161204060007</v>
      </c>
      <c r="D640" s="7" t="str">
        <f t="shared" si="19"/>
        <v>ganda</v>
      </c>
      <c r="E640" s="7" t="s">
        <v>5303</v>
      </c>
      <c r="F640" s="7" t="s">
        <v>10</v>
      </c>
      <c r="G640" s="7" t="s">
        <v>11</v>
      </c>
      <c r="H640" s="7" t="s">
        <v>18</v>
      </c>
      <c r="I640" s="7" t="s">
        <v>19</v>
      </c>
      <c r="J640" s="7" t="s">
        <v>5207</v>
      </c>
      <c r="K640" s="8" t="s">
        <v>5235</v>
      </c>
    </row>
    <row r="641" spans="1:11" x14ac:dyDescent="0.35">
      <c r="A641" s="7">
        <v>2618025</v>
      </c>
      <c r="B641" s="7" t="str">
        <f>"3328161204060007"</f>
        <v>3328161204060007</v>
      </c>
      <c r="C641" s="7" t="str">
        <f t="shared" si="18"/>
        <v>'3328161204060007</v>
      </c>
      <c r="D641" s="7" t="str">
        <f t="shared" si="19"/>
        <v>ganda</v>
      </c>
      <c r="E641" s="7" t="s">
        <v>5303</v>
      </c>
      <c r="F641" s="7" t="s">
        <v>10</v>
      </c>
      <c r="G641" s="7" t="s">
        <v>57</v>
      </c>
      <c r="H641" s="7" t="s">
        <v>18</v>
      </c>
      <c r="I641" s="7" t="s">
        <v>1438</v>
      </c>
      <c r="J641" s="7" t="s">
        <v>1439</v>
      </c>
      <c r="K641" s="8" t="s">
        <v>1440</v>
      </c>
    </row>
    <row r="642" spans="1:11" x14ac:dyDescent="0.35">
      <c r="A642" s="7">
        <v>1394667</v>
      </c>
      <c r="B642" s="7" t="str">
        <f>"3328161704000004"</f>
        <v>3328161704000004</v>
      </c>
      <c r="C642" s="7" t="str">
        <f t="shared" ref="C642:C689" si="20">"'"&amp;B642</f>
        <v>'3328161704000004</v>
      </c>
      <c r="D642" s="7" t="str">
        <f t="shared" ref="D642:D689" si="21">IF(COUNTIF($C:$C,C642)&gt;1,"ganda","tidak ganda")</f>
        <v>ganda</v>
      </c>
      <c r="E642" s="7" t="s">
        <v>5311</v>
      </c>
      <c r="F642" s="7" t="s">
        <v>10</v>
      </c>
      <c r="G642" s="7" t="s">
        <v>11</v>
      </c>
      <c r="H642" s="7" t="s">
        <v>18</v>
      </c>
      <c r="I642" s="7" t="s">
        <v>19</v>
      </c>
      <c r="J642" s="7" t="s">
        <v>5207</v>
      </c>
      <c r="K642" s="8" t="s">
        <v>5217</v>
      </c>
    </row>
    <row r="643" spans="1:11" x14ac:dyDescent="0.35">
      <c r="A643" s="7">
        <v>1350417</v>
      </c>
      <c r="B643" s="7" t="str">
        <f>"3328161704000004"</f>
        <v>3328161704000004</v>
      </c>
      <c r="C643" s="7" t="str">
        <f t="shared" si="20"/>
        <v>'3328161704000004</v>
      </c>
      <c r="D643" s="7" t="str">
        <f t="shared" si="21"/>
        <v>ganda</v>
      </c>
      <c r="E643" s="7" t="s">
        <v>5311</v>
      </c>
      <c r="F643" s="7" t="s">
        <v>10</v>
      </c>
      <c r="G643" s="7" t="s">
        <v>57</v>
      </c>
      <c r="H643" s="7" t="s">
        <v>303</v>
      </c>
      <c r="I643" s="7" t="s">
        <v>608</v>
      </c>
      <c r="J643" s="7" t="s">
        <v>609</v>
      </c>
      <c r="K643" s="8" t="s">
        <v>610</v>
      </c>
    </row>
    <row r="644" spans="1:11" x14ac:dyDescent="0.35">
      <c r="A644" s="7">
        <v>1340643</v>
      </c>
      <c r="B644" s="7" t="str">
        <f>"3328163004770009"</f>
        <v>3328163004770009</v>
      </c>
      <c r="C644" s="7" t="str">
        <f t="shared" si="20"/>
        <v>'3328163004770009</v>
      </c>
      <c r="D644" s="7" t="str">
        <f t="shared" si="21"/>
        <v>ganda</v>
      </c>
      <c r="E644" s="7" t="s">
        <v>5326</v>
      </c>
      <c r="F644" s="7" t="s">
        <v>10</v>
      </c>
      <c r="G644" s="7" t="s">
        <v>11</v>
      </c>
      <c r="H644" s="7" t="s">
        <v>18</v>
      </c>
      <c r="I644" s="7" t="s">
        <v>19</v>
      </c>
      <c r="J644" s="7" t="s">
        <v>5207</v>
      </c>
      <c r="K644" s="8" t="s">
        <v>5239</v>
      </c>
    </row>
    <row r="645" spans="1:11" x14ac:dyDescent="0.35">
      <c r="A645" s="7">
        <v>423881</v>
      </c>
      <c r="B645" s="7" t="str">
        <f>"3328163004770009"</f>
        <v>3328163004770009</v>
      </c>
      <c r="C645" s="7" t="str">
        <f t="shared" si="20"/>
        <v>'3328163004770009</v>
      </c>
      <c r="D645" s="7" t="str">
        <f t="shared" si="21"/>
        <v>ganda</v>
      </c>
      <c r="E645" s="7" t="s">
        <v>5327</v>
      </c>
      <c r="F645" s="7" t="s">
        <v>10</v>
      </c>
      <c r="G645" s="7" t="s">
        <v>57</v>
      </c>
      <c r="H645" s="7" t="s">
        <v>18</v>
      </c>
      <c r="I645" s="7" t="s">
        <v>268</v>
      </c>
      <c r="J645" s="7" t="s">
        <v>277</v>
      </c>
      <c r="K645" s="8" t="s">
        <v>278</v>
      </c>
    </row>
    <row r="646" spans="1:11" x14ac:dyDescent="0.35">
      <c r="A646" s="7">
        <v>1336500</v>
      </c>
      <c r="B646" s="7" t="str">
        <f>"3328164608050003"</f>
        <v>3328164608050003</v>
      </c>
      <c r="C646" s="7" t="str">
        <f t="shared" si="20"/>
        <v>'3328164608050003</v>
      </c>
      <c r="D646" s="7" t="str">
        <f t="shared" si="21"/>
        <v>ganda</v>
      </c>
      <c r="E646" s="7" t="s">
        <v>5339</v>
      </c>
      <c r="F646" s="7" t="s">
        <v>10</v>
      </c>
      <c r="G646" s="7" t="s">
        <v>11</v>
      </c>
      <c r="H646" s="7" t="s">
        <v>18</v>
      </c>
      <c r="I646" s="7" t="s">
        <v>19</v>
      </c>
      <c r="J646" s="7" t="s">
        <v>5207</v>
      </c>
      <c r="K646" s="8" t="s">
        <v>5276</v>
      </c>
    </row>
    <row r="647" spans="1:11" x14ac:dyDescent="0.35">
      <c r="A647" s="7">
        <v>1819397</v>
      </c>
      <c r="B647" s="7" t="str">
        <f>"3328164608050003"</f>
        <v>3328164608050003</v>
      </c>
      <c r="C647" s="7" t="str">
        <f t="shared" si="20"/>
        <v>'3328164608050003</v>
      </c>
      <c r="D647" s="7" t="str">
        <f t="shared" si="21"/>
        <v>ganda</v>
      </c>
      <c r="E647" s="7" t="s">
        <v>5340</v>
      </c>
      <c r="F647" s="7" t="s">
        <v>10</v>
      </c>
      <c r="G647" s="7" t="s">
        <v>11</v>
      </c>
      <c r="H647" s="7" t="s">
        <v>18</v>
      </c>
      <c r="I647" s="7" t="s">
        <v>199</v>
      </c>
      <c r="J647" s="7" t="s">
        <v>595</v>
      </c>
      <c r="K647" s="8" t="s">
        <v>596</v>
      </c>
    </row>
    <row r="648" spans="1:11" x14ac:dyDescent="0.35">
      <c r="A648" s="7">
        <v>1342084</v>
      </c>
      <c r="B648" s="7" t="str">
        <f>"3328165203030003"</f>
        <v>3328165203030003</v>
      </c>
      <c r="C648" s="7" t="str">
        <f t="shared" si="20"/>
        <v>'3328165203030003</v>
      </c>
      <c r="D648" s="7" t="str">
        <f t="shared" si="21"/>
        <v>ganda</v>
      </c>
      <c r="E648" s="7" t="s">
        <v>5351</v>
      </c>
      <c r="F648" s="7" t="s">
        <v>10</v>
      </c>
      <c r="G648" s="7" t="s">
        <v>11</v>
      </c>
      <c r="H648" s="7" t="s">
        <v>18</v>
      </c>
      <c r="I648" s="7" t="s">
        <v>19</v>
      </c>
      <c r="J648" s="7" t="s">
        <v>5207</v>
      </c>
      <c r="K648" s="8" t="s">
        <v>5239</v>
      </c>
    </row>
    <row r="649" spans="1:11" x14ac:dyDescent="0.35">
      <c r="A649" s="7">
        <v>1352914</v>
      </c>
      <c r="B649" s="7" t="str">
        <f>"3328165203030003"</f>
        <v>3328165203030003</v>
      </c>
      <c r="C649" s="7" t="str">
        <f t="shared" si="20"/>
        <v>'3328165203030003</v>
      </c>
      <c r="D649" s="7" t="str">
        <f t="shared" si="21"/>
        <v>ganda</v>
      </c>
      <c r="E649" s="7" t="s">
        <v>5352</v>
      </c>
      <c r="F649" s="7" t="s">
        <v>10</v>
      </c>
      <c r="G649" s="7" t="s">
        <v>57</v>
      </c>
      <c r="H649" s="7" t="s">
        <v>303</v>
      </c>
      <c r="I649" s="7" t="s">
        <v>608</v>
      </c>
      <c r="J649" s="7" t="s">
        <v>609</v>
      </c>
      <c r="K649" s="8" t="s">
        <v>610</v>
      </c>
    </row>
    <row r="650" spans="1:11" x14ac:dyDescent="0.35">
      <c r="A650" s="7">
        <v>1341106</v>
      </c>
      <c r="B650" s="7" t="str">
        <f>"3328165510780005"</f>
        <v>3328165510780005</v>
      </c>
      <c r="C650" s="7" t="str">
        <f t="shared" si="20"/>
        <v>'3328165510780005</v>
      </c>
      <c r="D650" s="7" t="str">
        <f t="shared" si="21"/>
        <v>ganda</v>
      </c>
      <c r="E650" s="7" t="s">
        <v>4698</v>
      </c>
      <c r="F650" s="7" t="s">
        <v>10</v>
      </c>
      <c r="G650" s="7" t="s">
        <v>11</v>
      </c>
      <c r="H650" s="7" t="s">
        <v>18</v>
      </c>
      <c r="I650" s="7" t="s">
        <v>19</v>
      </c>
      <c r="J650" s="7" t="s">
        <v>5207</v>
      </c>
      <c r="K650" s="8" t="s">
        <v>5239</v>
      </c>
    </row>
    <row r="651" spans="1:11" x14ac:dyDescent="0.35">
      <c r="A651" s="7">
        <v>1349043</v>
      </c>
      <c r="B651" s="7" t="str">
        <f>"3328165510780005"</f>
        <v>3328165510780005</v>
      </c>
      <c r="C651" s="7" t="str">
        <f t="shared" si="20"/>
        <v>'3328165510780005</v>
      </c>
      <c r="D651" s="7" t="str">
        <f t="shared" si="21"/>
        <v>ganda</v>
      </c>
      <c r="E651" s="7" t="s">
        <v>5357</v>
      </c>
      <c r="F651" s="7" t="s">
        <v>10</v>
      </c>
      <c r="G651" s="7" t="s">
        <v>57</v>
      </c>
      <c r="H651" s="7" t="s">
        <v>303</v>
      </c>
      <c r="I651" s="7" t="s">
        <v>608</v>
      </c>
      <c r="J651" s="7" t="s">
        <v>609</v>
      </c>
      <c r="K651" s="8" t="s">
        <v>610</v>
      </c>
    </row>
    <row r="652" spans="1:11" x14ac:dyDescent="0.35">
      <c r="A652" s="7">
        <v>1342086</v>
      </c>
      <c r="B652" s="7" t="str">
        <f>"3328166107770002"</f>
        <v>3328166107770002</v>
      </c>
      <c r="C652" s="7" t="str">
        <f t="shared" si="20"/>
        <v>'3328166107770002</v>
      </c>
      <c r="D652" s="7" t="str">
        <f t="shared" si="21"/>
        <v>ganda</v>
      </c>
      <c r="E652" s="7" t="s">
        <v>5365</v>
      </c>
      <c r="F652" s="7" t="s">
        <v>10</v>
      </c>
      <c r="G652" s="7" t="s">
        <v>11</v>
      </c>
      <c r="H652" s="7" t="s">
        <v>18</v>
      </c>
      <c r="I652" s="7" t="s">
        <v>19</v>
      </c>
      <c r="J652" s="7" t="s">
        <v>5207</v>
      </c>
      <c r="K652" s="8" t="s">
        <v>5239</v>
      </c>
    </row>
    <row r="653" spans="1:11" x14ac:dyDescent="0.35">
      <c r="A653" s="7">
        <v>1349042</v>
      </c>
      <c r="B653" s="7" t="str">
        <f>"3328166107770002"</f>
        <v>3328166107770002</v>
      </c>
      <c r="C653" s="7" t="str">
        <f t="shared" si="20"/>
        <v>'3328166107770002</v>
      </c>
      <c r="D653" s="7" t="str">
        <f t="shared" si="21"/>
        <v>ganda</v>
      </c>
      <c r="E653" s="7" t="s">
        <v>5366</v>
      </c>
      <c r="F653" s="7" t="s">
        <v>10</v>
      </c>
      <c r="G653" s="7" t="s">
        <v>57</v>
      </c>
      <c r="H653" s="7" t="s">
        <v>303</v>
      </c>
      <c r="I653" s="7" t="s">
        <v>608</v>
      </c>
      <c r="J653" s="7" t="s">
        <v>609</v>
      </c>
      <c r="K653" s="8" t="s">
        <v>610</v>
      </c>
    </row>
    <row r="654" spans="1:11" x14ac:dyDescent="0.35">
      <c r="A654" s="7">
        <v>1620924</v>
      </c>
      <c r="B654" s="7" t="str">
        <f>"3327105502810045"</f>
        <v>3327105502810045</v>
      </c>
      <c r="C654" s="7" t="str">
        <f t="shared" si="20"/>
        <v>'3327105502810045</v>
      </c>
      <c r="D654" s="7" t="str">
        <f t="shared" si="21"/>
        <v>ganda</v>
      </c>
      <c r="E654" s="7" t="s">
        <v>5461</v>
      </c>
      <c r="F654" s="7" t="s">
        <v>10</v>
      </c>
      <c r="G654" s="7" t="s">
        <v>11</v>
      </c>
      <c r="H654" s="7" t="s">
        <v>18</v>
      </c>
      <c r="I654" s="7" t="s">
        <v>19</v>
      </c>
      <c r="J654" s="7" t="s">
        <v>4754</v>
      </c>
      <c r="K654" s="8" t="s">
        <v>5421</v>
      </c>
    </row>
    <row r="655" spans="1:11" x14ac:dyDescent="0.35">
      <c r="A655" s="7">
        <v>1352178</v>
      </c>
      <c r="B655" s="7" t="str">
        <f>"3327105502810045"</f>
        <v>3327105502810045</v>
      </c>
      <c r="C655" s="7" t="str">
        <f t="shared" si="20"/>
        <v>'3327105502810045</v>
      </c>
      <c r="D655" s="7" t="str">
        <f t="shared" si="21"/>
        <v>ganda</v>
      </c>
      <c r="E655" s="7" t="s">
        <v>5462</v>
      </c>
      <c r="F655" s="7" t="s">
        <v>10</v>
      </c>
      <c r="G655" s="7" t="s">
        <v>57</v>
      </c>
      <c r="H655" s="7" t="s">
        <v>303</v>
      </c>
      <c r="I655" s="7" t="s">
        <v>608</v>
      </c>
      <c r="J655" s="7" t="s">
        <v>609</v>
      </c>
      <c r="K655" s="8" t="s">
        <v>610</v>
      </c>
    </row>
    <row r="656" spans="1:11" x14ac:dyDescent="0.35">
      <c r="A656" s="7">
        <v>1514127</v>
      </c>
      <c r="B656" s="7" t="str">
        <f>"3328170212050003"</f>
        <v>3328170212050003</v>
      </c>
      <c r="C656" s="7" t="str">
        <f t="shared" si="20"/>
        <v>'3328170212050003</v>
      </c>
      <c r="D656" s="7" t="str">
        <f t="shared" si="21"/>
        <v>ganda</v>
      </c>
      <c r="E656" s="7" t="s">
        <v>5466</v>
      </c>
      <c r="F656" s="7" t="s">
        <v>10</v>
      </c>
      <c r="G656" s="7" t="s">
        <v>11</v>
      </c>
      <c r="H656" s="7" t="s">
        <v>18</v>
      </c>
      <c r="I656" s="7" t="s">
        <v>19</v>
      </c>
      <c r="J656" s="7" t="s">
        <v>4754</v>
      </c>
      <c r="K656" s="8" t="s">
        <v>882</v>
      </c>
    </row>
    <row r="657" spans="1:11" x14ac:dyDescent="0.35">
      <c r="A657" s="7">
        <v>1863022</v>
      </c>
      <c r="B657" s="7" t="str">
        <f>"3328170212050003"</f>
        <v>3328170212050003</v>
      </c>
      <c r="C657" s="7" t="str">
        <f t="shared" si="20"/>
        <v>'3328170212050003</v>
      </c>
      <c r="D657" s="7" t="str">
        <f t="shared" si="21"/>
        <v>ganda</v>
      </c>
      <c r="E657" s="7" t="s">
        <v>5467</v>
      </c>
      <c r="F657" s="7" t="s">
        <v>10</v>
      </c>
      <c r="G657" s="7" t="s">
        <v>57</v>
      </c>
      <c r="H657" s="7" t="s">
        <v>18</v>
      </c>
      <c r="I657" s="7" t="s">
        <v>733</v>
      </c>
      <c r="J657" s="7" t="s">
        <v>1127</v>
      </c>
      <c r="K657" s="8" t="s">
        <v>5468</v>
      </c>
    </row>
    <row r="658" spans="1:11" x14ac:dyDescent="0.35">
      <c r="A658" s="7">
        <v>1524404</v>
      </c>
      <c r="B658" s="7" t="str">
        <f>"3328170403020008"</f>
        <v>3328170403020008</v>
      </c>
      <c r="C658" s="7" t="str">
        <f t="shared" si="20"/>
        <v>'3328170403020008</v>
      </c>
      <c r="D658" s="7" t="str">
        <f t="shared" si="21"/>
        <v>ganda</v>
      </c>
      <c r="E658" s="7" t="s">
        <v>5469</v>
      </c>
      <c r="F658" s="7" t="s">
        <v>10</v>
      </c>
      <c r="G658" s="7" t="s">
        <v>11</v>
      </c>
      <c r="H658" s="7" t="s">
        <v>18</v>
      </c>
      <c r="I658" s="7" t="s">
        <v>19</v>
      </c>
      <c r="J658" s="7" t="s">
        <v>4754</v>
      </c>
      <c r="K658" s="8" t="s">
        <v>5426</v>
      </c>
    </row>
    <row r="659" spans="1:11" x14ac:dyDescent="0.35">
      <c r="A659" s="7">
        <v>1350442</v>
      </c>
      <c r="B659" s="7" t="str">
        <f>"3328170403020008"</f>
        <v>3328170403020008</v>
      </c>
      <c r="C659" s="7" t="str">
        <f t="shared" si="20"/>
        <v>'3328170403020008</v>
      </c>
      <c r="D659" s="7" t="str">
        <f t="shared" si="21"/>
        <v>ganda</v>
      </c>
      <c r="E659" s="7" t="s">
        <v>5470</v>
      </c>
      <c r="F659" s="7" t="s">
        <v>10</v>
      </c>
      <c r="G659" s="7" t="s">
        <v>57</v>
      </c>
      <c r="H659" s="7" t="s">
        <v>303</v>
      </c>
      <c r="I659" s="7" t="s">
        <v>608</v>
      </c>
      <c r="J659" s="7" t="s">
        <v>609</v>
      </c>
      <c r="K659" s="8" t="s">
        <v>610</v>
      </c>
    </row>
    <row r="660" spans="1:11" x14ac:dyDescent="0.35">
      <c r="A660" s="7">
        <v>1493749</v>
      </c>
      <c r="B660" s="7" t="str">
        <f>"3328170612940002"</f>
        <v>3328170612940002</v>
      </c>
      <c r="C660" s="7" t="str">
        <f t="shared" si="20"/>
        <v>'3328170612940002</v>
      </c>
      <c r="D660" s="7" t="str">
        <f t="shared" si="21"/>
        <v>ganda</v>
      </c>
      <c r="E660" s="7" t="s">
        <v>5476</v>
      </c>
      <c r="F660" s="7" t="s">
        <v>10</v>
      </c>
      <c r="G660" s="7" t="s">
        <v>11</v>
      </c>
      <c r="H660" s="7" t="s">
        <v>18</v>
      </c>
      <c r="I660" s="7" t="s">
        <v>19</v>
      </c>
      <c r="J660" s="7" t="s">
        <v>4754</v>
      </c>
      <c r="K660" s="8" t="s">
        <v>5442</v>
      </c>
    </row>
    <row r="661" spans="1:11" x14ac:dyDescent="0.35">
      <c r="A661" s="7">
        <v>423744</v>
      </c>
      <c r="B661" s="7" t="str">
        <f>"3328170612940002"</f>
        <v>3328170612940002</v>
      </c>
      <c r="C661" s="7" t="str">
        <f t="shared" si="20"/>
        <v>'3328170612940002</v>
      </c>
      <c r="D661" s="7" t="str">
        <f t="shared" si="21"/>
        <v>ganda</v>
      </c>
      <c r="E661" s="7" t="s">
        <v>5477</v>
      </c>
      <c r="F661" s="7" t="s">
        <v>10</v>
      </c>
      <c r="G661" s="7" t="s">
        <v>57</v>
      </c>
      <c r="H661" s="7" t="s">
        <v>18</v>
      </c>
      <c r="I661" s="7" t="s">
        <v>268</v>
      </c>
      <c r="J661" s="7" t="s">
        <v>277</v>
      </c>
      <c r="K661" s="8" t="s">
        <v>278</v>
      </c>
    </row>
    <row r="662" spans="1:11" x14ac:dyDescent="0.35">
      <c r="A662" s="7">
        <v>1503580</v>
      </c>
      <c r="B662" s="7" t="str">
        <f>"3328170705900009"</f>
        <v>3328170705900009</v>
      </c>
      <c r="C662" s="7" t="str">
        <f t="shared" si="20"/>
        <v>'3328170705900009</v>
      </c>
      <c r="D662" s="7" t="str">
        <f t="shared" si="21"/>
        <v>ganda</v>
      </c>
      <c r="E662" s="7" t="s">
        <v>5480</v>
      </c>
      <c r="F662" s="7" t="s">
        <v>10</v>
      </c>
      <c r="G662" s="7" t="s">
        <v>11</v>
      </c>
      <c r="H662" s="7" t="s">
        <v>18</v>
      </c>
      <c r="I662" s="7" t="s">
        <v>19</v>
      </c>
      <c r="J662" s="7" t="s">
        <v>4754</v>
      </c>
      <c r="K662" s="8" t="s">
        <v>5481</v>
      </c>
    </row>
    <row r="663" spans="1:11" x14ac:dyDescent="0.35">
      <c r="A663" s="7">
        <v>627885</v>
      </c>
      <c r="B663" s="7" t="str">
        <f>"3328170705900009"</f>
        <v>3328170705900009</v>
      </c>
      <c r="C663" s="7" t="str">
        <f t="shared" si="20"/>
        <v>'3328170705900009</v>
      </c>
      <c r="D663" s="7" t="str">
        <f t="shared" si="21"/>
        <v>ganda</v>
      </c>
      <c r="E663" s="7" t="s">
        <v>5482</v>
      </c>
      <c r="F663" s="7" t="s">
        <v>10</v>
      </c>
      <c r="G663" s="7" t="s">
        <v>57</v>
      </c>
      <c r="H663" s="7" t="s">
        <v>521</v>
      </c>
      <c r="I663" s="7" t="s">
        <v>5483</v>
      </c>
      <c r="J663" s="7" t="s">
        <v>5484</v>
      </c>
      <c r="K663" s="8" t="s">
        <v>5485</v>
      </c>
    </row>
    <row r="664" spans="1:11" x14ac:dyDescent="0.35">
      <c r="A664" s="7">
        <v>1618291</v>
      </c>
      <c r="B664" s="7" t="str">
        <f>"3328171106000001"</f>
        <v>3328171106000001</v>
      </c>
      <c r="C664" s="7" t="str">
        <f t="shared" si="20"/>
        <v>'3328171106000001</v>
      </c>
      <c r="D664" s="7" t="str">
        <f t="shared" si="21"/>
        <v>ganda</v>
      </c>
      <c r="E664" s="7" t="s">
        <v>5494</v>
      </c>
      <c r="F664" s="7" t="s">
        <v>10</v>
      </c>
      <c r="G664" s="7" t="s">
        <v>11</v>
      </c>
      <c r="H664" s="7" t="s">
        <v>18</v>
      </c>
      <c r="I664" s="7" t="s">
        <v>19</v>
      </c>
      <c r="J664" s="7" t="s">
        <v>4754</v>
      </c>
      <c r="K664" s="8" t="s">
        <v>5421</v>
      </c>
    </row>
    <row r="665" spans="1:11" x14ac:dyDescent="0.35">
      <c r="A665" s="7">
        <v>762471</v>
      </c>
      <c r="B665" s="7" t="str">
        <f>"3328171106000001"</f>
        <v>3328171106000001</v>
      </c>
      <c r="C665" s="7" t="str">
        <f t="shared" si="20"/>
        <v>'3328171106000001</v>
      </c>
      <c r="D665" s="7" t="str">
        <f t="shared" si="21"/>
        <v>ganda</v>
      </c>
      <c r="E665" s="7" t="s">
        <v>5495</v>
      </c>
      <c r="F665" s="7" t="s">
        <v>10</v>
      </c>
      <c r="G665" s="7" t="s">
        <v>57</v>
      </c>
      <c r="H665" s="7" t="s">
        <v>379</v>
      </c>
      <c r="I665" s="7" t="s">
        <v>711</v>
      </c>
      <c r="J665" s="7" t="s">
        <v>718</v>
      </c>
      <c r="K665" s="8" t="s">
        <v>719</v>
      </c>
    </row>
    <row r="666" spans="1:11" x14ac:dyDescent="0.35">
      <c r="A666" s="7">
        <v>1494390</v>
      </c>
      <c r="B666" s="7" t="str">
        <f>"3328171202020004"</f>
        <v>3328171202020004</v>
      </c>
      <c r="C666" s="7" t="str">
        <f t="shared" si="20"/>
        <v>'3328171202020004</v>
      </c>
      <c r="D666" s="7" t="str">
        <f t="shared" si="21"/>
        <v>ganda</v>
      </c>
      <c r="E666" s="7" t="s">
        <v>5496</v>
      </c>
      <c r="F666" s="7" t="s">
        <v>10</v>
      </c>
      <c r="G666" s="7" t="s">
        <v>11</v>
      </c>
      <c r="H666" s="7" t="s">
        <v>18</v>
      </c>
      <c r="I666" s="7" t="s">
        <v>19</v>
      </c>
      <c r="J666" s="7" t="s">
        <v>4754</v>
      </c>
      <c r="K666" s="8" t="s">
        <v>5442</v>
      </c>
    </row>
    <row r="667" spans="1:11" x14ac:dyDescent="0.35">
      <c r="A667" s="7">
        <v>2662310</v>
      </c>
      <c r="B667" s="7" t="str">
        <f>"3328171202020004"</f>
        <v>3328171202020004</v>
      </c>
      <c r="C667" s="7" t="str">
        <f t="shared" si="20"/>
        <v>'3328171202020004</v>
      </c>
      <c r="D667" s="7" t="str">
        <f t="shared" si="21"/>
        <v>ganda</v>
      </c>
      <c r="E667" s="7" t="s">
        <v>5497</v>
      </c>
      <c r="F667" s="7" t="s">
        <v>10</v>
      </c>
      <c r="G667" s="7" t="s">
        <v>57</v>
      </c>
      <c r="H667" s="7" t="s">
        <v>18</v>
      </c>
      <c r="I667" s="7" t="s">
        <v>199</v>
      </c>
      <c r="J667" s="7" t="s">
        <v>199</v>
      </c>
      <c r="K667" s="8" t="s">
        <v>839</v>
      </c>
    </row>
    <row r="668" spans="1:11" x14ac:dyDescent="0.35">
      <c r="A668" s="7">
        <v>1523879</v>
      </c>
      <c r="B668" s="7" t="str">
        <f>"3328171910950002"</f>
        <v>3328171910950002</v>
      </c>
      <c r="C668" s="7" t="str">
        <f t="shared" si="20"/>
        <v>'3328171910950002</v>
      </c>
      <c r="D668" s="7" t="str">
        <f t="shared" si="21"/>
        <v>ganda</v>
      </c>
      <c r="E668" s="7" t="s">
        <v>5512</v>
      </c>
      <c r="F668" s="7" t="s">
        <v>10</v>
      </c>
      <c r="G668" s="7" t="s">
        <v>11</v>
      </c>
      <c r="H668" s="7" t="s">
        <v>18</v>
      </c>
      <c r="I668" s="7" t="s">
        <v>19</v>
      </c>
      <c r="J668" s="7" t="s">
        <v>4754</v>
      </c>
      <c r="K668" s="8" t="s">
        <v>5426</v>
      </c>
    </row>
    <row r="669" spans="1:11" x14ac:dyDescent="0.35">
      <c r="A669" s="7">
        <v>1349048</v>
      </c>
      <c r="B669" s="7" t="str">
        <f>"3328171910950002"</f>
        <v>3328171910950002</v>
      </c>
      <c r="C669" s="7" t="str">
        <f t="shared" si="20"/>
        <v>'3328171910950002</v>
      </c>
      <c r="D669" s="7" t="str">
        <f t="shared" si="21"/>
        <v>ganda</v>
      </c>
      <c r="E669" s="7" t="s">
        <v>5512</v>
      </c>
      <c r="F669" s="7" t="s">
        <v>10</v>
      </c>
      <c r="G669" s="7" t="s">
        <v>57</v>
      </c>
      <c r="H669" s="7" t="s">
        <v>303</v>
      </c>
      <c r="I669" s="7" t="s">
        <v>608</v>
      </c>
      <c r="J669" s="7" t="s">
        <v>609</v>
      </c>
      <c r="K669" s="8" t="s">
        <v>610</v>
      </c>
    </row>
    <row r="670" spans="1:11" x14ac:dyDescent="0.35">
      <c r="A670" s="7">
        <v>1525350</v>
      </c>
      <c r="B670" s="7" t="str">
        <f>"3328172006030004"</f>
        <v>3328172006030004</v>
      </c>
      <c r="C670" s="7" t="str">
        <f t="shared" si="20"/>
        <v>'3328172006030004</v>
      </c>
      <c r="D670" s="7" t="str">
        <f t="shared" si="21"/>
        <v>ganda</v>
      </c>
      <c r="E670" s="7" t="s">
        <v>5513</v>
      </c>
      <c r="F670" s="7" t="s">
        <v>10</v>
      </c>
      <c r="G670" s="7" t="s">
        <v>11</v>
      </c>
      <c r="H670" s="7" t="s">
        <v>18</v>
      </c>
      <c r="I670" s="7" t="s">
        <v>19</v>
      </c>
      <c r="J670" s="7" t="s">
        <v>4754</v>
      </c>
      <c r="K670" s="8" t="s">
        <v>5514</v>
      </c>
    </row>
    <row r="671" spans="1:11" x14ac:dyDescent="0.35">
      <c r="A671" s="7">
        <v>1350443</v>
      </c>
      <c r="B671" s="7" t="str">
        <f>"3328172006030004"</f>
        <v>3328172006030004</v>
      </c>
      <c r="C671" s="7" t="str">
        <f t="shared" si="20"/>
        <v>'3328172006030004</v>
      </c>
      <c r="D671" s="7" t="str">
        <f t="shared" si="21"/>
        <v>ganda</v>
      </c>
      <c r="E671" s="7" t="s">
        <v>5513</v>
      </c>
      <c r="F671" s="7" t="s">
        <v>10</v>
      </c>
      <c r="G671" s="7" t="s">
        <v>57</v>
      </c>
      <c r="H671" s="7" t="s">
        <v>303</v>
      </c>
      <c r="I671" s="7" t="s">
        <v>608</v>
      </c>
      <c r="J671" s="7" t="s">
        <v>609</v>
      </c>
      <c r="K671" s="8" t="s">
        <v>610</v>
      </c>
    </row>
    <row r="672" spans="1:11" x14ac:dyDescent="0.35">
      <c r="A672" s="7">
        <v>1502826</v>
      </c>
      <c r="B672" s="7" t="str">
        <f>"3328172309730003"</f>
        <v>3328172309730003</v>
      </c>
      <c r="C672" s="7" t="str">
        <f t="shared" si="20"/>
        <v>'3328172309730003</v>
      </c>
      <c r="D672" s="7" t="str">
        <f t="shared" si="21"/>
        <v>ganda</v>
      </c>
      <c r="E672" s="7" t="s">
        <v>5516</v>
      </c>
      <c r="F672" s="7" t="s">
        <v>10</v>
      </c>
      <c r="G672" s="7" t="s">
        <v>11</v>
      </c>
      <c r="H672" s="7" t="s">
        <v>18</v>
      </c>
      <c r="I672" s="7" t="s">
        <v>19</v>
      </c>
      <c r="J672" s="7" t="s">
        <v>4754</v>
      </c>
      <c r="K672" s="8" t="s">
        <v>5481</v>
      </c>
    </row>
    <row r="673" spans="1:11" x14ac:dyDescent="0.35">
      <c r="A673" s="7">
        <v>2419062</v>
      </c>
      <c r="B673" s="7" t="str">
        <f>"3328172309730003"</f>
        <v>3328172309730003</v>
      </c>
      <c r="C673" s="7" t="str">
        <f t="shared" si="20"/>
        <v>'3328172309730003</v>
      </c>
      <c r="D673" s="7" t="str">
        <f t="shared" si="21"/>
        <v>ganda</v>
      </c>
      <c r="E673" s="7" t="s">
        <v>5517</v>
      </c>
      <c r="F673" s="7" t="s">
        <v>10</v>
      </c>
      <c r="G673" s="7" t="s">
        <v>57</v>
      </c>
      <c r="H673" s="7" t="s">
        <v>50</v>
      </c>
      <c r="I673" s="7" t="s">
        <v>58</v>
      </c>
      <c r="J673" s="7" t="s">
        <v>59</v>
      </c>
      <c r="K673" s="8" t="s">
        <v>60</v>
      </c>
    </row>
    <row r="674" spans="1:11" x14ac:dyDescent="0.35">
      <c r="A674" s="7">
        <v>1506808</v>
      </c>
      <c r="B674" s="7" t="str">
        <f>"3328172601980001"</f>
        <v>3328172601980001</v>
      </c>
      <c r="C674" s="7" t="str">
        <f t="shared" si="20"/>
        <v>'3328172601980001</v>
      </c>
      <c r="D674" s="7" t="str">
        <f t="shared" si="21"/>
        <v>ganda</v>
      </c>
      <c r="E674" s="7" t="s">
        <v>5526</v>
      </c>
      <c r="F674" s="7" t="s">
        <v>10</v>
      </c>
      <c r="G674" s="7" t="s">
        <v>11</v>
      </c>
      <c r="H674" s="7" t="s">
        <v>18</v>
      </c>
      <c r="I674" s="7" t="s">
        <v>19</v>
      </c>
      <c r="J674" s="7" t="s">
        <v>4754</v>
      </c>
      <c r="K674" s="8" t="s">
        <v>5481</v>
      </c>
    </row>
    <row r="675" spans="1:11" x14ac:dyDescent="0.35">
      <c r="A675" s="7">
        <v>1350441</v>
      </c>
      <c r="B675" s="7" t="str">
        <f>"3328172601980001"</f>
        <v>3328172601980001</v>
      </c>
      <c r="C675" s="7" t="str">
        <f t="shared" si="20"/>
        <v>'3328172601980001</v>
      </c>
      <c r="D675" s="7" t="str">
        <f t="shared" si="21"/>
        <v>ganda</v>
      </c>
      <c r="E675" s="7" t="s">
        <v>5526</v>
      </c>
      <c r="F675" s="7" t="s">
        <v>10</v>
      </c>
      <c r="G675" s="7" t="s">
        <v>57</v>
      </c>
      <c r="H675" s="7" t="s">
        <v>303</v>
      </c>
      <c r="I675" s="7" t="s">
        <v>608</v>
      </c>
      <c r="J675" s="7" t="s">
        <v>609</v>
      </c>
      <c r="K675" s="8" t="s">
        <v>610</v>
      </c>
    </row>
    <row r="676" spans="1:11" x14ac:dyDescent="0.35">
      <c r="A676" s="7">
        <v>1617013</v>
      </c>
      <c r="B676" s="7" t="str">
        <f>"3328173108840002"</f>
        <v>3328173108840002</v>
      </c>
      <c r="C676" s="7" t="str">
        <f t="shared" si="20"/>
        <v>'3328173108840002</v>
      </c>
      <c r="D676" s="7" t="str">
        <f t="shared" si="21"/>
        <v>ganda</v>
      </c>
      <c r="E676" s="7" t="s">
        <v>5529</v>
      </c>
      <c r="F676" s="7" t="s">
        <v>10</v>
      </c>
      <c r="G676" s="7" t="s">
        <v>11</v>
      </c>
      <c r="H676" s="7" t="s">
        <v>18</v>
      </c>
      <c r="I676" s="7" t="s">
        <v>19</v>
      </c>
      <c r="J676" s="7" t="s">
        <v>4754</v>
      </c>
      <c r="K676" s="8" t="s">
        <v>5421</v>
      </c>
    </row>
    <row r="677" spans="1:11" x14ac:dyDescent="0.35">
      <c r="A677" s="7">
        <v>412096</v>
      </c>
      <c r="B677" s="7" t="str">
        <f>"3328173108840002"</f>
        <v>3328173108840002</v>
      </c>
      <c r="C677" s="7" t="str">
        <f t="shared" si="20"/>
        <v>'3328173108840002</v>
      </c>
      <c r="D677" s="7" t="str">
        <f t="shared" si="21"/>
        <v>ganda</v>
      </c>
      <c r="E677" s="7" t="s">
        <v>5529</v>
      </c>
      <c r="F677" s="7" t="s">
        <v>10</v>
      </c>
      <c r="G677" s="7" t="s">
        <v>57</v>
      </c>
      <c r="H677" s="7" t="s">
        <v>3068</v>
      </c>
      <c r="I677" s="7" t="s">
        <v>5530</v>
      </c>
      <c r="J677" s="7" t="s">
        <v>5531</v>
      </c>
      <c r="K677" s="8" t="s">
        <v>5532</v>
      </c>
    </row>
    <row r="678" spans="1:11" x14ac:dyDescent="0.35">
      <c r="A678" s="7">
        <v>1983522</v>
      </c>
      <c r="B678" s="7" t="str">
        <f>"3328180107930058"</f>
        <v>3328180107930058</v>
      </c>
      <c r="C678" s="7" t="str">
        <f t="shared" si="20"/>
        <v>'3328180107930058</v>
      </c>
      <c r="D678" s="7" t="str">
        <f t="shared" si="21"/>
        <v>ganda</v>
      </c>
      <c r="E678" s="7" t="s">
        <v>5660</v>
      </c>
      <c r="F678" s="7" t="s">
        <v>10</v>
      </c>
      <c r="G678" s="7" t="s">
        <v>11</v>
      </c>
      <c r="H678" s="7" t="s">
        <v>18</v>
      </c>
      <c r="I678" s="7" t="s">
        <v>19</v>
      </c>
      <c r="J678" s="7" t="s">
        <v>5581</v>
      </c>
      <c r="K678" s="8" t="s">
        <v>5653</v>
      </c>
    </row>
    <row r="679" spans="1:11" x14ac:dyDescent="0.35">
      <c r="A679" s="7">
        <v>412095</v>
      </c>
      <c r="B679" s="7" t="str">
        <f>"3328180107930058"</f>
        <v>3328180107930058</v>
      </c>
      <c r="C679" s="7" t="str">
        <f t="shared" si="20"/>
        <v>'3328180107930058</v>
      </c>
      <c r="D679" s="7" t="str">
        <f t="shared" si="21"/>
        <v>ganda</v>
      </c>
      <c r="E679" s="7" t="s">
        <v>5660</v>
      </c>
      <c r="F679" s="7" t="s">
        <v>10</v>
      </c>
      <c r="G679" s="7" t="s">
        <v>57</v>
      </c>
      <c r="H679" s="7" t="s">
        <v>3068</v>
      </c>
      <c r="I679" s="7" t="s">
        <v>5530</v>
      </c>
      <c r="J679" s="7" t="s">
        <v>5531</v>
      </c>
      <c r="K679" s="8" t="s">
        <v>5532</v>
      </c>
    </row>
    <row r="680" spans="1:11" x14ac:dyDescent="0.35">
      <c r="A680" s="7">
        <v>1957852</v>
      </c>
      <c r="B680" s="7" t="str">
        <f>"3328180908060004"</f>
        <v>3328180908060004</v>
      </c>
      <c r="C680" s="7" t="str">
        <f t="shared" si="20"/>
        <v>'3328180908060004</v>
      </c>
      <c r="D680" s="7" t="str">
        <f t="shared" si="21"/>
        <v>ganda</v>
      </c>
      <c r="E680" s="7" t="s">
        <v>5670</v>
      </c>
      <c r="F680" s="7" t="s">
        <v>10</v>
      </c>
      <c r="G680" s="7" t="s">
        <v>11</v>
      </c>
      <c r="H680" s="7" t="s">
        <v>18</v>
      </c>
      <c r="I680" s="7" t="s">
        <v>19</v>
      </c>
      <c r="J680" s="7" t="s">
        <v>5581</v>
      </c>
      <c r="K680" s="8" t="s">
        <v>5593</v>
      </c>
    </row>
    <row r="681" spans="1:11" x14ac:dyDescent="0.35">
      <c r="A681" s="7">
        <v>1392757</v>
      </c>
      <c r="B681" s="7" t="str">
        <f>"3328180908060004"</f>
        <v>3328180908060004</v>
      </c>
      <c r="C681" s="7" t="str">
        <f t="shared" si="20"/>
        <v>'3328180908060004</v>
      </c>
      <c r="D681" s="7" t="str">
        <f t="shared" si="21"/>
        <v>ganda</v>
      </c>
      <c r="E681" s="7" t="s">
        <v>5670</v>
      </c>
      <c r="F681" s="7" t="s">
        <v>10</v>
      </c>
      <c r="G681" s="7" t="s">
        <v>57</v>
      </c>
      <c r="H681" s="7" t="s">
        <v>303</v>
      </c>
      <c r="I681" s="7" t="s">
        <v>608</v>
      </c>
      <c r="J681" s="7" t="s">
        <v>1384</v>
      </c>
      <c r="K681" s="8" t="s">
        <v>1385</v>
      </c>
    </row>
    <row r="682" spans="1:11" x14ac:dyDescent="0.35">
      <c r="A682" s="7">
        <v>1985915</v>
      </c>
      <c r="B682" s="7" t="str">
        <f>"3328182904990001"</f>
        <v>3328182904990001</v>
      </c>
      <c r="C682" s="7" t="str">
        <f t="shared" si="20"/>
        <v>'3328182904990001</v>
      </c>
      <c r="D682" s="7" t="str">
        <f t="shared" si="21"/>
        <v>ganda</v>
      </c>
      <c r="E682" s="7" t="s">
        <v>5700</v>
      </c>
      <c r="F682" s="7" t="s">
        <v>10</v>
      </c>
      <c r="G682" s="7" t="s">
        <v>11</v>
      </c>
      <c r="H682" s="7" t="s">
        <v>18</v>
      </c>
      <c r="I682" s="7" t="s">
        <v>19</v>
      </c>
      <c r="J682" s="7" t="s">
        <v>5581</v>
      </c>
      <c r="K682" s="8" t="s">
        <v>5653</v>
      </c>
    </row>
    <row r="683" spans="1:11" x14ac:dyDescent="0.35">
      <c r="A683" s="7">
        <v>1351203</v>
      </c>
      <c r="B683" s="7" t="str">
        <f>"3328182904990001"</f>
        <v>3328182904990001</v>
      </c>
      <c r="C683" s="7" t="str">
        <f t="shared" si="20"/>
        <v>'3328182904990001</v>
      </c>
      <c r="D683" s="7" t="str">
        <f t="shared" si="21"/>
        <v>ganda</v>
      </c>
      <c r="E683" s="7" t="s">
        <v>5700</v>
      </c>
      <c r="F683" s="7" t="s">
        <v>10</v>
      </c>
      <c r="G683" s="7" t="s">
        <v>57</v>
      </c>
      <c r="H683" s="7" t="s">
        <v>303</v>
      </c>
      <c r="I683" s="7" t="s">
        <v>608</v>
      </c>
      <c r="J683" s="7" t="s">
        <v>609</v>
      </c>
      <c r="K683" s="8" t="s">
        <v>610</v>
      </c>
    </row>
    <row r="684" spans="1:11" x14ac:dyDescent="0.35">
      <c r="A684" s="7">
        <v>1978460</v>
      </c>
      <c r="B684" s="7" t="str">
        <f>"3328184907730001"</f>
        <v>3328184907730001</v>
      </c>
      <c r="C684" s="7" t="str">
        <f t="shared" si="20"/>
        <v>'3328184907730001</v>
      </c>
      <c r="D684" s="7" t="str">
        <f t="shared" si="21"/>
        <v>ganda</v>
      </c>
      <c r="E684" s="7" t="s">
        <v>5716</v>
      </c>
      <c r="F684" s="7" t="s">
        <v>10</v>
      </c>
      <c r="G684" s="7" t="s">
        <v>11</v>
      </c>
      <c r="H684" s="7" t="s">
        <v>18</v>
      </c>
      <c r="I684" s="7" t="s">
        <v>19</v>
      </c>
      <c r="J684" s="7" t="s">
        <v>5581</v>
      </c>
      <c r="K684" s="8" t="s">
        <v>5589</v>
      </c>
    </row>
    <row r="685" spans="1:11" x14ac:dyDescent="0.35">
      <c r="A685" s="7">
        <v>2662255</v>
      </c>
      <c r="B685" s="7" t="str">
        <f>"3328184907730001"</f>
        <v>3328184907730001</v>
      </c>
      <c r="C685" s="7" t="str">
        <f t="shared" si="20"/>
        <v>'3328184907730001</v>
      </c>
      <c r="D685" s="7" t="str">
        <f t="shared" si="21"/>
        <v>ganda</v>
      </c>
      <c r="E685" s="7" t="s">
        <v>5716</v>
      </c>
      <c r="F685" s="7" t="s">
        <v>10</v>
      </c>
      <c r="G685" s="7" t="s">
        <v>57</v>
      </c>
      <c r="H685" s="7" t="s">
        <v>18</v>
      </c>
      <c r="I685" s="7" t="s">
        <v>199</v>
      </c>
      <c r="J685" s="7" t="s">
        <v>208</v>
      </c>
      <c r="K685" s="8" t="s">
        <v>209</v>
      </c>
    </row>
    <row r="686" spans="1:11" x14ac:dyDescent="0.35">
      <c r="A686" s="7">
        <v>1958399</v>
      </c>
      <c r="B686" s="7" t="str">
        <f>"3328185406790001"</f>
        <v>3328185406790001</v>
      </c>
      <c r="C686" s="7" t="str">
        <f t="shared" si="20"/>
        <v>'3328185406790001</v>
      </c>
      <c r="D686" s="7" t="str">
        <f t="shared" si="21"/>
        <v>ganda</v>
      </c>
      <c r="E686" s="7" t="s">
        <v>5732</v>
      </c>
      <c r="F686" s="7" t="s">
        <v>10</v>
      </c>
      <c r="G686" s="7" t="s">
        <v>11</v>
      </c>
      <c r="H686" s="7" t="s">
        <v>18</v>
      </c>
      <c r="I686" s="7" t="s">
        <v>19</v>
      </c>
      <c r="J686" s="7" t="s">
        <v>5581</v>
      </c>
      <c r="K686" s="8" t="s">
        <v>5593</v>
      </c>
    </row>
    <row r="687" spans="1:11" x14ac:dyDescent="0.35">
      <c r="A687" s="7">
        <v>2618367</v>
      </c>
      <c r="B687" s="7" t="str">
        <f>"3328185406790001"</f>
        <v>3328185406790001</v>
      </c>
      <c r="C687" s="7" t="str">
        <f t="shared" si="20"/>
        <v>'3328185406790001</v>
      </c>
      <c r="D687" s="7" t="str">
        <f t="shared" si="21"/>
        <v>ganda</v>
      </c>
      <c r="E687" s="7" t="s">
        <v>5733</v>
      </c>
      <c r="F687" s="7" t="s">
        <v>10</v>
      </c>
      <c r="G687" s="7" t="s">
        <v>57</v>
      </c>
      <c r="H687" s="7" t="s">
        <v>18</v>
      </c>
      <c r="I687" s="7" t="s">
        <v>1438</v>
      </c>
      <c r="J687" s="7" t="s">
        <v>2976</v>
      </c>
      <c r="K687" s="8" t="s">
        <v>2977</v>
      </c>
    </row>
    <row r="688" spans="1:11" x14ac:dyDescent="0.35">
      <c r="A688" s="7">
        <v>1977253</v>
      </c>
      <c r="B688" s="7" t="str">
        <f>"3328187107720005"</f>
        <v>3328187107720005</v>
      </c>
      <c r="C688" s="7" t="str">
        <f t="shared" si="20"/>
        <v>'3328187107720005</v>
      </c>
      <c r="D688" s="7" t="str">
        <f t="shared" si="21"/>
        <v>ganda</v>
      </c>
      <c r="E688" s="7" t="s">
        <v>5743</v>
      </c>
      <c r="F688" s="7" t="s">
        <v>10</v>
      </c>
      <c r="G688" s="7" t="s">
        <v>11</v>
      </c>
      <c r="H688" s="7" t="s">
        <v>18</v>
      </c>
      <c r="I688" s="7" t="s">
        <v>19</v>
      </c>
      <c r="J688" s="7" t="s">
        <v>5581</v>
      </c>
      <c r="K688" s="8" t="s">
        <v>5589</v>
      </c>
    </row>
    <row r="689" spans="1:11" x14ac:dyDescent="0.35">
      <c r="A689" s="7">
        <v>2618371</v>
      </c>
      <c r="B689" s="7" t="str">
        <f>"3328187107720005"</f>
        <v>3328187107720005</v>
      </c>
      <c r="C689" s="7" t="str">
        <f t="shared" si="20"/>
        <v>'3328187107720005</v>
      </c>
      <c r="D689" s="7" t="str">
        <f t="shared" si="21"/>
        <v>ganda</v>
      </c>
      <c r="E689" s="7" t="s">
        <v>5744</v>
      </c>
      <c r="F689" s="7" t="s">
        <v>10</v>
      </c>
      <c r="G689" s="7" t="s">
        <v>57</v>
      </c>
      <c r="H689" s="7" t="s">
        <v>18</v>
      </c>
      <c r="I689" s="7" t="s">
        <v>1438</v>
      </c>
      <c r="J689" s="7" t="s">
        <v>2976</v>
      </c>
      <c r="K689" s="8" t="s">
        <v>2977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21CF8-3658-4BCF-94A5-8C32C755D69D}">
  <sheetPr>
    <tabColor rgb="FFFF0000"/>
  </sheetPr>
  <dimension ref="A1:N12"/>
  <sheetViews>
    <sheetView workbookViewId="0">
      <selection activeCell="C16" sqref="C16"/>
    </sheetView>
  </sheetViews>
  <sheetFormatPr defaultRowHeight="14.5" x14ac:dyDescent="0.35"/>
  <cols>
    <col min="1" max="1" width="9" bestFit="1" customWidth="1"/>
    <col min="2" max="2" width="15.453125" bestFit="1" customWidth="1"/>
    <col min="3" max="3" width="15.81640625" bestFit="1" customWidth="1"/>
    <col min="4" max="4" width="15.453125" customWidth="1"/>
    <col min="5" max="5" width="52.81640625" bestFit="1" customWidth="1"/>
    <col min="6" max="6" width="10.08984375" bestFit="1" customWidth="1"/>
    <col min="7" max="7" width="12.7265625" bestFit="1" customWidth="1"/>
    <col min="8" max="8" width="26.453125" bestFit="1" customWidth="1"/>
    <col min="9" max="9" width="26" bestFit="1" customWidth="1"/>
    <col min="10" max="10" width="20.7265625" bestFit="1" customWidth="1"/>
    <col min="11" max="11" width="19.08984375" customWidth="1"/>
    <col min="12" max="12" width="16.90625" customWidth="1"/>
    <col min="13" max="13" width="15.08984375" customWidth="1"/>
    <col min="14" max="14" width="17.36328125" bestFit="1" customWidth="1"/>
  </cols>
  <sheetData>
    <row r="1" spans="1:14" ht="26" x14ac:dyDescent="0.35">
      <c r="A1" s="3" t="s">
        <v>0</v>
      </c>
      <c r="B1" s="4" t="s">
        <v>1</v>
      </c>
      <c r="C1" s="4" t="s">
        <v>5805</v>
      </c>
      <c r="D1" s="4" t="s">
        <v>5806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5" t="s">
        <v>8</v>
      </c>
      <c r="L1" s="12" t="s">
        <v>5802</v>
      </c>
      <c r="M1" s="12" t="s">
        <v>5807</v>
      </c>
      <c r="N1" s="12" t="s">
        <v>5804</v>
      </c>
    </row>
    <row r="2" spans="1:14" x14ac:dyDescent="0.35">
      <c r="A2" s="13">
        <v>1683597</v>
      </c>
      <c r="B2" s="14" t="str">
        <f>"3329155803920004"</f>
        <v>3329155803920004</v>
      </c>
      <c r="C2" s="14" t="str">
        <f t="shared" ref="C2:C12" si="0">"'"&amp;B2</f>
        <v>'3329155803920004</v>
      </c>
      <c r="D2" s="14" t="str">
        <f t="shared" ref="D2:D12" si="1">IF(COUNTIF($C:$C,C2)&gt;1,"ganda","tidak ganda")</f>
        <v>tidak ganda</v>
      </c>
      <c r="E2" s="14" t="s">
        <v>487</v>
      </c>
      <c r="F2" s="14" t="s">
        <v>10</v>
      </c>
      <c r="G2" s="14" t="s">
        <v>11</v>
      </c>
      <c r="H2" s="14" t="s">
        <v>18</v>
      </c>
      <c r="I2" s="14" t="s">
        <v>19</v>
      </c>
      <c r="J2" s="14" t="s">
        <v>20</v>
      </c>
      <c r="K2" s="15" t="s">
        <v>23</v>
      </c>
      <c r="L2" s="16" t="str">
        <f>VLOOKUP(B2,ubah!$B$2:$L$234,4,FALSE)</f>
        <v>Reguler</v>
      </c>
      <c r="M2" s="16" t="str">
        <f>VLOOKUP(B2,ubah!$B$2:$L$234,5,FALSE)</f>
        <v>JAWA TENGAH</v>
      </c>
      <c r="N2" s="16" t="str">
        <f>VLOOKUP(B2,ubah!$B$2:$L$234,6,FALSE)</f>
        <v>BREBES</v>
      </c>
    </row>
    <row r="3" spans="1:14" x14ac:dyDescent="0.35">
      <c r="A3" s="13">
        <v>2398332</v>
      </c>
      <c r="B3" s="14" t="str">
        <f>"3329141902920006"</f>
        <v>3329141902920006</v>
      </c>
      <c r="C3" s="14" t="str">
        <f t="shared" si="0"/>
        <v>'3329141902920006</v>
      </c>
      <c r="D3" s="14" t="str">
        <f t="shared" si="1"/>
        <v>tidak ganda</v>
      </c>
      <c r="E3" s="14" t="s">
        <v>1642</v>
      </c>
      <c r="F3" s="14" t="s">
        <v>10</v>
      </c>
      <c r="G3" s="14" t="s">
        <v>11</v>
      </c>
      <c r="H3" s="14" t="s">
        <v>18</v>
      </c>
      <c r="I3" s="14" t="s">
        <v>19</v>
      </c>
      <c r="J3" s="14" t="s">
        <v>745</v>
      </c>
      <c r="K3" s="15" t="s">
        <v>1266</v>
      </c>
      <c r="L3" s="16" t="str">
        <f>VLOOKUP(B3,ubah!$B$2:$L$234,4,FALSE)</f>
        <v>Reguler</v>
      </c>
      <c r="M3" s="16" t="str">
        <f>VLOOKUP(B3,ubah!$B$2:$L$234,5,FALSE)</f>
        <v>JAWA TENGAH</v>
      </c>
      <c r="N3" s="16" t="str">
        <f>VLOOKUP(B3,ubah!$B$2:$L$234,6,FALSE)</f>
        <v>BREBES</v>
      </c>
    </row>
    <row r="4" spans="1:14" s="30" customFormat="1" x14ac:dyDescent="0.35">
      <c r="A4" s="27">
        <v>2540686</v>
      </c>
      <c r="B4" s="28" t="str">
        <f>"3325111701940001"</f>
        <v>3325111701940001</v>
      </c>
      <c r="C4" s="28" t="str">
        <f t="shared" si="0"/>
        <v>'3325111701940001</v>
      </c>
      <c r="D4" s="28" t="str">
        <f t="shared" si="1"/>
        <v>tidak ganda</v>
      </c>
      <c r="E4" s="28" t="s">
        <v>2445</v>
      </c>
      <c r="F4" s="28" t="s">
        <v>10</v>
      </c>
      <c r="G4" s="28" t="s">
        <v>57</v>
      </c>
      <c r="H4" s="28" t="s">
        <v>18</v>
      </c>
      <c r="I4" s="28" t="s">
        <v>19</v>
      </c>
      <c r="J4" s="28" t="s">
        <v>1394</v>
      </c>
      <c r="K4" s="29" t="s">
        <v>1395</v>
      </c>
      <c r="L4" s="30" t="str">
        <f>VLOOKUP(B4,ubah!$B$2:$L$234,4,FALSE)</f>
        <v>Reguler</v>
      </c>
      <c r="M4" s="30" t="str">
        <f>VLOOKUP(B4,ubah!$B$2:$L$234,5,FALSE)</f>
        <v>JAWA TENGAH</v>
      </c>
      <c r="N4" s="30" t="str">
        <f>VLOOKUP(B4,ubah!$B$2:$L$234,6,FALSE)</f>
        <v>BATANG</v>
      </c>
    </row>
    <row r="5" spans="1:14" s="30" customFormat="1" x14ac:dyDescent="0.35">
      <c r="A5" s="27">
        <v>2540872</v>
      </c>
      <c r="B5" s="28" t="str">
        <f>"3325112104910003"</f>
        <v>3325112104910003</v>
      </c>
      <c r="C5" s="28" t="str">
        <f t="shared" si="0"/>
        <v>'3325112104910003</v>
      </c>
      <c r="D5" s="28" t="str">
        <f t="shared" si="1"/>
        <v>tidak ganda</v>
      </c>
      <c r="E5" s="28" t="s">
        <v>2447</v>
      </c>
      <c r="F5" s="28" t="s">
        <v>10</v>
      </c>
      <c r="G5" s="28" t="s">
        <v>57</v>
      </c>
      <c r="H5" s="28" t="s">
        <v>18</v>
      </c>
      <c r="I5" s="28" t="s">
        <v>19</v>
      </c>
      <c r="J5" s="28" t="s">
        <v>1394</v>
      </c>
      <c r="K5" s="29" t="s">
        <v>1395</v>
      </c>
      <c r="L5" s="30" t="str">
        <f>VLOOKUP(B5,ubah!$B$2:$L$234,4,FALSE)</f>
        <v>Reguler</v>
      </c>
      <c r="M5" s="30" t="str">
        <f>VLOOKUP(B5,ubah!$B$2:$L$234,5,FALSE)</f>
        <v>JAWA TENGAH</v>
      </c>
      <c r="N5" s="30" t="str">
        <f>VLOOKUP(B5,ubah!$B$2:$L$234,6,FALSE)</f>
        <v>BATANG</v>
      </c>
    </row>
    <row r="6" spans="1:14" s="30" customFormat="1" x14ac:dyDescent="0.35">
      <c r="A6" s="27">
        <v>2540744</v>
      </c>
      <c r="B6" s="28" t="str">
        <f>"3325112108970021"</f>
        <v>3325112108970021</v>
      </c>
      <c r="C6" s="28" t="str">
        <f t="shared" si="0"/>
        <v>'3325112108970021</v>
      </c>
      <c r="D6" s="28" t="str">
        <f t="shared" si="1"/>
        <v>tidak ganda</v>
      </c>
      <c r="E6" s="28" t="s">
        <v>2449</v>
      </c>
      <c r="F6" s="28" t="s">
        <v>10</v>
      </c>
      <c r="G6" s="28" t="s">
        <v>57</v>
      </c>
      <c r="H6" s="28" t="s">
        <v>18</v>
      </c>
      <c r="I6" s="28" t="s">
        <v>19</v>
      </c>
      <c r="J6" s="28" t="s">
        <v>1394</v>
      </c>
      <c r="K6" s="29" t="s">
        <v>1395</v>
      </c>
      <c r="L6" s="30" t="str">
        <f>VLOOKUP(B6,ubah!$B$2:$L$234,4,FALSE)</f>
        <v>Reguler</v>
      </c>
      <c r="M6" s="30" t="str">
        <f>VLOOKUP(B6,ubah!$B$2:$L$234,5,FALSE)</f>
        <v>JAWA TENGAH</v>
      </c>
      <c r="N6" s="30" t="str">
        <f>VLOOKUP(B6,ubah!$B$2:$L$234,6,FALSE)</f>
        <v>BATANG</v>
      </c>
    </row>
    <row r="7" spans="1:14" s="30" customFormat="1" x14ac:dyDescent="0.35">
      <c r="A7" s="27">
        <v>2540740</v>
      </c>
      <c r="B7" s="28" t="str">
        <f>"3325112509950005"</f>
        <v>3325112509950005</v>
      </c>
      <c r="C7" s="28" t="str">
        <f t="shared" si="0"/>
        <v>'3325112509950005</v>
      </c>
      <c r="D7" s="28" t="str">
        <f t="shared" si="1"/>
        <v>tidak ganda</v>
      </c>
      <c r="E7" s="28" t="s">
        <v>2452</v>
      </c>
      <c r="F7" s="28" t="s">
        <v>10</v>
      </c>
      <c r="G7" s="28" t="s">
        <v>57</v>
      </c>
      <c r="H7" s="28" t="s">
        <v>18</v>
      </c>
      <c r="I7" s="28" t="s">
        <v>19</v>
      </c>
      <c r="J7" s="28" t="s">
        <v>1394</v>
      </c>
      <c r="K7" s="29" t="s">
        <v>1395</v>
      </c>
      <c r="L7" s="30" t="str">
        <f>VLOOKUP(B7,ubah!$B$2:$L$234,4,FALSE)</f>
        <v>Reguler</v>
      </c>
      <c r="M7" s="30" t="str">
        <f>VLOOKUP(B7,ubah!$B$2:$L$234,5,FALSE)</f>
        <v>JAWA TENGAH</v>
      </c>
      <c r="N7" s="30" t="str">
        <f>VLOOKUP(B7,ubah!$B$2:$L$234,6,FALSE)</f>
        <v>BATANG</v>
      </c>
    </row>
    <row r="8" spans="1:14" s="30" customFormat="1" x14ac:dyDescent="0.35">
      <c r="A8" s="27">
        <v>2540664</v>
      </c>
      <c r="B8" s="28" t="str">
        <f>"3325112912790005"</f>
        <v>3325112912790005</v>
      </c>
      <c r="C8" s="28" t="str">
        <f t="shared" si="0"/>
        <v>'3325112912790005</v>
      </c>
      <c r="D8" s="28" t="str">
        <f t="shared" si="1"/>
        <v>tidak ganda</v>
      </c>
      <c r="E8" s="28" t="s">
        <v>2455</v>
      </c>
      <c r="F8" s="28" t="s">
        <v>10</v>
      </c>
      <c r="G8" s="28" t="s">
        <v>57</v>
      </c>
      <c r="H8" s="28" t="s">
        <v>18</v>
      </c>
      <c r="I8" s="28" t="s">
        <v>19</v>
      </c>
      <c r="J8" s="28" t="s">
        <v>1394</v>
      </c>
      <c r="K8" s="29" t="s">
        <v>1395</v>
      </c>
      <c r="L8" s="30" t="str">
        <f>VLOOKUP(B8,ubah!$B$2:$L$234,4,FALSE)</f>
        <v>Reguler</v>
      </c>
      <c r="M8" s="30" t="str">
        <f>VLOOKUP(B8,ubah!$B$2:$L$234,5,FALSE)</f>
        <v>JAWA TENGAH</v>
      </c>
      <c r="N8" s="30" t="str">
        <f>VLOOKUP(B8,ubah!$B$2:$L$234,6,FALSE)</f>
        <v>BATANG</v>
      </c>
    </row>
    <row r="9" spans="1:14" s="30" customFormat="1" x14ac:dyDescent="0.35">
      <c r="A9" s="27">
        <v>2540738</v>
      </c>
      <c r="B9" s="28" t="str">
        <f>"3325113004970008"</f>
        <v>3325113004970008</v>
      </c>
      <c r="C9" s="28" t="str">
        <f t="shared" si="0"/>
        <v>'3325113004970008</v>
      </c>
      <c r="D9" s="28" t="str">
        <f t="shared" si="1"/>
        <v>tidak ganda</v>
      </c>
      <c r="E9" s="28" t="s">
        <v>2458</v>
      </c>
      <c r="F9" s="28" t="s">
        <v>10</v>
      </c>
      <c r="G9" s="28" t="s">
        <v>57</v>
      </c>
      <c r="H9" s="28" t="s">
        <v>18</v>
      </c>
      <c r="I9" s="28" t="s">
        <v>19</v>
      </c>
      <c r="J9" s="28" t="s">
        <v>1394</v>
      </c>
      <c r="K9" s="29" t="s">
        <v>1395</v>
      </c>
      <c r="L9" s="30" t="str">
        <f>VLOOKUP(B9,ubah!$B$2:$L$234,4,FALSE)</f>
        <v>Reguler</v>
      </c>
      <c r="M9" s="30" t="str">
        <f>VLOOKUP(B9,ubah!$B$2:$L$234,5,FALSE)</f>
        <v>JAWA TENGAH</v>
      </c>
      <c r="N9" s="30" t="str">
        <f>VLOOKUP(B9,ubah!$B$2:$L$234,6,FALSE)</f>
        <v>BATANG</v>
      </c>
    </row>
    <row r="10" spans="1:14" s="30" customFormat="1" x14ac:dyDescent="0.35">
      <c r="A10" s="27">
        <v>2540687</v>
      </c>
      <c r="B10" s="28" t="str">
        <f>"3375043003880004"</f>
        <v>3375043003880004</v>
      </c>
      <c r="C10" s="28" t="str">
        <f t="shared" si="0"/>
        <v>'3375043003880004</v>
      </c>
      <c r="D10" s="28" t="str">
        <f t="shared" si="1"/>
        <v>tidak ganda</v>
      </c>
      <c r="E10" s="28" t="s">
        <v>2756</v>
      </c>
      <c r="F10" s="28" t="s">
        <v>10</v>
      </c>
      <c r="G10" s="28" t="s">
        <v>57</v>
      </c>
      <c r="H10" s="28" t="s">
        <v>18</v>
      </c>
      <c r="I10" s="28" t="s">
        <v>19</v>
      </c>
      <c r="J10" s="28" t="s">
        <v>1394</v>
      </c>
      <c r="K10" s="29" t="s">
        <v>1395</v>
      </c>
      <c r="L10" s="30" t="str">
        <f>VLOOKUP(B10,ubah!$B$2:$L$234,4,FALSE)</f>
        <v>Reguler</v>
      </c>
      <c r="M10" s="30" t="str">
        <f>VLOOKUP(B10,ubah!$B$2:$L$234,5,FALSE)</f>
        <v>JAWA TENGAH</v>
      </c>
      <c r="N10" s="30" t="str">
        <f>VLOOKUP(B10,ubah!$B$2:$L$234,6,FALSE)</f>
        <v>KOTA PEKALONGAN</v>
      </c>
    </row>
    <row r="11" spans="1:14" x14ac:dyDescent="0.35">
      <c r="A11" s="13">
        <v>2152819</v>
      </c>
      <c r="B11" s="14" t="str">
        <f>"3329150707900003"</f>
        <v>3329150707900003</v>
      </c>
      <c r="C11" s="14" t="str">
        <f t="shared" si="0"/>
        <v>'3329150707900003</v>
      </c>
      <c r="D11" s="14" t="str">
        <f t="shared" si="1"/>
        <v>tidak ganda</v>
      </c>
      <c r="E11" s="14" t="s">
        <v>3961</v>
      </c>
      <c r="F11" s="14" t="s">
        <v>10</v>
      </c>
      <c r="G11" s="14" t="s">
        <v>11</v>
      </c>
      <c r="H11" s="14" t="s">
        <v>18</v>
      </c>
      <c r="I11" s="14" t="s">
        <v>19</v>
      </c>
      <c r="J11" s="14" t="s">
        <v>348</v>
      </c>
      <c r="K11" s="15" t="s">
        <v>3688</v>
      </c>
      <c r="L11" s="16" t="str">
        <f>VLOOKUP(B11,ubah!$B$2:$L$234,4,FALSE)</f>
        <v>Reguler</v>
      </c>
      <c r="M11" s="16" t="str">
        <f>VLOOKUP(B11,ubah!$B$2:$L$234,5,FALSE)</f>
        <v>JAWA TENGAH</v>
      </c>
      <c r="N11" s="16" t="str">
        <f>VLOOKUP(B11,ubah!$B$2:$L$234,6,FALSE)</f>
        <v>BREBES</v>
      </c>
    </row>
    <row r="12" spans="1:14" x14ac:dyDescent="0.35">
      <c r="A12" s="13">
        <v>1519125</v>
      </c>
      <c r="B12" s="14" t="str">
        <f>"3327081707900086"</f>
        <v>3327081707900086</v>
      </c>
      <c r="C12" s="14" t="str">
        <f t="shared" si="0"/>
        <v>'3327081707900086</v>
      </c>
      <c r="D12" s="14" t="str">
        <f t="shared" si="1"/>
        <v>tidak ganda</v>
      </c>
      <c r="E12" s="14" t="s">
        <v>5458</v>
      </c>
      <c r="F12" s="14" t="s">
        <v>10</v>
      </c>
      <c r="G12" s="14" t="s">
        <v>11</v>
      </c>
      <c r="H12" s="14" t="s">
        <v>18</v>
      </c>
      <c r="I12" s="14" t="s">
        <v>19</v>
      </c>
      <c r="J12" s="14" t="s">
        <v>4754</v>
      </c>
      <c r="K12" s="15" t="s">
        <v>4755</v>
      </c>
      <c r="L12" s="16" t="str">
        <f>VLOOKUP(B12,ubah!$B$2:$L$234,4,FALSE)</f>
        <v>Reguler</v>
      </c>
      <c r="M12" s="16" t="str">
        <f>VLOOKUP(B12,ubah!$B$2:$L$234,5,FALSE)</f>
        <v>JAWA TENGAH</v>
      </c>
      <c r="N12" s="16" t="str">
        <f>VLOOKUP(B12,ubah!$B$2:$L$234,6,FALSE)</f>
        <v>PEMALANG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My Worksheet</vt:lpstr>
      <vt:lpstr>aktif_ubah</vt:lpstr>
      <vt:lpstr>aktif</vt:lpstr>
      <vt:lpstr>ubah</vt:lpstr>
      <vt:lpstr>baru</vt:lpstr>
      <vt:lpstr>tms4_kab_tegal</vt:lpstr>
      <vt:lpstr>tms2_kab_tegal</vt:lpstr>
      <vt:lpstr>ganda_aktif_dg_aktif</vt:lpstr>
      <vt:lpstr>ganda_aktif_dg_ubah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Lenovo</cp:lastModifiedBy>
  <dcterms:created xsi:type="dcterms:W3CDTF">2023-03-25T12:26:30Z</dcterms:created>
  <dcterms:modified xsi:type="dcterms:W3CDTF">2023-03-25T16:03:46Z</dcterms:modified>
</cp:coreProperties>
</file>